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APN\Rebalans plana 2025. i Plan 2026\"/>
    </mc:Choice>
  </mc:AlternateContent>
  <bookViews>
    <workbookView xWindow="0" yWindow="0" windowWidth="28800" windowHeight="11715" tabRatio="598" firstSheet="14" activeTab="14"/>
  </bookViews>
  <sheets>
    <sheet name="prosinac 2009.(12)" sheetId="17" state="hidden" r:id="rId1"/>
    <sheet name="A4 srpanj" sheetId="35" state="hidden" r:id="rId2"/>
    <sheet name="A4 kolovoz" sheetId="41" state="hidden" r:id="rId3"/>
    <sheet name="A4 rujan" sheetId="48" state="hidden" r:id="rId4"/>
    <sheet name="A4 listopad" sheetId="53" state="hidden" r:id="rId5"/>
    <sheet name="A4 studeni" sheetId="56" state="hidden" r:id="rId6"/>
    <sheet name="A4 prosinac" sheetId="60" state="hidden" r:id="rId7"/>
    <sheet name="A4 (siječanj-lipanj)" sheetId="31" state="hidden" r:id="rId8"/>
    <sheet name="A4 (siječanj-srpanj)" sheetId="34" state="hidden" r:id="rId9"/>
    <sheet name="A4 (siječanj-kolovoz)" sheetId="42" state="hidden" r:id="rId10"/>
    <sheet name="A4 (siječanj-rujan)" sheetId="45" state="hidden" r:id="rId11"/>
    <sheet name="A4 (siječanj-listopad) " sheetId="52" state="hidden" r:id="rId12"/>
    <sheet name="A4 (siječanj-studeni)" sheetId="57" state="hidden" r:id="rId13"/>
    <sheet name="neprodano" sheetId="11" state="hidden" r:id="rId14"/>
    <sheet name="rebalans" sheetId="106" r:id="rId15"/>
  </sheets>
  <definedNames>
    <definedName name="_xlnm.Print_Area" localSheetId="9">'A4 (siječanj-kolovoz)'!$A$1:$E$62</definedName>
    <definedName name="_xlnm.Print_Area" localSheetId="7" xml:space="preserve">   'A4 (siječanj-lipanj)'!$A$1:$E$60</definedName>
    <definedName name="_xlnm.Print_Area" localSheetId="11">'A4 (siječanj-listopad) '!$A$1:$E$61</definedName>
    <definedName name="_xlnm.Print_Area" localSheetId="10">'A4 (siječanj-rujan)'!$A$1:$E$63</definedName>
    <definedName name="_xlnm.Print_Area" localSheetId="8" xml:space="preserve">   'A4 (siječanj-srpanj)'!$A$1:$E$60</definedName>
    <definedName name="_xlnm.Print_Area" localSheetId="12">'A4 (siječanj-studeni)'!$A$1:$E$62</definedName>
    <definedName name="_xlnm.Print_Area" localSheetId="2">'A4 kolovoz'!$A$1:$E$62</definedName>
    <definedName name="_xlnm.Print_Area" localSheetId="4">'A4 listopad'!$A$1:$E$59</definedName>
    <definedName name="_xlnm.Print_Area" localSheetId="6">'A4 prosinac'!$A$1:$E$60</definedName>
    <definedName name="_xlnm.Print_Area" localSheetId="3">'A4 rujan'!$A$1:$E$62</definedName>
    <definedName name="_xlnm.Print_Area" localSheetId="1" xml:space="preserve">   'A4 srpanj'!$A$1:$E$60</definedName>
    <definedName name="_xlnm.Print_Area" localSheetId="5">'A4 studeni'!$A$1:$E$60</definedName>
    <definedName name="_xlnm.Print_Area" localSheetId="13">neprodano!$A$1:$CB$61</definedName>
    <definedName name="_xlnm.Print_Area" localSheetId="0">'prosinac 2009.(12)'!$A$1:$T$245</definedName>
    <definedName name="_xlnm.Print_Area" localSheetId="14">rebalans!$A$1:$BY$103</definedName>
    <definedName name="_xlnm.Print_Titles" localSheetId="13">neprodano!$A:$A</definedName>
  </definedNames>
  <calcPr calcId="152511"/>
</workbook>
</file>

<file path=xl/calcChain.xml><?xml version="1.0" encoding="utf-8"?>
<calcChain xmlns="http://schemas.openxmlformats.org/spreadsheetml/2006/main">
  <c r="BQ104" i="106" l="1"/>
  <c r="AW104" i="106"/>
  <c r="AS53" i="106"/>
  <c r="AS104" i="106"/>
  <c r="Z43" i="106"/>
  <c r="G43" i="106"/>
  <c r="BE15" i="106"/>
  <c r="BE11" i="106"/>
  <c r="BE10" i="106"/>
  <c r="Z15" i="106"/>
  <c r="W15" i="106"/>
  <c r="V15" i="106"/>
  <c r="U15" i="106"/>
  <c r="T15" i="106"/>
  <c r="S15" i="106"/>
  <c r="R15" i="106"/>
  <c r="N15" i="106"/>
  <c r="F15" i="106"/>
  <c r="E15" i="106"/>
  <c r="AW78" i="106" l="1"/>
  <c r="BG76" i="106"/>
  <c r="BI10" i="106"/>
  <c r="BH11" i="106" l="1"/>
  <c r="BE14" i="106"/>
  <c r="BD10" i="106"/>
  <c r="BQ13" i="106" l="1"/>
  <c r="BQ14" i="106"/>
  <c r="BP15" i="106"/>
  <c r="BQ10" i="106"/>
  <c r="BG15" i="106"/>
  <c r="BC15" i="106"/>
  <c r="BB15" i="106"/>
  <c r="BA15" i="106"/>
  <c r="BD13" i="106" l="1"/>
  <c r="BE13" i="106" s="1"/>
  <c r="BD14" i="106"/>
  <c r="BA13" i="106" l="1"/>
  <c r="BA31" i="106" s="1"/>
  <c r="AT15" i="106"/>
  <c r="AV14" i="106" l="1"/>
  <c r="X15" i="106"/>
  <c r="N13" i="106"/>
  <c r="N14" i="106"/>
  <c r="AZ28" i="106" l="1"/>
  <c r="AY31" i="106"/>
  <c r="AX31" i="106"/>
  <c r="AX30" i="106"/>
  <c r="Z31" i="106"/>
  <c r="T12" i="106"/>
  <c r="N10" i="106"/>
  <c r="N3" i="106"/>
  <c r="Z30" i="106" l="1"/>
  <c r="Z28" i="106"/>
  <c r="BQ39" i="106" l="1"/>
  <c r="BS15" i="106"/>
  <c r="BR15" i="106"/>
  <c r="BL15" i="106"/>
  <c r="BJ15" i="106"/>
  <c r="AY15" i="106"/>
  <c r="AX15" i="106"/>
  <c r="AU15" i="106"/>
  <c r="AR15" i="106"/>
  <c r="AP15" i="106"/>
  <c r="AO15" i="106"/>
  <c r="P15" i="106"/>
  <c r="O15" i="106"/>
  <c r="I15" i="106"/>
  <c r="H15" i="106"/>
  <c r="BH10" i="106"/>
  <c r="V11" i="106"/>
  <c r="BI15" i="106" l="1"/>
  <c r="BH15" i="106"/>
  <c r="BD11" i="106"/>
  <c r="BD12" i="106"/>
  <c r="BD15" i="106" l="1"/>
  <c r="AS14" i="106"/>
  <c r="BG11" i="106" l="1"/>
  <c r="BA11" i="106"/>
  <c r="AY11" i="106"/>
  <c r="AX11" i="106"/>
  <c r="Z11" i="106"/>
  <c r="U11" i="106"/>
  <c r="T11" i="106"/>
  <c r="R11" i="106"/>
  <c r="BH13" i="106" l="1"/>
  <c r="BG13" i="106"/>
  <c r="BC13" i="106"/>
  <c r="BB13" i="106"/>
  <c r="AX13" i="106"/>
  <c r="AY13" i="106"/>
  <c r="Z13" i="106"/>
  <c r="V13" i="106"/>
  <c r="U13" i="106"/>
  <c r="T13" i="106"/>
  <c r="S13" i="106"/>
  <c r="R13" i="106"/>
  <c r="Q13" i="106"/>
  <c r="BH12" i="106"/>
  <c r="BG12" i="106"/>
  <c r="BC12" i="106"/>
  <c r="AY12" i="106"/>
  <c r="AX12" i="106"/>
  <c r="Z12" i="106"/>
  <c r="U12" i="106"/>
  <c r="S12" i="106"/>
  <c r="R12" i="106"/>
  <c r="Q12" i="106"/>
  <c r="P12" i="106"/>
  <c r="BI31" i="106"/>
  <c r="BG10" i="106"/>
  <c r="BA10" i="106"/>
  <c r="AY10" i="106"/>
  <c r="AX10" i="106"/>
  <c r="Z10" i="106"/>
  <c r="U10" i="106"/>
  <c r="R10" i="106"/>
  <c r="BT14" i="106"/>
  <c r="BG14" i="106"/>
  <c r="BC14" i="106"/>
  <c r="BA14" i="106"/>
  <c r="Z14" i="106"/>
  <c r="U14" i="106"/>
  <c r="V14" i="106"/>
  <c r="T14" i="106"/>
  <c r="O14" i="106"/>
  <c r="G14" i="106"/>
  <c r="AV76" i="106" l="1"/>
  <c r="BP88" i="106" l="1"/>
  <c r="BQ12" i="106"/>
  <c r="BQ11" i="106"/>
  <c r="BT10" i="106"/>
  <c r="BQ15" i="106" l="1"/>
  <c r="AY34" i="106"/>
  <c r="AX34" i="106"/>
  <c r="BQ92" i="106" l="1"/>
  <c r="BQ84" i="106"/>
  <c r="BQ76" i="106"/>
  <c r="BT13" i="106"/>
  <c r="BT12" i="106"/>
  <c r="BT11" i="106"/>
  <c r="BT15" i="106" l="1"/>
  <c r="BG27" i="106"/>
  <c r="BB27" i="106" l="1"/>
  <c r="BA27" i="106"/>
  <c r="BT40" i="106" l="1"/>
  <c r="BM45" i="106"/>
  <c r="BM46" i="106"/>
  <c r="BM47" i="106"/>
  <c r="BM48" i="106"/>
  <c r="BM49" i="106"/>
  <c r="BM44" i="106"/>
  <c r="BM38" i="106"/>
  <c r="BM40" i="106"/>
  <c r="BM41" i="106"/>
  <c r="BM42" i="106"/>
  <c r="BM24" i="106"/>
  <c r="BM25" i="106"/>
  <c r="BM26" i="106"/>
  <c r="BM23" i="106"/>
  <c r="BM22" i="106"/>
  <c r="BM21" i="106"/>
  <c r="BM20" i="106"/>
  <c r="G10" i="106"/>
  <c r="J10" i="106"/>
  <c r="M10" i="106"/>
  <c r="O10" i="106"/>
  <c r="V10" i="106"/>
  <c r="AC10" i="106"/>
  <c r="AC15" i="106" s="1"/>
  <c r="AH10" i="106"/>
  <c r="AK10" i="106"/>
  <c r="AN10" i="106"/>
  <c r="AS10" i="106"/>
  <c r="AW10" i="106"/>
  <c r="AZ10" i="106"/>
  <c r="BN10" i="106"/>
  <c r="BO10" i="106"/>
  <c r="G11" i="106"/>
  <c r="J11" i="106"/>
  <c r="N11" i="106"/>
  <c r="O11" i="106"/>
  <c r="AC11" i="106"/>
  <c r="AH11" i="106"/>
  <c r="AI11" i="106"/>
  <c r="AN11" i="106"/>
  <c r="AS11" i="106"/>
  <c r="AV11" i="106"/>
  <c r="AZ11" i="106"/>
  <c r="BI11" i="106"/>
  <c r="BO11" i="106"/>
  <c r="F12" i="106"/>
  <c r="N12" i="106" s="1"/>
  <c r="AE12" i="106"/>
  <c r="AJ12" i="106"/>
  <c r="AN12" i="106"/>
  <c r="AS12" i="106"/>
  <c r="AV12" i="106"/>
  <c r="AZ12" i="106"/>
  <c r="BI12" i="106"/>
  <c r="BO12" i="106"/>
  <c r="G13" i="106"/>
  <c r="O13" i="106"/>
  <c r="AC13" i="106"/>
  <c r="AD13" i="106"/>
  <c r="AH13" i="106"/>
  <c r="AJ13" i="106"/>
  <c r="AI13" i="106" s="1"/>
  <c r="AN13" i="106"/>
  <c r="AS13" i="106"/>
  <c r="AV13" i="106"/>
  <c r="AZ13" i="106"/>
  <c r="BI13" i="106"/>
  <c r="BL13" i="106"/>
  <c r="BO13" i="106"/>
  <c r="AC14" i="106"/>
  <c r="AH14" i="106"/>
  <c r="AJ14" i="106"/>
  <c r="AK14" i="106"/>
  <c r="AN14" i="106"/>
  <c r="BK14" i="106" s="1"/>
  <c r="AW14" i="106"/>
  <c r="AZ14" i="106"/>
  <c r="BI14" i="106"/>
  <c r="BJ14" i="106"/>
  <c r="E31" i="106"/>
  <c r="K15" i="106"/>
  <c r="K31" i="106" s="1"/>
  <c r="L15" i="106"/>
  <c r="L31" i="106" s="1"/>
  <c r="Q15" i="106"/>
  <c r="AB15" i="106"/>
  <c r="AF15" i="106"/>
  <c r="AF31" i="106" s="1"/>
  <c r="AG15" i="106"/>
  <c r="AM15" i="106"/>
  <c r="AN15" i="106" s="1"/>
  <c r="AQ15" i="106"/>
  <c r="BF15" i="106"/>
  <c r="V16" i="106"/>
  <c r="Z16" i="106"/>
  <c r="AH16" i="106"/>
  <c r="AJ16" i="106"/>
  <c r="AN16" i="106"/>
  <c r="AS16" i="106"/>
  <c r="AW16" i="106"/>
  <c r="AZ16" i="106"/>
  <c r="BE16" i="106" s="1"/>
  <c r="BI16" i="106"/>
  <c r="BL16" i="106"/>
  <c r="BM16" i="106"/>
  <c r="BN16" i="106"/>
  <c r="BR16" i="106"/>
  <c r="V17" i="106"/>
  <c r="Z17" i="106"/>
  <c r="AC17" i="106"/>
  <c r="AH17" i="106"/>
  <c r="AJ17" i="106"/>
  <c r="AN17" i="106"/>
  <c r="AS17" i="106"/>
  <c r="AW17" i="106"/>
  <c r="AZ17" i="106"/>
  <c r="BE17" i="106" s="1"/>
  <c r="BI17" i="106"/>
  <c r="BL17" i="106"/>
  <c r="BM17" i="106"/>
  <c r="BQ17" i="106" s="1"/>
  <c r="BR17" i="106"/>
  <c r="J27" i="106"/>
  <c r="N19" i="106"/>
  <c r="O19" i="106"/>
  <c r="AH19" i="106"/>
  <c r="AK19" i="106"/>
  <c r="AN19" i="106"/>
  <c r="AW19" i="106"/>
  <c r="AZ19" i="106"/>
  <c r="BE19" i="106" s="1"/>
  <c r="BI19" i="106"/>
  <c r="BI27" i="106" s="1"/>
  <c r="BL19" i="106"/>
  <c r="BO19" i="106"/>
  <c r="BS19" i="106"/>
  <c r="Z27" i="106"/>
  <c r="AS20" i="106"/>
  <c r="AZ20" i="106"/>
  <c r="BE20" i="106" s="1"/>
  <c r="BK27" i="106"/>
  <c r="BN20" i="106"/>
  <c r="BO20" i="106"/>
  <c r="BR20" i="106"/>
  <c r="BS20" i="106"/>
  <c r="BT20" i="106"/>
  <c r="AH21" i="106"/>
  <c r="AK21" i="106"/>
  <c r="BT21" i="106" s="1"/>
  <c r="AS21" i="106"/>
  <c r="AZ21" i="106"/>
  <c r="BE21" i="106" s="1"/>
  <c r="BJ21" i="106"/>
  <c r="BN21" i="106"/>
  <c r="BO21" i="106"/>
  <c r="BP21" i="106"/>
  <c r="BR21" i="106"/>
  <c r="BS21" i="106"/>
  <c r="N22" i="106"/>
  <c r="O22" i="106"/>
  <c r="AK22" i="106"/>
  <c r="AN22" i="106"/>
  <c r="AS22" i="106"/>
  <c r="BQ22" i="106" s="1"/>
  <c r="AW22" i="106"/>
  <c r="AZ22" i="106"/>
  <c r="BE22" i="106" s="1"/>
  <c r="BI22" i="106"/>
  <c r="BJ22" i="106"/>
  <c r="BL22" i="106" s="1"/>
  <c r="BN22" i="106"/>
  <c r="BO22" i="106"/>
  <c r="BP22" i="106"/>
  <c r="BR22" i="106"/>
  <c r="BS22" i="106"/>
  <c r="AN23" i="106"/>
  <c r="AS23" i="106"/>
  <c r="BQ23" i="106" s="1"/>
  <c r="AZ23" i="106"/>
  <c r="BE23" i="106" s="1"/>
  <c r="BJ23" i="106"/>
  <c r="BL23" i="106" s="1"/>
  <c r="BN23" i="106"/>
  <c r="BO23" i="106"/>
  <c r="BP23" i="106"/>
  <c r="BR23" i="106"/>
  <c r="BS23" i="106"/>
  <c r="BT23" i="106"/>
  <c r="N24" i="106"/>
  <c r="O24" i="106"/>
  <c r="Q24" i="106" s="1"/>
  <c r="V24" i="106" s="1"/>
  <c r="AH24" i="106"/>
  <c r="AK24" i="106"/>
  <c r="AN24" i="106"/>
  <c r="AS24" i="106"/>
  <c r="AW24" i="106"/>
  <c r="AZ24" i="106"/>
  <c r="BE24" i="106" s="1"/>
  <c r="BJ24" i="106"/>
  <c r="BL24" i="106" s="1"/>
  <c r="BN24" i="106"/>
  <c r="BO24" i="106"/>
  <c r="BP24" i="106"/>
  <c r="BR24" i="106"/>
  <c r="BS24" i="106"/>
  <c r="AS25" i="106"/>
  <c r="BQ25" i="106" s="1"/>
  <c r="AW25" i="106"/>
  <c r="BT25" i="106" s="1"/>
  <c r="BE25" i="106"/>
  <c r="BN25" i="106"/>
  <c r="BO25" i="106"/>
  <c r="BP25" i="106"/>
  <c r="BR25" i="106"/>
  <c r="BS25" i="106"/>
  <c r="AN26" i="106"/>
  <c r="AS26" i="106"/>
  <c r="AW26" i="106"/>
  <c r="BT26" i="106" s="1"/>
  <c r="BE26" i="106"/>
  <c r="BL26" i="106"/>
  <c r="BN26" i="106"/>
  <c r="BO26" i="106"/>
  <c r="BP26" i="106"/>
  <c r="BQ26" i="106"/>
  <c r="BR26" i="106"/>
  <c r="BS26" i="106"/>
  <c r="E27" i="106"/>
  <c r="F27" i="106"/>
  <c r="G27" i="106"/>
  <c r="H27" i="106"/>
  <c r="I27" i="106"/>
  <c r="T27" i="106"/>
  <c r="AA27" i="106"/>
  <c r="AB27" i="106"/>
  <c r="AD27" i="106"/>
  <c r="AE27" i="106"/>
  <c r="AG27" i="106"/>
  <c r="AL27" i="106"/>
  <c r="AM27" i="106"/>
  <c r="AP27" i="106"/>
  <c r="AQ27" i="106"/>
  <c r="AT27" i="106"/>
  <c r="AU27" i="106"/>
  <c r="AV27" i="106"/>
  <c r="BD27" i="106"/>
  <c r="BE27" i="106" s="1"/>
  <c r="V28" i="106"/>
  <c r="AC28" i="106"/>
  <c r="AH28" i="106"/>
  <c r="AK28" i="106"/>
  <c r="AK30" i="106" s="1"/>
  <c r="AN28" i="106"/>
  <c r="AS28" i="106"/>
  <c r="AS30" i="106" s="1"/>
  <c r="AW28" i="106"/>
  <c r="AW30" i="106" s="1"/>
  <c r="BE28" i="106"/>
  <c r="BE30" i="106" s="1"/>
  <c r="BI28" i="106"/>
  <c r="BI30" i="106" s="1"/>
  <c r="BM28" i="106"/>
  <c r="BN28" i="106"/>
  <c r="BN30" i="106" s="1"/>
  <c r="BR28" i="106"/>
  <c r="BR30" i="106" s="1"/>
  <c r="BS28" i="106"/>
  <c r="AS29" i="106"/>
  <c r="AW29" i="106"/>
  <c r="BE29" i="106"/>
  <c r="AH30" i="106"/>
  <c r="AI30" i="106"/>
  <c r="AJ30" i="106"/>
  <c r="AL30" i="106"/>
  <c r="AM30" i="106"/>
  <c r="AO30" i="106"/>
  <c r="AP30" i="106"/>
  <c r="AQ30" i="106"/>
  <c r="AT30" i="106"/>
  <c r="AU30" i="106"/>
  <c r="AV30" i="106"/>
  <c r="AY30" i="106"/>
  <c r="BA30" i="106"/>
  <c r="BB30" i="106"/>
  <c r="BC30" i="106"/>
  <c r="BC31" i="106" s="1"/>
  <c r="BF30" i="106"/>
  <c r="BG30" i="106"/>
  <c r="BH30" i="106"/>
  <c r="BJ30" i="106"/>
  <c r="BK30" i="106"/>
  <c r="BL30" i="106"/>
  <c r="BB31" i="106"/>
  <c r="V34" i="106"/>
  <c r="AC32" i="106"/>
  <c r="AH32" i="106"/>
  <c r="AH34" i="106" s="1"/>
  <c r="AK32" i="106"/>
  <c r="AN32" i="106"/>
  <c r="AW34" i="106"/>
  <c r="BE34" i="106"/>
  <c r="BM34" i="106"/>
  <c r="BN34" i="106"/>
  <c r="N33" i="106"/>
  <c r="O33" i="106"/>
  <c r="AK33" i="106"/>
  <c r="AS33" i="106"/>
  <c r="BE33" i="106"/>
  <c r="BI33" i="106"/>
  <c r="BJ33" i="106"/>
  <c r="BM33" i="106"/>
  <c r="BO33" i="106"/>
  <c r="BR33" i="106"/>
  <c r="BS33" i="106"/>
  <c r="E34" i="106"/>
  <c r="F34" i="106"/>
  <c r="H34" i="106"/>
  <c r="I34" i="106"/>
  <c r="P34" i="106"/>
  <c r="Q34" i="106"/>
  <c r="R34" i="106"/>
  <c r="S34" i="106"/>
  <c r="T34" i="106"/>
  <c r="U34" i="106"/>
  <c r="AA34" i="106"/>
  <c r="AB34" i="106"/>
  <c r="AD34" i="106"/>
  <c r="AE34" i="106"/>
  <c r="AI34" i="106"/>
  <c r="AL34" i="106"/>
  <c r="AM34" i="106"/>
  <c r="AO34" i="106"/>
  <c r="AP34" i="106"/>
  <c r="AQ34" i="106"/>
  <c r="AU34" i="106"/>
  <c r="AV34" i="106"/>
  <c r="AV51" i="106" s="1"/>
  <c r="BA34" i="106"/>
  <c r="BB34" i="106"/>
  <c r="BC34" i="106"/>
  <c r="BG34" i="106"/>
  <c r="BH34" i="106"/>
  <c r="BP34" i="106"/>
  <c r="N35" i="106"/>
  <c r="O35" i="106"/>
  <c r="AC35" i="106"/>
  <c r="AK35" i="106"/>
  <c r="AN35" i="106"/>
  <c r="AS35" i="106"/>
  <c r="AW35" i="106"/>
  <c r="AX35" i="106"/>
  <c r="AZ35" i="106" s="1"/>
  <c r="BE35" i="106" s="1"/>
  <c r="BI35" i="106"/>
  <c r="BM35" i="106"/>
  <c r="BN35" i="106"/>
  <c r="BO35" i="106"/>
  <c r="BR35" i="106"/>
  <c r="BS35" i="106"/>
  <c r="V36" i="106"/>
  <c r="AC36" i="106"/>
  <c r="AH36" i="106"/>
  <c r="AJ36" i="106"/>
  <c r="AK36" i="106" s="1"/>
  <c r="AN36" i="106"/>
  <c r="AS36" i="106"/>
  <c r="AW36" i="106"/>
  <c r="AZ36" i="106"/>
  <c r="BE36" i="106" s="1"/>
  <c r="BI36" i="106"/>
  <c r="BK36" i="106"/>
  <c r="BM36" i="106"/>
  <c r="BN36" i="106"/>
  <c r="BR36" i="106"/>
  <c r="V37" i="106"/>
  <c r="AC37" i="106"/>
  <c r="AH37" i="106"/>
  <c r="AJ37" i="106"/>
  <c r="BS37" i="106" s="1"/>
  <c r="AN37" i="106"/>
  <c r="AS37" i="106"/>
  <c r="AW37" i="106"/>
  <c r="AZ37" i="106"/>
  <c r="BE37" i="106" s="1"/>
  <c r="BI37" i="106"/>
  <c r="BM37" i="106"/>
  <c r="BN37" i="106"/>
  <c r="BR37" i="106"/>
  <c r="V38" i="106"/>
  <c r="AC38" i="106"/>
  <c r="AH38" i="106"/>
  <c r="AJ38" i="106"/>
  <c r="AN38" i="106"/>
  <c r="AS38" i="106"/>
  <c r="AW38" i="106"/>
  <c r="AZ38" i="106"/>
  <c r="BE38" i="106" s="1"/>
  <c r="BI38" i="106"/>
  <c r="BJ38" i="106"/>
  <c r="BL38" i="106" s="1"/>
  <c r="BN38" i="106"/>
  <c r="BR38" i="106"/>
  <c r="N39" i="106"/>
  <c r="O39" i="106"/>
  <c r="V39" i="106"/>
  <c r="AC39" i="106"/>
  <c r="AH39" i="106"/>
  <c r="AK39" i="106"/>
  <c r="AN39" i="106"/>
  <c r="AS39" i="106"/>
  <c r="AW39" i="106"/>
  <c r="AZ39" i="106"/>
  <c r="BE39" i="106" s="1"/>
  <c r="BI39" i="106"/>
  <c r="BO39" i="106"/>
  <c r="BT39" i="106"/>
  <c r="N40" i="106"/>
  <c r="O40" i="106"/>
  <c r="V40" i="106"/>
  <c r="AC40" i="106"/>
  <c r="AH40" i="106"/>
  <c r="AN40" i="106"/>
  <c r="AS40" i="106"/>
  <c r="AZ40" i="106"/>
  <c r="BE40" i="106" s="1"/>
  <c r="BH40" i="106"/>
  <c r="BI40" i="106" s="1"/>
  <c r="BJ40" i="106"/>
  <c r="BK40" i="106"/>
  <c r="BN40" i="106"/>
  <c r="BO40" i="106"/>
  <c r="BR40" i="106"/>
  <c r="BS40" i="106"/>
  <c r="N41" i="106"/>
  <c r="O41" i="106"/>
  <c r="V41" i="106"/>
  <c r="AC41" i="106"/>
  <c r="AH41" i="106"/>
  <c r="AS41" i="106"/>
  <c r="AZ41" i="106"/>
  <c r="BE41" i="106" s="1"/>
  <c r="BH41" i="106"/>
  <c r="BI41" i="106" s="1"/>
  <c r="BJ41" i="106"/>
  <c r="BL41" i="106" s="1"/>
  <c r="BN41" i="106"/>
  <c r="BR41" i="106"/>
  <c r="BS41" i="106"/>
  <c r="BT41" i="106"/>
  <c r="O42" i="106"/>
  <c r="AC42" i="106"/>
  <c r="AH42" i="106"/>
  <c r="AJ42" i="106"/>
  <c r="BS42" i="106" s="1"/>
  <c r="AK42" i="106"/>
  <c r="AN42" i="106"/>
  <c r="AS42" i="106"/>
  <c r="AW42" i="106"/>
  <c r="AZ42" i="106"/>
  <c r="BC42" i="106"/>
  <c r="BI42" i="106"/>
  <c r="BN42" i="106"/>
  <c r="BR42" i="106"/>
  <c r="N43" i="106"/>
  <c r="O43" i="106"/>
  <c r="V43" i="106"/>
  <c r="AC43" i="106"/>
  <c r="AE43" i="106"/>
  <c r="AE50" i="106" s="1"/>
  <c r="AK43" i="106"/>
  <c r="AN43" i="106"/>
  <c r="AS43" i="106"/>
  <c r="AW43" i="106"/>
  <c r="AZ43" i="106"/>
  <c r="BE43" i="106" s="1"/>
  <c r="BI43" i="106"/>
  <c r="AC44" i="106"/>
  <c r="AH44" i="106"/>
  <c r="AJ44" i="106"/>
  <c r="BS44" i="106" s="1"/>
  <c r="AK44" i="106"/>
  <c r="AN44" i="106"/>
  <c r="AS44" i="106"/>
  <c r="AW44" i="106"/>
  <c r="AZ44" i="106"/>
  <c r="BE44" i="106" s="1"/>
  <c r="BI44" i="106"/>
  <c r="BN44" i="106"/>
  <c r="BR44" i="106"/>
  <c r="V45" i="106"/>
  <c r="AC45" i="106"/>
  <c r="AH45" i="106"/>
  <c r="AJ45" i="106"/>
  <c r="BS45" i="106" s="1"/>
  <c r="AN45" i="106"/>
  <c r="AS45" i="106"/>
  <c r="AW45" i="106"/>
  <c r="AZ45" i="106"/>
  <c r="BC45" i="106"/>
  <c r="BI45" i="106"/>
  <c r="BL45" i="106"/>
  <c r="BN45" i="106"/>
  <c r="BR45" i="106"/>
  <c r="N46" i="106"/>
  <c r="O46" i="106"/>
  <c r="V46" i="106"/>
  <c r="AC46" i="106"/>
  <c r="AH46" i="106"/>
  <c r="AK46" i="106"/>
  <c r="AS46" i="106"/>
  <c r="AW46" i="106"/>
  <c r="BE46" i="106"/>
  <c r="BI46" i="106"/>
  <c r="BJ46" i="106"/>
  <c r="BK46" i="106"/>
  <c r="BN46" i="106"/>
  <c r="BR46" i="106"/>
  <c r="BS46" i="106"/>
  <c r="N47" i="106"/>
  <c r="O47" i="106"/>
  <c r="V47" i="106"/>
  <c r="AC47" i="106"/>
  <c r="AH47" i="106"/>
  <c r="AJ47" i="106"/>
  <c r="BS47" i="106" s="1"/>
  <c r="AN47" i="106"/>
  <c r="AS47" i="106"/>
  <c r="AW47" i="106"/>
  <c r="AZ47" i="106"/>
  <c r="BE47" i="106" s="1"/>
  <c r="BI47" i="106"/>
  <c r="BJ47" i="106"/>
  <c r="BK47" i="106"/>
  <c r="BN47" i="106"/>
  <c r="BR47" i="106"/>
  <c r="N48" i="106"/>
  <c r="O48" i="106"/>
  <c r="U48" i="106" s="1"/>
  <c r="AC48" i="106"/>
  <c r="AH48" i="106"/>
  <c r="AS48" i="106"/>
  <c r="AW48" i="106"/>
  <c r="AZ48" i="106"/>
  <c r="BE48" i="106" s="1"/>
  <c r="BI48" i="106"/>
  <c r="BL48" i="106"/>
  <c r="BQ48" i="106"/>
  <c r="BR48" i="106"/>
  <c r="BS48" i="106"/>
  <c r="N49" i="106"/>
  <c r="O49" i="106"/>
  <c r="U49" i="106" s="1"/>
  <c r="AC49" i="106"/>
  <c r="AH49" i="106"/>
  <c r="AS49" i="106"/>
  <c r="AZ49" i="106"/>
  <c r="BE49" i="106" s="1"/>
  <c r="BI49" i="106"/>
  <c r="BL49" i="106"/>
  <c r="BQ49" i="106"/>
  <c r="BR49" i="106"/>
  <c r="BS49" i="106"/>
  <c r="E50" i="106"/>
  <c r="F50" i="106"/>
  <c r="H50" i="106"/>
  <c r="I50" i="106"/>
  <c r="K50" i="106"/>
  <c r="K51" i="106" s="1"/>
  <c r="L50" i="106"/>
  <c r="P50" i="106"/>
  <c r="Q50" i="106"/>
  <c r="S50" i="106"/>
  <c r="T50" i="106"/>
  <c r="AA50" i="106"/>
  <c r="AB50" i="106"/>
  <c r="AD50" i="106"/>
  <c r="AF50" i="106"/>
  <c r="AF51" i="106" s="1"/>
  <c r="AI50" i="106"/>
  <c r="AL50" i="106"/>
  <c r="AM50" i="106"/>
  <c r="AO50" i="106"/>
  <c r="AP50" i="106"/>
  <c r="AQ50" i="106"/>
  <c r="AR50" i="106"/>
  <c r="AR51" i="106" s="1"/>
  <c r="AT50" i="106"/>
  <c r="AT51" i="106" s="1"/>
  <c r="AU50" i="106"/>
  <c r="AV50" i="106"/>
  <c r="AY50" i="106"/>
  <c r="BA50" i="106"/>
  <c r="BF50" i="106"/>
  <c r="BF51" i="106" s="1"/>
  <c r="BG50" i="106"/>
  <c r="AA51" i="106"/>
  <c r="G54" i="106"/>
  <c r="R54" i="106"/>
  <c r="V54" i="106" s="1"/>
  <c r="Z54" i="106"/>
  <c r="AH54" i="106"/>
  <c r="AK54" i="106"/>
  <c r="AS54" i="106"/>
  <c r="AW54" i="106"/>
  <c r="BE54" i="106"/>
  <c r="BI54" i="106"/>
  <c r="BK54" i="106"/>
  <c r="BM54" i="106"/>
  <c r="BN54" i="106"/>
  <c r="BR54" i="106"/>
  <c r="BS54" i="106"/>
  <c r="AH55" i="106"/>
  <c r="AI55" i="106" s="1"/>
  <c r="AS55" i="106"/>
  <c r="AW55" i="106"/>
  <c r="BE55" i="106"/>
  <c r="BI55" i="106"/>
  <c r="BJ55" i="106"/>
  <c r="BK55" i="106"/>
  <c r="BM55" i="106"/>
  <c r="BN55" i="106"/>
  <c r="BS55" i="106"/>
  <c r="G56" i="106"/>
  <c r="R56" i="106"/>
  <c r="V56" i="106" s="1"/>
  <c r="Z56" i="106"/>
  <c r="AA56" i="106"/>
  <c r="AB56" i="106"/>
  <c r="AB60" i="106" s="1"/>
  <c r="AB63" i="106" s="1"/>
  <c r="AH56" i="106"/>
  <c r="AK56" i="106"/>
  <c r="AS56" i="106"/>
  <c r="AW56" i="106"/>
  <c r="BE56" i="106"/>
  <c r="BI56" i="106"/>
  <c r="BJ56" i="106"/>
  <c r="BK56" i="106"/>
  <c r="BM56" i="106"/>
  <c r="BN56" i="106"/>
  <c r="BR56" i="106"/>
  <c r="BS56" i="106"/>
  <c r="R57" i="106"/>
  <c r="AH57" i="106"/>
  <c r="AI57" i="106" s="1"/>
  <c r="AS57" i="106"/>
  <c r="AW57" i="106"/>
  <c r="BE57" i="106"/>
  <c r="BI57" i="106"/>
  <c r="BJ57" i="106"/>
  <c r="BK57" i="106"/>
  <c r="BM57" i="106"/>
  <c r="BN57" i="106"/>
  <c r="BS57" i="106"/>
  <c r="F58" i="106"/>
  <c r="N58" i="106"/>
  <c r="O58" i="106"/>
  <c r="R58" i="106" s="1"/>
  <c r="V58" i="106" s="1"/>
  <c r="Z58" i="106"/>
  <c r="AH58" i="106"/>
  <c r="AS58" i="106"/>
  <c r="AW58" i="106"/>
  <c r="BE58" i="106"/>
  <c r="BI58" i="106"/>
  <c r="BJ58" i="106"/>
  <c r="BK58" i="106"/>
  <c r="BM58" i="106"/>
  <c r="BN58" i="106"/>
  <c r="BR58" i="106"/>
  <c r="BS58" i="106"/>
  <c r="AH59" i="106"/>
  <c r="AS59" i="106"/>
  <c r="AW59" i="106"/>
  <c r="BE59" i="106"/>
  <c r="BI59" i="106"/>
  <c r="BJ59" i="106"/>
  <c r="BK59" i="106"/>
  <c r="BM59" i="106"/>
  <c r="BN59" i="106"/>
  <c r="BR59" i="106"/>
  <c r="BS59" i="106"/>
  <c r="E60" i="106"/>
  <c r="F60" i="106"/>
  <c r="H60" i="106"/>
  <c r="I60" i="106"/>
  <c r="J60" i="106"/>
  <c r="K60" i="106"/>
  <c r="L60" i="106"/>
  <c r="M60" i="106"/>
  <c r="N60" i="106"/>
  <c r="AD60" i="106"/>
  <c r="AD63" i="106" s="1"/>
  <c r="AF60" i="106"/>
  <c r="AF63" i="106" s="1"/>
  <c r="AJ60" i="106"/>
  <c r="AJ63" i="106" s="1"/>
  <c r="AL60" i="106"/>
  <c r="AL63" i="106" s="1"/>
  <c r="AM60" i="106"/>
  <c r="AM63" i="106" s="1"/>
  <c r="AO60" i="106"/>
  <c r="AO63" i="106" s="1"/>
  <c r="AP60" i="106"/>
  <c r="AQ60" i="106"/>
  <c r="AS60" i="106" s="1"/>
  <c r="AT60" i="106" s="1"/>
  <c r="AU60" i="106"/>
  <c r="AV60" i="106"/>
  <c r="AX60" i="106"/>
  <c r="AY60" i="106"/>
  <c r="AY63" i="106" s="1"/>
  <c r="BA60" i="106"/>
  <c r="BA63" i="106" s="1"/>
  <c r="BB60" i="106"/>
  <c r="BC60" i="106"/>
  <c r="BE60" i="106" s="1"/>
  <c r="BF60" i="106" s="1"/>
  <c r="BG60" i="106"/>
  <c r="BH60" i="106"/>
  <c r="V61" i="106"/>
  <c r="AA61" i="106"/>
  <c r="BJ61" i="106" s="1"/>
  <c r="AK61" i="106"/>
  <c r="AS61" i="106"/>
  <c r="AW61" i="106"/>
  <c r="BE61" i="106"/>
  <c r="BI61" i="106"/>
  <c r="BK61" i="106"/>
  <c r="BM61" i="106"/>
  <c r="BR61" i="106"/>
  <c r="BS61" i="106"/>
  <c r="V62" i="106"/>
  <c r="AA62" i="106"/>
  <c r="BJ62" i="106" s="1"/>
  <c r="AK62" i="106"/>
  <c r="AS62" i="106"/>
  <c r="AW62" i="106"/>
  <c r="BE62" i="106"/>
  <c r="BI62" i="106"/>
  <c r="BK62" i="106"/>
  <c r="BM62" i="106"/>
  <c r="BR62" i="106"/>
  <c r="BS62" i="106"/>
  <c r="O63" i="106"/>
  <c r="P63" i="106"/>
  <c r="Q63" i="106"/>
  <c r="S63" i="106"/>
  <c r="T63" i="106"/>
  <c r="AC63" i="106"/>
  <c r="AQ63" i="106"/>
  <c r="AV63" i="106"/>
  <c r="BS63" i="106" s="1"/>
  <c r="BC63" i="106"/>
  <c r="BH63" i="106"/>
  <c r="BL63" i="106"/>
  <c r="AC66" i="106"/>
  <c r="AK66" i="106"/>
  <c r="AN66" i="106"/>
  <c r="AS66" i="106"/>
  <c r="AW66" i="106"/>
  <c r="AZ66" i="106"/>
  <c r="BE66" i="106"/>
  <c r="BI66" i="106"/>
  <c r="BJ66" i="106"/>
  <c r="BK66" i="106"/>
  <c r="BM66" i="106"/>
  <c r="BN66" i="106"/>
  <c r="BR66" i="106"/>
  <c r="BS66" i="106"/>
  <c r="AC67" i="106"/>
  <c r="AK67" i="106"/>
  <c r="AN67" i="106"/>
  <c r="AS67" i="106"/>
  <c r="AW67" i="106"/>
  <c r="AZ67" i="106"/>
  <c r="BE67" i="106"/>
  <c r="BI67" i="106"/>
  <c r="BJ67" i="106"/>
  <c r="BL67" i="106" s="1"/>
  <c r="BK67" i="106"/>
  <c r="BM67" i="106"/>
  <c r="BN67" i="106"/>
  <c r="BR67" i="106"/>
  <c r="BS67" i="106"/>
  <c r="AA68" i="106"/>
  <c r="AB68" i="106"/>
  <c r="AD68" i="106"/>
  <c r="AO68" i="106"/>
  <c r="AP68" i="106"/>
  <c r="AT68" i="106"/>
  <c r="AU68" i="106"/>
  <c r="AV68" i="106"/>
  <c r="BA68" i="106"/>
  <c r="BB68" i="106"/>
  <c r="BF68" i="106"/>
  <c r="BG68" i="106"/>
  <c r="BH68" i="106"/>
  <c r="AC71" i="106"/>
  <c r="AH71" i="106"/>
  <c r="AK71" i="106"/>
  <c r="AN71" i="106"/>
  <c r="AS71" i="106"/>
  <c r="AW71" i="106"/>
  <c r="AZ71" i="106"/>
  <c r="BE71" i="106"/>
  <c r="BI71" i="106"/>
  <c r="BL71" i="106"/>
  <c r="BM71" i="106"/>
  <c r="BN71" i="106"/>
  <c r="BR71" i="106"/>
  <c r="BT71" i="106"/>
  <c r="AC72" i="106"/>
  <c r="AH72" i="106"/>
  <c r="AK72" i="106"/>
  <c r="AN72" i="106"/>
  <c r="AS72" i="106"/>
  <c r="AW72" i="106"/>
  <c r="AZ72" i="106"/>
  <c r="BE72" i="106"/>
  <c r="BI72" i="106"/>
  <c r="BJ72" i="106"/>
  <c r="BK72" i="106"/>
  <c r="BK74" i="106" s="1"/>
  <c r="BM72" i="106"/>
  <c r="BN72" i="106"/>
  <c r="BR72" i="106"/>
  <c r="BT72" i="106" s="1"/>
  <c r="AC73" i="106"/>
  <c r="AH73" i="106"/>
  <c r="AK73" i="106"/>
  <c r="AN73" i="106"/>
  <c r="AS73" i="106"/>
  <c r="AW73" i="106"/>
  <c r="AZ73" i="106"/>
  <c r="BE73" i="106"/>
  <c r="BI73" i="106"/>
  <c r="BL73" i="106"/>
  <c r="BM73" i="106"/>
  <c r="BN73" i="106"/>
  <c r="BR73" i="106"/>
  <c r="BT73" i="106" s="1"/>
  <c r="Z74" i="106"/>
  <c r="AA74" i="106" s="1"/>
  <c r="AB74" i="106"/>
  <c r="AD74" i="106"/>
  <c r="AH74" i="106" s="1"/>
  <c r="AL74" i="106"/>
  <c r="AM74" i="106"/>
  <c r="AO74" i="106"/>
  <c r="AQ74" i="106"/>
  <c r="AU74" i="106"/>
  <c r="AV74" i="106"/>
  <c r="AX74" i="106"/>
  <c r="AY74" i="106"/>
  <c r="BA74" i="106"/>
  <c r="BC74" i="106"/>
  <c r="BG74" i="106"/>
  <c r="BH74" i="106"/>
  <c r="BS74" i="106"/>
  <c r="AC76" i="106"/>
  <c r="AH76" i="106"/>
  <c r="AK76" i="106"/>
  <c r="AN76" i="106"/>
  <c r="AS76" i="106"/>
  <c r="AW76" i="106"/>
  <c r="AZ76" i="106"/>
  <c r="BE76" i="106"/>
  <c r="BM76" i="106"/>
  <c r="BN76" i="106"/>
  <c r="AC77" i="106"/>
  <c r="AH77" i="106"/>
  <c r="AJ77" i="106"/>
  <c r="AN77" i="106"/>
  <c r="AS77" i="106"/>
  <c r="AW77" i="106"/>
  <c r="AZ77" i="106"/>
  <c r="BE77" i="106"/>
  <c r="BI77" i="106"/>
  <c r="BM77" i="106"/>
  <c r="BN77" i="106"/>
  <c r="BN78" i="106" s="1"/>
  <c r="BR77" i="106"/>
  <c r="Z78" i="106"/>
  <c r="AD78" i="106"/>
  <c r="AG78" i="106"/>
  <c r="AH78" i="106" s="1"/>
  <c r="AI78" i="106"/>
  <c r="AL78" i="106"/>
  <c r="AM78" i="106"/>
  <c r="AO78" i="106"/>
  <c r="AS78" i="106" s="1"/>
  <c r="AQ78" i="106"/>
  <c r="AU78" i="106"/>
  <c r="AV78" i="106"/>
  <c r="AX78" i="106"/>
  <c r="AY78" i="106"/>
  <c r="BA78" i="106"/>
  <c r="BE78" i="106" s="1"/>
  <c r="BC78" i="106"/>
  <c r="BG78" i="106"/>
  <c r="AH82" i="106"/>
  <c r="AK82" i="106"/>
  <c r="AS82" i="106"/>
  <c r="AW82" i="106"/>
  <c r="BE82" i="106"/>
  <c r="BI82" i="106"/>
  <c r="BM82" i="106"/>
  <c r="BN82" i="106"/>
  <c r="BR82" i="106"/>
  <c r="BS82" i="106"/>
  <c r="AH84" i="106"/>
  <c r="AK84" i="106"/>
  <c r="AS84" i="106"/>
  <c r="AW84" i="106"/>
  <c r="BE84" i="106"/>
  <c r="BI84" i="106"/>
  <c r="BN84" i="106"/>
  <c r="BT84" i="106"/>
  <c r="AH86" i="106"/>
  <c r="AS86" i="106"/>
  <c r="AW86" i="106"/>
  <c r="BE86" i="106"/>
  <c r="BI86" i="106"/>
  <c r="BM86" i="106"/>
  <c r="BN86" i="106"/>
  <c r="BR86" i="106"/>
  <c r="AH87" i="106"/>
  <c r="AK87" i="106"/>
  <c r="AS87" i="106"/>
  <c r="AW87" i="106"/>
  <c r="BH87" i="106"/>
  <c r="BI87" i="106" s="1"/>
  <c r="BM87" i="106"/>
  <c r="BR87" i="106"/>
  <c r="BS88" i="106"/>
  <c r="AD88" i="106"/>
  <c r="BM88" i="106" s="1"/>
  <c r="AS88" i="106"/>
  <c r="BE88" i="106"/>
  <c r="AS90" i="106"/>
  <c r="AW90" i="106"/>
  <c r="BE90" i="106"/>
  <c r="BI90" i="106"/>
  <c r="BR90" i="106"/>
  <c r="AS91" i="106"/>
  <c r="AW91" i="106"/>
  <c r="BE91" i="106"/>
  <c r="BI91" i="106"/>
  <c r="BR91" i="106"/>
  <c r="AH92" i="106"/>
  <c r="AK92" i="106"/>
  <c r="AS92" i="106"/>
  <c r="AW92" i="106"/>
  <c r="BE92" i="106"/>
  <c r="BI92" i="106"/>
  <c r="BM92" i="106"/>
  <c r="BP92" i="106" s="1"/>
  <c r="BN92" i="106"/>
  <c r="BS92" i="106"/>
  <c r="AH93" i="106"/>
  <c r="AS93" i="106"/>
  <c r="AW93" i="106"/>
  <c r="BE93" i="106"/>
  <c r="BI93" i="106"/>
  <c r="BM93" i="106"/>
  <c r="BN93" i="106"/>
  <c r="BR93" i="106"/>
  <c r="BS93" i="106"/>
  <c r="AD94" i="106"/>
  <c r="AH94" i="106" s="1"/>
  <c r="AI94" i="106"/>
  <c r="AJ94" i="106"/>
  <c r="AL94" i="106"/>
  <c r="AM94" i="106"/>
  <c r="AO94" i="106"/>
  <c r="AQ94" i="106"/>
  <c r="AU94" i="106"/>
  <c r="AV94" i="106"/>
  <c r="AX94" i="106"/>
  <c r="AY94" i="106"/>
  <c r="BA94" i="106"/>
  <c r="BC94" i="106"/>
  <c r="BG94" i="106"/>
  <c r="BH94" i="106"/>
  <c r="AS96" i="106"/>
  <c r="AW96" i="106"/>
  <c r="BE96" i="106"/>
  <c r="BI96" i="106"/>
  <c r="AC98" i="106"/>
  <c r="AH98" i="106"/>
  <c r="AN98" i="106"/>
  <c r="AS98" i="106"/>
  <c r="AW98" i="106"/>
  <c r="AZ98" i="106"/>
  <c r="BE98" i="106"/>
  <c r="BI98" i="106"/>
  <c r="BM98" i="106"/>
  <c r="BJ98" i="106" s="1"/>
  <c r="BK98" i="106" s="1"/>
  <c r="BN98" i="106"/>
  <c r="BQ98" i="106" s="1"/>
  <c r="BR98" i="106"/>
  <c r="BS98" i="106"/>
  <c r="AC99" i="106"/>
  <c r="AH99" i="106"/>
  <c r="AN99" i="106"/>
  <c r="AS99" i="106"/>
  <c r="AW99" i="106"/>
  <c r="AZ99" i="106"/>
  <c r="BE99" i="106"/>
  <c r="BI99" i="106"/>
  <c r="BM99" i="106"/>
  <c r="BJ99" i="106" s="1"/>
  <c r="BK99" i="106" s="1"/>
  <c r="BN99" i="106"/>
  <c r="BR99" i="106"/>
  <c r="BS99" i="106"/>
  <c r="AC100" i="106"/>
  <c r="AH100" i="106"/>
  <c r="AN100" i="106"/>
  <c r="AS100" i="106"/>
  <c r="AW100" i="106"/>
  <c r="AZ100" i="106"/>
  <c r="BE100" i="106"/>
  <c r="BI100" i="106"/>
  <c r="BM100" i="106"/>
  <c r="BJ100" i="106" s="1"/>
  <c r="BK100" i="106" s="1"/>
  <c r="BN100" i="106"/>
  <c r="BQ100" i="106" s="1"/>
  <c r="BR100" i="106"/>
  <c r="BS100" i="106"/>
  <c r="AC101" i="106"/>
  <c r="AH101" i="106"/>
  <c r="AN101" i="106"/>
  <c r="AS101" i="106"/>
  <c r="AW101" i="106"/>
  <c r="AZ101" i="106"/>
  <c r="BE101" i="106"/>
  <c r="BI101" i="106"/>
  <c r="BM101" i="106"/>
  <c r="BN101" i="106"/>
  <c r="BR101" i="106"/>
  <c r="BS101" i="106"/>
  <c r="Z102" i="106"/>
  <c r="AA102" i="106"/>
  <c r="AB102" i="106"/>
  <c r="AD102" i="106"/>
  <c r="AF102" i="106"/>
  <c r="AI102" i="106"/>
  <c r="AJ102" i="106"/>
  <c r="AK102" i="106"/>
  <c r="AL102" i="106"/>
  <c r="AM102" i="106"/>
  <c r="AO102" i="106"/>
  <c r="AQ102" i="106"/>
  <c r="AU102" i="106"/>
  <c r="AV102" i="106"/>
  <c r="AX102" i="106"/>
  <c r="AY102" i="106"/>
  <c r="BA102" i="106"/>
  <c r="BC102" i="106"/>
  <c r="BG102" i="106"/>
  <c r="BH102" i="106"/>
  <c r="BJ39" i="106" l="1"/>
  <c r="BK39" i="106"/>
  <c r="AV15" i="106"/>
  <c r="AS15" i="106"/>
  <c r="AW13" i="106"/>
  <c r="AW12" i="106"/>
  <c r="BE12" i="106"/>
  <c r="AW60" i="106"/>
  <c r="AU63" i="106"/>
  <c r="AH50" i="106"/>
  <c r="H31" i="106"/>
  <c r="H53" i="106" s="1"/>
  <c r="H64" i="106" s="1"/>
  <c r="BQ54" i="106"/>
  <c r="BT46" i="106"/>
  <c r="BL43" i="106"/>
  <c r="V42" i="106"/>
  <c r="AO31" i="106"/>
  <c r="AO53" i="106" s="1"/>
  <c r="AO64" i="106" s="1"/>
  <c r="BE94" i="106"/>
  <c r="AZ78" i="106"/>
  <c r="BH76" i="106"/>
  <c r="BH78" i="106" s="1"/>
  <c r="BI78" i="106" s="1"/>
  <c r="AC68" i="106"/>
  <c r="BT62" i="106"/>
  <c r="AC50" i="106"/>
  <c r="AC51" i="106" s="1"/>
  <c r="BT47" i="106"/>
  <c r="AZ102" i="106"/>
  <c r="AS102" i="106"/>
  <c r="BT98" i="106"/>
  <c r="AQ51" i="106"/>
  <c r="BL40" i="106"/>
  <c r="BT54" i="106"/>
  <c r="S51" i="106"/>
  <c r="BO76" i="106"/>
  <c r="AN60" i="106"/>
  <c r="AN63" i="106" s="1"/>
  <c r="AP63" i="106" s="1"/>
  <c r="BN63" i="106" s="1"/>
  <c r="AH60" i="106"/>
  <c r="AH63" i="106" s="1"/>
  <c r="BT59" i="106"/>
  <c r="G60" i="106"/>
  <c r="BA51" i="106"/>
  <c r="P51" i="106"/>
  <c r="AR27" i="106"/>
  <c r="AR31" i="106" s="1"/>
  <c r="AR53" i="106" s="1"/>
  <c r="AN27" i="106"/>
  <c r="BR88" i="106"/>
  <c r="BT88" i="106" s="1"/>
  <c r="BQ40" i="106"/>
  <c r="BE42" i="106"/>
  <c r="AU31" i="106"/>
  <c r="AU53" i="106" s="1"/>
  <c r="AU64" i="106" s="1"/>
  <c r="AN102" i="106"/>
  <c r="BO98" i="106"/>
  <c r="BT82" i="106"/>
  <c r="BB50" i="106"/>
  <c r="BB51" i="106" s="1"/>
  <c r="BT44" i="106"/>
  <c r="BJ42" i="106"/>
  <c r="BK42" i="106" s="1"/>
  <c r="BL42" i="106" s="1"/>
  <c r="BJ36" i="106"/>
  <c r="BL36" i="106" s="1"/>
  <c r="BJ35" i="106"/>
  <c r="BS27" i="106"/>
  <c r="BT22" i="106"/>
  <c r="AS19" i="106"/>
  <c r="AS27" i="106" s="1"/>
  <c r="AT31" i="106"/>
  <c r="AT53" i="106" s="1"/>
  <c r="BR78" i="106"/>
  <c r="AX50" i="106"/>
  <c r="AX53" i="106" s="1"/>
  <c r="BT48" i="106"/>
  <c r="AM31" i="106"/>
  <c r="AS74" i="106"/>
  <c r="BK68" i="106"/>
  <c r="AK68" i="106"/>
  <c r="R48" i="106"/>
  <c r="V48" i="106" s="1"/>
  <c r="AK37" i="106"/>
  <c r="AI51" i="106"/>
  <c r="BJ34" i="106"/>
  <c r="AK34" i="106"/>
  <c r="U50" i="106"/>
  <c r="U51" i="106" s="1"/>
  <c r="V60" i="106"/>
  <c r="V63" i="106" s="1"/>
  <c r="AW50" i="106"/>
  <c r="AK27" i="106"/>
  <c r="BO101" i="106"/>
  <c r="BP101" i="106" s="1"/>
  <c r="BT86" i="106"/>
  <c r="BQ72" i="106"/>
  <c r="AC74" i="106"/>
  <c r="BM74" i="106"/>
  <c r="BQ67" i="106"/>
  <c r="BI60" i="106"/>
  <c r="R60" i="106"/>
  <c r="R63" i="106" s="1"/>
  <c r="BQ47" i="106"/>
  <c r="BT45" i="106"/>
  <c r="BQ41" i="106"/>
  <c r="Z34" i="106"/>
  <c r="AG31" i="106"/>
  <c r="BE63" i="106"/>
  <c r="BF63" i="106" s="1"/>
  <c r="BQ58" i="106"/>
  <c r="BQ55" i="106"/>
  <c r="BQ44" i="106"/>
  <c r="BO36" i="106"/>
  <c r="BP36" i="106" s="1"/>
  <c r="O34" i="106"/>
  <c r="N27" i="106"/>
  <c r="BL20" i="106"/>
  <c r="BL27" i="106" s="1"/>
  <c r="AB31" i="106"/>
  <c r="BO82" i="106"/>
  <c r="BP82" i="106" s="1"/>
  <c r="BE74" i="106"/>
  <c r="AN74" i="106"/>
  <c r="BC68" i="106"/>
  <c r="BE68" i="106" s="1"/>
  <c r="BH50" i="106"/>
  <c r="BH51" i="106" s="1"/>
  <c r="AD51" i="106"/>
  <c r="F51" i="106"/>
  <c r="R49" i="106"/>
  <c r="BE45" i="106"/>
  <c r="AK45" i="106"/>
  <c r="BL44" i="106"/>
  <c r="BC50" i="106"/>
  <c r="BC51" i="106" s="1"/>
  <c r="BQ36" i="106"/>
  <c r="AP51" i="106"/>
  <c r="BT33" i="106"/>
  <c r="AQ31" i="106"/>
  <c r="AQ53" i="106" s="1"/>
  <c r="AQ64" i="106" s="1"/>
  <c r="AN30" i="106"/>
  <c r="BT24" i="106"/>
  <c r="BO27" i="106"/>
  <c r="AJ15" i="106"/>
  <c r="AJ31" i="106" s="1"/>
  <c r="BO99" i="106"/>
  <c r="BP99" i="106" s="1"/>
  <c r="BS68" i="106"/>
  <c r="AX63" i="106"/>
  <c r="AZ60" i="106"/>
  <c r="AZ63" i="106" s="1"/>
  <c r="BB63" i="106" s="1"/>
  <c r="AK57" i="106"/>
  <c r="BR57" i="106"/>
  <c r="BT57" i="106" s="1"/>
  <c r="H51" i="106"/>
  <c r="J50" i="106"/>
  <c r="BS30" i="106"/>
  <c r="BT28" i="106"/>
  <c r="BT30" i="106" s="1"/>
  <c r="BS17" i="106"/>
  <c r="AK17" i="106"/>
  <c r="BO72" i="106"/>
  <c r="BP72" i="106" s="1"/>
  <c r="BT67" i="106"/>
  <c r="AS63" i="106"/>
  <c r="AT63" i="106" s="1"/>
  <c r="L51" i="106"/>
  <c r="L53" i="106"/>
  <c r="BC53" i="106"/>
  <c r="BC64" i="106" s="1"/>
  <c r="BM102" i="106"/>
  <c r="BE102" i="106"/>
  <c r="BJ101" i="106"/>
  <c r="BK101" i="106" s="1"/>
  <c r="BK102" i="106" s="1"/>
  <c r="BG63" i="106"/>
  <c r="BI63" i="106" s="1"/>
  <c r="BR55" i="106"/>
  <c r="BT55" i="106" s="1"/>
  <c r="AK55" i="106"/>
  <c r="AS50" i="106"/>
  <c r="BO45" i="106"/>
  <c r="BP45" i="106" s="1"/>
  <c r="BQ38" i="106"/>
  <c r="BO38" i="106"/>
  <c r="BP38" i="106" s="1"/>
  <c r="BQ24" i="106"/>
  <c r="BL14" i="106"/>
  <c r="AI12" i="106"/>
  <c r="AK12" i="106" s="1"/>
  <c r="AW102" i="106"/>
  <c r="AN78" i="106"/>
  <c r="BI74" i="106"/>
  <c r="BT66" i="106"/>
  <c r="BM68" i="106"/>
  <c r="BS60" i="106"/>
  <c r="AK47" i="106"/>
  <c r="BS38" i="106"/>
  <c r="BT38" i="106" s="1"/>
  <c r="AK38" i="106"/>
  <c r="S22" i="106"/>
  <c r="S27" i="106" s="1"/>
  <c r="S31" i="106" s="1"/>
  <c r="S53" i="106" s="1"/>
  <c r="S64" i="106" s="1"/>
  <c r="Q22" i="106"/>
  <c r="Q27" i="106" s="1"/>
  <c r="Q31" i="106" s="1"/>
  <c r="Q53" i="106" s="1"/>
  <c r="Q64" i="106" s="1"/>
  <c r="O27" i="106"/>
  <c r="BJ27" i="106"/>
  <c r="AH27" i="106"/>
  <c r="BO16" i="106"/>
  <c r="BP16" i="106" s="1"/>
  <c r="BM63" i="106"/>
  <c r="BQ57" i="106"/>
  <c r="AM51" i="106"/>
  <c r="BL47" i="106"/>
  <c r="BT43" i="106"/>
  <c r="BT37" i="106"/>
  <c r="T51" i="106"/>
  <c r="BI34" i="106"/>
  <c r="N34" i="106"/>
  <c r="BA53" i="106"/>
  <c r="BA64" i="106" s="1"/>
  <c r="BN27" i="106"/>
  <c r="BO15" i="106"/>
  <c r="AD12" i="106"/>
  <c r="AE15" i="106"/>
  <c r="AE31" i="106" s="1"/>
  <c r="AE53" i="106" s="1"/>
  <c r="BK15" i="106"/>
  <c r="BK31" i="106" s="1"/>
  <c r="BI102" i="106"/>
  <c r="BS102" i="106"/>
  <c r="BR94" i="106"/>
  <c r="BT92" i="106"/>
  <c r="AQ68" i="106"/>
  <c r="AS68" i="106" s="1"/>
  <c r="BR68" i="106"/>
  <c r="BQ59" i="106"/>
  <c r="BG51" i="106"/>
  <c r="AY53" i="106"/>
  <c r="AY64" i="106" s="1"/>
  <c r="AY51" i="106"/>
  <c r="AU51" i="106"/>
  <c r="AW51" i="106" s="1"/>
  <c r="N50" i="106"/>
  <c r="AH43" i="106"/>
  <c r="BN50" i="106"/>
  <c r="BN51" i="106" s="1"/>
  <c r="BT35" i="106"/>
  <c r="AS34" i="106"/>
  <c r="K53" i="106"/>
  <c r="K64" i="106" s="1"/>
  <c r="BF31" i="106"/>
  <c r="BF53" i="106" s="1"/>
  <c r="BQ16" i="106"/>
  <c r="AF53" i="106"/>
  <c r="AF64" i="106" s="1"/>
  <c r="T31" i="106"/>
  <c r="T53" i="106" s="1"/>
  <c r="T64" i="106" s="1"/>
  <c r="BL11" i="106"/>
  <c r="BQ101" i="106"/>
  <c r="BQ99" i="106"/>
  <c r="AS94" i="106"/>
  <c r="BN94" i="106"/>
  <c r="BT87" i="106"/>
  <c r="AH88" i="106"/>
  <c r="BT76" i="106"/>
  <c r="BL72" i="106"/>
  <c r="BL74" i="106" s="1"/>
  <c r="BI68" i="106"/>
  <c r="BN68" i="106"/>
  <c r="BT61" i="106"/>
  <c r="BT56" i="106"/>
  <c r="BQ45" i="106"/>
  <c r="O50" i="106"/>
  <c r="Q51" i="106"/>
  <c r="AP31" i="106"/>
  <c r="BP27" i="106"/>
  <c r="BQ21" i="106"/>
  <c r="BM27" i="106"/>
  <c r="M15" i="106"/>
  <c r="Z50" i="106"/>
  <c r="BP93" i="106"/>
  <c r="BQ93" i="106"/>
  <c r="BM94" i="106"/>
  <c r="BN88" i="106"/>
  <c r="BQ86" i="106"/>
  <c r="AK77" i="106"/>
  <c r="BS77" i="106"/>
  <c r="BT77" i="106" s="1"/>
  <c r="AJ78" i="106"/>
  <c r="AK78" i="106" s="1"/>
  <c r="BQ71" i="106"/>
  <c r="BO71" i="106"/>
  <c r="BJ37" i="106"/>
  <c r="BL37" i="106" s="1"/>
  <c r="BO37" i="106"/>
  <c r="BP37" i="106" s="1"/>
  <c r="BQ37" i="106"/>
  <c r="AK13" i="106"/>
  <c r="AZ15" i="106"/>
  <c r="BR102" i="106"/>
  <c r="BT99" i="106"/>
  <c r="BL98" i="106"/>
  <c r="AC102" i="106"/>
  <c r="BI94" i="106"/>
  <c r="BO77" i="106"/>
  <c r="BO78" i="106" s="1"/>
  <c r="BM78" i="106"/>
  <c r="BR74" i="106"/>
  <c r="BT74" i="106" s="1"/>
  <c r="BJ74" i="106"/>
  <c r="AZ74" i="106"/>
  <c r="BN60" i="106"/>
  <c r="BR50" i="106"/>
  <c r="BQ46" i="106"/>
  <c r="BM50" i="106"/>
  <c r="BQ35" i="106"/>
  <c r="AW11" i="106"/>
  <c r="AV31" i="106"/>
  <c r="AV53" i="106" s="1"/>
  <c r="AV64" i="106" s="1"/>
  <c r="AH102" i="106"/>
  <c r="BT100" i="106"/>
  <c r="BL99" i="106"/>
  <c r="BO88" i="106"/>
  <c r="BQ82" i="106"/>
  <c r="BQ77" i="106"/>
  <c r="BO73" i="106"/>
  <c r="BP73" i="106" s="1"/>
  <c r="BQ73" i="106"/>
  <c r="AW68" i="106"/>
  <c r="BJ68" i="106"/>
  <c r="BL66" i="106"/>
  <c r="AW63" i="106"/>
  <c r="AI60" i="106"/>
  <c r="BM60" i="106"/>
  <c r="BT42" i="106"/>
  <c r="G34" i="106"/>
  <c r="E51" i="106"/>
  <c r="BT32" i="106"/>
  <c r="BR34" i="106"/>
  <c r="BK34" i="106"/>
  <c r="AH51" i="106"/>
  <c r="E53" i="106"/>
  <c r="E64" i="106" s="1"/>
  <c r="BN102" i="106"/>
  <c r="BT101" i="106"/>
  <c r="BO100" i="106"/>
  <c r="BP100" i="106" s="1"/>
  <c r="BL100" i="106"/>
  <c r="BP98" i="106"/>
  <c r="AW94" i="106"/>
  <c r="BS94" i="106"/>
  <c r="BE87" i="106"/>
  <c r="BO86" i="106"/>
  <c r="BP86" i="106" s="1"/>
  <c r="BN74" i="106"/>
  <c r="AM53" i="106"/>
  <c r="AM64" i="106" s="1"/>
  <c r="BQ42" i="106"/>
  <c r="BO42" i="106"/>
  <c r="BP42" i="106" s="1"/>
  <c r="AO51" i="106"/>
  <c r="I51" i="106"/>
  <c r="AJ50" i="106"/>
  <c r="AJ51" i="106" s="1"/>
  <c r="AB51" i="106"/>
  <c r="AB53" i="106"/>
  <c r="BQ33" i="106"/>
  <c r="BO34" i="106"/>
  <c r="BR27" i="106"/>
  <c r="BO17" i="106"/>
  <c r="BP17" i="106" s="1"/>
  <c r="V12" i="106"/>
  <c r="BL10" i="106"/>
  <c r="BO66" i="106"/>
  <c r="BT58" i="106"/>
  <c r="BQ56" i="106"/>
  <c r="AP53" i="106"/>
  <c r="AN50" i="106"/>
  <c r="AN51" i="106" s="1"/>
  <c r="AL51" i="106"/>
  <c r="BL39" i="106"/>
  <c r="BS36" i="106"/>
  <c r="BI50" i="106"/>
  <c r="AL31" i="106"/>
  <c r="BO28" i="106"/>
  <c r="BP28" i="106" s="1"/>
  <c r="BP30" i="106" s="1"/>
  <c r="BM30" i="106"/>
  <c r="BQ28" i="106"/>
  <c r="BQ30" i="106" s="1"/>
  <c r="BN15" i="106"/>
  <c r="AW74" i="106"/>
  <c r="BO67" i="106"/>
  <c r="BP67" i="106" s="1"/>
  <c r="BQ66" i="106"/>
  <c r="BK60" i="106"/>
  <c r="BK63" i="106" s="1"/>
  <c r="AA54" i="106"/>
  <c r="Z60" i="106"/>
  <c r="Z63" i="106" s="1"/>
  <c r="G50" i="106"/>
  <c r="BT49" i="106"/>
  <c r="BS34" i="106"/>
  <c r="BQ32" i="106"/>
  <c r="BQ34" i="106" s="1"/>
  <c r="M31" i="106"/>
  <c r="AW27" i="106"/>
  <c r="P22" i="106"/>
  <c r="P27" i="106" s="1"/>
  <c r="P31" i="106" s="1"/>
  <c r="P53" i="106" s="1"/>
  <c r="P64" i="106" s="1"/>
  <c r="U22" i="106"/>
  <c r="R22" i="106"/>
  <c r="R27" i="106" s="1"/>
  <c r="BT17" i="106"/>
  <c r="AK16" i="106"/>
  <c r="BS16" i="106"/>
  <c r="BT16" i="106" s="1"/>
  <c r="BH31" i="106"/>
  <c r="O12" i="106"/>
  <c r="G12" i="106"/>
  <c r="AK11" i="106"/>
  <c r="AZ30" i="106"/>
  <c r="BG31" i="106"/>
  <c r="BG53" i="106" s="1"/>
  <c r="J15" i="106"/>
  <c r="I31" i="106"/>
  <c r="AW15" i="106" l="1"/>
  <c r="AW31" i="106" s="1"/>
  <c r="AW53" i="106" s="1"/>
  <c r="BQ88" i="106"/>
  <c r="BQ87" i="106"/>
  <c r="O51" i="106"/>
  <c r="BE31" i="106"/>
  <c r="BD31" i="106"/>
  <c r="AX51" i="106"/>
  <c r="BL68" i="106"/>
  <c r="BB53" i="106"/>
  <c r="BB64" i="106" s="1"/>
  <c r="BI53" i="106"/>
  <c r="BI64" i="106" s="1"/>
  <c r="BI76" i="106"/>
  <c r="BT27" i="106"/>
  <c r="AX64" i="106"/>
  <c r="BQ63" i="106"/>
  <c r="BN31" i="106"/>
  <c r="BN53" i="106" s="1"/>
  <c r="BN64" i="106" s="1"/>
  <c r="AZ50" i="106"/>
  <c r="AZ51" i="106" s="1"/>
  <c r="AZ53" i="106" s="1"/>
  <c r="AZ64" i="106" s="1"/>
  <c r="BH53" i="106"/>
  <c r="BH64" i="106" s="1"/>
  <c r="Z51" i="106"/>
  <c r="N31" i="106"/>
  <c r="N53" i="106" s="1"/>
  <c r="N64" i="106" s="1"/>
  <c r="BF64" i="106"/>
  <c r="BE50" i="106"/>
  <c r="BE51" i="106" s="1"/>
  <c r="G51" i="106"/>
  <c r="BO31" i="106"/>
  <c r="AP64" i="106"/>
  <c r="BQ27" i="106"/>
  <c r="BT68" i="106"/>
  <c r="BP31" i="106"/>
  <c r="BR60" i="106"/>
  <c r="BT60" i="106" s="1"/>
  <c r="AT64" i="106"/>
  <c r="R50" i="106"/>
  <c r="R51" i="106" s="1"/>
  <c r="BQ60" i="106"/>
  <c r="BQ74" i="106"/>
  <c r="BJ102" i="106"/>
  <c r="BK50" i="106"/>
  <c r="BK53" i="106" s="1"/>
  <c r="BK64" i="106" s="1"/>
  <c r="M53" i="106"/>
  <c r="V49" i="106"/>
  <c r="V50" i="106" s="1"/>
  <c r="V51" i="106" s="1"/>
  <c r="BI51" i="106"/>
  <c r="AJ53" i="106"/>
  <c r="AJ64" i="106" s="1"/>
  <c r="AS64" i="106"/>
  <c r="BT102" i="106"/>
  <c r="BQ68" i="106"/>
  <c r="AS51" i="106"/>
  <c r="BQ50" i="106"/>
  <c r="BQ51" i="106" s="1"/>
  <c r="BG64" i="106"/>
  <c r="BO50" i="106"/>
  <c r="BO51" i="106" s="1"/>
  <c r="AK50" i="106"/>
  <c r="AK51" i="106" s="1"/>
  <c r="BQ102" i="106"/>
  <c r="BJ50" i="106"/>
  <c r="BJ51" i="106" s="1"/>
  <c r="AI15" i="106"/>
  <c r="AI31" i="106" s="1"/>
  <c r="AI53" i="106" s="1"/>
  <c r="L64" i="106"/>
  <c r="M64" i="106" s="1"/>
  <c r="BQ43" i="106"/>
  <c r="BR31" i="106"/>
  <c r="BR53" i="106" s="1"/>
  <c r="J51" i="106"/>
  <c r="AS31" i="106"/>
  <c r="BS31" i="106"/>
  <c r="BP50" i="106"/>
  <c r="BP51" i="106" s="1"/>
  <c r="BQ94" i="106"/>
  <c r="N51" i="106"/>
  <c r="BM15" i="106"/>
  <c r="BM31" i="106" s="1"/>
  <c r="BM53" i="106" s="1"/>
  <c r="BM64" i="106" s="1"/>
  <c r="AH12" i="106"/>
  <c r="AD15" i="106"/>
  <c r="AD31" i="106" s="1"/>
  <c r="AD53" i="106" s="1"/>
  <c r="AD64" i="106" s="1"/>
  <c r="BE64" i="106"/>
  <c r="AA12" i="106"/>
  <c r="BT36" i="106"/>
  <c r="BS50" i="106"/>
  <c r="BS51" i="106" s="1"/>
  <c r="AB103" i="106"/>
  <c r="AB64" i="106"/>
  <c r="BT34" i="106"/>
  <c r="BO102" i="106"/>
  <c r="U27" i="106"/>
  <c r="U31" i="106" s="1"/>
  <c r="U53" i="106" s="1"/>
  <c r="U64" i="106" s="1"/>
  <c r="V22" i="106"/>
  <c r="V27" i="106" s="1"/>
  <c r="AN31" i="106"/>
  <c r="AN53" i="106" s="1"/>
  <c r="AN64" i="106" s="1"/>
  <c r="AL53" i="106"/>
  <c r="AL64" i="106" s="1"/>
  <c r="BL34" i="106"/>
  <c r="BP77" i="106"/>
  <c r="BP78" i="106" s="1"/>
  <c r="BQ78" i="106" s="1"/>
  <c r="BP102" i="106"/>
  <c r="BL101" i="106"/>
  <c r="BL102" i="106" s="1"/>
  <c r="J31" i="106"/>
  <c r="I53" i="106"/>
  <c r="O31" i="106"/>
  <c r="O53" i="106" s="1"/>
  <c r="O64" i="106" s="1"/>
  <c r="G15" i="106"/>
  <c r="F31" i="106"/>
  <c r="AA60" i="106"/>
  <c r="AA63" i="106" s="1"/>
  <c r="BJ54" i="106"/>
  <c r="BJ60" i="106" s="1"/>
  <c r="BO68" i="106"/>
  <c r="BP66" i="106"/>
  <c r="BP68" i="106" s="1"/>
  <c r="R31" i="106"/>
  <c r="BM51" i="106"/>
  <c r="BS78" i="106"/>
  <c r="BT78" i="106" s="1"/>
  <c r="BR51" i="106"/>
  <c r="AK60" i="106"/>
  <c r="AI63" i="106"/>
  <c r="BO74" i="106"/>
  <c r="BP71" i="106"/>
  <c r="BP74" i="106" s="1"/>
  <c r="AW64" i="106" l="1"/>
  <c r="V31" i="106"/>
  <c r="Z53" i="106"/>
  <c r="Z103" i="106" s="1"/>
  <c r="BL50" i="106"/>
  <c r="BK51" i="106"/>
  <c r="BL51" i="106" s="1"/>
  <c r="V53" i="106"/>
  <c r="V64" i="106" s="1"/>
  <c r="BQ64" i="106"/>
  <c r="BO53" i="106"/>
  <c r="R53" i="106"/>
  <c r="R64" i="106" s="1"/>
  <c r="BE53" i="106"/>
  <c r="BK103" i="106"/>
  <c r="AK15" i="106"/>
  <c r="AK31" i="106" s="1"/>
  <c r="AK53" i="106" s="1"/>
  <c r="BQ31" i="106"/>
  <c r="BQ53" i="106" s="1"/>
  <c r="AH15" i="106"/>
  <c r="AH31" i="106" s="1"/>
  <c r="AH53" i="106" s="1"/>
  <c r="AH64" i="106" s="1"/>
  <c r="BP53" i="106"/>
  <c r="BR63" i="106"/>
  <c r="AK63" i="106"/>
  <c r="G31" i="106"/>
  <c r="F53" i="106"/>
  <c r="AC12" i="106"/>
  <c r="AA15" i="106"/>
  <c r="AA31" i="106" s="1"/>
  <c r="AI64" i="106"/>
  <c r="BJ63" i="106"/>
  <c r="BL60" i="106"/>
  <c r="BT50" i="106"/>
  <c r="BS53" i="106"/>
  <c r="BS64" i="106" s="1"/>
  <c r="J53" i="106"/>
  <c r="I64" i="106"/>
  <c r="J64" i="106" s="1"/>
  <c r="Z64" i="106" l="1"/>
  <c r="AK64" i="106"/>
  <c r="BT31" i="106"/>
  <c r="BL12" i="106"/>
  <c r="BL31" i="106" s="1"/>
  <c r="BL53" i="106" s="1"/>
  <c r="BJ31" i="106"/>
  <c r="BJ53" i="106" s="1"/>
  <c r="BT63" i="106"/>
  <c r="BR64" i="106"/>
  <c r="BT51" i="106"/>
  <c r="F64" i="106"/>
  <c r="G64" i="106" s="1"/>
  <c r="G53" i="106"/>
  <c r="AC31" i="106"/>
  <c r="AC53" i="106" s="1"/>
  <c r="AA53" i="106"/>
  <c r="BJ64" i="106" l="1"/>
  <c r="BJ103" i="106"/>
  <c r="AA64" i="106"/>
  <c r="AA103" i="106"/>
  <c r="BL103" i="106"/>
  <c r="BL64" i="106"/>
  <c r="AC64" i="106"/>
  <c r="AC103" i="106"/>
  <c r="BT53" i="106"/>
  <c r="BT104" i="106" s="1"/>
  <c r="BT64" i="106" l="1"/>
  <c r="D9" i="11" l="1"/>
  <c r="G9" i="11"/>
  <c r="L9" i="11"/>
  <c r="N9" i="11"/>
  <c r="N12" i="11" s="1"/>
  <c r="R9" i="11"/>
  <c r="Z9" i="11" s="1"/>
  <c r="AH9" i="11" s="1"/>
  <c r="AP9" i="11" s="1"/>
  <c r="AX9" i="11" s="1"/>
  <c r="BF9" i="11" s="1"/>
  <c r="BN9" i="11" s="1"/>
  <c r="W9" i="11"/>
  <c r="AE9" i="11"/>
  <c r="AM9" i="11"/>
  <c r="AU9" i="11"/>
  <c r="BC9" i="11"/>
  <c r="BK9" i="11"/>
  <c r="BR9" i="11"/>
  <c r="BS9" i="11" s="1"/>
  <c r="BZ9" i="11"/>
  <c r="CH9" i="11"/>
  <c r="CI9" i="11" s="1"/>
  <c r="CP9" i="11"/>
  <c r="CQ9" i="11" s="1"/>
  <c r="CX9" i="11"/>
  <c r="CY9" i="11" s="1"/>
  <c r="DF9" i="11"/>
  <c r="DI9" i="11"/>
  <c r="DK9" i="11"/>
  <c r="DL9" i="11"/>
  <c r="DM9" i="11"/>
  <c r="DU9" i="11"/>
  <c r="DZ9" i="11"/>
  <c r="ED9" i="11"/>
  <c r="EE9" i="11"/>
  <c r="D10" i="11"/>
  <c r="G10" i="11"/>
  <c r="I10" i="11" s="1"/>
  <c r="J10" i="11"/>
  <c r="L10" i="11" s="1"/>
  <c r="N10" i="11"/>
  <c r="R10" i="11"/>
  <c r="Z10" i="11" s="1"/>
  <c r="T10" i="11"/>
  <c r="U10" i="11"/>
  <c r="DM10" i="11" s="1"/>
  <c r="AE10" i="11"/>
  <c r="AE12" i="11" s="1"/>
  <c r="AM10" i="11"/>
  <c r="AU10" i="11"/>
  <c r="BC10" i="11"/>
  <c r="BC12" i="11" s="1"/>
  <c r="BK10" i="11"/>
  <c r="BR10" i="11"/>
  <c r="BS10" i="11" s="1"/>
  <c r="BS12" i="11" s="1"/>
  <c r="BZ10" i="11"/>
  <c r="CA10" i="11" s="1"/>
  <c r="CH10" i="11"/>
  <c r="CI10" i="11" s="1"/>
  <c r="CP10" i="11"/>
  <c r="CQ10" i="11" s="1"/>
  <c r="CX10" i="11"/>
  <c r="CY10" i="11" s="1"/>
  <c r="DF10" i="11"/>
  <c r="DG10" i="11" s="1"/>
  <c r="DI10" i="11"/>
  <c r="DK10" i="11"/>
  <c r="DU10" i="11"/>
  <c r="DZ10" i="11"/>
  <c r="ED10" i="11"/>
  <c r="EE10" i="11"/>
  <c r="D11" i="11"/>
  <c r="G11" i="11"/>
  <c r="I11" i="11" s="1"/>
  <c r="J11" i="11"/>
  <c r="L11" i="11" s="1"/>
  <c r="N11" i="11"/>
  <c r="R11" i="11"/>
  <c r="Z11" i="11" s="1"/>
  <c r="AH11" i="11" s="1"/>
  <c r="AP11" i="11" s="1"/>
  <c r="AX11" i="11" s="1"/>
  <c r="BF11" i="11" s="1"/>
  <c r="BN11" i="11" s="1"/>
  <c r="BV11" i="11" s="1"/>
  <c r="CD11" i="11" s="1"/>
  <c r="CL11" i="11" s="1"/>
  <c r="CT11" i="11" s="1"/>
  <c r="DB11" i="11" s="1"/>
  <c r="T11" i="11"/>
  <c r="DL11" i="11" s="1"/>
  <c r="U11" i="11"/>
  <c r="DM11" i="11" s="1"/>
  <c r="AE11" i="11"/>
  <c r="AM11" i="11"/>
  <c r="AU11" i="11"/>
  <c r="BC11" i="11"/>
  <c r="BK11" i="11"/>
  <c r="BR11" i="11"/>
  <c r="BS11" i="11" s="1"/>
  <c r="BZ11" i="11"/>
  <c r="CA11" i="11" s="1"/>
  <c r="CH11" i="11"/>
  <c r="CI11" i="11" s="1"/>
  <c r="CP11" i="11"/>
  <c r="CQ11" i="11" s="1"/>
  <c r="CX11" i="11"/>
  <c r="CY11" i="11" s="1"/>
  <c r="DF11" i="11"/>
  <c r="DG11" i="11" s="1"/>
  <c r="DI11" i="11"/>
  <c r="DK11" i="11"/>
  <c r="DU11" i="11"/>
  <c r="DZ11" i="11"/>
  <c r="ED11" i="11"/>
  <c r="EE11" i="11"/>
  <c r="B12" i="11"/>
  <c r="C12" i="11"/>
  <c r="E12" i="11"/>
  <c r="DZ12" i="11" s="1"/>
  <c r="H12" i="11"/>
  <c r="J12" i="11"/>
  <c r="K12" i="11"/>
  <c r="Q12" i="11"/>
  <c r="R12" i="11"/>
  <c r="S12" i="11"/>
  <c r="V12" i="11"/>
  <c r="Y12" i="11"/>
  <c r="AA12" i="11"/>
  <c r="AB12" i="11"/>
  <c r="AC12" i="11"/>
  <c r="AD12" i="11"/>
  <c r="AG12" i="11"/>
  <c r="AI12" i="11"/>
  <c r="AJ12" i="11"/>
  <c r="AK12" i="11"/>
  <c r="AL12" i="11"/>
  <c r="AO12" i="11"/>
  <c r="AQ12" i="11"/>
  <c r="AR12" i="11"/>
  <c r="AS12" i="11"/>
  <c r="AT12" i="11"/>
  <c r="AW12" i="11"/>
  <c r="AY12" i="11"/>
  <c r="AZ12" i="11"/>
  <c r="BA12" i="11"/>
  <c r="BB12" i="11"/>
  <c r="BE12" i="11"/>
  <c r="BG12" i="11"/>
  <c r="BH12" i="11"/>
  <c r="BI12" i="11"/>
  <c r="BJ12" i="11"/>
  <c r="BM12" i="11"/>
  <c r="BO12" i="11"/>
  <c r="BP12" i="11"/>
  <c r="BQ12" i="11"/>
  <c r="BU12" i="11"/>
  <c r="BW12" i="11"/>
  <c r="BX12" i="11"/>
  <c r="BY12" i="11"/>
  <c r="CC12" i="11"/>
  <c r="CE12" i="11"/>
  <c r="CF12" i="11"/>
  <c r="CG12" i="11"/>
  <c r="CK12" i="11"/>
  <c r="CM12" i="11"/>
  <c r="CN12" i="11"/>
  <c r="CO12" i="11"/>
  <c r="CS12" i="11"/>
  <c r="CU12" i="11"/>
  <c r="CV12" i="11"/>
  <c r="CW12" i="11"/>
  <c r="DA12" i="11"/>
  <c r="DC12" i="11"/>
  <c r="DD12" i="11"/>
  <c r="DE12" i="11"/>
  <c r="DK12" i="11"/>
  <c r="D17" i="11"/>
  <c r="L17" i="11"/>
  <c r="R17" i="11"/>
  <c r="Z17" i="11" s="1"/>
  <c r="AH17" i="11" s="1"/>
  <c r="AP17" i="11" s="1"/>
  <c r="AX17" i="11" s="1"/>
  <c r="BF17" i="11" s="1"/>
  <c r="BN17" i="11" s="1"/>
  <c r="BV17" i="11" s="1"/>
  <c r="CD17" i="11" s="1"/>
  <c r="CL17" i="11" s="1"/>
  <c r="CT17" i="11" s="1"/>
  <c r="DB17" i="11" s="1"/>
  <c r="T17" i="11"/>
  <c r="DL17" i="11" s="1"/>
  <c r="DL14" i="11" s="1"/>
  <c r="U17" i="11"/>
  <c r="AC17" i="11"/>
  <c r="AD17" i="11" s="1"/>
  <c r="AM17" i="11"/>
  <c r="AU17" i="11"/>
  <c r="BB17" i="11"/>
  <c r="BC17" i="11" s="1"/>
  <c r="BK17" i="11"/>
  <c r="BR17" i="11"/>
  <c r="BS17" i="11" s="1"/>
  <c r="BZ17" i="11"/>
  <c r="CA17" i="11" s="1"/>
  <c r="CH17" i="11"/>
  <c r="CI17" i="11" s="1"/>
  <c r="CP17" i="11"/>
  <c r="CQ17" i="11" s="1"/>
  <c r="CX17" i="11"/>
  <c r="CY17" i="11" s="1"/>
  <c r="DF17" i="11"/>
  <c r="DI17" i="11"/>
  <c r="DK17" i="11"/>
  <c r="DU17" i="11"/>
  <c r="DZ17" i="11"/>
  <c r="ED17" i="11"/>
  <c r="EE17" i="11"/>
  <c r="D18" i="11"/>
  <c r="L18" i="11"/>
  <c r="R18" i="11"/>
  <c r="W18" i="11"/>
  <c r="Z18" i="11"/>
  <c r="AH18" i="11" s="1"/>
  <c r="AP18" i="11" s="1"/>
  <c r="AX18" i="11" s="1"/>
  <c r="BF18" i="11" s="1"/>
  <c r="BN18" i="11" s="1"/>
  <c r="BV18" i="11" s="1"/>
  <c r="AE18" i="11"/>
  <c r="AM18" i="11"/>
  <c r="AU18" i="11"/>
  <c r="BC18" i="11"/>
  <c r="BK18" i="11"/>
  <c r="BR18" i="11"/>
  <c r="BS18" i="11" s="1"/>
  <c r="BZ18" i="11"/>
  <c r="CA18" i="11" s="1"/>
  <c r="CH18" i="11"/>
  <c r="CI18" i="11" s="1"/>
  <c r="CP18" i="11"/>
  <c r="CQ18" i="11" s="1"/>
  <c r="CX18" i="11"/>
  <c r="CY18" i="11" s="1"/>
  <c r="DF18" i="11"/>
  <c r="DG18" i="11" s="1"/>
  <c r="DI18" i="11"/>
  <c r="DK18" i="11"/>
  <c r="DL18" i="11"/>
  <c r="DM18" i="11"/>
  <c r="DU18" i="11"/>
  <c r="DZ18" i="11"/>
  <c r="ED18" i="11"/>
  <c r="EE18" i="11"/>
  <c r="L19" i="11"/>
  <c r="R19" i="11"/>
  <c r="Z19" i="11" s="1"/>
  <c r="AH19" i="11" s="1"/>
  <c r="AP19" i="11" s="1"/>
  <c r="AX19" i="11" s="1"/>
  <c r="BF19" i="11" s="1"/>
  <c r="BN19" i="11" s="1"/>
  <c r="BV19" i="11" s="1"/>
  <c r="CD19" i="11" s="1"/>
  <c r="CL19" i="11" s="1"/>
  <c r="CT19" i="11" s="1"/>
  <c r="DB19" i="11" s="1"/>
  <c r="W19" i="11"/>
  <c r="AE19" i="11"/>
  <c r="AM19" i="11"/>
  <c r="AU19" i="11"/>
  <c r="BC19" i="11"/>
  <c r="BK19" i="11"/>
  <c r="BR19" i="11"/>
  <c r="BS19" i="11" s="1"/>
  <c r="BZ19" i="11"/>
  <c r="CA19" i="11" s="1"/>
  <c r="CH19" i="11"/>
  <c r="CI19" i="11" s="1"/>
  <c r="CP19" i="11"/>
  <c r="CQ19" i="11" s="1"/>
  <c r="CX19" i="11"/>
  <c r="CY19" i="11" s="1"/>
  <c r="DF19" i="11"/>
  <c r="DG19" i="11" s="1"/>
  <c r="DI19" i="11"/>
  <c r="DK19" i="11"/>
  <c r="DL19" i="11"/>
  <c r="DM19" i="11"/>
  <c r="DU19" i="11"/>
  <c r="DZ19" i="11"/>
  <c r="ED19" i="11"/>
  <c r="EE19" i="11"/>
  <c r="L20" i="11"/>
  <c r="R20" i="11"/>
  <c r="Z20" i="11" s="1"/>
  <c r="AH20" i="11" s="1"/>
  <c r="AP20" i="11" s="1"/>
  <c r="AX20" i="11" s="1"/>
  <c r="BF20" i="11" s="1"/>
  <c r="BN20" i="11" s="1"/>
  <c r="BV20" i="11" s="1"/>
  <c r="CD20" i="11" s="1"/>
  <c r="CL20" i="11" s="1"/>
  <c r="CT20" i="11" s="1"/>
  <c r="DB20" i="11" s="1"/>
  <c r="W20" i="11"/>
  <c r="AE20" i="11"/>
  <c r="AM20" i="11"/>
  <c r="AU20" i="11"/>
  <c r="BC20" i="11"/>
  <c r="BK20" i="11"/>
  <c r="BR20" i="11"/>
  <c r="BS20" i="11" s="1"/>
  <c r="BZ20" i="11"/>
  <c r="CA20" i="11" s="1"/>
  <c r="CH20" i="11"/>
  <c r="CI20" i="11" s="1"/>
  <c r="CP20" i="11"/>
  <c r="CQ20" i="11" s="1"/>
  <c r="CX20" i="11"/>
  <c r="CY20" i="11" s="1"/>
  <c r="DF20" i="11"/>
  <c r="DG20" i="11" s="1"/>
  <c r="DI20" i="11"/>
  <c r="DK20" i="11"/>
  <c r="DL20" i="11"/>
  <c r="DM20" i="11"/>
  <c r="DU20" i="11"/>
  <c r="DZ20" i="11"/>
  <c r="ED20" i="11"/>
  <c r="EE20" i="11"/>
  <c r="L21" i="11"/>
  <c r="R21" i="11"/>
  <c r="Z21" i="11" s="1"/>
  <c r="AH21" i="11" s="1"/>
  <c r="AP21" i="11" s="1"/>
  <c r="AX21" i="11" s="1"/>
  <c r="BF21" i="11" s="1"/>
  <c r="BN21" i="11" s="1"/>
  <c r="BV21" i="11" s="1"/>
  <c r="CD21" i="11" s="1"/>
  <c r="CL21" i="11" s="1"/>
  <c r="CT21" i="11" s="1"/>
  <c r="DB21" i="11" s="1"/>
  <c r="W21" i="11"/>
  <c r="AE21" i="11"/>
  <c r="AM21" i="11"/>
  <c r="AU21" i="11"/>
  <c r="BC21" i="11"/>
  <c r="BK21" i="11"/>
  <c r="BR21" i="11"/>
  <c r="BS21" i="11" s="1"/>
  <c r="BZ21" i="11"/>
  <c r="CA21" i="11" s="1"/>
  <c r="CH21" i="11"/>
  <c r="CI21" i="11" s="1"/>
  <c r="CP21" i="11"/>
  <c r="CQ21" i="11" s="1"/>
  <c r="CX21" i="11"/>
  <c r="DF21" i="11"/>
  <c r="DG21" i="11" s="1"/>
  <c r="DI21" i="11"/>
  <c r="DK21" i="11"/>
  <c r="DL21" i="11"/>
  <c r="DM21" i="11"/>
  <c r="DU21" i="11"/>
  <c r="DZ21" i="11"/>
  <c r="ED21" i="11"/>
  <c r="Q90" i="17" s="1"/>
  <c r="EE21" i="11"/>
  <c r="L22" i="11"/>
  <c r="R22" i="11"/>
  <c r="Z22" i="11" s="1"/>
  <c r="AH22" i="11" s="1"/>
  <c r="AP22" i="11" s="1"/>
  <c r="AX22" i="11" s="1"/>
  <c r="BF22" i="11" s="1"/>
  <c r="BN22" i="11" s="1"/>
  <c r="BV22" i="11" s="1"/>
  <c r="CD22" i="11" s="1"/>
  <c r="CL22" i="11" s="1"/>
  <c r="CT22" i="11" s="1"/>
  <c r="DB22" i="11" s="1"/>
  <c r="W22" i="11"/>
  <c r="AE22" i="11"/>
  <c r="AM22" i="11"/>
  <c r="AU22" i="11"/>
  <c r="BC22" i="11"/>
  <c r="BK22" i="11"/>
  <c r="BR22" i="11"/>
  <c r="BS22" i="11" s="1"/>
  <c r="BZ22" i="11"/>
  <c r="CA22" i="11" s="1"/>
  <c r="CH22" i="11"/>
  <c r="CI22" i="11" s="1"/>
  <c r="CP22" i="11"/>
  <c r="CQ22" i="11" s="1"/>
  <c r="CX22" i="11"/>
  <c r="CY22" i="11" s="1"/>
  <c r="DF22" i="11"/>
  <c r="DG22" i="11" s="1"/>
  <c r="DI22" i="11"/>
  <c r="DK22" i="11"/>
  <c r="DL22" i="11"/>
  <c r="DM22" i="11"/>
  <c r="DU22" i="11"/>
  <c r="DZ22" i="11"/>
  <c r="ED22" i="11"/>
  <c r="EE22" i="11"/>
  <c r="L23" i="11"/>
  <c r="R23" i="11"/>
  <c r="Z23" i="11" s="1"/>
  <c r="AH23" i="11" s="1"/>
  <c r="AP23" i="11" s="1"/>
  <c r="AX23" i="11" s="1"/>
  <c r="BF23" i="11" s="1"/>
  <c r="BN23" i="11" s="1"/>
  <c r="BV23" i="11" s="1"/>
  <c r="CD23" i="11" s="1"/>
  <c r="CL23" i="11" s="1"/>
  <c r="CT23" i="11" s="1"/>
  <c r="DB23" i="11" s="1"/>
  <c r="W23" i="11"/>
  <c r="AE23" i="11"/>
  <c r="AM23" i="11"/>
  <c r="AU23" i="11"/>
  <c r="BC23" i="11"/>
  <c r="BK23" i="11"/>
  <c r="BR23" i="11"/>
  <c r="BS23" i="11" s="1"/>
  <c r="BZ23" i="11"/>
  <c r="CA23" i="11" s="1"/>
  <c r="CH23" i="11"/>
  <c r="CI23" i="11" s="1"/>
  <c r="CP23" i="11"/>
  <c r="CQ23" i="11" s="1"/>
  <c r="CX23" i="11"/>
  <c r="CY23" i="11" s="1"/>
  <c r="DF23" i="11"/>
  <c r="DG23" i="11" s="1"/>
  <c r="DI23" i="11"/>
  <c r="DK23" i="11"/>
  <c r="DL23" i="11"/>
  <c r="DM23" i="11"/>
  <c r="DU23" i="11"/>
  <c r="DZ23" i="11"/>
  <c r="ED23" i="11"/>
  <c r="Q92" i="17" s="1"/>
  <c r="EE23" i="11"/>
  <c r="L24" i="11"/>
  <c r="R24" i="11"/>
  <c r="Z24" i="11" s="1"/>
  <c r="AH24" i="11" s="1"/>
  <c r="AP24" i="11" s="1"/>
  <c r="AX24" i="11" s="1"/>
  <c r="BF24" i="11" s="1"/>
  <c r="BN24" i="11" s="1"/>
  <c r="BV24" i="11" s="1"/>
  <c r="CD24" i="11" s="1"/>
  <c r="CL24" i="11" s="1"/>
  <c r="CT24" i="11" s="1"/>
  <c r="DB24" i="11" s="1"/>
  <c r="W24" i="11"/>
  <c r="AE24" i="11"/>
  <c r="AM24" i="11"/>
  <c r="AU24" i="11"/>
  <c r="BC24" i="11"/>
  <c r="BK24" i="11"/>
  <c r="BR24" i="11"/>
  <c r="BS24" i="11" s="1"/>
  <c r="BZ24" i="11"/>
  <c r="CA24" i="11" s="1"/>
  <c r="CH24" i="11"/>
  <c r="CI24" i="11" s="1"/>
  <c r="CP24" i="11"/>
  <c r="CQ24" i="11" s="1"/>
  <c r="CX24" i="11"/>
  <c r="CY24" i="11" s="1"/>
  <c r="DF24" i="11"/>
  <c r="DG24" i="11" s="1"/>
  <c r="DI24" i="11"/>
  <c r="DK24" i="11"/>
  <c r="DL24" i="11"/>
  <c r="DM24" i="11"/>
  <c r="DU24" i="11"/>
  <c r="DZ24" i="11"/>
  <c r="ED24" i="11"/>
  <c r="EE24" i="11"/>
  <c r="R25" i="11"/>
  <c r="Z25" i="11" s="1"/>
  <c r="T25" i="11"/>
  <c r="DL25" i="11" s="1"/>
  <c r="U25" i="11"/>
  <c r="AE25" i="11"/>
  <c r="AM25" i="11"/>
  <c r="AU25" i="11"/>
  <c r="BC25" i="11"/>
  <c r="BK25" i="11"/>
  <c r="BR25" i="11"/>
  <c r="BS25" i="11" s="1"/>
  <c r="BZ25" i="11"/>
  <c r="CA25" i="11" s="1"/>
  <c r="CH25" i="11"/>
  <c r="CI25" i="11" s="1"/>
  <c r="CP25" i="11"/>
  <c r="CQ25" i="11" s="1"/>
  <c r="CX25" i="11"/>
  <c r="CY25" i="11" s="1"/>
  <c r="DF25" i="11"/>
  <c r="DG25" i="11" s="1"/>
  <c r="DI25" i="11"/>
  <c r="DK25" i="11"/>
  <c r="DU25" i="11"/>
  <c r="DZ25" i="11"/>
  <c r="ED25" i="11"/>
  <c r="EE25" i="11"/>
  <c r="L26" i="11"/>
  <c r="R26" i="11"/>
  <c r="Z26" i="11" s="1"/>
  <c r="AH26" i="11" s="1"/>
  <c r="AP26" i="11" s="1"/>
  <c r="AX26" i="11" s="1"/>
  <c r="BF26" i="11" s="1"/>
  <c r="BN26" i="11" s="1"/>
  <c r="BV26" i="11" s="1"/>
  <c r="CD26" i="11" s="1"/>
  <c r="CL26" i="11" s="1"/>
  <c r="CT26" i="11" s="1"/>
  <c r="DB26" i="11" s="1"/>
  <c r="W26" i="11"/>
  <c r="AE26" i="11"/>
  <c r="AM26" i="11"/>
  <c r="AU26" i="11"/>
  <c r="BC26" i="11"/>
  <c r="BK26" i="11"/>
  <c r="BR26" i="11"/>
  <c r="BS26" i="11" s="1"/>
  <c r="BZ26" i="11"/>
  <c r="CA26" i="11" s="1"/>
  <c r="CH26" i="11"/>
  <c r="CI26" i="11" s="1"/>
  <c r="CP26" i="11"/>
  <c r="CQ26" i="11" s="1"/>
  <c r="CX26" i="11"/>
  <c r="CY26" i="11" s="1"/>
  <c r="DF26" i="11"/>
  <c r="DG26" i="11" s="1"/>
  <c r="DI26" i="11"/>
  <c r="DK26" i="11"/>
  <c r="DL26" i="11"/>
  <c r="DM26" i="11"/>
  <c r="DU26" i="11"/>
  <c r="DZ26" i="11"/>
  <c r="ED26" i="11"/>
  <c r="Q96" i="17" s="1"/>
  <c r="EE26" i="11"/>
  <c r="L27" i="11"/>
  <c r="R27" i="11"/>
  <c r="Z27" i="11" s="1"/>
  <c r="AH27" i="11" s="1"/>
  <c r="AP27" i="11" s="1"/>
  <c r="AX27" i="11" s="1"/>
  <c r="BF27" i="11" s="1"/>
  <c r="BN27" i="11" s="1"/>
  <c r="BV27" i="11" s="1"/>
  <c r="CD27" i="11" s="1"/>
  <c r="CL27" i="11" s="1"/>
  <c r="CT27" i="11" s="1"/>
  <c r="DB27" i="11" s="1"/>
  <c r="W27" i="11"/>
  <c r="AE27" i="11"/>
  <c r="AM27" i="11"/>
  <c r="AU27" i="11"/>
  <c r="BC27" i="11"/>
  <c r="BK27" i="11"/>
  <c r="BR27" i="11"/>
  <c r="BS27" i="11" s="1"/>
  <c r="BZ27" i="11"/>
  <c r="CA27" i="11" s="1"/>
  <c r="CH27" i="11"/>
  <c r="CI27" i="11" s="1"/>
  <c r="CP27" i="11"/>
  <c r="CQ27" i="11" s="1"/>
  <c r="CX27" i="11"/>
  <c r="CY27" i="11" s="1"/>
  <c r="DF27" i="11"/>
  <c r="DG27" i="11" s="1"/>
  <c r="DI27" i="11"/>
  <c r="DK27" i="11"/>
  <c r="DL27" i="11"/>
  <c r="DM27" i="11"/>
  <c r="DU27" i="11"/>
  <c r="DZ27" i="11"/>
  <c r="ED27" i="11"/>
  <c r="EE27" i="11"/>
  <c r="R28" i="11"/>
  <c r="Z28" i="11" s="1"/>
  <c r="AH28" i="11" s="1"/>
  <c r="AP28" i="11" s="1"/>
  <c r="AX28" i="11" s="1"/>
  <c r="BF28" i="11" s="1"/>
  <c r="BN28" i="11" s="1"/>
  <c r="BV28" i="11" s="1"/>
  <c r="CD28" i="11" s="1"/>
  <c r="CL28" i="11" s="1"/>
  <c r="CT28" i="11" s="1"/>
  <c r="DB28" i="11" s="1"/>
  <c r="W28" i="11"/>
  <c r="AE28" i="11"/>
  <c r="AM28" i="11"/>
  <c r="AU28" i="11"/>
  <c r="BC28" i="11"/>
  <c r="BK28" i="11"/>
  <c r="BR28" i="11"/>
  <c r="BS28" i="11" s="1"/>
  <c r="BZ28" i="11"/>
  <c r="CA28" i="11" s="1"/>
  <c r="CH28" i="11"/>
  <c r="CI28" i="11" s="1"/>
  <c r="CP28" i="11"/>
  <c r="CQ28" i="11" s="1"/>
  <c r="CX28" i="11"/>
  <c r="CY28" i="11" s="1"/>
  <c r="DF28" i="11"/>
  <c r="DG28" i="11" s="1"/>
  <c r="DI28" i="11"/>
  <c r="DK28" i="11"/>
  <c r="DL28" i="11"/>
  <c r="DM28" i="11"/>
  <c r="DU28" i="11"/>
  <c r="DZ28" i="11"/>
  <c r="ED28" i="11"/>
  <c r="Q98" i="17" s="1"/>
  <c r="EE28" i="11"/>
  <c r="L29" i="11"/>
  <c r="R29" i="11"/>
  <c r="Z29" i="11" s="1"/>
  <c r="AH29" i="11" s="1"/>
  <c r="AP29" i="11" s="1"/>
  <c r="AX29" i="11" s="1"/>
  <c r="BF29" i="11" s="1"/>
  <c r="BN29" i="11" s="1"/>
  <c r="BV29" i="11" s="1"/>
  <c r="CD29" i="11" s="1"/>
  <c r="CL29" i="11" s="1"/>
  <c r="CT29" i="11" s="1"/>
  <c r="DB29" i="11" s="1"/>
  <c r="W29" i="11"/>
  <c r="AE29" i="11"/>
  <c r="AM29" i="11"/>
  <c r="AU29" i="11"/>
  <c r="BC29" i="11"/>
  <c r="BK29" i="11"/>
  <c r="BR29" i="11"/>
  <c r="BS29" i="11" s="1"/>
  <c r="BZ29" i="11"/>
  <c r="CA29" i="11" s="1"/>
  <c r="CH29" i="11"/>
  <c r="CI29" i="11" s="1"/>
  <c r="CP29" i="11"/>
  <c r="CQ29" i="11" s="1"/>
  <c r="CX29" i="11"/>
  <c r="CY29" i="11" s="1"/>
  <c r="DF29" i="11"/>
  <c r="DG29" i="11" s="1"/>
  <c r="DI29" i="11"/>
  <c r="DK29" i="11"/>
  <c r="DL29" i="11"/>
  <c r="DM29" i="11"/>
  <c r="DU29" i="11"/>
  <c r="DZ29" i="11"/>
  <c r="ED29" i="11"/>
  <c r="EE29" i="11"/>
  <c r="L30" i="11"/>
  <c r="R30" i="11"/>
  <c r="W30" i="11"/>
  <c r="Z30" i="11"/>
  <c r="AH30" i="11" s="1"/>
  <c r="AP30" i="11" s="1"/>
  <c r="AX30" i="11" s="1"/>
  <c r="BF30" i="11" s="1"/>
  <c r="BN30" i="11" s="1"/>
  <c r="BV30" i="11" s="1"/>
  <c r="CD30" i="11" s="1"/>
  <c r="CL30" i="11" s="1"/>
  <c r="CT30" i="11" s="1"/>
  <c r="DB30" i="11" s="1"/>
  <c r="AE30" i="11"/>
  <c r="AM30" i="11"/>
  <c r="AU30" i="11"/>
  <c r="BC30" i="11"/>
  <c r="BK30" i="11"/>
  <c r="BR30" i="11"/>
  <c r="BS30" i="11" s="1"/>
  <c r="BZ30" i="11"/>
  <c r="CA30" i="11" s="1"/>
  <c r="CH30" i="11"/>
  <c r="CI30" i="11" s="1"/>
  <c r="CP30" i="11"/>
  <c r="CQ30" i="11" s="1"/>
  <c r="CX30" i="11"/>
  <c r="CY30" i="11" s="1"/>
  <c r="DF30" i="11"/>
  <c r="DG30" i="11" s="1"/>
  <c r="DI30" i="11"/>
  <c r="DK30" i="11"/>
  <c r="DL30" i="11"/>
  <c r="DM30" i="11"/>
  <c r="DU30" i="11"/>
  <c r="DZ30" i="11"/>
  <c r="ED30" i="11"/>
  <c r="EE30" i="11"/>
  <c r="L31" i="11"/>
  <c r="R31" i="11"/>
  <c r="Z31" i="11" s="1"/>
  <c r="AH31" i="11" s="1"/>
  <c r="AP31" i="11" s="1"/>
  <c r="AX31" i="11" s="1"/>
  <c r="BF31" i="11" s="1"/>
  <c r="BN31" i="11" s="1"/>
  <c r="BV31" i="11" s="1"/>
  <c r="CD31" i="11" s="1"/>
  <c r="CL31" i="11" s="1"/>
  <c r="CT31" i="11" s="1"/>
  <c r="DB31" i="11" s="1"/>
  <c r="W31" i="11"/>
  <c r="AE31" i="11"/>
  <c r="AM31" i="11"/>
  <c r="AU31" i="11"/>
  <c r="BC31" i="11"/>
  <c r="BK31" i="11"/>
  <c r="BR31" i="11"/>
  <c r="BS31" i="11" s="1"/>
  <c r="BZ31" i="11"/>
  <c r="CA31" i="11" s="1"/>
  <c r="CH31" i="11"/>
  <c r="CI31" i="11" s="1"/>
  <c r="CP31" i="11"/>
  <c r="CQ31" i="11" s="1"/>
  <c r="CX31" i="11"/>
  <c r="CY31" i="11" s="1"/>
  <c r="DF31" i="11"/>
  <c r="DG31" i="11" s="1"/>
  <c r="DI31" i="11"/>
  <c r="DK31" i="11"/>
  <c r="DL31" i="11"/>
  <c r="DM31" i="11"/>
  <c r="DU31" i="11"/>
  <c r="DZ31" i="11"/>
  <c r="ED31" i="11"/>
  <c r="Q105" i="17" s="1"/>
  <c r="EE31" i="11"/>
  <c r="R32" i="11"/>
  <c r="W32" i="11"/>
  <c r="Z32" i="11"/>
  <c r="AH32" i="11" s="1"/>
  <c r="AP32" i="11" s="1"/>
  <c r="AX32" i="11" s="1"/>
  <c r="BF32" i="11" s="1"/>
  <c r="AE32" i="11"/>
  <c r="AM32" i="11"/>
  <c r="AU32" i="11"/>
  <c r="BB32" i="11"/>
  <c r="BC32" i="11" s="1"/>
  <c r="BK32" i="11"/>
  <c r="BR32" i="11"/>
  <c r="BS32" i="11" s="1"/>
  <c r="BZ32" i="11"/>
  <c r="CA32" i="11" s="1"/>
  <c r="CH32" i="11"/>
  <c r="CI32" i="11" s="1"/>
  <c r="CP32" i="11"/>
  <c r="CQ32" i="11" s="1"/>
  <c r="CX32" i="11"/>
  <c r="CY32" i="11" s="1"/>
  <c r="DF32" i="11"/>
  <c r="DG32" i="11" s="1"/>
  <c r="DI32" i="11"/>
  <c r="DK32" i="11"/>
  <c r="DL32" i="11"/>
  <c r="DM32" i="11"/>
  <c r="DU32" i="11"/>
  <c r="DZ32" i="11"/>
  <c r="ED32" i="11"/>
  <c r="EE32" i="11"/>
  <c r="L33" i="11"/>
  <c r="R33" i="11"/>
  <c r="Z33" i="11" s="1"/>
  <c r="AH33" i="11" s="1"/>
  <c r="AP33" i="11" s="1"/>
  <c r="AX33" i="11" s="1"/>
  <c r="BF33" i="11" s="1"/>
  <c r="BN33" i="11" s="1"/>
  <c r="BV33" i="11" s="1"/>
  <c r="CD33" i="11" s="1"/>
  <c r="CL33" i="11" s="1"/>
  <c r="CT33" i="11" s="1"/>
  <c r="DB33" i="11" s="1"/>
  <c r="W33" i="11"/>
  <c r="AE33" i="11"/>
  <c r="AM33" i="11"/>
  <c r="AU33" i="11"/>
  <c r="BC33" i="11"/>
  <c r="BK33" i="11"/>
  <c r="BR33" i="11"/>
  <c r="BS33" i="11" s="1"/>
  <c r="BZ33" i="11"/>
  <c r="CA33" i="11" s="1"/>
  <c r="CH33" i="11"/>
  <c r="CI33" i="11" s="1"/>
  <c r="CP33" i="11"/>
  <c r="CQ33" i="11" s="1"/>
  <c r="CX33" i="11"/>
  <c r="CY33" i="11" s="1"/>
  <c r="DF33" i="11"/>
  <c r="DG33" i="11" s="1"/>
  <c r="DI33" i="11"/>
  <c r="DK33" i="11"/>
  <c r="DL33" i="11"/>
  <c r="DM33" i="11"/>
  <c r="DU33" i="11"/>
  <c r="DZ33" i="11"/>
  <c r="ED33" i="11"/>
  <c r="Q108" i="17" s="1"/>
  <c r="EE33" i="11"/>
  <c r="B34" i="11"/>
  <c r="B35" i="11" s="1"/>
  <c r="C34" i="11"/>
  <c r="C35" i="11" s="1"/>
  <c r="E34" i="11"/>
  <c r="DZ34" i="11" s="1"/>
  <c r="Q34" i="11"/>
  <c r="Q35" i="11" s="1"/>
  <c r="Q37" i="11" s="1"/>
  <c r="S34" i="11"/>
  <c r="S35" i="11" s="1"/>
  <c r="V34" i="11"/>
  <c r="Y34" i="11"/>
  <c r="Y35" i="11" s="1"/>
  <c r="Y102" i="11" s="1"/>
  <c r="AA34" i="11"/>
  <c r="AA35" i="11" s="1"/>
  <c r="AB34" i="11"/>
  <c r="AC34" i="11"/>
  <c r="AC35" i="11" s="1"/>
  <c r="AC37" i="11" s="1"/>
  <c r="AD34" i="11"/>
  <c r="AG34" i="11"/>
  <c r="AI34" i="11"/>
  <c r="AI35" i="11" s="1"/>
  <c r="AI37" i="11" s="1"/>
  <c r="AJ34" i="11"/>
  <c r="AK34" i="11"/>
  <c r="AK35" i="11" s="1"/>
  <c r="AK37" i="11" s="1"/>
  <c r="AL34" i="11"/>
  <c r="AO34" i="11"/>
  <c r="AO35" i="11" s="1"/>
  <c r="AQ34" i="11"/>
  <c r="AQ35" i="11" s="1"/>
  <c r="AQ37" i="11" s="1"/>
  <c r="AR34" i="11"/>
  <c r="AR35" i="11" s="1"/>
  <c r="AR37" i="11" s="1"/>
  <c r="AS34" i="11"/>
  <c r="AT34" i="11"/>
  <c r="AT35" i="11" s="1"/>
  <c r="AT37" i="11" s="1"/>
  <c r="AW34" i="11"/>
  <c r="AW35" i="11" s="1"/>
  <c r="AY34" i="11"/>
  <c r="AY35" i="11" s="1"/>
  <c r="AY37" i="11" s="1"/>
  <c r="AZ34" i="11"/>
  <c r="AZ35" i="11" s="1"/>
  <c r="BA34" i="11"/>
  <c r="BA35" i="11" s="1"/>
  <c r="BA37" i="11" s="1"/>
  <c r="BE34" i="11"/>
  <c r="BE35" i="11" s="1"/>
  <c r="BG34" i="11"/>
  <c r="BG35" i="11" s="1"/>
  <c r="BH34" i="11"/>
  <c r="BI34" i="11"/>
  <c r="BI35" i="11" s="1"/>
  <c r="BI37" i="11" s="1"/>
  <c r="BJ34" i="11"/>
  <c r="BJ35" i="11" s="1"/>
  <c r="BM34" i="11"/>
  <c r="BM35" i="11" s="1"/>
  <c r="BO34" i="11"/>
  <c r="BP34" i="11"/>
  <c r="BP35" i="11" s="1"/>
  <c r="BP37" i="11" s="1"/>
  <c r="BQ34" i="11"/>
  <c r="BQ35" i="11" s="1"/>
  <c r="BQ37" i="11" s="1"/>
  <c r="BU34" i="11"/>
  <c r="BU35" i="11" s="1"/>
  <c r="BW34" i="11"/>
  <c r="BW35" i="11" s="1"/>
  <c r="BW37" i="11" s="1"/>
  <c r="BX34" i="11"/>
  <c r="BX35" i="11" s="1"/>
  <c r="BX37" i="11" s="1"/>
  <c r="BY34" i="11"/>
  <c r="BY35" i="11" s="1"/>
  <c r="BY37" i="11" s="1"/>
  <c r="CC34" i="11"/>
  <c r="CC35" i="11" s="1"/>
  <c r="CE34" i="11"/>
  <c r="CE35" i="11" s="1"/>
  <c r="CE37" i="11" s="1"/>
  <c r="CF34" i="11"/>
  <c r="CF35" i="11" s="1"/>
  <c r="CF37" i="11" s="1"/>
  <c r="CG34" i="11"/>
  <c r="CG35" i="11" s="1"/>
  <c r="CG37" i="11" s="1"/>
  <c r="CK34" i="11"/>
  <c r="CK35" i="11" s="1"/>
  <c r="CM34" i="11"/>
  <c r="CM35" i="11" s="1"/>
  <c r="CM37" i="11" s="1"/>
  <c r="CN34" i="11"/>
  <c r="CN35" i="11" s="1"/>
  <c r="CN37" i="11" s="1"/>
  <c r="CO34" i="11"/>
  <c r="CO35" i="11" s="1"/>
  <c r="CO37" i="11" s="1"/>
  <c r="CS34" i="11"/>
  <c r="CS35" i="11" s="1"/>
  <c r="CU34" i="11"/>
  <c r="CU35" i="11" s="1"/>
  <c r="CU37" i="11" s="1"/>
  <c r="CV34" i="11"/>
  <c r="CV35" i="11" s="1"/>
  <c r="CV37" i="11" s="1"/>
  <c r="CW34" i="11"/>
  <c r="CW35" i="11" s="1"/>
  <c r="CW37" i="11" s="1"/>
  <c r="DA34" i="11"/>
  <c r="DA35" i="11" s="1"/>
  <c r="DC34" i="11"/>
  <c r="DC35" i="11" s="1"/>
  <c r="DC37" i="11" s="1"/>
  <c r="DD34" i="11"/>
  <c r="DD35" i="11" s="1"/>
  <c r="DD37" i="11" s="1"/>
  <c r="DE34" i="11"/>
  <c r="DE35" i="11" s="1"/>
  <c r="DE37" i="11" s="1"/>
  <c r="AB35" i="11"/>
  <c r="AB37" i="11" s="1"/>
  <c r="AG35" i="11"/>
  <c r="AG102" i="11" s="1"/>
  <c r="AJ35" i="11"/>
  <c r="AJ37" i="11" s="1"/>
  <c r="AL35" i="11"/>
  <c r="AS35" i="11"/>
  <c r="BH35" i="11"/>
  <c r="BO35" i="11"/>
  <c r="BO37" i="11" s="1"/>
  <c r="D40" i="11"/>
  <c r="I40" i="11"/>
  <c r="DU40" i="11"/>
  <c r="DW40" i="11" s="1"/>
  <c r="DZ40" i="11"/>
  <c r="ED40" i="11"/>
  <c r="EE40" i="11"/>
  <c r="D41" i="11"/>
  <c r="I41" i="11"/>
  <c r="DU41" i="11"/>
  <c r="DW41" i="11" s="1"/>
  <c r="DZ41" i="11"/>
  <c r="ED41" i="11"/>
  <c r="EE41" i="11"/>
  <c r="D42" i="11"/>
  <c r="I42" i="11"/>
  <c r="DU42" i="11"/>
  <c r="DW42" i="11" s="1"/>
  <c r="DZ42" i="11"/>
  <c r="ED42" i="11"/>
  <c r="EE42" i="11"/>
  <c r="B43" i="11"/>
  <c r="C43" i="11"/>
  <c r="E43" i="11"/>
  <c r="DZ43" i="11" s="1"/>
  <c r="G43" i="11"/>
  <c r="H43" i="11"/>
  <c r="I43" i="11"/>
  <c r="DV43" i="11"/>
  <c r="D48" i="11"/>
  <c r="DU48" i="11"/>
  <c r="DZ48" i="11"/>
  <c r="ED48" i="11"/>
  <c r="EE48" i="11"/>
  <c r="D49" i="11"/>
  <c r="DU49" i="11"/>
  <c r="DZ49" i="11"/>
  <c r="ED49" i="11"/>
  <c r="EE49" i="11"/>
  <c r="D50" i="11"/>
  <c r="DU50" i="11"/>
  <c r="DZ50" i="11"/>
  <c r="ED50" i="11"/>
  <c r="Q79" i="17" s="1"/>
  <c r="EE50" i="11"/>
  <c r="B51" i="11"/>
  <c r="C51" i="11"/>
  <c r="E51" i="11"/>
  <c r="DZ51" i="11" s="1"/>
  <c r="D56" i="11"/>
  <c r="DZ56" i="11"/>
  <c r="ED56" i="11"/>
  <c r="Q42" i="17" s="1"/>
  <c r="EE56" i="11"/>
  <c r="D70" i="11"/>
  <c r="I70" i="11"/>
  <c r="L70" i="11"/>
  <c r="M70" i="11"/>
  <c r="N70" i="11"/>
  <c r="R70" i="11"/>
  <c r="Z70" i="11" s="1"/>
  <c r="V70" i="11"/>
  <c r="W70" i="11" s="1"/>
  <c r="AD70" i="11"/>
  <c r="AE70" i="11" s="1"/>
  <c r="AL70" i="11"/>
  <c r="AM70" i="11" s="1"/>
  <c r="AT70" i="11"/>
  <c r="AU70" i="11" s="1"/>
  <c r="AX70" i="11"/>
  <c r="BF70" i="11" s="1"/>
  <c r="BB70" i="11"/>
  <c r="BC70" i="11" s="1"/>
  <c r="BJ70" i="11"/>
  <c r="BK70" i="11" s="1"/>
  <c r="BR70" i="11"/>
  <c r="BS70" i="11" s="1"/>
  <c r="BZ70" i="11"/>
  <c r="CA70" i="11" s="1"/>
  <c r="CH70" i="11"/>
  <c r="CI70" i="11" s="1"/>
  <c r="CP70" i="11"/>
  <c r="CQ70" i="11" s="1"/>
  <c r="CX70" i="11"/>
  <c r="CY70" i="11" s="1"/>
  <c r="DF70" i="11"/>
  <c r="DG70" i="11" s="1"/>
  <c r="DI70" i="11"/>
  <c r="DK70" i="11"/>
  <c r="DL70" i="11"/>
  <c r="DM70" i="11"/>
  <c r="D71" i="11"/>
  <c r="I71" i="11"/>
  <c r="L71" i="11"/>
  <c r="M71" i="11"/>
  <c r="N71" i="11"/>
  <c r="R71" i="11"/>
  <c r="W71" i="11"/>
  <c r="Z71" i="11"/>
  <c r="AH71" i="11" s="1"/>
  <c r="AP71" i="11" s="1"/>
  <c r="AE71" i="11"/>
  <c r="AM71" i="11"/>
  <c r="AU71" i="11"/>
  <c r="AX71" i="11"/>
  <c r="BF71" i="11" s="1"/>
  <c r="BN71" i="11" s="1"/>
  <c r="BV71" i="11" s="1"/>
  <c r="CD71" i="11" s="1"/>
  <c r="CL71" i="11" s="1"/>
  <c r="CT71" i="11" s="1"/>
  <c r="DB71" i="11" s="1"/>
  <c r="BC71" i="11"/>
  <c r="BJ71" i="11"/>
  <c r="BK71" i="11" s="1"/>
  <c r="BR71" i="11"/>
  <c r="BS71" i="11" s="1"/>
  <c r="BZ71" i="11"/>
  <c r="CA71" i="11" s="1"/>
  <c r="CH71" i="11"/>
  <c r="CI71" i="11" s="1"/>
  <c r="CP71" i="11"/>
  <c r="CQ71" i="11" s="1"/>
  <c r="CX71" i="11"/>
  <c r="CY71" i="11" s="1"/>
  <c r="DF71" i="11"/>
  <c r="DG71" i="11" s="1"/>
  <c r="DI71" i="11"/>
  <c r="DK71" i="11"/>
  <c r="DL71" i="11"/>
  <c r="DM71" i="11"/>
  <c r="B72" i="11"/>
  <c r="C72" i="11"/>
  <c r="E72" i="11"/>
  <c r="G72" i="11"/>
  <c r="H72" i="11"/>
  <c r="J72" i="11"/>
  <c r="K72" i="11"/>
  <c r="Q72" i="11"/>
  <c r="S72" i="11"/>
  <c r="T72" i="11"/>
  <c r="U72" i="11"/>
  <c r="Y72" i="11"/>
  <c r="AA72" i="11"/>
  <c r="AB72" i="11"/>
  <c r="AC72" i="11"/>
  <c r="AG72" i="11"/>
  <c r="AI72" i="11"/>
  <c r="AJ72" i="11"/>
  <c r="AK72" i="11"/>
  <c r="AL72" i="11"/>
  <c r="AO72" i="11"/>
  <c r="AQ72" i="11"/>
  <c r="AR72" i="11"/>
  <c r="AS72" i="11"/>
  <c r="AT72" i="11"/>
  <c r="AW72" i="11"/>
  <c r="AY72" i="11"/>
  <c r="AZ72" i="11"/>
  <c r="BA72" i="11"/>
  <c r="BE72" i="11"/>
  <c r="BG72" i="11"/>
  <c r="BH72" i="11"/>
  <c r="BI72" i="11"/>
  <c r="BM72" i="11"/>
  <c r="BO72" i="11"/>
  <c r="BP72" i="11"/>
  <c r="BQ72" i="11"/>
  <c r="BU72" i="11"/>
  <c r="BW72" i="11"/>
  <c r="BX72" i="11"/>
  <c r="BY72" i="11"/>
  <c r="CC72" i="11"/>
  <c r="CE72" i="11"/>
  <c r="CF72" i="11"/>
  <c r="CG72" i="11"/>
  <c r="CK72" i="11"/>
  <c r="CM72" i="11"/>
  <c r="CN72" i="11"/>
  <c r="CO72" i="11"/>
  <c r="CS72" i="11"/>
  <c r="CU72" i="11"/>
  <c r="CV72" i="11"/>
  <c r="CW72" i="11"/>
  <c r="DA72" i="11"/>
  <c r="DC72" i="11"/>
  <c r="DD72" i="11"/>
  <c r="DE72" i="11"/>
  <c r="D76" i="11"/>
  <c r="I76" i="11"/>
  <c r="L76" i="11"/>
  <c r="M76" i="11"/>
  <c r="N76" i="11"/>
  <c r="R76" i="11"/>
  <c r="AH76" i="11" s="1"/>
  <c r="V76" i="11"/>
  <c r="W76" i="11" s="1"/>
  <c r="AD76" i="11"/>
  <c r="AE76" i="11" s="1"/>
  <c r="AL76" i="11"/>
  <c r="AM76" i="11" s="1"/>
  <c r="AT76" i="11"/>
  <c r="AU76" i="11" s="1"/>
  <c r="AX76" i="11"/>
  <c r="BB76" i="11"/>
  <c r="BC76" i="11" s="1"/>
  <c r="BF76" i="11"/>
  <c r="BN76" i="11" s="1"/>
  <c r="BJ76" i="11"/>
  <c r="BK76" i="11" s="1"/>
  <c r="BR76" i="11"/>
  <c r="BS76" i="11" s="1"/>
  <c r="BZ76" i="11"/>
  <c r="CA76" i="11" s="1"/>
  <c r="CH76" i="11"/>
  <c r="CI76" i="11" s="1"/>
  <c r="CP76" i="11"/>
  <c r="CX76" i="11"/>
  <c r="CY76" i="11" s="1"/>
  <c r="DF76" i="11"/>
  <c r="DG76" i="11" s="1"/>
  <c r="DI76" i="11"/>
  <c r="DK76" i="11"/>
  <c r="DL76" i="11"/>
  <c r="DM76" i="11"/>
  <c r="D77" i="11"/>
  <c r="I77" i="11"/>
  <c r="L77" i="11"/>
  <c r="M77" i="11"/>
  <c r="N77" i="11"/>
  <c r="R77" i="11"/>
  <c r="Z77" i="11" s="1"/>
  <c r="AP77" i="11" s="1"/>
  <c r="W77" i="11"/>
  <c r="AE77" i="11"/>
  <c r="AH77" i="11"/>
  <c r="AM77" i="11"/>
  <c r="AU77" i="11"/>
  <c r="AX77" i="11"/>
  <c r="BF77" i="11" s="1"/>
  <c r="BN77" i="11" s="1"/>
  <c r="BV77" i="11" s="1"/>
  <c r="CD77" i="11" s="1"/>
  <c r="CL77" i="11" s="1"/>
  <c r="CT77" i="11" s="1"/>
  <c r="DB77" i="11" s="1"/>
  <c r="BB77" i="11"/>
  <c r="BC77" i="11" s="1"/>
  <c r="BJ77" i="11"/>
  <c r="BK77" i="11" s="1"/>
  <c r="BR77" i="11"/>
  <c r="BS77" i="11" s="1"/>
  <c r="BZ77" i="11"/>
  <c r="CA77" i="11" s="1"/>
  <c r="CH77" i="11"/>
  <c r="CI77" i="11" s="1"/>
  <c r="CP77" i="11"/>
  <c r="CQ77" i="11" s="1"/>
  <c r="CX77" i="11"/>
  <c r="CY77" i="11" s="1"/>
  <c r="DF77" i="11"/>
  <c r="DG77" i="11" s="1"/>
  <c r="DI77" i="11"/>
  <c r="DK77" i="11"/>
  <c r="DL77" i="11"/>
  <c r="DM77" i="11"/>
  <c r="B78" i="11"/>
  <c r="C78" i="11"/>
  <c r="E78" i="11"/>
  <c r="G78" i="11"/>
  <c r="H78" i="11"/>
  <c r="J78" i="11"/>
  <c r="K78" i="11"/>
  <c r="Q78" i="11"/>
  <c r="S78" i="11"/>
  <c r="T78" i="11"/>
  <c r="U78" i="11"/>
  <c r="V78" i="11"/>
  <c r="Y78" i="11"/>
  <c r="AA78" i="11"/>
  <c r="AB78" i="11"/>
  <c r="AC78" i="11"/>
  <c r="AG78" i="11"/>
  <c r="AI78" i="11"/>
  <c r="AJ78" i="11"/>
  <c r="AK78" i="11"/>
  <c r="AO78" i="11"/>
  <c r="AQ78" i="11"/>
  <c r="AR78" i="11"/>
  <c r="AS78" i="11"/>
  <c r="AW78" i="11"/>
  <c r="AY78" i="11"/>
  <c r="AZ78" i="11"/>
  <c r="BA78" i="11"/>
  <c r="BE78" i="11"/>
  <c r="BG78" i="11"/>
  <c r="BH78" i="11"/>
  <c r="BI78" i="11"/>
  <c r="BM78" i="11"/>
  <c r="BO78" i="11"/>
  <c r="BP78" i="11"/>
  <c r="BQ78" i="11"/>
  <c r="BU78" i="11"/>
  <c r="BW78" i="11"/>
  <c r="BX78" i="11"/>
  <c r="BY78" i="11"/>
  <c r="CC78" i="11"/>
  <c r="CE78" i="11"/>
  <c r="CF78" i="11"/>
  <c r="CG78" i="11"/>
  <c r="CK78" i="11"/>
  <c r="CM78" i="11"/>
  <c r="CN78" i="11"/>
  <c r="CO78" i="11"/>
  <c r="CS78" i="11"/>
  <c r="CU78" i="11"/>
  <c r="CV78" i="11"/>
  <c r="CW78" i="11"/>
  <c r="DA78" i="11"/>
  <c r="DC78" i="11"/>
  <c r="DD78" i="11"/>
  <c r="DE78" i="11"/>
  <c r="D82" i="11"/>
  <c r="I82" i="11"/>
  <c r="L82" i="11"/>
  <c r="M82" i="11"/>
  <c r="N82" i="11"/>
  <c r="R82" i="11"/>
  <c r="Z82" i="11" s="1"/>
  <c r="V82" i="11"/>
  <c r="W82" i="11" s="1"/>
  <c r="AD82" i="11"/>
  <c r="AE82" i="11" s="1"/>
  <c r="AL82" i="11"/>
  <c r="AM82" i="11" s="1"/>
  <c r="AT82" i="11"/>
  <c r="AU82" i="11" s="1"/>
  <c r="AX82" i="11"/>
  <c r="BF82" i="11" s="1"/>
  <c r="BB82" i="11"/>
  <c r="BC82" i="11" s="1"/>
  <c r="BJ82" i="11"/>
  <c r="BK82" i="11" s="1"/>
  <c r="BO82" i="11"/>
  <c r="DK82" i="11" s="1"/>
  <c r="BR82" i="11"/>
  <c r="BZ82" i="11"/>
  <c r="CA82" i="11" s="1"/>
  <c r="CH82" i="11"/>
  <c r="CI82" i="11" s="1"/>
  <c r="CP82" i="11"/>
  <c r="CQ82" i="11" s="1"/>
  <c r="CX82" i="11"/>
  <c r="CY82" i="11" s="1"/>
  <c r="DF82" i="11"/>
  <c r="DG82" i="11" s="1"/>
  <c r="DI82" i="11"/>
  <c r="DL82" i="11"/>
  <c r="DM82" i="11"/>
  <c r="D83" i="11"/>
  <c r="I83" i="11"/>
  <c r="L83" i="11"/>
  <c r="M83" i="11"/>
  <c r="N83" i="11"/>
  <c r="R83" i="11"/>
  <c r="Z83" i="11" s="1"/>
  <c r="AP83" i="11" s="1"/>
  <c r="V83" i="11"/>
  <c r="W83" i="11" s="1"/>
  <c r="AD83" i="11"/>
  <c r="AE83" i="11" s="1"/>
  <c r="AL83" i="11"/>
  <c r="AM83" i="11" s="1"/>
  <c r="AT83" i="11"/>
  <c r="AU83" i="11" s="1"/>
  <c r="AX83" i="11"/>
  <c r="BF83" i="11" s="1"/>
  <c r="BN83" i="11" s="1"/>
  <c r="BV83" i="11" s="1"/>
  <c r="CD83" i="11" s="1"/>
  <c r="CL83" i="11" s="1"/>
  <c r="CT83" i="11" s="1"/>
  <c r="DB83" i="11" s="1"/>
  <c r="BB83" i="11"/>
  <c r="BC83" i="11" s="1"/>
  <c r="BJ83" i="11"/>
  <c r="BK83" i="11" s="1"/>
  <c r="BR83" i="11"/>
  <c r="BS83" i="11" s="1"/>
  <c r="BZ83" i="11"/>
  <c r="CA83" i="11" s="1"/>
  <c r="CH83" i="11"/>
  <c r="CI83" i="11" s="1"/>
  <c r="CP83" i="11"/>
  <c r="CQ83" i="11" s="1"/>
  <c r="CX83" i="11"/>
  <c r="CY83" i="11" s="1"/>
  <c r="DF83" i="11"/>
  <c r="DG83" i="11" s="1"/>
  <c r="DI83" i="11"/>
  <c r="DK83" i="11"/>
  <c r="DL83" i="11"/>
  <c r="DM83" i="11"/>
  <c r="D84" i="11"/>
  <c r="I84" i="11"/>
  <c r="L84" i="11"/>
  <c r="M84" i="11"/>
  <c r="N84" i="11"/>
  <c r="R84" i="11"/>
  <c r="V84" i="11"/>
  <c r="W84" i="11" s="1"/>
  <c r="AD84" i="11"/>
  <c r="AE84" i="11" s="1"/>
  <c r="AL84" i="11"/>
  <c r="AM84" i="11" s="1"/>
  <c r="AT84" i="11"/>
  <c r="AU84" i="11" s="1"/>
  <c r="AX84" i="11"/>
  <c r="BF84" i="11" s="1"/>
  <c r="BN84" i="11" s="1"/>
  <c r="BV84" i="11" s="1"/>
  <c r="CD84" i="11" s="1"/>
  <c r="CL84" i="11" s="1"/>
  <c r="CT84" i="11" s="1"/>
  <c r="DB84" i="11" s="1"/>
  <c r="BB84" i="11"/>
  <c r="BC84" i="11" s="1"/>
  <c r="BJ84" i="11"/>
  <c r="BK84" i="11" s="1"/>
  <c r="BR84" i="11"/>
  <c r="BS84" i="11" s="1"/>
  <c r="BZ84" i="11"/>
  <c r="CA84" i="11" s="1"/>
  <c r="CH84" i="11"/>
  <c r="CI84" i="11" s="1"/>
  <c r="CP84" i="11"/>
  <c r="CQ84" i="11" s="1"/>
  <c r="CX84" i="11"/>
  <c r="CY84" i="11" s="1"/>
  <c r="DF84" i="11"/>
  <c r="DG84" i="11" s="1"/>
  <c r="DI84" i="11"/>
  <c r="DK84" i="11"/>
  <c r="DL84" i="11"/>
  <c r="DM84" i="11"/>
  <c r="B85" i="11"/>
  <c r="C85" i="11"/>
  <c r="E85" i="11"/>
  <c r="G85" i="11"/>
  <c r="H85" i="11"/>
  <c r="J85" i="11"/>
  <c r="K85" i="11"/>
  <c r="Q85" i="11"/>
  <c r="S85" i="11"/>
  <c r="T85" i="11"/>
  <c r="U85" i="11"/>
  <c r="Y85" i="11"/>
  <c r="AA85" i="11"/>
  <c r="AB85" i="11"/>
  <c r="AC85" i="11"/>
  <c r="AG85" i="11"/>
  <c r="AI85" i="11"/>
  <c r="AJ85" i="11"/>
  <c r="AK85" i="11"/>
  <c r="AO85" i="11"/>
  <c r="AQ85" i="11"/>
  <c r="AR85" i="11"/>
  <c r="AS85" i="11"/>
  <c r="AW85" i="11"/>
  <c r="AY85" i="11"/>
  <c r="AZ85" i="11"/>
  <c r="BA85" i="11"/>
  <c r="BE85" i="11"/>
  <c r="BG85" i="11"/>
  <c r="BH85" i="11"/>
  <c r="V127" i="17" s="1"/>
  <c r="BI85" i="11"/>
  <c r="BM85" i="11"/>
  <c r="BO85" i="11"/>
  <c r="BP85" i="11"/>
  <c r="BQ85" i="11"/>
  <c r="BU85" i="11"/>
  <c r="BW85" i="11"/>
  <c r="BX85" i="11"/>
  <c r="BY85" i="11"/>
  <c r="CC85" i="11"/>
  <c r="CE85" i="11"/>
  <c r="CF85" i="11"/>
  <c r="CZ127" i="17" s="1"/>
  <c r="CG85" i="11"/>
  <c r="CK85" i="11"/>
  <c r="CM85" i="11"/>
  <c r="CN85" i="11"/>
  <c r="EF127" i="17" s="1"/>
  <c r="EF128" i="17" s="1"/>
  <c r="CO85" i="11"/>
  <c r="CS85" i="11"/>
  <c r="CU85" i="11"/>
  <c r="CV85" i="11"/>
  <c r="CW85" i="11"/>
  <c r="DA85" i="11"/>
  <c r="DC85" i="11"/>
  <c r="DD85" i="11"/>
  <c r="DE85" i="11"/>
  <c r="D87" i="11"/>
  <c r="R87" i="11"/>
  <c r="AH87" i="11" s="1"/>
  <c r="AX87" i="11" s="1"/>
  <c r="V87" i="11"/>
  <c r="W87" i="11" s="1"/>
  <c r="AD87" i="11"/>
  <c r="AE87" i="11" s="1"/>
  <c r="AL87" i="11"/>
  <c r="AM87" i="11" s="1"/>
  <c r="AT87" i="11"/>
  <c r="AU87" i="11" s="1"/>
  <c r="BB87" i="11"/>
  <c r="BC87" i="11" s="1"/>
  <c r="BJ87" i="11"/>
  <c r="BK87" i="11" s="1"/>
  <c r="BS87" i="11"/>
  <c r="CA87" i="11"/>
  <c r="CI87" i="11"/>
  <c r="CQ87" i="11"/>
  <c r="CX87" i="11"/>
  <c r="CY87" i="11" s="1"/>
  <c r="DG87" i="11"/>
  <c r="DI87" i="11"/>
  <c r="DK87" i="11"/>
  <c r="DL87" i="11"/>
  <c r="DM87" i="11"/>
  <c r="E89" i="11"/>
  <c r="D89" i="11" s="1"/>
  <c r="R89" i="11"/>
  <c r="Z89" i="11" s="1"/>
  <c r="AP89" i="11" s="1"/>
  <c r="BF89" i="11" s="1"/>
  <c r="BN89" i="11" s="1"/>
  <c r="BV89" i="11" s="1"/>
  <c r="CD89" i="11" s="1"/>
  <c r="CL89" i="11" s="1"/>
  <c r="CT89" i="11" s="1"/>
  <c r="DB89" i="11" s="1"/>
  <c r="V89" i="11"/>
  <c r="W89" i="11" s="1"/>
  <c r="AD89" i="11"/>
  <c r="AE89" i="11" s="1"/>
  <c r="AH89" i="11"/>
  <c r="AX89" i="11" s="1"/>
  <c r="AL89" i="11"/>
  <c r="AM89" i="11" s="1"/>
  <c r="AT89" i="11"/>
  <c r="AU89" i="11" s="1"/>
  <c r="BB89" i="11"/>
  <c r="BC89" i="11" s="1"/>
  <c r="BJ89" i="11"/>
  <c r="BK89" i="11" s="1"/>
  <c r="BS89" i="11"/>
  <c r="CA89" i="11"/>
  <c r="CI89" i="11"/>
  <c r="CQ89" i="11"/>
  <c r="CX89" i="11"/>
  <c r="CY89" i="11" s="1"/>
  <c r="DF89" i="11"/>
  <c r="DG89" i="11" s="1"/>
  <c r="DI89" i="11"/>
  <c r="DK89" i="11"/>
  <c r="DL89" i="11"/>
  <c r="DM89" i="11"/>
  <c r="E92" i="11"/>
  <c r="D92" i="11" s="1"/>
  <c r="R92" i="11"/>
  <c r="V92" i="11"/>
  <c r="W92" i="11" s="1"/>
  <c r="Z92" i="11"/>
  <c r="AD92" i="11"/>
  <c r="AH92" i="11"/>
  <c r="AL92" i="11"/>
  <c r="AM92" i="11" s="1"/>
  <c r="AP92" i="11"/>
  <c r="AT92" i="11"/>
  <c r="AU92" i="11" s="1"/>
  <c r="AX92" i="11"/>
  <c r="BB92" i="11"/>
  <c r="BC92" i="11" s="1"/>
  <c r="BF92" i="11"/>
  <c r="BJ92" i="11"/>
  <c r="BK92" i="11" s="1"/>
  <c r="BN92" i="11"/>
  <c r="BR92" i="11"/>
  <c r="BS92" i="11" s="1"/>
  <c r="BV92" i="11"/>
  <c r="BZ92" i="11"/>
  <c r="CA92" i="11" s="1"/>
  <c r="CD92" i="11"/>
  <c r="CH92" i="11"/>
  <c r="CI92" i="11" s="1"/>
  <c r="CL92" i="11"/>
  <c r="CP92" i="11"/>
  <c r="CQ92" i="11" s="1"/>
  <c r="CT92" i="11"/>
  <c r="CX92" i="11"/>
  <c r="CY92" i="11" s="1"/>
  <c r="DB92" i="11"/>
  <c r="DF92" i="11"/>
  <c r="DG92" i="11" s="1"/>
  <c r="DI92" i="11"/>
  <c r="DK92" i="11"/>
  <c r="DL92" i="11"/>
  <c r="DN92" i="11" s="1"/>
  <c r="E93" i="11"/>
  <c r="D93" i="11" s="1"/>
  <c r="R93" i="11"/>
  <c r="V93" i="11"/>
  <c r="W93" i="11" s="1"/>
  <c r="Z93" i="11"/>
  <c r="AD93" i="11"/>
  <c r="AE93" i="11" s="1"/>
  <c r="AH93" i="11"/>
  <c r="AL93" i="11"/>
  <c r="AM93" i="11" s="1"/>
  <c r="AP93" i="11"/>
  <c r="AT93" i="11"/>
  <c r="AU93" i="11" s="1"/>
  <c r="AX93" i="11"/>
  <c r="BB93" i="11"/>
  <c r="BC93" i="11" s="1"/>
  <c r="BF93" i="11"/>
  <c r="BJ93" i="11"/>
  <c r="BK93" i="11" s="1"/>
  <c r="BN93" i="11"/>
  <c r="BR93" i="11"/>
  <c r="BS93" i="11" s="1"/>
  <c r="BV93" i="11"/>
  <c r="BZ93" i="11"/>
  <c r="CA93" i="11" s="1"/>
  <c r="CD93" i="11"/>
  <c r="CH93" i="11"/>
  <c r="CI93" i="11" s="1"/>
  <c r="CL93" i="11"/>
  <c r="CL94" i="11" s="1"/>
  <c r="CP93" i="11"/>
  <c r="CQ93" i="11" s="1"/>
  <c r="CT93" i="11"/>
  <c r="CX93" i="11"/>
  <c r="CY93" i="11" s="1"/>
  <c r="DB93" i="11"/>
  <c r="DF93" i="11"/>
  <c r="DG93" i="11" s="1"/>
  <c r="DI93" i="11"/>
  <c r="DI94" i="11" s="1"/>
  <c r="DK93" i="11"/>
  <c r="DL93" i="11"/>
  <c r="DN93" i="11" s="1"/>
  <c r="B94" i="11"/>
  <c r="C94" i="11"/>
  <c r="Q94" i="11"/>
  <c r="S94" i="11"/>
  <c r="T94" i="11"/>
  <c r="U94" i="11"/>
  <c r="Y94" i="11"/>
  <c r="AA94" i="11"/>
  <c r="AB94" i="11"/>
  <c r="AC94" i="11"/>
  <c r="AG94" i="11"/>
  <c r="AI94" i="11"/>
  <c r="AJ94" i="11"/>
  <c r="AK94" i="11"/>
  <c r="AO94" i="11"/>
  <c r="AQ94" i="11"/>
  <c r="AR94" i="11"/>
  <c r="AS94" i="11"/>
  <c r="AW94" i="11"/>
  <c r="AY94" i="11"/>
  <c r="AZ94" i="11"/>
  <c r="BA94" i="11"/>
  <c r="BE94" i="11"/>
  <c r="BG94" i="11"/>
  <c r="BH94" i="11"/>
  <c r="BI94" i="11"/>
  <c r="BM94" i="11"/>
  <c r="BO94" i="11"/>
  <c r="BP94" i="11"/>
  <c r="BQ94" i="11"/>
  <c r="BS94" i="11"/>
  <c r="BU94" i="11"/>
  <c r="BW94" i="11"/>
  <c r="BX94" i="11"/>
  <c r="BY94" i="11"/>
  <c r="CC94" i="11"/>
  <c r="CE94" i="11"/>
  <c r="CF94" i="11"/>
  <c r="CG94" i="11"/>
  <c r="CK94" i="11"/>
  <c r="CM94" i="11"/>
  <c r="CN94" i="11"/>
  <c r="CO94" i="11"/>
  <c r="CS94" i="11"/>
  <c r="CU94" i="11"/>
  <c r="CV94" i="11"/>
  <c r="CW94" i="11"/>
  <c r="DA94" i="11"/>
  <c r="DC94" i="11"/>
  <c r="GZ143" i="17" s="1"/>
  <c r="DD94" i="11"/>
  <c r="DE94" i="11"/>
  <c r="DM94" i="11"/>
  <c r="E96" i="11"/>
  <c r="D96" i="11" s="1"/>
  <c r="R96" i="11"/>
  <c r="AH96" i="11" s="1"/>
  <c r="AX96" i="11" s="1"/>
  <c r="V96" i="11"/>
  <c r="W96" i="11" s="1"/>
  <c r="AD96" i="11"/>
  <c r="AE96" i="11" s="1"/>
  <c r="AL96" i="11"/>
  <c r="AM96" i="11" s="1"/>
  <c r="AT96" i="11"/>
  <c r="AU96" i="11" s="1"/>
  <c r="BB96" i="11"/>
  <c r="BC96" i="11" s="1"/>
  <c r="BJ96" i="11"/>
  <c r="BK96" i="11" s="1"/>
  <c r="BS96" i="11"/>
  <c r="CA96" i="11"/>
  <c r="CE96" i="11"/>
  <c r="CI96" i="11" s="1"/>
  <c r="CQ96" i="11"/>
  <c r="CY96" i="11"/>
  <c r="DG96" i="11"/>
  <c r="DI96" i="11"/>
  <c r="DL96" i="11"/>
  <c r="DM96" i="11"/>
  <c r="B98" i="11"/>
  <c r="R98" i="11" s="1"/>
  <c r="C98" i="11"/>
  <c r="E98" i="11" s="1"/>
  <c r="D98" i="11" s="1"/>
  <c r="V98" i="11"/>
  <c r="W98" i="11" s="1"/>
  <c r="AD98" i="11"/>
  <c r="AE98" i="11" s="1"/>
  <c r="AL98" i="11"/>
  <c r="AM98" i="11" s="1"/>
  <c r="AT98" i="11"/>
  <c r="AU98" i="11" s="1"/>
  <c r="BB98" i="11"/>
  <c r="BC98" i="11" s="1"/>
  <c r="BJ98" i="11"/>
  <c r="BK98" i="11" s="1"/>
  <c r="BS98" i="11"/>
  <c r="CA98" i="11"/>
  <c r="CI98" i="11"/>
  <c r="CQ98" i="11"/>
  <c r="CY98" i="11"/>
  <c r="DG98" i="11"/>
  <c r="DI98" i="11"/>
  <c r="DK98" i="11"/>
  <c r="DO98" i="11" s="1"/>
  <c r="DL98" i="11"/>
  <c r="DM98" i="11"/>
  <c r="BE102" i="11"/>
  <c r="BM102" i="11"/>
  <c r="CS102" i="11"/>
  <c r="Q104" i="11"/>
  <c r="CW104" i="11"/>
  <c r="D13" i="57"/>
  <c r="D53" i="57"/>
  <c r="D13" i="52"/>
  <c r="D52" i="52"/>
  <c r="F54" i="52"/>
  <c r="E10" i="45"/>
  <c r="D14" i="45"/>
  <c r="E37" i="45"/>
  <c r="E38" i="45"/>
  <c r="D56" i="45"/>
  <c r="C9" i="42"/>
  <c r="E9" i="42" s="1"/>
  <c r="D9" i="42"/>
  <c r="E10" i="42"/>
  <c r="C11" i="42"/>
  <c r="E11" i="42" s="1"/>
  <c r="D11" i="42"/>
  <c r="G13" i="42"/>
  <c r="D14" i="42"/>
  <c r="C16" i="42"/>
  <c r="E16" i="42" s="1"/>
  <c r="D16" i="42"/>
  <c r="C17" i="42"/>
  <c r="E17" i="42" s="1"/>
  <c r="D17" i="42"/>
  <c r="C19" i="42"/>
  <c r="D19" i="42"/>
  <c r="D19" i="45" s="1"/>
  <c r="C21" i="42"/>
  <c r="E21" i="42" s="1"/>
  <c r="D21" i="42"/>
  <c r="C22" i="42"/>
  <c r="D22" i="42"/>
  <c r="C23" i="42"/>
  <c r="E23" i="42" s="1"/>
  <c r="D23" i="42"/>
  <c r="C24" i="42"/>
  <c r="E24" i="42" s="1"/>
  <c r="D24" i="42"/>
  <c r="C25" i="42"/>
  <c r="E25" i="42" s="1"/>
  <c r="D25" i="42"/>
  <c r="C26" i="42"/>
  <c r="E26" i="42" s="1"/>
  <c r="D26" i="42"/>
  <c r="C27" i="42"/>
  <c r="D27" i="42"/>
  <c r="E27" i="42"/>
  <c r="C34" i="42"/>
  <c r="E34" i="42" s="1"/>
  <c r="D34" i="42"/>
  <c r="C35" i="42"/>
  <c r="E35" i="42" s="1"/>
  <c r="D35" i="42"/>
  <c r="E36" i="42"/>
  <c r="E37" i="42"/>
  <c r="C38" i="42"/>
  <c r="E38" i="42" s="1"/>
  <c r="D38" i="42"/>
  <c r="C41" i="42"/>
  <c r="E41" i="42" s="1"/>
  <c r="D41" i="42"/>
  <c r="C42" i="42"/>
  <c r="E42" i="42" s="1"/>
  <c r="D42" i="42"/>
  <c r="C43" i="42"/>
  <c r="D43" i="42"/>
  <c r="E43" i="42"/>
  <c r="F43" i="42"/>
  <c r="F45" i="42" s="1"/>
  <c r="C44" i="42"/>
  <c r="D44" i="42"/>
  <c r="C45" i="42"/>
  <c r="E45" i="42" s="1"/>
  <c r="D45" i="42"/>
  <c r="C46" i="42"/>
  <c r="E46" i="42" s="1"/>
  <c r="D46" i="42"/>
  <c r="C47" i="42"/>
  <c r="E47" i="42" s="1"/>
  <c r="D47" i="42"/>
  <c r="C48" i="42"/>
  <c r="D48" i="42"/>
  <c r="E48" i="42"/>
  <c r="C49" i="42"/>
  <c r="E49" i="42" s="1"/>
  <c r="D49" i="42"/>
  <c r="F57" i="42"/>
  <c r="E6" i="34"/>
  <c r="E7" i="34"/>
  <c r="E8" i="34"/>
  <c r="E9" i="34"/>
  <c r="E10" i="34"/>
  <c r="G12" i="34"/>
  <c r="E14" i="34"/>
  <c r="G14" i="34"/>
  <c r="F11" i="34" s="1"/>
  <c r="E16" i="34"/>
  <c r="E17" i="34"/>
  <c r="E18" i="34"/>
  <c r="E19" i="34"/>
  <c r="E20" i="34"/>
  <c r="E21" i="34"/>
  <c r="E22" i="34"/>
  <c r="E23" i="34"/>
  <c r="C26" i="34"/>
  <c r="E31" i="34"/>
  <c r="E32" i="34"/>
  <c r="E33" i="34"/>
  <c r="E34" i="34"/>
  <c r="E35" i="34"/>
  <c r="E37" i="34"/>
  <c r="E38" i="34"/>
  <c r="E39" i="34"/>
  <c r="E41" i="34"/>
  <c r="E42" i="34"/>
  <c r="E43" i="34"/>
  <c r="E44" i="34"/>
  <c r="E45" i="34"/>
  <c r="E46" i="34"/>
  <c r="E47" i="34"/>
  <c r="C48" i="34"/>
  <c r="C49" i="34"/>
  <c r="F55" i="34"/>
  <c r="D7" i="31"/>
  <c r="E7" i="31" s="1"/>
  <c r="E8" i="31"/>
  <c r="E9" i="31"/>
  <c r="D11" i="31"/>
  <c r="G11" i="31"/>
  <c r="D12" i="31"/>
  <c r="D14" i="31"/>
  <c r="E14" i="31" s="1"/>
  <c r="E17" i="31"/>
  <c r="E18" i="31"/>
  <c r="D20" i="31"/>
  <c r="E20" i="31" s="1"/>
  <c r="E21" i="31"/>
  <c r="E22" i="31"/>
  <c r="E23" i="31"/>
  <c r="D24" i="31"/>
  <c r="E24" i="31" s="1"/>
  <c r="D25" i="31"/>
  <c r="E25" i="31" s="1"/>
  <c r="C26" i="31"/>
  <c r="C27" i="31"/>
  <c r="E34" i="31"/>
  <c r="E35" i="31"/>
  <c r="E37" i="31"/>
  <c r="E38" i="31"/>
  <c r="E39" i="31"/>
  <c r="E42" i="31"/>
  <c r="E43" i="31"/>
  <c r="E44" i="31"/>
  <c r="E45" i="31"/>
  <c r="E46" i="31"/>
  <c r="E47" i="31"/>
  <c r="D12" i="60"/>
  <c r="D13" i="60"/>
  <c r="G15" i="60"/>
  <c r="C17" i="60"/>
  <c r="E17" i="60" s="1"/>
  <c r="G24" i="60"/>
  <c r="C79" i="60"/>
  <c r="D12" i="56"/>
  <c r="D13" i="56"/>
  <c r="G15" i="56"/>
  <c r="D17" i="56"/>
  <c r="C17" i="56" s="1"/>
  <c r="E17" i="56" s="1"/>
  <c r="C79" i="56"/>
  <c r="D12" i="53"/>
  <c r="D13" i="53"/>
  <c r="E17" i="53"/>
  <c r="F45" i="53"/>
  <c r="C78" i="53"/>
  <c r="E10" i="48"/>
  <c r="D13" i="48"/>
  <c r="D14" i="48"/>
  <c r="G14" i="48"/>
  <c r="C19" i="48"/>
  <c r="E19" i="48" s="1"/>
  <c r="E36" i="48"/>
  <c r="E37" i="48"/>
  <c r="F39" i="48"/>
  <c r="E10" i="41"/>
  <c r="D13" i="41"/>
  <c r="D14" i="41"/>
  <c r="G14" i="41"/>
  <c r="E19" i="41"/>
  <c r="E36" i="41"/>
  <c r="E37" i="41"/>
  <c r="E8" i="35"/>
  <c r="D11" i="35"/>
  <c r="G11" i="35"/>
  <c r="D12" i="35"/>
  <c r="C14" i="35"/>
  <c r="D17" i="35"/>
  <c r="C17" i="35" s="1"/>
  <c r="E17" i="35" s="1"/>
  <c r="D34" i="35"/>
  <c r="E34" i="35"/>
  <c r="D35" i="35"/>
  <c r="E35" i="35"/>
  <c r="G10" i="17"/>
  <c r="M10" i="17"/>
  <c r="N10" i="17"/>
  <c r="R10" i="17"/>
  <c r="S10" i="17" s="1"/>
  <c r="AA10" i="17"/>
  <c r="AB10" i="17"/>
  <c r="AH10" i="17"/>
  <c r="AI10" i="17"/>
  <c r="AK10" i="17"/>
  <c r="AS10" i="17"/>
  <c r="AT10" i="17"/>
  <c r="AY10" i="17"/>
  <c r="AZ10" i="17"/>
  <c r="BA10" i="17"/>
  <c r="BQ10" i="17" s="1"/>
  <c r="BB10" i="17"/>
  <c r="CH10" i="17" s="1"/>
  <c r="DN10" i="17" s="1"/>
  <c r="ET10" i="17" s="1"/>
  <c r="FZ10" i="17" s="1"/>
  <c r="HF10" i="17" s="1"/>
  <c r="BC10" i="17"/>
  <c r="CI10" i="17" s="1"/>
  <c r="DO10" i="17" s="1"/>
  <c r="EU10" i="17" s="1"/>
  <c r="GA10" i="17" s="1"/>
  <c r="HG10" i="17" s="1"/>
  <c r="BD10" i="17"/>
  <c r="CJ10" i="17" s="1"/>
  <c r="DP10" i="17" s="1"/>
  <c r="EV10" i="17" s="1"/>
  <c r="GB10" i="17" s="1"/>
  <c r="HH10" i="17" s="1"/>
  <c r="BE10" i="17"/>
  <c r="CK10" i="17" s="1"/>
  <c r="DQ10" i="17" s="1"/>
  <c r="EW10" i="17" s="1"/>
  <c r="GC10" i="17" s="1"/>
  <c r="HI10" i="17" s="1"/>
  <c r="BF10" i="17"/>
  <c r="CL10" i="17" s="1"/>
  <c r="DR10" i="17" s="1"/>
  <c r="EX10" i="17" s="1"/>
  <c r="GD10" i="17" s="1"/>
  <c r="HJ10" i="17" s="1"/>
  <c r="BJ10" i="17"/>
  <c r="CP10" i="17" s="1"/>
  <c r="DV10" i="17" s="1"/>
  <c r="FB10" i="17" s="1"/>
  <c r="GH10" i="17" s="1"/>
  <c r="HN10" i="17" s="1"/>
  <c r="BK10" i="17"/>
  <c r="CQ10" i="17" s="1"/>
  <c r="DW10" i="17" s="1"/>
  <c r="FC10" i="17" s="1"/>
  <c r="GI10" i="17" s="1"/>
  <c r="HO10" i="17" s="1"/>
  <c r="BL10" i="17"/>
  <c r="CR10" i="17" s="1"/>
  <c r="DX10" i="17" s="1"/>
  <c r="FD10" i="17" s="1"/>
  <c r="GJ10" i="17" s="1"/>
  <c r="HP10" i="17" s="1"/>
  <c r="BM10" i="17"/>
  <c r="CS10" i="17" s="1"/>
  <c r="DY10" i="17" s="1"/>
  <c r="FE10" i="17" s="1"/>
  <c r="GK10" i="17" s="1"/>
  <c r="HQ10" i="17" s="1"/>
  <c r="BY10" i="17"/>
  <c r="BZ10" i="17"/>
  <c r="CE10" i="17"/>
  <c r="CF10" i="17"/>
  <c r="DE10" i="17"/>
  <c r="DF10" i="17"/>
  <c r="DK10" i="17"/>
  <c r="DL10" i="17"/>
  <c r="G11" i="17"/>
  <c r="N11" i="17"/>
  <c r="R11" i="17"/>
  <c r="S11" i="17" s="1"/>
  <c r="AA11" i="17"/>
  <c r="AB11" i="17"/>
  <c r="AC11" i="17" s="1"/>
  <c r="AH11" i="17"/>
  <c r="AI11" i="17"/>
  <c r="AK11" i="17"/>
  <c r="AS11" i="17"/>
  <c r="AT11" i="17"/>
  <c r="AY11" i="17"/>
  <c r="AZ11" i="17"/>
  <c r="BA11" i="17"/>
  <c r="CG11" i="17" s="1"/>
  <c r="BB11" i="17"/>
  <c r="CH11" i="17" s="1"/>
  <c r="DN11" i="17" s="1"/>
  <c r="ET11" i="17" s="1"/>
  <c r="FZ11" i="17" s="1"/>
  <c r="HF11" i="17" s="1"/>
  <c r="BC11" i="17"/>
  <c r="CI11" i="17" s="1"/>
  <c r="DO11" i="17" s="1"/>
  <c r="EU11" i="17" s="1"/>
  <c r="GA11" i="17" s="1"/>
  <c r="HG11" i="17" s="1"/>
  <c r="BD11" i="17"/>
  <c r="CJ11" i="17" s="1"/>
  <c r="DP11" i="17" s="1"/>
  <c r="EV11" i="17" s="1"/>
  <c r="GB11" i="17" s="1"/>
  <c r="HH11" i="17" s="1"/>
  <c r="BE11" i="17"/>
  <c r="CK11" i="17" s="1"/>
  <c r="DQ11" i="17" s="1"/>
  <c r="EW11" i="17" s="1"/>
  <c r="GC11" i="17" s="1"/>
  <c r="HI11" i="17" s="1"/>
  <c r="BF11" i="17"/>
  <c r="CL11" i="17" s="1"/>
  <c r="DR11" i="17" s="1"/>
  <c r="EX11" i="17" s="1"/>
  <c r="GD11" i="17" s="1"/>
  <c r="HJ11" i="17" s="1"/>
  <c r="BJ11" i="17"/>
  <c r="CP11" i="17" s="1"/>
  <c r="DV11" i="17" s="1"/>
  <c r="FB11" i="17" s="1"/>
  <c r="GH11" i="17" s="1"/>
  <c r="HN11" i="17" s="1"/>
  <c r="BK11" i="17"/>
  <c r="CQ11" i="17" s="1"/>
  <c r="DW11" i="17" s="1"/>
  <c r="FC11" i="17" s="1"/>
  <c r="GI11" i="17" s="1"/>
  <c r="HO11" i="17" s="1"/>
  <c r="BL11" i="17"/>
  <c r="CR11" i="17" s="1"/>
  <c r="DX11" i="17" s="1"/>
  <c r="FD11" i="17" s="1"/>
  <c r="GJ11" i="17" s="1"/>
  <c r="HP11" i="17" s="1"/>
  <c r="BM11" i="17"/>
  <c r="CS11" i="17" s="1"/>
  <c r="DY11" i="17" s="1"/>
  <c r="FE11" i="17" s="1"/>
  <c r="GK11" i="17" s="1"/>
  <c r="HQ11" i="17" s="1"/>
  <c r="BY11" i="17"/>
  <c r="BZ11" i="17"/>
  <c r="CE11" i="17"/>
  <c r="CF11" i="17"/>
  <c r="DE11" i="17"/>
  <c r="DF11" i="17"/>
  <c r="DK11" i="17"/>
  <c r="DL11" i="17"/>
  <c r="G12" i="17"/>
  <c r="M12" i="17"/>
  <c r="N12" i="17"/>
  <c r="R12" i="17"/>
  <c r="S12" i="17" s="1"/>
  <c r="AA12" i="17"/>
  <c r="AB12" i="17"/>
  <c r="AH12" i="17"/>
  <c r="AI12" i="17"/>
  <c r="AJ12" i="17" s="1"/>
  <c r="AK12" i="17"/>
  <c r="AS12" i="17"/>
  <c r="AT12" i="17"/>
  <c r="AY12" i="17"/>
  <c r="AZ12" i="17"/>
  <c r="BA12" i="17"/>
  <c r="CG12" i="17" s="1"/>
  <c r="CW12" i="17" s="1"/>
  <c r="BB12" i="17"/>
  <c r="CH12" i="17" s="1"/>
  <c r="DN12" i="17" s="1"/>
  <c r="ET12" i="17" s="1"/>
  <c r="FZ12" i="17" s="1"/>
  <c r="HF12" i="17" s="1"/>
  <c r="BC12" i="17"/>
  <c r="CI12" i="17" s="1"/>
  <c r="DO12" i="17" s="1"/>
  <c r="EU12" i="17" s="1"/>
  <c r="GA12" i="17" s="1"/>
  <c r="HG12" i="17" s="1"/>
  <c r="BD12" i="17"/>
  <c r="CJ12" i="17" s="1"/>
  <c r="DP12" i="17" s="1"/>
  <c r="EV12" i="17" s="1"/>
  <c r="GB12" i="17" s="1"/>
  <c r="HH12" i="17" s="1"/>
  <c r="BE12" i="17"/>
  <c r="CK12" i="17" s="1"/>
  <c r="DQ12" i="17" s="1"/>
  <c r="EW12" i="17" s="1"/>
  <c r="GC12" i="17" s="1"/>
  <c r="HI12" i="17" s="1"/>
  <c r="BF12" i="17"/>
  <c r="CL12" i="17" s="1"/>
  <c r="DR12" i="17" s="1"/>
  <c r="EX12" i="17" s="1"/>
  <c r="GD12" i="17" s="1"/>
  <c r="HJ12" i="17" s="1"/>
  <c r="BJ12" i="17"/>
  <c r="CP12" i="17" s="1"/>
  <c r="DV12" i="17" s="1"/>
  <c r="FB12" i="17" s="1"/>
  <c r="GH12" i="17" s="1"/>
  <c r="HN12" i="17" s="1"/>
  <c r="BK12" i="17"/>
  <c r="CQ12" i="17" s="1"/>
  <c r="DW12" i="17" s="1"/>
  <c r="FC12" i="17" s="1"/>
  <c r="GI12" i="17" s="1"/>
  <c r="HO12" i="17" s="1"/>
  <c r="BL12" i="17"/>
  <c r="CR12" i="17" s="1"/>
  <c r="DX12" i="17" s="1"/>
  <c r="FD12" i="17" s="1"/>
  <c r="GJ12" i="17" s="1"/>
  <c r="HP12" i="17" s="1"/>
  <c r="BM12" i="17"/>
  <c r="CS12" i="17" s="1"/>
  <c r="DY12" i="17" s="1"/>
  <c r="FE12" i="17" s="1"/>
  <c r="GK12" i="17" s="1"/>
  <c r="HQ12" i="17" s="1"/>
  <c r="BY12" i="17"/>
  <c r="BZ12" i="17"/>
  <c r="CE12" i="17"/>
  <c r="CF12" i="17"/>
  <c r="DE12" i="17"/>
  <c r="DF12" i="17"/>
  <c r="DK12" i="17"/>
  <c r="DL12" i="17"/>
  <c r="G13" i="17"/>
  <c r="N13" i="17"/>
  <c r="R13" i="17"/>
  <c r="S13" i="17" s="1"/>
  <c r="AA13" i="17"/>
  <c r="AB13" i="17"/>
  <c r="AH13" i="17"/>
  <c r="AI13" i="17"/>
  <c r="AK13" i="17"/>
  <c r="AS13" i="17"/>
  <c r="AT13" i="17"/>
  <c r="AY13" i="17"/>
  <c r="AZ13" i="17"/>
  <c r="BA13" i="17"/>
  <c r="BQ13" i="17" s="1"/>
  <c r="BB13" i="17"/>
  <c r="CH13" i="17" s="1"/>
  <c r="DN13" i="17" s="1"/>
  <c r="ET13" i="17" s="1"/>
  <c r="FZ13" i="17" s="1"/>
  <c r="HF13" i="17" s="1"/>
  <c r="BC13" i="17"/>
  <c r="CI13" i="17" s="1"/>
  <c r="DO13" i="17" s="1"/>
  <c r="EU13" i="17" s="1"/>
  <c r="GA13" i="17" s="1"/>
  <c r="HG13" i="17" s="1"/>
  <c r="BD13" i="17"/>
  <c r="CJ13" i="17" s="1"/>
  <c r="DP13" i="17" s="1"/>
  <c r="EV13" i="17" s="1"/>
  <c r="GB13" i="17" s="1"/>
  <c r="HH13" i="17" s="1"/>
  <c r="BE13" i="17"/>
  <c r="CK13" i="17" s="1"/>
  <c r="DQ13" i="17" s="1"/>
  <c r="EW13" i="17" s="1"/>
  <c r="GC13" i="17" s="1"/>
  <c r="HI13" i="17" s="1"/>
  <c r="BF13" i="17"/>
  <c r="CL13" i="17" s="1"/>
  <c r="DR13" i="17" s="1"/>
  <c r="EX13" i="17" s="1"/>
  <c r="GD13" i="17" s="1"/>
  <c r="HJ13" i="17" s="1"/>
  <c r="BJ13" i="17"/>
  <c r="CP13" i="17" s="1"/>
  <c r="DV13" i="17" s="1"/>
  <c r="FB13" i="17" s="1"/>
  <c r="GH13" i="17" s="1"/>
  <c r="HN13" i="17" s="1"/>
  <c r="BK13" i="17"/>
  <c r="CQ13" i="17" s="1"/>
  <c r="DW13" i="17" s="1"/>
  <c r="FC13" i="17" s="1"/>
  <c r="GI13" i="17" s="1"/>
  <c r="HO13" i="17" s="1"/>
  <c r="BL13" i="17"/>
  <c r="CR13" i="17" s="1"/>
  <c r="BM13" i="17"/>
  <c r="CS13" i="17" s="1"/>
  <c r="DY13" i="17" s="1"/>
  <c r="FE13" i="17" s="1"/>
  <c r="GK13" i="17" s="1"/>
  <c r="HQ13" i="17" s="1"/>
  <c r="BY13" i="17"/>
  <c r="BZ13" i="17"/>
  <c r="CE13" i="17"/>
  <c r="CF13" i="17"/>
  <c r="DE13" i="17"/>
  <c r="DF13" i="17"/>
  <c r="DK13" i="17"/>
  <c r="DL13" i="17"/>
  <c r="DX13" i="17"/>
  <c r="FD13" i="17" s="1"/>
  <c r="GJ13" i="17" s="1"/>
  <c r="HP13" i="17" s="1"/>
  <c r="G14" i="17"/>
  <c r="J14" i="17"/>
  <c r="M14" i="17"/>
  <c r="N14" i="17"/>
  <c r="R14" i="17"/>
  <c r="S14" i="17" s="1"/>
  <c r="AA14" i="17"/>
  <c r="AB14" i="17"/>
  <c r="AH14" i="17"/>
  <c r="AI14" i="17"/>
  <c r="AK14" i="17"/>
  <c r="AS14" i="17"/>
  <c r="AT14" i="17"/>
  <c r="AY14" i="17"/>
  <c r="AZ14" i="17"/>
  <c r="BA14" i="17"/>
  <c r="BQ14" i="17" s="1"/>
  <c r="BB14" i="17"/>
  <c r="CH14" i="17" s="1"/>
  <c r="DN14" i="17" s="1"/>
  <c r="ET14" i="17" s="1"/>
  <c r="FZ14" i="17" s="1"/>
  <c r="HF14" i="17" s="1"/>
  <c r="BC14" i="17"/>
  <c r="CI14" i="17" s="1"/>
  <c r="DO14" i="17" s="1"/>
  <c r="EU14" i="17" s="1"/>
  <c r="GA14" i="17" s="1"/>
  <c r="HG14" i="17" s="1"/>
  <c r="BD14" i="17"/>
  <c r="CJ14" i="17" s="1"/>
  <c r="DP14" i="17" s="1"/>
  <c r="EV14" i="17" s="1"/>
  <c r="GB14" i="17" s="1"/>
  <c r="HH14" i="17" s="1"/>
  <c r="BE14" i="17"/>
  <c r="CK14" i="17" s="1"/>
  <c r="DQ14" i="17" s="1"/>
  <c r="EW14" i="17" s="1"/>
  <c r="GC14" i="17" s="1"/>
  <c r="HI14" i="17" s="1"/>
  <c r="BF14" i="17"/>
  <c r="CL14" i="17" s="1"/>
  <c r="DR14" i="17" s="1"/>
  <c r="EX14" i="17" s="1"/>
  <c r="GD14" i="17" s="1"/>
  <c r="HJ14" i="17" s="1"/>
  <c r="BJ14" i="17"/>
  <c r="CP14" i="17" s="1"/>
  <c r="DV14" i="17" s="1"/>
  <c r="FB14" i="17" s="1"/>
  <c r="GH14" i="17" s="1"/>
  <c r="HN14" i="17" s="1"/>
  <c r="BK14" i="17"/>
  <c r="CQ14" i="17" s="1"/>
  <c r="DW14" i="17" s="1"/>
  <c r="FC14" i="17" s="1"/>
  <c r="GI14" i="17" s="1"/>
  <c r="HO14" i="17" s="1"/>
  <c r="BL14" i="17"/>
  <c r="CR14" i="17" s="1"/>
  <c r="DX14" i="17" s="1"/>
  <c r="FD14" i="17" s="1"/>
  <c r="GJ14" i="17" s="1"/>
  <c r="HP14" i="17" s="1"/>
  <c r="BM14" i="17"/>
  <c r="CS14" i="17" s="1"/>
  <c r="DY14" i="17" s="1"/>
  <c r="FE14" i="17" s="1"/>
  <c r="GK14" i="17" s="1"/>
  <c r="HQ14" i="17" s="1"/>
  <c r="BY14" i="17"/>
  <c r="BZ14" i="17"/>
  <c r="CE14" i="17"/>
  <c r="CF14" i="17"/>
  <c r="DE14" i="17"/>
  <c r="DF14" i="17"/>
  <c r="DK14" i="17"/>
  <c r="DL14" i="17"/>
  <c r="G15" i="17"/>
  <c r="M15" i="17"/>
  <c r="N15" i="17"/>
  <c r="R15" i="17"/>
  <c r="S15" i="17" s="1"/>
  <c r="AA15" i="17"/>
  <c r="AB15" i="17"/>
  <c r="AH15" i="17"/>
  <c r="AI15" i="17"/>
  <c r="AK15" i="17"/>
  <c r="AS15" i="17"/>
  <c r="AT15" i="17"/>
  <c r="AY15" i="17"/>
  <c r="AZ15" i="17"/>
  <c r="BA15" i="17"/>
  <c r="CG15" i="17" s="1"/>
  <c r="DM15" i="17" s="1"/>
  <c r="BB15" i="17"/>
  <c r="CH15" i="17" s="1"/>
  <c r="DN15" i="17" s="1"/>
  <c r="ET15" i="17" s="1"/>
  <c r="FZ15" i="17" s="1"/>
  <c r="HF15" i="17" s="1"/>
  <c r="BC15" i="17"/>
  <c r="CI15" i="17" s="1"/>
  <c r="DO15" i="17" s="1"/>
  <c r="EU15" i="17" s="1"/>
  <c r="GA15" i="17" s="1"/>
  <c r="HG15" i="17" s="1"/>
  <c r="BD15" i="17"/>
  <c r="CJ15" i="17" s="1"/>
  <c r="DP15" i="17" s="1"/>
  <c r="EV15" i="17" s="1"/>
  <c r="GB15" i="17" s="1"/>
  <c r="HH15" i="17" s="1"/>
  <c r="BE15" i="17"/>
  <c r="CK15" i="17" s="1"/>
  <c r="DQ15" i="17" s="1"/>
  <c r="EW15" i="17" s="1"/>
  <c r="GC15" i="17" s="1"/>
  <c r="HI15" i="17" s="1"/>
  <c r="BF15" i="17"/>
  <c r="CL15" i="17" s="1"/>
  <c r="DR15" i="17" s="1"/>
  <c r="EX15" i="17" s="1"/>
  <c r="GD15" i="17" s="1"/>
  <c r="HJ15" i="17" s="1"/>
  <c r="BJ15" i="17"/>
  <c r="CP15" i="17" s="1"/>
  <c r="DV15" i="17" s="1"/>
  <c r="FB15" i="17" s="1"/>
  <c r="GH15" i="17" s="1"/>
  <c r="HN15" i="17" s="1"/>
  <c r="BK15" i="17"/>
  <c r="CQ15" i="17" s="1"/>
  <c r="DW15" i="17" s="1"/>
  <c r="FC15" i="17" s="1"/>
  <c r="GI15" i="17" s="1"/>
  <c r="HO15" i="17" s="1"/>
  <c r="BL15" i="17"/>
  <c r="CR15" i="17" s="1"/>
  <c r="DX15" i="17" s="1"/>
  <c r="FD15" i="17" s="1"/>
  <c r="GJ15" i="17" s="1"/>
  <c r="HP15" i="17" s="1"/>
  <c r="BM15" i="17"/>
  <c r="CS15" i="17" s="1"/>
  <c r="DY15" i="17" s="1"/>
  <c r="FE15" i="17" s="1"/>
  <c r="GK15" i="17" s="1"/>
  <c r="HQ15" i="17" s="1"/>
  <c r="BY15" i="17"/>
  <c r="BZ15" i="17"/>
  <c r="CE15" i="17"/>
  <c r="CF15" i="17"/>
  <c r="DE15" i="17"/>
  <c r="DF15" i="17"/>
  <c r="DK15" i="17"/>
  <c r="DL15" i="17"/>
  <c r="G16" i="17"/>
  <c r="J16" i="17"/>
  <c r="M16" i="17"/>
  <c r="N16" i="17"/>
  <c r="R16" i="17"/>
  <c r="S16" i="17" s="1"/>
  <c r="AA16" i="17"/>
  <c r="AB16" i="17"/>
  <c r="AH16" i="17"/>
  <c r="AI16" i="17"/>
  <c r="AK16" i="17"/>
  <c r="AS16" i="17"/>
  <c r="AT16" i="17"/>
  <c r="AY16" i="17"/>
  <c r="AZ16" i="17"/>
  <c r="BA16" i="17"/>
  <c r="CG16" i="17" s="1"/>
  <c r="CW16" i="17" s="1"/>
  <c r="BB16" i="17"/>
  <c r="CH16" i="17" s="1"/>
  <c r="DN16" i="17" s="1"/>
  <c r="ET16" i="17" s="1"/>
  <c r="FZ16" i="17" s="1"/>
  <c r="HF16" i="17" s="1"/>
  <c r="BC16" i="17"/>
  <c r="CI16" i="17" s="1"/>
  <c r="DO16" i="17" s="1"/>
  <c r="EU16" i="17" s="1"/>
  <c r="GA16" i="17" s="1"/>
  <c r="HG16" i="17" s="1"/>
  <c r="BD16" i="17"/>
  <c r="CJ16" i="17" s="1"/>
  <c r="DP16" i="17" s="1"/>
  <c r="EV16" i="17" s="1"/>
  <c r="GB16" i="17" s="1"/>
  <c r="HH16" i="17" s="1"/>
  <c r="BE16" i="17"/>
  <c r="CK16" i="17" s="1"/>
  <c r="DQ16" i="17" s="1"/>
  <c r="EW16" i="17" s="1"/>
  <c r="GC16" i="17" s="1"/>
  <c r="HI16" i="17" s="1"/>
  <c r="BF16" i="17"/>
  <c r="CL16" i="17" s="1"/>
  <c r="DR16" i="17" s="1"/>
  <c r="EX16" i="17" s="1"/>
  <c r="GD16" i="17" s="1"/>
  <c r="HJ16" i="17" s="1"/>
  <c r="BJ16" i="17"/>
  <c r="CP16" i="17" s="1"/>
  <c r="DV16" i="17" s="1"/>
  <c r="FB16" i="17" s="1"/>
  <c r="GH16" i="17" s="1"/>
  <c r="HN16" i="17" s="1"/>
  <c r="BK16" i="17"/>
  <c r="CQ16" i="17" s="1"/>
  <c r="DW16" i="17" s="1"/>
  <c r="FC16" i="17" s="1"/>
  <c r="GI16" i="17" s="1"/>
  <c r="HO16" i="17" s="1"/>
  <c r="BL16" i="17"/>
  <c r="CR16" i="17" s="1"/>
  <c r="DX16" i="17" s="1"/>
  <c r="FD16" i="17" s="1"/>
  <c r="GJ16" i="17" s="1"/>
  <c r="HP16" i="17" s="1"/>
  <c r="BM16" i="17"/>
  <c r="CS16" i="17" s="1"/>
  <c r="DY16" i="17" s="1"/>
  <c r="FE16" i="17" s="1"/>
  <c r="GK16" i="17" s="1"/>
  <c r="HQ16" i="17" s="1"/>
  <c r="BY16" i="17"/>
  <c r="BZ16" i="17"/>
  <c r="CE16" i="17"/>
  <c r="CF16" i="17"/>
  <c r="DE16" i="17"/>
  <c r="DF16" i="17"/>
  <c r="DK16" i="17"/>
  <c r="DL16" i="17"/>
  <c r="G17" i="17"/>
  <c r="M17" i="17"/>
  <c r="N17" i="17"/>
  <c r="R17" i="17"/>
  <c r="S17" i="17" s="1"/>
  <c r="AA17" i="17"/>
  <c r="AB17" i="17"/>
  <c r="AH17" i="17"/>
  <c r="AI17" i="17"/>
  <c r="AK17" i="17"/>
  <c r="AS17" i="17"/>
  <c r="AT17" i="17"/>
  <c r="AY17" i="17"/>
  <c r="AZ17" i="17"/>
  <c r="BA17" i="17"/>
  <c r="BB17" i="17"/>
  <c r="CH17" i="17" s="1"/>
  <c r="DN17" i="17" s="1"/>
  <c r="ET17" i="17" s="1"/>
  <c r="FZ17" i="17" s="1"/>
  <c r="HF17" i="17" s="1"/>
  <c r="BC17" i="17"/>
  <c r="CI17" i="17" s="1"/>
  <c r="DO17" i="17" s="1"/>
  <c r="EU17" i="17" s="1"/>
  <c r="GA17" i="17" s="1"/>
  <c r="HG17" i="17" s="1"/>
  <c r="BD17" i="17"/>
  <c r="CJ17" i="17" s="1"/>
  <c r="DP17" i="17" s="1"/>
  <c r="EV17" i="17" s="1"/>
  <c r="GB17" i="17" s="1"/>
  <c r="HH17" i="17" s="1"/>
  <c r="BE17" i="17"/>
  <c r="CK17" i="17" s="1"/>
  <c r="DQ17" i="17" s="1"/>
  <c r="EW17" i="17" s="1"/>
  <c r="GC17" i="17" s="1"/>
  <c r="HI17" i="17" s="1"/>
  <c r="BF17" i="17"/>
  <c r="CL17" i="17" s="1"/>
  <c r="DR17" i="17" s="1"/>
  <c r="EX17" i="17" s="1"/>
  <c r="GD17" i="17" s="1"/>
  <c r="HJ17" i="17" s="1"/>
  <c r="BJ17" i="17"/>
  <c r="CP17" i="17" s="1"/>
  <c r="DV17" i="17" s="1"/>
  <c r="FB17" i="17" s="1"/>
  <c r="GH17" i="17" s="1"/>
  <c r="HN17" i="17" s="1"/>
  <c r="BK17" i="17"/>
  <c r="CQ17" i="17" s="1"/>
  <c r="DW17" i="17" s="1"/>
  <c r="FC17" i="17" s="1"/>
  <c r="GI17" i="17" s="1"/>
  <c r="HO17" i="17" s="1"/>
  <c r="BL17" i="17"/>
  <c r="CR17" i="17" s="1"/>
  <c r="DX17" i="17" s="1"/>
  <c r="FD17" i="17" s="1"/>
  <c r="GJ17" i="17" s="1"/>
  <c r="HP17" i="17" s="1"/>
  <c r="BM17" i="17"/>
  <c r="CS17" i="17" s="1"/>
  <c r="DY17" i="17" s="1"/>
  <c r="FE17" i="17" s="1"/>
  <c r="GK17" i="17" s="1"/>
  <c r="HQ17" i="17" s="1"/>
  <c r="BY17" i="17"/>
  <c r="BZ17" i="17"/>
  <c r="CE17" i="17"/>
  <c r="CF17" i="17"/>
  <c r="DE17" i="17"/>
  <c r="DF17" i="17"/>
  <c r="DK17" i="17"/>
  <c r="DL17" i="17"/>
  <c r="G18" i="17"/>
  <c r="N18" i="17"/>
  <c r="R18" i="17"/>
  <c r="S18" i="17" s="1"/>
  <c r="AA18" i="17"/>
  <c r="AB18" i="17"/>
  <c r="AH18" i="17"/>
  <c r="AI18" i="17"/>
  <c r="AK18" i="17"/>
  <c r="AS18" i="17"/>
  <c r="AT18" i="17"/>
  <c r="AY18" i="17"/>
  <c r="AZ18" i="17"/>
  <c r="BA18" i="17"/>
  <c r="CG18" i="17" s="1"/>
  <c r="BB18" i="17"/>
  <c r="CH18" i="17" s="1"/>
  <c r="DN18" i="17" s="1"/>
  <c r="ET18" i="17" s="1"/>
  <c r="FZ18" i="17" s="1"/>
  <c r="HF18" i="17" s="1"/>
  <c r="BC18" i="17"/>
  <c r="CI18" i="17" s="1"/>
  <c r="DO18" i="17" s="1"/>
  <c r="EU18" i="17" s="1"/>
  <c r="GA18" i="17" s="1"/>
  <c r="HG18" i="17" s="1"/>
  <c r="BD18" i="17"/>
  <c r="CJ18" i="17" s="1"/>
  <c r="DP18" i="17" s="1"/>
  <c r="EV18" i="17" s="1"/>
  <c r="GB18" i="17" s="1"/>
  <c r="HH18" i="17" s="1"/>
  <c r="BE18" i="17"/>
  <c r="CK18" i="17" s="1"/>
  <c r="DQ18" i="17" s="1"/>
  <c r="EW18" i="17" s="1"/>
  <c r="GC18" i="17" s="1"/>
  <c r="HI18" i="17" s="1"/>
  <c r="BF18" i="17"/>
  <c r="CL18" i="17" s="1"/>
  <c r="DR18" i="17" s="1"/>
  <c r="EX18" i="17" s="1"/>
  <c r="GD18" i="17" s="1"/>
  <c r="HJ18" i="17" s="1"/>
  <c r="BJ18" i="17"/>
  <c r="CP18" i="17" s="1"/>
  <c r="DV18" i="17" s="1"/>
  <c r="FB18" i="17" s="1"/>
  <c r="GH18" i="17" s="1"/>
  <c r="HN18" i="17" s="1"/>
  <c r="BK18" i="17"/>
  <c r="BL18" i="17"/>
  <c r="CR18" i="17" s="1"/>
  <c r="DX18" i="17" s="1"/>
  <c r="FD18" i="17" s="1"/>
  <c r="GJ18" i="17" s="1"/>
  <c r="HP18" i="17" s="1"/>
  <c r="BM18" i="17"/>
  <c r="CS18" i="17" s="1"/>
  <c r="DY18" i="17" s="1"/>
  <c r="FE18" i="17" s="1"/>
  <c r="GK18" i="17" s="1"/>
  <c r="HQ18" i="17" s="1"/>
  <c r="BQ18" i="17"/>
  <c r="BY18" i="17"/>
  <c r="BZ18" i="17"/>
  <c r="CE18" i="17"/>
  <c r="CF18" i="17"/>
  <c r="CQ18" i="17"/>
  <c r="DW18" i="17" s="1"/>
  <c r="FC18" i="17" s="1"/>
  <c r="GI18" i="17" s="1"/>
  <c r="HO18" i="17" s="1"/>
  <c r="DE18" i="17"/>
  <c r="DF18" i="17"/>
  <c r="DK18" i="17"/>
  <c r="DL18" i="17"/>
  <c r="G19" i="17"/>
  <c r="N19" i="17"/>
  <c r="R19" i="17"/>
  <c r="S19" i="17" s="1"/>
  <c r="AA19" i="17"/>
  <c r="AB19" i="17"/>
  <c r="AH19" i="17"/>
  <c r="AI19" i="17"/>
  <c r="AK19" i="17"/>
  <c r="AS19" i="17"/>
  <c r="AT19" i="17"/>
  <c r="AY19" i="17"/>
  <c r="AZ19" i="17"/>
  <c r="BA19" i="17"/>
  <c r="CG19" i="17" s="1"/>
  <c r="CW19" i="17" s="1"/>
  <c r="BB19" i="17"/>
  <c r="CH19" i="17" s="1"/>
  <c r="DN19" i="17" s="1"/>
  <c r="ET19" i="17" s="1"/>
  <c r="FZ19" i="17" s="1"/>
  <c r="HF19" i="17" s="1"/>
  <c r="BC19" i="17"/>
  <c r="CI19" i="17" s="1"/>
  <c r="DO19" i="17" s="1"/>
  <c r="EU19" i="17" s="1"/>
  <c r="GA19" i="17" s="1"/>
  <c r="HG19" i="17" s="1"/>
  <c r="BD19" i="17"/>
  <c r="BE19" i="17"/>
  <c r="CK19" i="17" s="1"/>
  <c r="DQ19" i="17" s="1"/>
  <c r="EW19" i="17" s="1"/>
  <c r="GC19" i="17" s="1"/>
  <c r="HI19" i="17" s="1"/>
  <c r="BF19" i="17"/>
  <c r="CL19" i="17" s="1"/>
  <c r="DR19" i="17" s="1"/>
  <c r="BJ19" i="17"/>
  <c r="BK19" i="17"/>
  <c r="CQ19" i="17" s="1"/>
  <c r="DW19" i="17" s="1"/>
  <c r="FC19" i="17" s="1"/>
  <c r="GI19" i="17" s="1"/>
  <c r="HO19" i="17" s="1"/>
  <c r="BL19" i="17"/>
  <c r="CR19" i="17" s="1"/>
  <c r="DX19" i="17" s="1"/>
  <c r="FD19" i="17" s="1"/>
  <c r="GJ19" i="17" s="1"/>
  <c r="HP19" i="17" s="1"/>
  <c r="BM19" i="17"/>
  <c r="CS19" i="17" s="1"/>
  <c r="DY19" i="17" s="1"/>
  <c r="FE19" i="17" s="1"/>
  <c r="GK19" i="17" s="1"/>
  <c r="HQ19" i="17" s="1"/>
  <c r="BQ19" i="17"/>
  <c r="BY19" i="17"/>
  <c r="BZ19" i="17"/>
  <c r="CE19" i="17"/>
  <c r="CF19" i="17"/>
  <c r="CJ19" i="17"/>
  <c r="DP19" i="17" s="1"/>
  <c r="EV19" i="17" s="1"/>
  <c r="GB19" i="17" s="1"/>
  <c r="HH19" i="17" s="1"/>
  <c r="CP19" i="17"/>
  <c r="DV19" i="17" s="1"/>
  <c r="FB19" i="17" s="1"/>
  <c r="GH19" i="17" s="1"/>
  <c r="HN19" i="17" s="1"/>
  <c r="DE19" i="17"/>
  <c r="DF19" i="17"/>
  <c r="DK19" i="17"/>
  <c r="DL19" i="17"/>
  <c r="EX19" i="17"/>
  <c r="GD19" i="17" s="1"/>
  <c r="HJ19" i="17" s="1"/>
  <c r="G20" i="17"/>
  <c r="N20" i="17"/>
  <c r="R20" i="17"/>
  <c r="S20" i="17" s="1"/>
  <c r="AA20" i="17"/>
  <c r="AB20" i="17"/>
  <c r="AH20" i="17"/>
  <c r="AI20" i="17"/>
  <c r="AK20" i="17"/>
  <c r="AS20" i="17"/>
  <c r="AT20" i="17"/>
  <c r="AY20" i="17"/>
  <c r="AZ20" i="17"/>
  <c r="BA20" i="17"/>
  <c r="CG20" i="17" s="1"/>
  <c r="DM20" i="17" s="1"/>
  <c r="EC20" i="17" s="1"/>
  <c r="BB20" i="17"/>
  <c r="CH20" i="17" s="1"/>
  <c r="DN20" i="17" s="1"/>
  <c r="ET20" i="17" s="1"/>
  <c r="FZ20" i="17" s="1"/>
  <c r="HF20" i="17" s="1"/>
  <c r="BC20" i="17"/>
  <c r="CI20" i="17" s="1"/>
  <c r="DO20" i="17" s="1"/>
  <c r="EU20" i="17" s="1"/>
  <c r="GA20" i="17" s="1"/>
  <c r="HG20" i="17" s="1"/>
  <c r="BD20" i="17"/>
  <c r="CJ20" i="17" s="1"/>
  <c r="DP20" i="17" s="1"/>
  <c r="EV20" i="17" s="1"/>
  <c r="GB20" i="17" s="1"/>
  <c r="HH20" i="17" s="1"/>
  <c r="BE20" i="17"/>
  <c r="CK20" i="17" s="1"/>
  <c r="DQ20" i="17" s="1"/>
  <c r="EW20" i="17" s="1"/>
  <c r="GC20" i="17" s="1"/>
  <c r="HI20" i="17" s="1"/>
  <c r="BF20" i="17"/>
  <c r="CL20" i="17" s="1"/>
  <c r="DR20" i="17" s="1"/>
  <c r="EX20" i="17" s="1"/>
  <c r="GD20" i="17" s="1"/>
  <c r="HJ20" i="17" s="1"/>
  <c r="BJ20" i="17"/>
  <c r="CP20" i="17" s="1"/>
  <c r="DV20" i="17" s="1"/>
  <c r="FB20" i="17" s="1"/>
  <c r="GH20" i="17" s="1"/>
  <c r="HN20" i="17" s="1"/>
  <c r="BK20" i="17"/>
  <c r="CQ20" i="17" s="1"/>
  <c r="DW20" i="17" s="1"/>
  <c r="FC20" i="17" s="1"/>
  <c r="GI20" i="17" s="1"/>
  <c r="HO20" i="17" s="1"/>
  <c r="BL20" i="17"/>
  <c r="CR20" i="17" s="1"/>
  <c r="DX20" i="17" s="1"/>
  <c r="FD20" i="17" s="1"/>
  <c r="GJ20" i="17" s="1"/>
  <c r="HP20" i="17" s="1"/>
  <c r="BM20" i="17"/>
  <c r="CS20" i="17" s="1"/>
  <c r="DY20" i="17" s="1"/>
  <c r="FE20" i="17" s="1"/>
  <c r="GK20" i="17" s="1"/>
  <c r="HQ20" i="17" s="1"/>
  <c r="BQ20" i="17"/>
  <c r="BY20" i="17"/>
  <c r="BZ20" i="17"/>
  <c r="CE20" i="17"/>
  <c r="CF20" i="17"/>
  <c r="DE20" i="17"/>
  <c r="DF20" i="17"/>
  <c r="DK20" i="17"/>
  <c r="DL20" i="17"/>
  <c r="G21" i="17"/>
  <c r="M21" i="17"/>
  <c r="N21" i="17"/>
  <c r="R21" i="17"/>
  <c r="S21" i="17" s="1"/>
  <c r="AA21" i="17"/>
  <c r="AB21" i="17"/>
  <c r="AH21" i="17"/>
  <c r="AI21" i="17"/>
  <c r="AK21" i="17"/>
  <c r="AS21" i="17"/>
  <c r="AT21" i="17"/>
  <c r="AY21" i="17"/>
  <c r="AZ21" i="17"/>
  <c r="BA21" i="17"/>
  <c r="CG21" i="17" s="1"/>
  <c r="DM21" i="17" s="1"/>
  <c r="EC21" i="17" s="1"/>
  <c r="BB21" i="17"/>
  <c r="CH21" i="17" s="1"/>
  <c r="DN21" i="17" s="1"/>
  <c r="ET21" i="17" s="1"/>
  <c r="FZ21" i="17" s="1"/>
  <c r="HF21" i="17" s="1"/>
  <c r="BC21" i="17"/>
  <c r="CI21" i="17" s="1"/>
  <c r="DO21" i="17" s="1"/>
  <c r="EU21" i="17" s="1"/>
  <c r="GA21" i="17" s="1"/>
  <c r="HG21" i="17" s="1"/>
  <c r="BD21" i="17"/>
  <c r="CJ21" i="17" s="1"/>
  <c r="DP21" i="17" s="1"/>
  <c r="EV21" i="17" s="1"/>
  <c r="GB21" i="17" s="1"/>
  <c r="HH21" i="17" s="1"/>
  <c r="BE21" i="17"/>
  <c r="CK21" i="17" s="1"/>
  <c r="DQ21" i="17" s="1"/>
  <c r="EW21" i="17" s="1"/>
  <c r="GC21" i="17" s="1"/>
  <c r="HI21" i="17" s="1"/>
  <c r="BF21" i="17"/>
  <c r="CL21" i="17" s="1"/>
  <c r="DR21" i="17" s="1"/>
  <c r="EX21" i="17" s="1"/>
  <c r="GD21" i="17" s="1"/>
  <c r="HJ21" i="17" s="1"/>
  <c r="BJ21" i="17"/>
  <c r="CP21" i="17" s="1"/>
  <c r="DV21" i="17" s="1"/>
  <c r="FB21" i="17" s="1"/>
  <c r="GH21" i="17" s="1"/>
  <c r="HN21" i="17" s="1"/>
  <c r="BK21" i="17"/>
  <c r="CQ21" i="17" s="1"/>
  <c r="DW21" i="17" s="1"/>
  <c r="FC21" i="17" s="1"/>
  <c r="GI21" i="17" s="1"/>
  <c r="HO21" i="17" s="1"/>
  <c r="BL21" i="17"/>
  <c r="CR21" i="17" s="1"/>
  <c r="DX21" i="17" s="1"/>
  <c r="FD21" i="17" s="1"/>
  <c r="GJ21" i="17" s="1"/>
  <c r="HP21" i="17" s="1"/>
  <c r="BM21" i="17"/>
  <c r="CS21" i="17" s="1"/>
  <c r="DY21" i="17" s="1"/>
  <c r="FE21" i="17" s="1"/>
  <c r="GK21" i="17" s="1"/>
  <c r="HQ21" i="17" s="1"/>
  <c r="BQ21" i="17"/>
  <c r="BY21" i="17"/>
  <c r="BZ21" i="17"/>
  <c r="CE21" i="17"/>
  <c r="CF21" i="17"/>
  <c r="DE21" i="17"/>
  <c r="DF21" i="17"/>
  <c r="DK21" i="17"/>
  <c r="DL21" i="17"/>
  <c r="G22" i="17"/>
  <c r="J22" i="17"/>
  <c r="M22" i="17"/>
  <c r="N22" i="17"/>
  <c r="R22" i="17"/>
  <c r="S22" i="17" s="1"/>
  <c r="AA22" i="17"/>
  <c r="AB22" i="17"/>
  <c r="AH22" i="17"/>
  <c r="AI22" i="17"/>
  <c r="AK22" i="17"/>
  <c r="AS22" i="17"/>
  <c r="AT22" i="17"/>
  <c r="AY22" i="17"/>
  <c r="AZ22" i="17"/>
  <c r="BA22" i="17"/>
  <c r="CG22" i="17" s="1"/>
  <c r="BB22" i="17"/>
  <c r="CH22" i="17" s="1"/>
  <c r="DN22" i="17" s="1"/>
  <c r="ET22" i="17" s="1"/>
  <c r="FZ22" i="17" s="1"/>
  <c r="HF22" i="17" s="1"/>
  <c r="BC22" i="17"/>
  <c r="CI22" i="17" s="1"/>
  <c r="DO22" i="17" s="1"/>
  <c r="EU22" i="17" s="1"/>
  <c r="GA22" i="17" s="1"/>
  <c r="HG22" i="17" s="1"/>
  <c r="BD22" i="17"/>
  <c r="CJ22" i="17" s="1"/>
  <c r="DP22" i="17" s="1"/>
  <c r="EV22" i="17" s="1"/>
  <c r="GB22" i="17" s="1"/>
  <c r="HH22" i="17" s="1"/>
  <c r="BE22" i="17"/>
  <c r="CK22" i="17" s="1"/>
  <c r="DQ22" i="17" s="1"/>
  <c r="EW22" i="17" s="1"/>
  <c r="GC22" i="17" s="1"/>
  <c r="HI22" i="17" s="1"/>
  <c r="BF22" i="17"/>
  <c r="CL22" i="17" s="1"/>
  <c r="DR22" i="17" s="1"/>
  <c r="EX22" i="17" s="1"/>
  <c r="GD22" i="17" s="1"/>
  <c r="HJ22" i="17" s="1"/>
  <c r="BJ22" i="17"/>
  <c r="CP22" i="17" s="1"/>
  <c r="DV22" i="17" s="1"/>
  <c r="FB22" i="17" s="1"/>
  <c r="GH22" i="17" s="1"/>
  <c r="HN22" i="17" s="1"/>
  <c r="BK22" i="17"/>
  <c r="CQ22" i="17" s="1"/>
  <c r="DW22" i="17" s="1"/>
  <c r="FC22" i="17" s="1"/>
  <c r="GI22" i="17" s="1"/>
  <c r="HO22" i="17" s="1"/>
  <c r="BL22" i="17"/>
  <c r="BM22" i="17"/>
  <c r="CS22" i="17" s="1"/>
  <c r="DY22" i="17" s="1"/>
  <c r="FE22" i="17" s="1"/>
  <c r="GK22" i="17" s="1"/>
  <c r="HQ22" i="17" s="1"/>
  <c r="BY22" i="17"/>
  <c r="BZ22" i="17"/>
  <c r="CE22" i="17"/>
  <c r="CF22" i="17"/>
  <c r="CR22" i="17"/>
  <c r="DX22" i="17" s="1"/>
  <c r="FD22" i="17" s="1"/>
  <c r="GJ22" i="17" s="1"/>
  <c r="HP22" i="17" s="1"/>
  <c r="DE22" i="17"/>
  <c r="DF22" i="17"/>
  <c r="DK22" i="17"/>
  <c r="DL22" i="17"/>
  <c r="G23" i="17"/>
  <c r="M23" i="17"/>
  <c r="N23" i="17"/>
  <c r="R23" i="17"/>
  <c r="S23" i="17" s="1"/>
  <c r="AA23" i="17"/>
  <c r="AB23" i="17"/>
  <c r="AH23" i="17"/>
  <c r="AI23" i="17"/>
  <c r="AK23" i="17"/>
  <c r="AS23" i="17"/>
  <c r="AT23" i="17"/>
  <c r="AY23" i="17"/>
  <c r="AZ23" i="17"/>
  <c r="BA23" i="17"/>
  <c r="CG23" i="17" s="1"/>
  <c r="CW23" i="17" s="1"/>
  <c r="BB23" i="17"/>
  <c r="CH23" i="17" s="1"/>
  <c r="DN23" i="17" s="1"/>
  <c r="ET23" i="17" s="1"/>
  <c r="FZ23" i="17" s="1"/>
  <c r="HF23" i="17" s="1"/>
  <c r="BC23" i="17"/>
  <c r="CI23" i="17" s="1"/>
  <c r="DO23" i="17" s="1"/>
  <c r="EU23" i="17" s="1"/>
  <c r="GA23" i="17" s="1"/>
  <c r="HG23" i="17" s="1"/>
  <c r="BD23" i="17"/>
  <c r="CJ23" i="17" s="1"/>
  <c r="DP23" i="17" s="1"/>
  <c r="EV23" i="17" s="1"/>
  <c r="GB23" i="17" s="1"/>
  <c r="HH23" i="17" s="1"/>
  <c r="BE23" i="17"/>
  <c r="CK23" i="17" s="1"/>
  <c r="DQ23" i="17" s="1"/>
  <c r="EW23" i="17" s="1"/>
  <c r="GC23" i="17" s="1"/>
  <c r="HI23" i="17" s="1"/>
  <c r="BF23" i="17"/>
  <c r="CL23" i="17" s="1"/>
  <c r="DR23" i="17" s="1"/>
  <c r="EX23" i="17" s="1"/>
  <c r="GD23" i="17" s="1"/>
  <c r="HJ23" i="17" s="1"/>
  <c r="BJ23" i="17"/>
  <c r="CP23" i="17" s="1"/>
  <c r="DV23" i="17" s="1"/>
  <c r="FB23" i="17" s="1"/>
  <c r="GH23" i="17" s="1"/>
  <c r="HN23" i="17" s="1"/>
  <c r="BK23" i="17"/>
  <c r="CQ23" i="17" s="1"/>
  <c r="DW23" i="17" s="1"/>
  <c r="FC23" i="17" s="1"/>
  <c r="GI23" i="17" s="1"/>
  <c r="HO23" i="17" s="1"/>
  <c r="BL23" i="17"/>
  <c r="BM23" i="17"/>
  <c r="CS23" i="17" s="1"/>
  <c r="DY23" i="17" s="1"/>
  <c r="FE23" i="17" s="1"/>
  <c r="GK23" i="17" s="1"/>
  <c r="HQ23" i="17" s="1"/>
  <c r="BQ23" i="17"/>
  <c r="BY23" i="17"/>
  <c r="BZ23" i="17"/>
  <c r="CE23" i="17"/>
  <c r="CF23" i="17"/>
  <c r="CR23" i="17"/>
  <c r="DX23" i="17" s="1"/>
  <c r="FD23" i="17" s="1"/>
  <c r="GJ23" i="17" s="1"/>
  <c r="HP23" i="17" s="1"/>
  <c r="DE23" i="17"/>
  <c r="DF23" i="17"/>
  <c r="DK23" i="17"/>
  <c r="DL23" i="17"/>
  <c r="G24" i="17"/>
  <c r="N24" i="17"/>
  <c r="R24" i="17"/>
  <c r="S24" i="17" s="1"/>
  <c r="AA24" i="17"/>
  <c r="AB24" i="17"/>
  <c r="AC24" i="17" s="1"/>
  <c r="AH24" i="17"/>
  <c r="AI24" i="17"/>
  <c r="AK24" i="17"/>
  <c r="AS24" i="17"/>
  <c r="AT24" i="17"/>
  <c r="AY24" i="17"/>
  <c r="AZ24" i="17"/>
  <c r="BA24" i="17"/>
  <c r="BB24" i="17"/>
  <c r="CH24" i="17" s="1"/>
  <c r="DN24" i="17" s="1"/>
  <c r="ET24" i="17" s="1"/>
  <c r="FZ24" i="17" s="1"/>
  <c r="HF24" i="17" s="1"/>
  <c r="BC24" i="17"/>
  <c r="CI24" i="17" s="1"/>
  <c r="DO24" i="17" s="1"/>
  <c r="EU24" i="17" s="1"/>
  <c r="GA24" i="17" s="1"/>
  <c r="HG24" i="17" s="1"/>
  <c r="BD24" i="17"/>
  <c r="CJ24" i="17" s="1"/>
  <c r="DP24" i="17" s="1"/>
  <c r="EV24" i="17" s="1"/>
  <c r="GB24" i="17" s="1"/>
  <c r="HH24" i="17" s="1"/>
  <c r="BE24" i="17"/>
  <c r="CK24" i="17" s="1"/>
  <c r="DQ24" i="17" s="1"/>
  <c r="EW24" i="17" s="1"/>
  <c r="GC24" i="17" s="1"/>
  <c r="HI24" i="17" s="1"/>
  <c r="BF24" i="17"/>
  <c r="CL24" i="17" s="1"/>
  <c r="DR24" i="17" s="1"/>
  <c r="EX24" i="17" s="1"/>
  <c r="GD24" i="17" s="1"/>
  <c r="HJ24" i="17" s="1"/>
  <c r="BJ24" i="17"/>
  <c r="CP24" i="17" s="1"/>
  <c r="DV24" i="17" s="1"/>
  <c r="FB24" i="17" s="1"/>
  <c r="GH24" i="17" s="1"/>
  <c r="HN24" i="17" s="1"/>
  <c r="BK24" i="17"/>
  <c r="CQ24" i="17" s="1"/>
  <c r="DW24" i="17" s="1"/>
  <c r="FC24" i="17" s="1"/>
  <c r="GI24" i="17" s="1"/>
  <c r="HO24" i="17" s="1"/>
  <c r="BL24" i="17"/>
  <c r="CR24" i="17" s="1"/>
  <c r="DX24" i="17" s="1"/>
  <c r="FD24" i="17" s="1"/>
  <c r="GJ24" i="17" s="1"/>
  <c r="HP24" i="17" s="1"/>
  <c r="BM24" i="17"/>
  <c r="CS24" i="17" s="1"/>
  <c r="DY24" i="17" s="1"/>
  <c r="FE24" i="17" s="1"/>
  <c r="GK24" i="17" s="1"/>
  <c r="HQ24" i="17" s="1"/>
  <c r="BY24" i="17"/>
  <c r="BZ24" i="17"/>
  <c r="CE24" i="17"/>
  <c r="CF24" i="17"/>
  <c r="DE24" i="17"/>
  <c r="DF24" i="17"/>
  <c r="DK24" i="17"/>
  <c r="DL24" i="17"/>
  <c r="G25" i="17"/>
  <c r="N25" i="17"/>
  <c r="R25" i="17"/>
  <c r="S25" i="17" s="1"/>
  <c r="AA25" i="17"/>
  <c r="AB25" i="17"/>
  <c r="AH25" i="17"/>
  <c r="AI25" i="17"/>
  <c r="AK25" i="17"/>
  <c r="AS25" i="17"/>
  <c r="AT25" i="17"/>
  <c r="AY25" i="17"/>
  <c r="AZ25" i="17"/>
  <c r="BA25" i="17"/>
  <c r="BB25" i="17"/>
  <c r="CH25" i="17" s="1"/>
  <c r="DN25" i="17" s="1"/>
  <c r="ET25" i="17" s="1"/>
  <c r="FZ25" i="17" s="1"/>
  <c r="HF25" i="17" s="1"/>
  <c r="BC25" i="17"/>
  <c r="CI25" i="17" s="1"/>
  <c r="DO25" i="17" s="1"/>
  <c r="EU25" i="17" s="1"/>
  <c r="GA25" i="17" s="1"/>
  <c r="HG25" i="17" s="1"/>
  <c r="BD25" i="17"/>
  <c r="CJ25" i="17" s="1"/>
  <c r="DP25" i="17" s="1"/>
  <c r="EV25" i="17" s="1"/>
  <c r="GB25" i="17" s="1"/>
  <c r="HH25" i="17" s="1"/>
  <c r="BE25" i="17"/>
  <c r="CK25" i="17" s="1"/>
  <c r="BF25" i="17"/>
  <c r="CL25" i="17" s="1"/>
  <c r="DR25" i="17" s="1"/>
  <c r="EX25" i="17" s="1"/>
  <c r="GD25" i="17" s="1"/>
  <c r="HJ25" i="17" s="1"/>
  <c r="BJ25" i="17"/>
  <c r="CP25" i="17" s="1"/>
  <c r="DV25" i="17" s="1"/>
  <c r="FB25" i="17" s="1"/>
  <c r="GH25" i="17" s="1"/>
  <c r="HN25" i="17" s="1"/>
  <c r="BK25" i="17"/>
  <c r="CQ25" i="17" s="1"/>
  <c r="DW25" i="17" s="1"/>
  <c r="FC25" i="17" s="1"/>
  <c r="GI25" i="17" s="1"/>
  <c r="HO25" i="17" s="1"/>
  <c r="BL25" i="17"/>
  <c r="CR25" i="17" s="1"/>
  <c r="DX25" i="17" s="1"/>
  <c r="FD25" i="17" s="1"/>
  <c r="GJ25" i="17" s="1"/>
  <c r="HP25" i="17" s="1"/>
  <c r="BM25" i="17"/>
  <c r="CS25" i="17" s="1"/>
  <c r="DY25" i="17" s="1"/>
  <c r="FE25" i="17" s="1"/>
  <c r="GK25" i="17" s="1"/>
  <c r="HQ25" i="17" s="1"/>
  <c r="BY25" i="17"/>
  <c r="BZ25" i="17"/>
  <c r="CE25" i="17"/>
  <c r="CF25" i="17"/>
  <c r="DE25" i="17"/>
  <c r="DF25" i="17"/>
  <c r="DK25" i="17"/>
  <c r="DL25" i="17"/>
  <c r="DQ25" i="17"/>
  <c r="EW25" i="17" s="1"/>
  <c r="GC25" i="17" s="1"/>
  <c r="HI25" i="17" s="1"/>
  <c r="G26" i="17"/>
  <c r="N26" i="17"/>
  <c r="R26" i="17"/>
  <c r="S26" i="17" s="1"/>
  <c r="AA26" i="17"/>
  <c r="AB26" i="17"/>
  <c r="AH26" i="17"/>
  <c r="AI26" i="17"/>
  <c r="AK26" i="17"/>
  <c r="AS26" i="17"/>
  <c r="AT26" i="17"/>
  <c r="AY26" i="17"/>
  <c r="AZ26" i="17"/>
  <c r="BA26" i="17"/>
  <c r="BQ26" i="17" s="1"/>
  <c r="BB26" i="17"/>
  <c r="CH26" i="17" s="1"/>
  <c r="BC26" i="17"/>
  <c r="CI26" i="17" s="1"/>
  <c r="DO26" i="17" s="1"/>
  <c r="EU26" i="17" s="1"/>
  <c r="GA26" i="17" s="1"/>
  <c r="HG26" i="17" s="1"/>
  <c r="BD26" i="17"/>
  <c r="CJ26" i="17" s="1"/>
  <c r="DP26" i="17" s="1"/>
  <c r="EV26" i="17" s="1"/>
  <c r="GB26" i="17" s="1"/>
  <c r="HH26" i="17" s="1"/>
  <c r="BE26" i="17"/>
  <c r="CK26" i="17" s="1"/>
  <c r="DQ26" i="17" s="1"/>
  <c r="EW26" i="17" s="1"/>
  <c r="GC26" i="17" s="1"/>
  <c r="HI26" i="17" s="1"/>
  <c r="BF26" i="17"/>
  <c r="CL26" i="17" s="1"/>
  <c r="DR26" i="17" s="1"/>
  <c r="EX26" i="17" s="1"/>
  <c r="GD26" i="17" s="1"/>
  <c r="HJ26" i="17" s="1"/>
  <c r="BJ26" i="17"/>
  <c r="CP26" i="17" s="1"/>
  <c r="DV26" i="17" s="1"/>
  <c r="FB26" i="17" s="1"/>
  <c r="GH26" i="17" s="1"/>
  <c r="HN26" i="17" s="1"/>
  <c r="BK26" i="17"/>
  <c r="CQ26" i="17" s="1"/>
  <c r="DW26" i="17" s="1"/>
  <c r="FC26" i="17" s="1"/>
  <c r="GI26" i="17" s="1"/>
  <c r="HO26" i="17" s="1"/>
  <c r="BL26" i="17"/>
  <c r="CR26" i="17" s="1"/>
  <c r="DX26" i="17" s="1"/>
  <c r="FD26" i="17" s="1"/>
  <c r="GJ26" i="17" s="1"/>
  <c r="HP26" i="17" s="1"/>
  <c r="BM26" i="17"/>
  <c r="CS26" i="17" s="1"/>
  <c r="DY26" i="17" s="1"/>
  <c r="FE26" i="17" s="1"/>
  <c r="GK26" i="17" s="1"/>
  <c r="HQ26" i="17" s="1"/>
  <c r="BY26" i="17"/>
  <c r="BZ26" i="17"/>
  <c r="CE26" i="17"/>
  <c r="CF26" i="17"/>
  <c r="CG26" i="17"/>
  <c r="DM26" i="17" s="1"/>
  <c r="EC26" i="17" s="1"/>
  <c r="DE26" i="17"/>
  <c r="DF26" i="17"/>
  <c r="DK26" i="17"/>
  <c r="DL26" i="17"/>
  <c r="DN26" i="17"/>
  <c r="ET26" i="17" s="1"/>
  <c r="FZ26" i="17" s="1"/>
  <c r="HF26" i="17" s="1"/>
  <c r="G27" i="17"/>
  <c r="M27" i="17"/>
  <c r="N27" i="17"/>
  <c r="R27" i="17"/>
  <c r="S27" i="17" s="1"/>
  <c r="AA27" i="17"/>
  <c r="AB27" i="17"/>
  <c r="AH27" i="17"/>
  <c r="AI27" i="17"/>
  <c r="AK27" i="17"/>
  <c r="AS27" i="17"/>
  <c r="AT27" i="17"/>
  <c r="AY27" i="17"/>
  <c r="AZ27" i="17"/>
  <c r="BA27" i="17"/>
  <c r="CG27" i="17" s="1"/>
  <c r="BB27" i="17"/>
  <c r="CH27" i="17" s="1"/>
  <c r="DN27" i="17" s="1"/>
  <c r="ET27" i="17" s="1"/>
  <c r="FZ27" i="17" s="1"/>
  <c r="HF27" i="17" s="1"/>
  <c r="BC27" i="17"/>
  <c r="CI27" i="17" s="1"/>
  <c r="DO27" i="17" s="1"/>
  <c r="EU27" i="17" s="1"/>
  <c r="GA27" i="17" s="1"/>
  <c r="HG27" i="17" s="1"/>
  <c r="BD27" i="17"/>
  <c r="CJ27" i="17" s="1"/>
  <c r="DP27" i="17" s="1"/>
  <c r="EV27" i="17" s="1"/>
  <c r="GB27" i="17" s="1"/>
  <c r="HH27" i="17" s="1"/>
  <c r="BE27" i="17"/>
  <c r="CK27" i="17" s="1"/>
  <c r="DQ27" i="17" s="1"/>
  <c r="EW27" i="17" s="1"/>
  <c r="GC27" i="17" s="1"/>
  <c r="HI27" i="17" s="1"/>
  <c r="BF27" i="17"/>
  <c r="CL27" i="17" s="1"/>
  <c r="DR27" i="17" s="1"/>
  <c r="EX27" i="17" s="1"/>
  <c r="GD27" i="17" s="1"/>
  <c r="HJ27" i="17" s="1"/>
  <c r="BJ27" i="17"/>
  <c r="CP27" i="17" s="1"/>
  <c r="DV27" i="17" s="1"/>
  <c r="FB27" i="17" s="1"/>
  <c r="GH27" i="17" s="1"/>
  <c r="HN27" i="17" s="1"/>
  <c r="BK27" i="17"/>
  <c r="CQ27" i="17" s="1"/>
  <c r="DW27" i="17" s="1"/>
  <c r="FC27" i="17" s="1"/>
  <c r="GI27" i="17" s="1"/>
  <c r="HO27" i="17" s="1"/>
  <c r="BL27" i="17"/>
  <c r="CR27" i="17" s="1"/>
  <c r="DX27" i="17" s="1"/>
  <c r="FD27" i="17" s="1"/>
  <c r="GJ27" i="17" s="1"/>
  <c r="HP27" i="17" s="1"/>
  <c r="BM27" i="17"/>
  <c r="CS27" i="17" s="1"/>
  <c r="DY27" i="17" s="1"/>
  <c r="FE27" i="17" s="1"/>
  <c r="GK27" i="17" s="1"/>
  <c r="HQ27" i="17" s="1"/>
  <c r="BQ27" i="17"/>
  <c r="BY27" i="17"/>
  <c r="BZ27" i="17"/>
  <c r="CE27" i="17"/>
  <c r="CF27" i="17"/>
  <c r="DE27" i="17"/>
  <c r="DF27" i="17"/>
  <c r="DK27" i="17"/>
  <c r="DL27" i="17"/>
  <c r="G28" i="17"/>
  <c r="M28" i="17"/>
  <c r="N28" i="17"/>
  <c r="R28" i="17"/>
  <c r="S28" i="17" s="1"/>
  <c r="AA28" i="17"/>
  <c r="AB28" i="17"/>
  <c r="AH28" i="17"/>
  <c r="AI28" i="17"/>
  <c r="AK28" i="17"/>
  <c r="AS28" i="17"/>
  <c r="AT28" i="17"/>
  <c r="AY28" i="17"/>
  <c r="AZ28" i="17"/>
  <c r="BA28" i="17"/>
  <c r="CG28" i="17" s="1"/>
  <c r="BB28" i="17"/>
  <c r="CH28" i="17" s="1"/>
  <c r="DN28" i="17" s="1"/>
  <c r="ET28" i="17" s="1"/>
  <c r="FZ28" i="17" s="1"/>
  <c r="HF28" i="17" s="1"/>
  <c r="BC28" i="17"/>
  <c r="CI28" i="17" s="1"/>
  <c r="DO28" i="17" s="1"/>
  <c r="EU28" i="17" s="1"/>
  <c r="GA28" i="17" s="1"/>
  <c r="HG28" i="17" s="1"/>
  <c r="BD28" i="17"/>
  <c r="CJ28" i="17" s="1"/>
  <c r="DP28" i="17" s="1"/>
  <c r="EV28" i="17" s="1"/>
  <c r="GB28" i="17" s="1"/>
  <c r="HH28" i="17" s="1"/>
  <c r="BE28" i="17"/>
  <c r="CK28" i="17" s="1"/>
  <c r="DQ28" i="17" s="1"/>
  <c r="EW28" i="17" s="1"/>
  <c r="GC28" i="17" s="1"/>
  <c r="HI28" i="17" s="1"/>
  <c r="BF28" i="17"/>
  <c r="CL28" i="17" s="1"/>
  <c r="DR28" i="17" s="1"/>
  <c r="EX28" i="17" s="1"/>
  <c r="GD28" i="17" s="1"/>
  <c r="HJ28" i="17" s="1"/>
  <c r="BJ28" i="17"/>
  <c r="CP28" i="17" s="1"/>
  <c r="DV28" i="17" s="1"/>
  <c r="FB28" i="17" s="1"/>
  <c r="GH28" i="17" s="1"/>
  <c r="HN28" i="17" s="1"/>
  <c r="BK28" i="17"/>
  <c r="BL28" i="17"/>
  <c r="CR28" i="17" s="1"/>
  <c r="DX28" i="17" s="1"/>
  <c r="FD28" i="17" s="1"/>
  <c r="GJ28" i="17" s="1"/>
  <c r="HP28" i="17" s="1"/>
  <c r="BM28" i="17"/>
  <c r="CS28" i="17" s="1"/>
  <c r="DY28" i="17" s="1"/>
  <c r="FE28" i="17" s="1"/>
  <c r="GK28" i="17" s="1"/>
  <c r="HQ28" i="17" s="1"/>
  <c r="BQ28" i="17"/>
  <c r="BY28" i="17"/>
  <c r="BZ28" i="17"/>
  <c r="CE28" i="17"/>
  <c r="CF28" i="17"/>
  <c r="CQ28" i="17"/>
  <c r="DW28" i="17" s="1"/>
  <c r="FC28" i="17" s="1"/>
  <c r="GI28" i="17" s="1"/>
  <c r="HO28" i="17" s="1"/>
  <c r="DE28" i="17"/>
  <c r="DF28" i="17"/>
  <c r="DK28" i="17"/>
  <c r="DL28" i="17"/>
  <c r="G29" i="17"/>
  <c r="M29" i="17"/>
  <c r="N29" i="17"/>
  <c r="R29" i="17"/>
  <c r="S29" i="17" s="1"/>
  <c r="AA29" i="17"/>
  <c r="AB29" i="17"/>
  <c r="AH29" i="17"/>
  <c r="AI29" i="17"/>
  <c r="AK29" i="17"/>
  <c r="AS29" i="17"/>
  <c r="AT29" i="17"/>
  <c r="AY29" i="17"/>
  <c r="AZ29" i="17"/>
  <c r="BA29" i="17"/>
  <c r="BB29" i="17"/>
  <c r="CH29" i="17" s="1"/>
  <c r="DN29" i="17" s="1"/>
  <c r="ET29" i="17" s="1"/>
  <c r="FZ29" i="17" s="1"/>
  <c r="HF29" i="17" s="1"/>
  <c r="BC29" i="17"/>
  <c r="CI29" i="17" s="1"/>
  <c r="DO29" i="17" s="1"/>
  <c r="EU29" i="17" s="1"/>
  <c r="GA29" i="17" s="1"/>
  <c r="HG29" i="17" s="1"/>
  <c r="BD29" i="17"/>
  <c r="CJ29" i="17" s="1"/>
  <c r="DP29" i="17" s="1"/>
  <c r="EV29" i="17" s="1"/>
  <c r="GB29" i="17" s="1"/>
  <c r="HH29" i="17" s="1"/>
  <c r="BE29" i="17"/>
  <c r="CK29" i="17" s="1"/>
  <c r="DQ29" i="17" s="1"/>
  <c r="EW29" i="17" s="1"/>
  <c r="GC29" i="17" s="1"/>
  <c r="HI29" i="17" s="1"/>
  <c r="BF29" i="17"/>
  <c r="CL29" i="17" s="1"/>
  <c r="DR29" i="17" s="1"/>
  <c r="EX29" i="17" s="1"/>
  <c r="GD29" i="17" s="1"/>
  <c r="HJ29" i="17" s="1"/>
  <c r="BJ29" i="17"/>
  <c r="CP29" i="17" s="1"/>
  <c r="DV29" i="17" s="1"/>
  <c r="FB29" i="17" s="1"/>
  <c r="GH29" i="17" s="1"/>
  <c r="HN29" i="17" s="1"/>
  <c r="BK29" i="17"/>
  <c r="CQ29" i="17" s="1"/>
  <c r="DW29" i="17" s="1"/>
  <c r="FC29" i="17" s="1"/>
  <c r="GI29" i="17" s="1"/>
  <c r="HO29" i="17" s="1"/>
  <c r="BL29" i="17"/>
  <c r="CR29" i="17" s="1"/>
  <c r="DX29" i="17" s="1"/>
  <c r="FD29" i="17" s="1"/>
  <c r="GJ29" i="17" s="1"/>
  <c r="HP29" i="17" s="1"/>
  <c r="BM29" i="17"/>
  <c r="CS29" i="17" s="1"/>
  <c r="DY29" i="17" s="1"/>
  <c r="FE29" i="17" s="1"/>
  <c r="GK29" i="17" s="1"/>
  <c r="HQ29" i="17" s="1"/>
  <c r="BY29" i="17"/>
  <c r="BZ29" i="17"/>
  <c r="CE29" i="17"/>
  <c r="CF29" i="17"/>
  <c r="DE29" i="17"/>
  <c r="DF29" i="17"/>
  <c r="DK29" i="17"/>
  <c r="DL29" i="17"/>
  <c r="G30" i="17"/>
  <c r="J30" i="17"/>
  <c r="M30" i="17"/>
  <c r="N30" i="17"/>
  <c r="R30" i="17"/>
  <c r="S30" i="17" s="1"/>
  <c r="AA30" i="17"/>
  <c r="AB30" i="17"/>
  <c r="AH30" i="17"/>
  <c r="AI30" i="17"/>
  <c r="AK30" i="17"/>
  <c r="AS30" i="17"/>
  <c r="AT30" i="17"/>
  <c r="AY30" i="17"/>
  <c r="AZ30" i="17"/>
  <c r="BA30" i="17"/>
  <c r="CG30" i="17" s="1"/>
  <c r="CW30" i="17" s="1"/>
  <c r="BB30" i="17"/>
  <c r="CH30" i="17" s="1"/>
  <c r="DN30" i="17" s="1"/>
  <c r="ET30" i="17" s="1"/>
  <c r="FZ30" i="17" s="1"/>
  <c r="HF30" i="17" s="1"/>
  <c r="BC30" i="17"/>
  <c r="CI30" i="17" s="1"/>
  <c r="DO30" i="17" s="1"/>
  <c r="EU30" i="17" s="1"/>
  <c r="GA30" i="17" s="1"/>
  <c r="HG30" i="17" s="1"/>
  <c r="BD30" i="17"/>
  <c r="CJ30" i="17" s="1"/>
  <c r="DP30" i="17" s="1"/>
  <c r="EV30" i="17" s="1"/>
  <c r="GB30" i="17" s="1"/>
  <c r="HH30" i="17" s="1"/>
  <c r="BE30" i="17"/>
  <c r="CK30" i="17" s="1"/>
  <c r="DQ30" i="17" s="1"/>
  <c r="EW30" i="17" s="1"/>
  <c r="GC30" i="17" s="1"/>
  <c r="HI30" i="17" s="1"/>
  <c r="BF30" i="17"/>
  <c r="CL30" i="17" s="1"/>
  <c r="DR30" i="17" s="1"/>
  <c r="EX30" i="17" s="1"/>
  <c r="GD30" i="17" s="1"/>
  <c r="HJ30" i="17" s="1"/>
  <c r="BJ30" i="17"/>
  <c r="CP30" i="17" s="1"/>
  <c r="DV30" i="17" s="1"/>
  <c r="FB30" i="17" s="1"/>
  <c r="GH30" i="17" s="1"/>
  <c r="HN30" i="17" s="1"/>
  <c r="BK30" i="17"/>
  <c r="CQ30" i="17" s="1"/>
  <c r="DW30" i="17" s="1"/>
  <c r="FC30" i="17" s="1"/>
  <c r="GI30" i="17" s="1"/>
  <c r="HO30" i="17" s="1"/>
  <c r="BL30" i="17"/>
  <c r="CR30" i="17" s="1"/>
  <c r="DX30" i="17" s="1"/>
  <c r="FD30" i="17" s="1"/>
  <c r="GJ30" i="17" s="1"/>
  <c r="HP30" i="17" s="1"/>
  <c r="BM30" i="17"/>
  <c r="CS30" i="17" s="1"/>
  <c r="DY30" i="17" s="1"/>
  <c r="FE30" i="17" s="1"/>
  <c r="GK30" i="17" s="1"/>
  <c r="HQ30" i="17" s="1"/>
  <c r="BY30" i="17"/>
  <c r="BZ30" i="17"/>
  <c r="CE30" i="17"/>
  <c r="CF30" i="17"/>
  <c r="DE30" i="17"/>
  <c r="DF30" i="17"/>
  <c r="DK30" i="17"/>
  <c r="DL30" i="17"/>
  <c r="G31" i="17"/>
  <c r="M31" i="17"/>
  <c r="N31" i="17"/>
  <c r="R31" i="17"/>
  <c r="S31" i="17" s="1"/>
  <c r="AA31" i="17"/>
  <c r="AB31" i="17"/>
  <c r="AH31" i="17"/>
  <c r="AI31" i="17"/>
  <c r="AK31" i="17"/>
  <c r="AS31" i="17"/>
  <c r="AT31" i="17"/>
  <c r="AY31" i="17"/>
  <c r="AZ31" i="17"/>
  <c r="BA31" i="17"/>
  <c r="BB31" i="17"/>
  <c r="CH31" i="17" s="1"/>
  <c r="DN31" i="17" s="1"/>
  <c r="ET31" i="17" s="1"/>
  <c r="FZ31" i="17" s="1"/>
  <c r="HF31" i="17" s="1"/>
  <c r="BC31" i="17"/>
  <c r="CI31" i="17" s="1"/>
  <c r="DO31" i="17" s="1"/>
  <c r="EU31" i="17" s="1"/>
  <c r="GA31" i="17" s="1"/>
  <c r="HG31" i="17" s="1"/>
  <c r="BD31" i="17"/>
  <c r="BE31" i="17"/>
  <c r="CK31" i="17" s="1"/>
  <c r="DQ31" i="17" s="1"/>
  <c r="EW31" i="17" s="1"/>
  <c r="GC31" i="17" s="1"/>
  <c r="HI31" i="17" s="1"/>
  <c r="BF31" i="17"/>
  <c r="CL31" i="17" s="1"/>
  <c r="DR31" i="17" s="1"/>
  <c r="EX31" i="17" s="1"/>
  <c r="GD31" i="17" s="1"/>
  <c r="HJ31" i="17" s="1"/>
  <c r="BJ31" i="17"/>
  <c r="CP31" i="17" s="1"/>
  <c r="DV31" i="17" s="1"/>
  <c r="FB31" i="17" s="1"/>
  <c r="GH31" i="17" s="1"/>
  <c r="HN31" i="17" s="1"/>
  <c r="BK31" i="17"/>
  <c r="CQ31" i="17" s="1"/>
  <c r="DW31" i="17" s="1"/>
  <c r="FC31" i="17" s="1"/>
  <c r="GI31" i="17" s="1"/>
  <c r="HO31" i="17" s="1"/>
  <c r="BL31" i="17"/>
  <c r="CR31" i="17" s="1"/>
  <c r="DX31" i="17" s="1"/>
  <c r="FD31" i="17" s="1"/>
  <c r="GJ31" i="17" s="1"/>
  <c r="HP31" i="17" s="1"/>
  <c r="BM31" i="17"/>
  <c r="CS31" i="17" s="1"/>
  <c r="DY31" i="17" s="1"/>
  <c r="FE31" i="17" s="1"/>
  <c r="GK31" i="17" s="1"/>
  <c r="HQ31" i="17" s="1"/>
  <c r="BY31" i="17"/>
  <c r="BZ31" i="17"/>
  <c r="CE31" i="17"/>
  <c r="CF31" i="17"/>
  <c r="CJ31" i="17"/>
  <c r="DP31" i="17" s="1"/>
  <c r="EV31" i="17" s="1"/>
  <c r="GB31" i="17" s="1"/>
  <c r="HH31" i="17" s="1"/>
  <c r="DE31" i="17"/>
  <c r="DF31" i="17"/>
  <c r="DK31" i="17"/>
  <c r="DL31" i="17"/>
  <c r="G32" i="17"/>
  <c r="N32" i="17"/>
  <c r="R32" i="17"/>
  <c r="S32" i="17" s="1"/>
  <c r="AA32" i="17"/>
  <c r="AB32" i="17"/>
  <c r="AH32" i="17"/>
  <c r="AI32" i="17"/>
  <c r="AK32" i="17"/>
  <c r="AS32" i="17"/>
  <c r="AT32" i="17"/>
  <c r="AY32" i="17"/>
  <c r="AZ32" i="17"/>
  <c r="BA32" i="17"/>
  <c r="BB32" i="17"/>
  <c r="CH32" i="17" s="1"/>
  <c r="DN32" i="17" s="1"/>
  <c r="ET32" i="17" s="1"/>
  <c r="FZ32" i="17" s="1"/>
  <c r="HF32" i="17" s="1"/>
  <c r="BC32" i="17"/>
  <c r="CI32" i="17" s="1"/>
  <c r="DO32" i="17" s="1"/>
  <c r="EU32" i="17" s="1"/>
  <c r="GA32" i="17" s="1"/>
  <c r="HG32" i="17" s="1"/>
  <c r="BD32" i="17"/>
  <c r="CJ32" i="17" s="1"/>
  <c r="DP32" i="17" s="1"/>
  <c r="EV32" i="17" s="1"/>
  <c r="GB32" i="17" s="1"/>
  <c r="HH32" i="17" s="1"/>
  <c r="BE32" i="17"/>
  <c r="CK32" i="17" s="1"/>
  <c r="DQ32" i="17" s="1"/>
  <c r="EW32" i="17" s="1"/>
  <c r="GC32" i="17" s="1"/>
  <c r="HI32" i="17" s="1"/>
  <c r="BF32" i="17"/>
  <c r="CL32" i="17" s="1"/>
  <c r="DR32" i="17" s="1"/>
  <c r="EX32" i="17" s="1"/>
  <c r="GD32" i="17" s="1"/>
  <c r="HJ32" i="17" s="1"/>
  <c r="BJ32" i="17"/>
  <c r="CP32" i="17" s="1"/>
  <c r="DV32" i="17" s="1"/>
  <c r="FB32" i="17" s="1"/>
  <c r="GH32" i="17" s="1"/>
  <c r="HN32" i="17" s="1"/>
  <c r="BK32" i="17"/>
  <c r="CQ32" i="17" s="1"/>
  <c r="DW32" i="17" s="1"/>
  <c r="FC32" i="17" s="1"/>
  <c r="GI32" i="17" s="1"/>
  <c r="HO32" i="17" s="1"/>
  <c r="BL32" i="17"/>
  <c r="CR32" i="17" s="1"/>
  <c r="DX32" i="17" s="1"/>
  <c r="FD32" i="17" s="1"/>
  <c r="GJ32" i="17" s="1"/>
  <c r="HP32" i="17" s="1"/>
  <c r="BM32" i="17"/>
  <c r="CS32" i="17" s="1"/>
  <c r="DY32" i="17" s="1"/>
  <c r="FE32" i="17" s="1"/>
  <c r="GK32" i="17" s="1"/>
  <c r="HQ32" i="17" s="1"/>
  <c r="BY32" i="17"/>
  <c r="BZ32" i="17"/>
  <c r="CE32" i="17"/>
  <c r="CF32" i="17"/>
  <c r="DE32" i="17"/>
  <c r="DF32" i="17"/>
  <c r="DK32" i="17"/>
  <c r="DL32" i="17"/>
  <c r="G33" i="17"/>
  <c r="N33" i="17"/>
  <c r="R33" i="17"/>
  <c r="S33" i="17" s="1"/>
  <c r="AA33" i="17"/>
  <c r="AB33" i="17"/>
  <c r="AH33" i="17"/>
  <c r="AI33" i="17"/>
  <c r="AK33" i="17"/>
  <c r="AS33" i="17"/>
  <c r="AT33" i="17"/>
  <c r="AY33" i="17"/>
  <c r="AZ33" i="17"/>
  <c r="BA33" i="17"/>
  <c r="BB33" i="17"/>
  <c r="CH33" i="17" s="1"/>
  <c r="DN33" i="17" s="1"/>
  <c r="ET33" i="17" s="1"/>
  <c r="FZ33" i="17" s="1"/>
  <c r="HF33" i="17" s="1"/>
  <c r="BC33" i="17"/>
  <c r="CI33" i="17" s="1"/>
  <c r="DO33" i="17" s="1"/>
  <c r="EU33" i="17" s="1"/>
  <c r="GA33" i="17" s="1"/>
  <c r="HG33" i="17" s="1"/>
  <c r="BD33" i="17"/>
  <c r="CJ33" i="17" s="1"/>
  <c r="DP33" i="17" s="1"/>
  <c r="EV33" i="17" s="1"/>
  <c r="GB33" i="17" s="1"/>
  <c r="HH33" i="17" s="1"/>
  <c r="BE33" i="17"/>
  <c r="CK33" i="17" s="1"/>
  <c r="DQ33" i="17" s="1"/>
  <c r="EW33" i="17" s="1"/>
  <c r="GC33" i="17" s="1"/>
  <c r="HI33" i="17" s="1"/>
  <c r="BF33" i="17"/>
  <c r="CL33" i="17" s="1"/>
  <c r="DR33" i="17" s="1"/>
  <c r="EX33" i="17" s="1"/>
  <c r="GD33" i="17" s="1"/>
  <c r="HJ33" i="17" s="1"/>
  <c r="BJ33" i="17"/>
  <c r="CP33" i="17" s="1"/>
  <c r="DV33" i="17" s="1"/>
  <c r="FB33" i="17" s="1"/>
  <c r="GH33" i="17" s="1"/>
  <c r="HN33" i="17" s="1"/>
  <c r="BK33" i="17"/>
  <c r="CQ33" i="17" s="1"/>
  <c r="DW33" i="17" s="1"/>
  <c r="FC33" i="17" s="1"/>
  <c r="GI33" i="17" s="1"/>
  <c r="HO33" i="17" s="1"/>
  <c r="BL33" i="17"/>
  <c r="CR33" i="17" s="1"/>
  <c r="DX33" i="17" s="1"/>
  <c r="FD33" i="17" s="1"/>
  <c r="GJ33" i="17" s="1"/>
  <c r="HP33" i="17" s="1"/>
  <c r="BM33" i="17"/>
  <c r="CS33" i="17" s="1"/>
  <c r="DY33" i="17" s="1"/>
  <c r="FE33" i="17" s="1"/>
  <c r="GK33" i="17" s="1"/>
  <c r="HQ33" i="17" s="1"/>
  <c r="BY33" i="17"/>
  <c r="BZ33" i="17"/>
  <c r="CE33" i="17"/>
  <c r="CF33" i="17"/>
  <c r="DE33" i="17"/>
  <c r="DF33" i="17"/>
  <c r="DK33" i="17"/>
  <c r="DL33" i="17"/>
  <c r="G34" i="17"/>
  <c r="N34" i="17"/>
  <c r="R34" i="17"/>
  <c r="S34" i="17" s="1"/>
  <c r="AA34" i="17"/>
  <c r="AB34" i="17"/>
  <c r="AC34" i="17" s="1"/>
  <c r="AH34" i="17"/>
  <c r="AI34" i="17"/>
  <c r="AK34" i="17"/>
  <c r="AS34" i="17"/>
  <c r="AT34" i="17"/>
  <c r="AY34" i="17"/>
  <c r="AZ34" i="17"/>
  <c r="BA34" i="17"/>
  <c r="CG34" i="17" s="1"/>
  <c r="BB34" i="17"/>
  <c r="CH34" i="17" s="1"/>
  <c r="DN34" i="17" s="1"/>
  <c r="ET34" i="17" s="1"/>
  <c r="FZ34" i="17" s="1"/>
  <c r="HF34" i="17" s="1"/>
  <c r="BC34" i="17"/>
  <c r="CI34" i="17" s="1"/>
  <c r="DO34" i="17" s="1"/>
  <c r="EU34" i="17" s="1"/>
  <c r="GA34" i="17" s="1"/>
  <c r="HG34" i="17" s="1"/>
  <c r="BD34" i="17"/>
  <c r="CJ34" i="17" s="1"/>
  <c r="DP34" i="17" s="1"/>
  <c r="EV34" i="17" s="1"/>
  <c r="GB34" i="17" s="1"/>
  <c r="HH34" i="17" s="1"/>
  <c r="BE34" i="17"/>
  <c r="CK34" i="17" s="1"/>
  <c r="DQ34" i="17" s="1"/>
  <c r="EW34" i="17" s="1"/>
  <c r="GC34" i="17" s="1"/>
  <c r="HI34" i="17" s="1"/>
  <c r="BF34" i="17"/>
  <c r="CL34" i="17" s="1"/>
  <c r="DR34" i="17" s="1"/>
  <c r="EX34" i="17" s="1"/>
  <c r="GD34" i="17" s="1"/>
  <c r="HJ34" i="17" s="1"/>
  <c r="BJ34" i="17"/>
  <c r="CP34" i="17" s="1"/>
  <c r="BK34" i="17"/>
  <c r="CQ34" i="17" s="1"/>
  <c r="DW34" i="17" s="1"/>
  <c r="FC34" i="17" s="1"/>
  <c r="GI34" i="17" s="1"/>
  <c r="HO34" i="17" s="1"/>
  <c r="BL34" i="17"/>
  <c r="CR34" i="17" s="1"/>
  <c r="DX34" i="17" s="1"/>
  <c r="FD34" i="17" s="1"/>
  <c r="GJ34" i="17" s="1"/>
  <c r="HP34" i="17" s="1"/>
  <c r="BM34" i="17"/>
  <c r="CS34" i="17" s="1"/>
  <c r="DY34" i="17" s="1"/>
  <c r="FE34" i="17" s="1"/>
  <c r="GK34" i="17" s="1"/>
  <c r="HQ34" i="17" s="1"/>
  <c r="BY34" i="17"/>
  <c r="BZ34" i="17"/>
  <c r="CE34" i="17"/>
  <c r="CF34" i="17"/>
  <c r="DE34" i="17"/>
  <c r="DF34" i="17"/>
  <c r="DK34" i="17"/>
  <c r="DL34" i="17"/>
  <c r="DV34" i="17"/>
  <c r="FB34" i="17" s="1"/>
  <c r="GH34" i="17" s="1"/>
  <c r="HN34" i="17" s="1"/>
  <c r="G35" i="17"/>
  <c r="N35" i="17"/>
  <c r="R35" i="17"/>
  <c r="S35" i="17" s="1"/>
  <c r="AA35" i="17"/>
  <c r="AB35" i="17"/>
  <c r="AH35" i="17"/>
  <c r="AI35" i="17"/>
  <c r="AK35" i="17"/>
  <c r="AS35" i="17"/>
  <c r="AT35" i="17"/>
  <c r="AY35" i="17"/>
  <c r="AZ35" i="17"/>
  <c r="BA35" i="17"/>
  <c r="CG35" i="17" s="1"/>
  <c r="CW35" i="17" s="1"/>
  <c r="BB35" i="17"/>
  <c r="CH35" i="17" s="1"/>
  <c r="DN35" i="17" s="1"/>
  <c r="ET35" i="17" s="1"/>
  <c r="FZ35" i="17" s="1"/>
  <c r="HF35" i="17" s="1"/>
  <c r="BC35" i="17"/>
  <c r="CI35" i="17" s="1"/>
  <c r="DO35" i="17" s="1"/>
  <c r="EU35" i="17" s="1"/>
  <c r="GA35" i="17" s="1"/>
  <c r="HG35" i="17" s="1"/>
  <c r="BD35" i="17"/>
  <c r="CJ35" i="17" s="1"/>
  <c r="DP35" i="17" s="1"/>
  <c r="EV35" i="17" s="1"/>
  <c r="GB35" i="17" s="1"/>
  <c r="HH35" i="17" s="1"/>
  <c r="BE35" i="17"/>
  <c r="CK35" i="17" s="1"/>
  <c r="DQ35" i="17" s="1"/>
  <c r="EW35" i="17" s="1"/>
  <c r="GC35" i="17" s="1"/>
  <c r="HI35" i="17" s="1"/>
  <c r="BF35" i="17"/>
  <c r="CL35" i="17" s="1"/>
  <c r="DR35" i="17" s="1"/>
  <c r="EX35" i="17" s="1"/>
  <c r="GD35" i="17" s="1"/>
  <c r="HJ35" i="17" s="1"/>
  <c r="BJ35" i="17"/>
  <c r="BK35" i="17"/>
  <c r="CQ35" i="17" s="1"/>
  <c r="DW35" i="17" s="1"/>
  <c r="FC35" i="17" s="1"/>
  <c r="GI35" i="17" s="1"/>
  <c r="HO35" i="17" s="1"/>
  <c r="BL35" i="17"/>
  <c r="CR35" i="17" s="1"/>
  <c r="DX35" i="17" s="1"/>
  <c r="FD35" i="17" s="1"/>
  <c r="GJ35" i="17" s="1"/>
  <c r="HP35" i="17" s="1"/>
  <c r="BM35" i="17"/>
  <c r="CS35" i="17" s="1"/>
  <c r="DY35" i="17" s="1"/>
  <c r="FE35" i="17" s="1"/>
  <c r="GK35" i="17" s="1"/>
  <c r="HQ35" i="17" s="1"/>
  <c r="BY35" i="17"/>
  <c r="BZ35" i="17"/>
  <c r="CE35" i="17"/>
  <c r="CF35" i="17"/>
  <c r="CP35" i="17"/>
  <c r="DV35" i="17" s="1"/>
  <c r="FB35" i="17" s="1"/>
  <c r="GH35" i="17" s="1"/>
  <c r="HN35" i="17" s="1"/>
  <c r="DE35" i="17"/>
  <c r="DF35" i="17"/>
  <c r="DK35" i="17"/>
  <c r="DL35" i="17"/>
  <c r="G36" i="17"/>
  <c r="N36" i="17"/>
  <c r="R36" i="17"/>
  <c r="S36" i="17" s="1"/>
  <c r="AA36" i="17"/>
  <c r="AB36" i="17"/>
  <c r="AH36" i="17"/>
  <c r="AI36" i="17"/>
  <c r="AK36" i="17"/>
  <c r="AS36" i="17"/>
  <c r="AT36" i="17"/>
  <c r="AY36" i="17"/>
  <c r="AZ36" i="17"/>
  <c r="BA36" i="17"/>
  <c r="CG36" i="17" s="1"/>
  <c r="DM36" i="17" s="1"/>
  <c r="EC36" i="17" s="1"/>
  <c r="BB36" i="17"/>
  <c r="CH36" i="17" s="1"/>
  <c r="DN36" i="17" s="1"/>
  <c r="ET36" i="17" s="1"/>
  <c r="FZ36" i="17" s="1"/>
  <c r="HF36" i="17" s="1"/>
  <c r="BC36" i="17"/>
  <c r="CI36" i="17" s="1"/>
  <c r="DO36" i="17" s="1"/>
  <c r="EU36" i="17" s="1"/>
  <c r="GA36" i="17" s="1"/>
  <c r="HG36" i="17" s="1"/>
  <c r="BD36" i="17"/>
  <c r="CJ36" i="17" s="1"/>
  <c r="DP36" i="17" s="1"/>
  <c r="EV36" i="17" s="1"/>
  <c r="GB36" i="17" s="1"/>
  <c r="HH36" i="17" s="1"/>
  <c r="BE36" i="17"/>
  <c r="CK36" i="17" s="1"/>
  <c r="DQ36" i="17" s="1"/>
  <c r="EW36" i="17" s="1"/>
  <c r="GC36" i="17" s="1"/>
  <c r="HI36" i="17" s="1"/>
  <c r="BF36" i="17"/>
  <c r="CL36" i="17" s="1"/>
  <c r="DR36" i="17" s="1"/>
  <c r="EX36" i="17" s="1"/>
  <c r="GD36" i="17" s="1"/>
  <c r="HJ36" i="17" s="1"/>
  <c r="BJ36" i="17"/>
  <c r="CP36" i="17" s="1"/>
  <c r="DV36" i="17" s="1"/>
  <c r="FB36" i="17" s="1"/>
  <c r="GH36" i="17" s="1"/>
  <c r="HN36" i="17" s="1"/>
  <c r="BK36" i="17"/>
  <c r="CQ36" i="17" s="1"/>
  <c r="DW36" i="17" s="1"/>
  <c r="FC36" i="17" s="1"/>
  <c r="GI36" i="17" s="1"/>
  <c r="HO36" i="17" s="1"/>
  <c r="BL36" i="17"/>
  <c r="CR36" i="17" s="1"/>
  <c r="DX36" i="17" s="1"/>
  <c r="FD36" i="17" s="1"/>
  <c r="GJ36" i="17" s="1"/>
  <c r="HP36" i="17" s="1"/>
  <c r="BM36" i="17"/>
  <c r="CS36" i="17" s="1"/>
  <c r="DY36" i="17" s="1"/>
  <c r="FE36" i="17" s="1"/>
  <c r="GK36" i="17" s="1"/>
  <c r="HQ36" i="17" s="1"/>
  <c r="BQ36" i="17"/>
  <c r="BY36" i="17"/>
  <c r="BZ36" i="17"/>
  <c r="CE36" i="17"/>
  <c r="CF36" i="17"/>
  <c r="DE36" i="17"/>
  <c r="DF36" i="17"/>
  <c r="DK36" i="17"/>
  <c r="DL36" i="17"/>
  <c r="G37" i="17"/>
  <c r="N37" i="17"/>
  <c r="R37" i="17"/>
  <c r="S37" i="17" s="1"/>
  <c r="AA37" i="17"/>
  <c r="AB37" i="17"/>
  <c r="AH37" i="17"/>
  <c r="AI37" i="17"/>
  <c r="AK37" i="17"/>
  <c r="AS37" i="17"/>
  <c r="AT37" i="17"/>
  <c r="AY37" i="17"/>
  <c r="AZ37" i="17"/>
  <c r="BA37" i="17"/>
  <c r="CG37" i="17" s="1"/>
  <c r="BB37" i="17"/>
  <c r="CH37" i="17" s="1"/>
  <c r="DN37" i="17" s="1"/>
  <c r="ET37" i="17" s="1"/>
  <c r="FZ37" i="17" s="1"/>
  <c r="HF37" i="17" s="1"/>
  <c r="BC37" i="17"/>
  <c r="CI37" i="17" s="1"/>
  <c r="DO37" i="17" s="1"/>
  <c r="EU37" i="17" s="1"/>
  <c r="GA37" i="17" s="1"/>
  <c r="HG37" i="17" s="1"/>
  <c r="BD37" i="17"/>
  <c r="CJ37" i="17" s="1"/>
  <c r="DP37" i="17" s="1"/>
  <c r="EV37" i="17" s="1"/>
  <c r="GB37" i="17" s="1"/>
  <c r="HH37" i="17" s="1"/>
  <c r="BE37" i="17"/>
  <c r="CK37" i="17" s="1"/>
  <c r="DQ37" i="17" s="1"/>
  <c r="EW37" i="17" s="1"/>
  <c r="GC37" i="17" s="1"/>
  <c r="HI37" i="17" s="1"/>
  <c r="BF37" i="17"/>
  <c r="CL37" i="17" s="1"/>
  <c r="DR37" i="17" s="1"/>
  <c r="EX37" i="17" s="1"/>
  <c r="GD37" i="17" s="1"/>
  <c r="HJ37" i="17" s="1"/>
  <c r="BJ37" i="17"/>
  <c r="CP37" i="17" s="1"/>
  <c r="DV37" i="17" s="1"/>
  <c r="FB37" i="17" s="1"/>
  <c r="GH37" i="17" s="1"/>
  <c r="HN37" i="17" s="1"/>
  <c r="BK37" i="17"/>
  <c r="CQ37" i="17" s="1"/>
  <c r="DW37" i="17" s="1"/>
  <c r="FC37" i="17" s="1"/>
  <c r="GI37" i="17" s="1"/>
  <c r="HO37" i="17" s="1"/>
  <c r="BL37" i="17"/>
  <c r="CR37" i="17" s="1"/>
  <c r="DX37" i="17" s="1"/>
  <c r="FD37" i="17" s="1"/>
  <c r="GJ37" i="17" s="1"/>
  <c r="HP37" i="17" s="1"/>
  <c r="BM37" i="17"/>
  <c r="CS37" i="17" s="1"/>
  <c r="DY37" i="17" s="1"/>
  <c r="FE37" i="17" s="1"/>
  <c r="GK37" i="17" s="1"/>
  <c r="HQ37" i="17" s="1"/>
  <c r="BY37" i="17"/>
  <c r="BZ37" i="17"/>
  <c r="CE37" i="17"/>
  <c r="CF37" i="17"/>
  <c r="DE37" i="17"/>
  <c r="DF37" i="17"/>
  <c r="DK37" i="17"/>
  <c r="DL37" i="17"/>
  <c r="G38" i="17"/>
  <c r="N38" i="17"/>
  <c r="R38" i="17"/>
  <c r="S38" i="17" s="1"/>
  <c r="AA38" i="17"/>
  <c r="AB38" i="17"/>
  <c r="AH38" i="17"/>
  <c r="AI38" i="17"/>
  <c r="AK38" i="17"/>
  <c r="AS38" i="17"/>
  <c r="AT38" i="17"/>
  <c r="AY38" i="17"/>
  <c r="AZ38" i="17"/>
  <c r="BA38" i="17"/>
  <c r="BB38" i="17"/>
  <c r="CH38" i="17" s="1"/>
  <c r="DN38" i="17" s="1"/>
  <c r="ET38" i="17" s="1"/>
  <c r="FZ38" i="17" s="1"/>
  <c r="HF38" i="17" s="1"/>
  <c r="BC38" i="17"/>
  <c r="CI38" i="17" s="1"/>
  <c r="DO38" i="17" s="1"/>
  <c r="EU38" i="17" s="1"/>
  <c r="GA38" i="17" s="1"/>
  <c r="HG38" i="17" s="1"/>
  <c r="BD38" i="17"/>
  <c r="CJ38" i="17" s="1"/>
  <c r="DP38" i="17" s="1"/>
  <c r="EV38" i="17" s="1"/>
  <c r="GB38" i="17" s="1"/>
  <c r="HH38" i="17" s="1"/>
  <c r="BE38" i="17"/>
  <c r="CK38" i="17" s="1"/>
  <c r="DQ38" i="17" s="1"/>
  <c r="EW38" i="17" s="1"/>
  <c r="GC38" i="17" s="1"/>
  <c r="HI38" i="17" s="1"/>
  <c r="BF38" i="17"/>
  <c r="CL38" i="17" s="1"/>
  <c r="DR38" i="17" s="1"/>
  <c r="EX38" i="17" s="1"/>
  <c r="GD38" i="17" s="1"/>
  <c r="HJ38" i="17" s="1"/>
  <c r="BJ38" i="17"/>
  <c r="CP38" i="17" s="1"/>
  <c r="DV38" i="17" s="1"/>
  <c r="FB38" i="17" s="1"/>
  <c r="GH38" i="17" s="1"/>
  <c r="HN38" i="17" s="1"/>
  <c r="BK38" i="17"/>
  <c r="BL38" i="17"/>
  <c r="CR38" i="17" s="1"/>
  <c r="DX38" i="17" s="1"/>
  <c r="FD38" i="17" s="1"/>
  <c r="GJ38" i="17" s="1"/>
  <c r="HP38" i="17" s="1"/>
  <c r="BM38" i="17"/>
  <c r="CS38" i="17" s="1"/>
  <c r="DY38" i="17" s="1"/>
  <c r="FE38" i="17" s="1"/>
  <c r="GK38" i="17" s="1"/>
  <c r="HQ38" i="17" s="1"/>
  <c r="BY38" i="17"/>
  <c r="BZ38" i="17"/>
  <c r="CE38" i="17"/>
  <c r="CF38" i="17"/>
  <c r="CQ38" i="17"/>
  <c r="DW38" i="17" s="1"/>
  <c r="FC38" i="17" s="1"/>
  <c r="GI38" i="17" s="1"/>
  <c r="HO38" i="17" s="1"/>
  <c r="DE38" i="17"/>
  <c r="DF38" i="17"/>
  <c r="DK38" i="17"/>
  <c r="DL38" i="17"/>
  <c r="G39" i="17"/>
  <c r="N39" i="17"/>
  <c r="R39" i="17"/>
  <c r="S39" i="17" s="1"/>
  <c r="AA39" i="17"/>
  <c r="AB39" i="17"/>
  <c r="AH39" i="17"/>
  <c r="AI39" i="17"/>
  <c r="AK39" i="17"/>
  <c r="AS39" i="17"/>
  <c r="AT39" i="17"/>
  <c r="AY39" i="17"/>
  <c r="AZ39" i="17"/>
  <c r="BA39" i="17"/>
  <c r="BB39" i="17"/>
  <c r="CH39" i="17" s="1"/>
  <c r="DN39" i="17" s="1"/>
  <c r="ET39" i="17" s="1"/>
  <c r="FZ39" i="17" s="1"/>
  <c r="HF39" i="17" s="1"/>
  <c r="BC39" i="17"/>
  <c r="CI39" i="17" s="1"/>
  <c r="DO39" i="17" s="1"/>
  <c r="EU39" i="17" s="1"/>
  <c r="GA39" i="17" s="1"/>
  <c r="HG39" i="17" s="1"/>
  <c r="BD39" i="17"/>
  <c r="BE39" i="17"/>
  <c r="CK39" i="17" s="1"/>
  <c r="DQ39" i="17" s="1"/>
  <c r="EW39" i="17" s="1"/>
  <c r="GC39" i="17" s="1"/>
  <c r="HI39" i="17" s="1"/>
  <c r="BF39" i="17"/>
  <c r="CL39" i="17" s="1"/>
  <c r="DR39" i="17" s="1"/>
  <c r="EX39" i="17" s="1"/>
  <c r="GD39" i="17" s="1"/>
  <c r="HJ39" i="17" s="1"/>
  <c r="BJ39" i="17"/>
  <c r="CP39" i="17" s="1"/>
  <c r="DV39" i="17" s="1"/>
  <c r="FB39" i="17" s="1"/>
  <c r="GH39" i="17" s="1"/>
  <c r="HN39" i="17" s="1"/>
  <c r="BK39" i="17"/>
  <c r="CQ39" i="17" s="1"/>
  <c r="DW39" i="17" s="1"/>
  <c r="FC39" i="17" s="1"/>
  <c r="GI39" i="17" s="1"/>
  <c r="HO39" i="17" s="1"/>
  <c r="BL39" i="17"/>
  <c r="CR39" i="17" s="1"/>
  <c r="DX39" i="17" s="1"/>
  <c r="FD39" i="17" s="1"/>
  <c r="GJ39" i="17" s="1"/>
  <c r="HP39" i="17" s="1"/>
  <c r="BM39" i="17"/>
  <c r="CS39" i="17" s="1"/>
  <c r="DY39" i="17" s="1"/>
  <c r="FE39" i="17" s="1"/>
  <c r="GK39" i="17" s="1"/>
  <c r="HQ39" i="17" s="1"/>
  <c r="BY39" i="17"/>
  <c r="BZ39" i="17"/>
  <c r="CE39" i="17"/>
  <c r="CF39" i="17"/>
  <c r="CJ39" i="17"/>
  <c r="DP39" i="17" s="1"/>
  <c r="EV39" i="17" s="1"/>
  <c r="GB39" i="17" s="1"/>
  <c r="HH39" i="17" s="1"/>
  <c r="DE39" i="17"/>
  <c r="DF39" i="17"/>
  <c r="DK39" i="17"/>
  <c r="DL39" i="17"/>
  <c r="G40" i="17"/>
  <c r="N40" i="17"/>
  <c r="R40" i="17"/>
  <c r="S40" i="17" s="1"/>
  <c r="AA40" i="17"/>
  <c r="AB40" i="17"/>
  <c r="AH40" i="17"/>
  <c r="AI40" i="17"/>
  <c r="AK40" i="17"/>
  <c r="AS40" i="17"/>
  <c r="AT40" i="17"/>
  <c r="AY40" i="17"/>
  <c r="AZ40" i="17"/>
  <c r="BA40" i="17"/>
  <c r="BQ40" i="17" s="1"/>
  <c r="BB40" i="17"/>
  <c r="CH40" i="17" s="1"/>
  <c r="DN40" i="17" s="1"/>
  <c r="ET40" i="17" s="1"/>
  <c r="FZ40" i="17" s="1"/>
  <c r="HF40" i="17" s="1"/>
  <c r="BC40" i="17"/>
  <c r="CI40" i="17" s="1"/>
  <c r="DO40" i="17" s="1"/>
  <c r="EU40" i="17" s="1"/>
  <c r="GA40" i="17" s="1"/>
  <c r="HG40" i="17" s="1"/>
  <c r="BD40" i="17"/>
  <c r="CJ40" i="17" s="1"/>
  <c r="DP40" i="17" s="1"/>
  <c r="EV40" i="17" s="1"/>
  <c r="GB40" i="17" s="1"/>
  <c r="HH40" i="17" s="1"/>
  <c r="BE40" i="17"/>
  <c r="CK40" i="17" s="1"/>
  <c r="DQ40" i="17" s="1"/>
  <c r="EW40" i="17" s="1"/>
  <c r="GC40" i="17" s="1"/>
  <c r="HI40" i="17" s="1"/>
  <c r="BF40" i="17"/>
  <c r="CL40" i="17" s="1"/>
  <c r="DR40" i="17" s="1"/>
  <c r="EX40" i="17" s="1"/>
  <c r="GD40" i="17" s="1"/>
  <c r="HJ40" i="17" s="1"/>
  <c r="BJ40" i="17"/>
  <c r="CP40" i="17" s="1"/>
  <c r="DV40" i="17" s="1"/>
  <c r="FB40" i="17" s="1"/>
  <c r="GH40" i="17" s="1"/>
  <c r="HN40" i="17" s="1"/>
  <c r="BK40" i="17"/>
  <c r="CQ40" i="17" s="1"/>
  <c r="DW40" i="17" s="1"/>
  <c r="FC40" i="17" s="1"/>
  <c r="GI40" i="17" s="1"/>
  <c r="HO40" i="17" s="1"/>
  <c r="BL40" i="17"/>
  <c r="CR40" i="17" s="1"/>
  <c r="DX40" i="17" s="1"/>
  <c r="FD40" i="17" s="1"/>
  <c r="GJ40" i="17" s="1"/>
  <c r="HP40" i="17" s="1"/>
  <c r="BM40" i="17"/>
  <c r="CS40" i="17" s="1"/>
  <c r="DY40" i="17" s="1"/>
  <c r="FE40" i="17" s="1"/>
  <c r="GK40" i="17" s="1"/>
  <c r="HQ40" i="17" s="1"/>
  <c r="BY40" i="17"/>
  <c r="BZ40" i="17"/>
  <c r="CE40" i="17"/>
  <c r="CF40" i="17"/>
  <c r="DE40" i="17"/>
  <c r="DF40" i="17"/>
  <c r="DK40" i="17"/>
  <c r="DL40" i="17"/>
  <c r="G41" i="17"/>
  <c r="N41" i="17"/>
  <c r="R41" i="17"/>
  <c r="S41" i="17" s="1"/>
  <c r="AA41" i="17"/>
  <c r="AB41" i="17"/>
  <c r="AH41" i="17"/>
  <c r="AI41" i="17"/>
  <c r="AK41" i="17"/>
  <c r="AS41" i="17"/>
  <c r="AT41" i="17"/>
  <c r="AY41" i="17"/>
  <c r="AZ41" i="17"/>
  <c r="BA41" i="17"/>
  <c r="CG41" i="17" s="1"/>
  <c r="BB41" i="17"/>
  <c r="CH41" i="17" s="1"/>
  <c r="DN41" i="17" s="1"/>
  <c r="ET41" i="17" s="1"/>
  <c r="FZ41" i="17" s="1"/>
  <c r="HF41" i="17" s="1"/>
  <c r="BC41" i="17"/>
  <c r="CI41" i="17" s="1"/>
  <c r="DO41" i="17" s="1"/>
  <c r="EU41" i="17" s="1"/>
  <c r="GA41" i="17" s="1"/>
  <c r="HG41" i="17" s="1"/>
  <c r="BD41" i="17"/>
  <c r="CJ41" i="17" s="1"/>
  <c r="DP41" i="17" s="1"/>
  <c r="EV41" i="17" s="1"/>
  <c r="GB41" i="17" s="1"/>
  <c r="HH41" i="17" s="1"/>
  <c r="BE41" i="17"/>
  <c r="CK41" i="17" s="1"/>
  <c r="DQ41" i="17" s="1"/>
  <c r="EW41" i="17" s="1"/>
  <c r="GC41" i="17" s="1"/>
  <c r="HI41" i="17" s="1"/>
  <c r="BF41" i="17"/>
  <c r="BJ41" i="17"/>
  <c r="CP41" i="17" s="1"/>
  <c r="DV41" i="17" s="1"/>
  <c r="FB41" i="17" s="1"/>
  <c r="GH41" i="17" s="1"/>
  <c r="HN41" i="17" s="1"/>
  <c r="BK41" i="17"/>
  <c r="CQ41" i="17" s="1"/>
  <c r="DW41" i="17" s="1"/>
  <c r="FC41" i="17" s="1"/>
  <c r="GI41" i="17" s="1"/>
  <c r="HO41" i="17" s="1"/>
  <c r="BL41" i="17"/>
  <c r="BM41" i="17"/>
  <c r="CS41" i="17" s="1"/>
  <c r="DY41" i="17" s="1"/>
  <c r="FE41" i="17" s="1"/>
  <c r="GK41" i="17" s="1"/>
  <c r="HQ41" i="17" s="1"/>
  <c r="BY41" i="17"/>
  <c r="BZ41" i="17"/>
  <c r="CE41" i="17"/>
  <c r="CF41" i="17"/>
  <c r="CL41" i="17"/>
  <c r="DR41" i="17" s="1"/>
  <c r="EX41" i="17" s="1"/>
  <c r="GD41" i="17" s="1"/>
  <c r="HJ41" i="17" s="1"/>
  <c r="CR41" i="17"/>
  <c r="DX41" i="17" s="1"/>
  <c r="FD41" i="17" s="1"/>
  <c r="GJ41" i="17" s="1"/>
  <c r="HP41" i="17" s="1"/>
  <c r="DE41" i="17"/>
  <c r="DF41" i="17"/>
  <c r="DK41" i="17"/>
  <c r="DL41" i="17"/>
  <c r="G42" i="17"/>
  <c r="K42" i="17"/>
  <c r="L42" i="17"/>
  <c r="L123" i="17" s="1"/>
  <c r="AA42" i="17"/>
  <c r="AB42" i="17"/>
  <c r="AH42" i="17"/>
  <c r="AI42" i="17"/>
  <c r="AK42" i="17"/>
  <c r="AS42" i="17"/>
  <c r="AT42" i="17"/>
  <c r="AY42" i="17"/>
  <c r="AZ42" i="17"/>
  <c r="BA42" i="17"/>
  <c r="BQ42" i="17" s="1"/>
  <c r="BB42" i="17"/>
  <c r="CH42" i="17" s="1"/>
  <c r="DN42" i="17" s="1"/>
  <c r="ET42" i="17" s="1"/>
  <c r="FZ42" i="17" s="1"/>
  <c r="HF42" i="17" s="1"/>
  <c r="BC42" i="17"/>
  <c r="BD42" i="17"/>
  <c r="CJ42" i="17" s="1"/>
  <c r="DP42" i="17" s="1"/>
  <c r="EV42" i="17" s="1"/>
  <c r="GB42" i="17" s="1"/>
  <c r="HH42" i="17" s="1"/>
  <c r="BE42" i="17"/>
  <c r="CK42" i="17" s="1"/>
  <c r="DQ42" i="17" s="1"/>
  <c r="EW42" i="17" s="1"/>
  <c r="GC42" i="17" s="1"/>
  <c r="HI42" i="17" s="1"/>
  <c r="BF42" i="17"/>
  <c r="CL42" i="17" s="1"/>
  <c r="DR42" i="17" s="1"/>
  <c r="EX42" i="17" s="1"/>
  <c r="GD42" i="17" s="1"/>
  <c r="HJ42" i="17" s="1"/>
  <c r="BJ42" i="17"/>
  <c r="CP42" i="17" s="1"/>
  <c r="DV42" i="17" s="1"/>
  <c r="FB42" i="17" s="1"/>
  <c r="GH42" i="17" s="1"/>
  <c r="HN42" i="17" s="1"/>
  <c r="BK42" i="17"/>
  <c r="CQ42" i="17" s="1"/>
  <c r="DW42" i="17" s="1"/>
  <c r="FC42" i="17" s="1"/>
  <c r="GI42" i="17" s="1"/>
  <c r="HO42" i="17" s="1"/>
  <c r="BL42" i="17"/>
  <c r="CR42" i="17" s="1"/>
  <c r="DX42" i="17" s="1"/>
  <c r="FD42" i="17" s="1"/>
  <c r="GJ42" i="17" s="1"/>
  <c r="HP42" i="17" s="1"/>
  <c r="BM42" i="17"/>
  <c r="CS42" i="17" s="1"/>
  <c r="DY42" i="17" s="1"/>
  <c r="FE42" i="17" s="1"/>
  <c r="GK42" i="17" s="1"/>
  <c r="HQ42" i="17" s="1"/>
  <c r="BY42" i="17"/>
  <c r="BZ42" i="17"/>
  <c r="CE42" i="17"/>
  <c r="CF42" i="17"/>
  <c r="CI42" i="17"/>
  <c r="DO42" i="17" s="1"/>
  <c r="EU42" i="17" s="1"/>
  <c r="GA42" i="17" s="1"/>
  <c r="HG42" i="17" s="1"/>
  <c r="DE42" i="17"/>
  <c r="DF42" i="17"/>
  <c r="DK42" i="17"/>
  <c r="DL42" i="17"/>
  <c r="G43" i="17"/>
  <c r="N43" i="17"/>
  <c r="R43" i="17"/>
  <c r="S43" i="17" s="1"/>
  <c r="AA43" i="17"/>
  <c r="AB43" i="17"/>
  <c r="AC43" i="17" s="1"/>
  <c r="AH43" i="17"/>
  <c r="AI43" i="17"/>
  <c r="AK43" i="17"/>
  <c r="AS43" i="17"/>
  <c r="AT43" i="17"/>
  <c r="AY43" i="17"/>
  <c r="AZ43" i="17"/>
  <c r="BA43" i="17"/>
  <c r="CG43" i="17" s="1"/>
  <c r="BB43" i="17"/>
  <c r="CH43" i="17" s="1"/>
  <c r="DN43" i="17" s="1"/>
  <c r="ET43" i="17" s="1"/>
  <c r="FZ43" i="17" s="1"/>
  <c r="HF43" i="17" s="1"/>
  <c r="BC43" i="17"/>
  <c r="CI43" i="17" s="1"/>
  <c r="DO43" i="17" s="1"/>
  <c r="EU43" i="17" s="1"/>
  <c r="GA43" i="17" s="1"/>
  <c r="HG43" i="17" s="1"/>
  <c r="BD43" i="17"/>
  <c r="CJ43" i="17" s="1"/>
  <c r="DP43" i="17" s="1"/>
  <c r="EV43" i="17" s="1"/>
  <c r="GB43" i="17" s="1"/>
  <c r="HH43" i="17" s="1"/>
  <c r="BE43" i="17"/>
  <c r="CK43" i="17" s="1"/>
  <c r="DQ43" i="17" s="1"/>
  <c r="EW43" i="17" s="1"/>
  <c r="GC43" i="17" s="1"/>
  <c r="HI43" i="17" s="1"/>
  <c r="BF43" i="17"/>
  <c r="CL43" i="17" s="1"/>
  <c r="DR43" i="17" s="1"/>
  <c r="EX43" i="17" s="1"/>
  <c r="GD43" i="17" s="1"/>
  <c r="HJ43" i="17" s="1"/>
  <c r="BJ43" i="17"/>
  <c r="CP43" i="17" s="1"/>
  <c r="DV43" i="17" s="1"/>
  <c r="FB43" i="17" s="1"/>
  <c r="GH43" i="17" s="1"/>
  <c r="HN43" i="17" s="1"/>
  <c r="BK43" i="17"/>
  <c r="CQ43" i="17" s="1"/>
  <c r="DW43" i="17" s="1"/>
  <c r="FC43" i="17" s="1"/>
  <c r="GI43" i="17" s="1"/>
  <c r="HO43" i="17" s="1"/>
  <c r="BL43" i="17"/>
  <c r="CR43" i="17" s="1"/>
  <c r="DX43" i="17" s="1"/>
  <c r="FD43" i="17" s="1"/>
  <c r="GJ43" i="17" s="1"/>
  <c r="HP43" i="17" s="1"/>
  <c r="BM43" i="17"/>
  <c r="CS43" i="17" s="1"/>
  <c r="DY43" i="17" s="1"/>
  <c r="FE43" i="17" s="1"/>
  <c r="GK43" i="17" s="1"/>
  <c r="HQ43" i="17" s="1"/>
  <c r="BY43" i="17"/>
  <c r="BZ43" i="17"/>
  <c r="CE43" i="17"/>
  <c r="CF43" i="17"/>
  <c r="DE43" i="17"/>
  <c r="DF43" i="17"/>
  <c r="DK43" i="17"/>
  <c r="DL43" i="17"/>
  <c r="G44" i="17"/>
  <c r="N44" i="17"/>
  <c r="O44" i="17"/>
  <c r="R44" i="17" s="1"/>
  <c r="S44" i="17" s="1"/>
  <c r="AA44" i="17"/>
  <c r="AB44" i="17"/>
  <c r="AH44" i="17"/>
  <c r="AI44" i="17"/>
  <c r="AK44" i="17"/>
  <c r="AS44" i="17"/>
  <c r="AT44" i="17"/>
  <c r="AY44" i="17"/>
  <c r="AZ44" i="17"/>
  <c r="BA44" i="17"/>
  <c r="BQ44" i="17" s="1"/>
  <c r="BB44" i="17"/>
  <c r="CH44" i="17" s="1"/>
  <c r="DN44" i="17" s="1"/>
  <c r="ET44" i="17" s="1"/>
  <c r="FZ44" i="17" s="1"/>
  <c r="HF44" i="17" s="1"/>
  <c r="BC44" i="17"/>
  <c r="CI44" i="17" s="1"/>
  <c r="DO44" i="17" s="1"/>
  <c r="EU44" i="17" s="1"/>
  <c r="GA44" i="17" s="1"/>
  <c r="HG44" i="17" s="1"/>
  <c r="BD44" i="17"/>
  <c r="CJ44" i="17" s="1"/>
  <c r="DP44" i="17" s="1"/>
  <c r="EV44" i="17" s="1"/>
  <c r="GB44" i="17" s="1"/>
  <c r="HH44" i="17" s="1"/>
  <c r="BE44" i="17"/>
  <c r="CK44" i="17" s="1"/>
  <c r="DQ44" i="17" s="1"/>
  <c r="EW44" i="17" s="1"/>
  <c r="GC44" i="17" s="1"/>
  <c r="HI44" i="17" s="1"/>
  <c r="BF44" i="17"/>
  <c r="CL44" i="17" s="1"/>
  <c r="DR44" i="17" s="1"/>
  <c r="EX44" i="17" s="1"/>
  <c r="GD44" i="17" s="1"/>
  <c r="HJ44" i="17" s="1"/>
  <c r="BJ44" i="17"/>
  <c r="CP44" i="17" s="1"/>
  <c r="DV44" i="17" s="1"/>
  <c r="FB44" i="17" s="1"/>
  <c r="GH44" i="17" s="1"/>
  <c r="HN44" i="17" s="1"/>
  <c r="BK44" i="17"/>
  <c r="BL44" i="17"/>
  <c r="CR44" i="17" s="1"/>
  <c r="DX44" i="17" s="1"/>
  <c r="FD44" i="17" s="1"/>
  <c r="GJ44" i="17" s="1"/>
  <c r="HP44" i="17" s="1"/>
  <c r="BM44" i="17"/>
  <c r="CS44" i="17" s="1"/>
  <c r="DY44" i="17" s="1"/>
  <c r="FE44" i="17" s="1"/>
  <c r="GK44" i="17" s="1"/>
  <c r="HQ44" i="17" s="1"/>
  <c r="BY44" i="17"/>
  <c r="BZ44" i="17"/>
  <c r="CE44" i="17"/>
  <c r="CF44" i="17"/>
  <c r="CQ44" i="17"/>
  <c r="DW44" i="17" s="1"/>
  <c r="FC44" i="17" s="1"/>
  <c r="GI44" i="17" s="1"/>
  <c r="HO44" i="17" s="1"/>
  <c r="DE44" i="17"/>
  <c r="DF44" i="17"/>
  <c r="DK44" i="17"/>
  <c r="DL44" i="17"/>
  <c r="G45" i="17"/>
  <c r="M45" i="17"/>
  <c r="N45" i="17"/>
  <c r="R45" i="17"/>
  <c r="S45" i="17" s="1"/>
  <c r="AA45" i="17"/>
  <c r="AB45" i="17"/>
  <c r="AH45" i="17"/>
  <c r="AI45" i="17"/>
  <c r="AK45" i="17"/>
  <c r="AS45" i="17"/>
  <c r="AT45" i="17"/>
  <c r="AY45" i="17"/>
  <c r="AZ45" i="17"/>
  <c r="BA45" i="17"/>
  <c r="BQ45" i="17" s="1"/>
  <c r="BB45" i="17"/>
  <c r="CH45" i="17" s="1"/>
  <c r="DN45" i="17" s="1"/>
  <c r="ET45" i="17" s="1"/>
  <c r="FZ45" i="17" s="1"/>
  <c r="HF45" i="17" s="1"/>
  <c r="BC45" i="17"/>
  <c r="CI45" i="17" s="1"/>
  <c r="DO45" i="17" s="1"/>
  <c r="EU45" i="17" s="1"/>
  <c r="GA45" i="17" s="1"/>
  <c r="HG45" i="17" s="1"/>
  <c r="BD45" i="17"/>
  <c r="CJ45" i="17" s="1"/>
  <c r="DP45" i="17" s="1"/>
  <c r="EV45" i="17" s="1"/>
  <c r="GB45" i="17" s="1"/>
  <c r="HH45" i="17" s="1"/>
  <c r="BE45" i="17"/>
  <c r="CK45" i="17" s="1"/>
  <c r="DQ45" i="17" s="1"/>
  <c r="EW45" i="17" s="1"/>
  <c r="GC45" i="17" s="1"/>
  <c r="HI45" i="17" s="1"/>
  <c r="BF45" i="17"/>
  <c r="CL45" i="17" s="1"/>
  <c r="DR45" i="17" s="1"/>
  <c r="EX45" i="17" s="1"/>
  <c r="GD45" i="17" s="1"/>
  <c r="HJ45" i="17" s="1"/>
  <c r="BJ45" i="17"/>
  <c r="CP45" i="17" s="1"/>
  <c r="DV45" i="17" s="1"/>
  <c r="FB45" i="17" s="1"/>
  <c r="GH45" i="17" s="1"/>
  <c r="HN45" i="17" s="1"/>
  <c r="BK45" i="17"/>
  <c r="BL45" i="17"/>
  <c r="CR45" i="17" s="1"/>
  <c r="DX45" i="17" s="1"/>
  <c r="FD45" i="17" s="1"/>
  <c r="GJ45" i="17" s="1"/>
  <c r="HP45" i="17" s="1"/>
  <c r="BM45" i="17"/>
  <c r="CS45" i="17" s="1"/>
  <c r="DY45" i="17" s="1"/>
  <c r="FE45" i="17" s="1"/>
  <c r="GK45" i="17" s="1"/>
  <c r="HQ45" i="17" s="1"/>
  <c r="BY45" i="17"/>
  <c r="BZ45" i="17"/>
  <c r="CE45" i="17"/>
  <c r="CF45" i="17"/>
  <c r="CQ45" i="17"/>
  <c r="DW45" i="17" s="1"/>
  <c r="FC45" i="17" s="1"/>
  <c r="GI45" i="17" s="1"/>
  <c r="HO45" i="17" s="1"/>
  <c r="DE45" i="17"/>
  <c r="DF45" i="17"/>
  <c r="DK45" i="17"/>
  <c r="DL45" i="17"/>
  <c r="G46" i="17"/>
  <c r="N46" i="17"/>
  <c r="R46" i="17"/>
  <c r="S46" i="17" s="1"/>
  <c r="AA46" i="17"/>
  <c r="AB46" i="17"/>
  <c r="AH46" i="17"/>
  <c r="AI46" i="17"/>
  <c r="AK46" i="17"/>
  <c r="AS46" i="17"/>
  <c r="AT46" i="17"/>
  <c r="AY46" i="17"/>
  <c r="AZ46" i="17"/>
  <c r="BA46" i="17"/>
  <c r="CG46" i="17" s="1"/>
  <c r="CW46" i="17" s="1"/>
  <c r="BB46" i="17"/>
  <c r="CH46" i="17" s="1"/>
  <c r="DN46" i="17" s="1"/>
  <c r="ET46" i="17" s="1"/>
  <c r="FZ46" i="17" s="1"/>
  <c r="HF46" i="17" s="1"/>
  <c r="BC46" i="17"/>
  <c r="CI46" i="17" s="1"/>
  <c r="DO46" i="17" s="1"/>
  <c r="EU46" i="17" s="1"/>
  <c r="GA46" i="17" s="1"/>
  <c r="HG46" i="17" s="1"/>
  <c r="BD46" i="17"/>
  <c r="CJ46" i="17" s="1"/>
  <c r="DP46" i="17" s="1"/>
  <c r="EV46" i="17" s="1"/>
  <c r="GB46" i="17" s="1"/>
  <c r="HH46" i="17" s="1"/>
  <c r="BE46" i="17"/>
  <c r="CK46" i="17" s="1"/>
  <c r="DQ46" i="17" s="1"/>
  <c r="EW46" i="17" s="1"/>
  <c r="GC46" i="17" s="1"/>
  <c r="HI46" i="17" s="1"/>
  <c r="BF46" i="17"/>
  <c r="CL46" i="17" s="1"/>
  <c r="DR46" i="17" s="1"/>
  <c r="EX46" i="17" s="1"/>
  <c r="GD46" i="17" s="1"/>
  <c r="HJ46" i="17" s="1"/>
  <c r="BJ46" i="17"/>
  <c r="CP46" i="17" s="1"/>
  <c r="DV46" i="17" s="1"/>
  <c r="FB46" i="17" s="1"/>
  <c r="GH46" i="17" s="1"/>
  <c r="HN46" i="17" s="1"/>
  <c r="BK46" i="17"/>
  <c r="CQ46" i="17" s="1"/>
  <c r="DW46" i="17" s="1"/>
  <c r="FC46" i="17" s="1"/>
  <c r="GI46" i="17" s="1"/>
  <c r="HO46" i="17" s="1"/>
  <c r="BL46" i="17"/>
  <c r="CR46" i="17" s="1"/>
  <c r="DX46" i="17" s="1"/>
  <c r="FD46" i="17" s="1"/>
  <c r="GJ46" i="17" s="1"/>
  <c r="HP46" i="17" s="1"/>
  <c r="BM46" i="17"/>
  <c r="CS46" i="17" s="1"/>
  <c r="DY46" i="17" s="1"/>
  <c r="FE46" i="17" s="1"/>
  <c r="GK46" i="17" s="1"/>
  <c r="HQ46" i="17" s="1"/>
  <c r="BY46" i="17"/>
  <c r="BZ46" i="17"/>
  <c r="CE46" i="17"/>
  <c r="CF46" i="17"/>
  <c r="DE46" i="17"/>
  <c r="DF46" i="17"/>
  <c r="DK46" i="17"/>
  <c r="DL46" i="17"/>
  <c r="G47" i="17"/>
  <c r="N47" i="17"/>
  <c r="R47" i="17"/>
  <c r="S47" i="17" s="1"/>
  <c r="AA47" i="17"/>
  <c r="AB47" i="17"/>
  <c r="AH47" i="17"/>
  <c r="AI47" i="17"/>
  <c r="AK47" i="17"/>
  <c r="AS47" i="17"/>
  <c r="AT47" i="17"/>
  <c r="AY47" i="17"/>
  <c r="AZ47" i="17"/>
  <c r="BA47" i="17"/>
  <c r="BB47" i="17"/>
  <c r="CH47" i="17" s="1"/>
  <c r="DN47" i="17" s="1"/>
  <c r="ET47" i="17" s="1"/>
  <c r="FZ47" i="17" s="1"/>
  <c r="HF47" i="17" s="1"/>
  <c r="BC47" i="17"/>
  <c r="CI47" i="17" s="1"/>
  <c r="DO47" i="17" s="1"/>
  <c r="EU47" i="17" s="1"/>
  <c r="GA47" i="17" s="1"/>
  <c r="HG47" i="17" s="1"/>
  <c r="BD47" i="17"/>
  <c r="CJ47" i="17" s="1"/>
  <c r="DP47" i="17" s="1"/>
  <c r="EV47" i="17" s="1"/>
  <c r="GB47" i="17" s="1"/>
  <c r="HH47" i="17" s="1"/>
  <c r="BE47" i="17"/>
  <c r="CK47" i="17" s="1"/>
  <c r="DQ47" i="17" s="1"/>
  <c r="EW47" i="17" s="1"/>
  <c r="GC47" i="17" s="1"/>
  <c r="HI47" i="17" s="1"/>
  <c r="BF47" i="17"/>
  <c r="CL47" i="17" s="1"/>
  <c r="DR47" i="17" s="1"/>
  <c r="EX47" i="17" s="1"/>
  <c r="GD47" i="17" s="1"/>
  <c r="HJ47" i="17" s="1"/>
  <c r="BJ47" i="17"/>
  <c r="CP47" i="17" s="1"/>
  <c r="DV47" i="17" s="1"/>
  <c r="FB47" i="17" s="1"/>
  <c r="GH47" i="17" s="1"/>
  <c r="HN47" i="17" s="1"/>
  <c r="BK47" i="17"/>
  <c r="CQ47" i="17" s="1"/>
  <c r="DW47" i="17" s="1"/>
  <c r="FC47" i="17" s="1"/>
  <c r="GI47" i="17" s="1"/>
  <c r="HO47" i="17" s="1"/>
  <c r="BL47" i="17"/>
  <c r="CR47" i="17" s="1"/>
  <c r="DX47" i="17" s="1"/>
  <c r="FD47" i="17" s="1"/>
  <c r="GJ47" i="17" s="1"/>
  <c r="HP47" i="17" s="1"/>
  <c r="BM47" i="17"/>
  <c r="CS47" i="17" s="1"/>
  <c r="DY47" i="17" s="1"/>
  <c r="FE47" i="17" s="1"/>
  <c r="GK47" i="17" s="1"/>
  <c r="HQ47" i="17" s="1"/>
  <c r="BY47" i="17"/>
  <c r="BZ47" i="17"/>
  <c r="CE47" i="17"/>
  <c r="CF47" i="17"/>
  <c r="DE47" i="17"/>
  <c r="DF47" i="17"/>
  <c r="DK47" i="17"/>
  <c r="DL47" i="17"/>
  <c r="G48" i="17"/>
  <c r="N48" i="17"/>
  <c r="R48" i="17"/>
  <c r="S48" i="17" s="1"/>
  <c r="AA48" i="17"/>
  <c r="AB48" i="17"/>
  <c r="AH48" i="17"/>
  <c r="AI48" i="17"/>
  <c r="AK48" i="17"/>
  <c r="AS48" i="17"/>
  <c r="AT48" i="17"/>
  <c r="AY48" i="17"/>
  <c r="AZ48" i="17"/>
  <c r="BA48" i="17"/>
  <c r="CG48" i="17" s="1"/>
  <c r="CW48" i="17" s="1"/>
  <c r="BB48" i="17"/>
  <c r="CH48" i="17" s="1"/>
  <c r="DN48" i="17" s="1"/>
  <c r="ET48" i="17" s="1"/>
  <c r="FZ48" i="17" s="1"/>
  <c r="HF48" i="17" s="1"/>
  <c r="BC48" i="17"/>
  <c r="CI48" i="17" s="1"/>
  <c r="DO48" i="17" s="1"/>
  <c r="EU48" i="17" s="1"/>
  <c r="GA48" i="17" s="1"/>
  <c r="HG48" i="17" s="1"/>
  <c r="BD48" i="17"/>
  <c r="CJ48" i="17" s="1"/>
  <c r="DP48" i="17" s="1"/>
  <c r="EV48" i="17" s="1"/>
  <c r="GB48" i="17" s="1"/>
  <c r="HH48" i="17" s="1"/>
  <c r="BE48" i="17"/>
  <c r="CK48" i="17" s="1"/>
  <c r="DQ48" i="17" s="1"/>
  <c r="EW48" i="17" s="1"/>
  <c r="GC48" i="17" s="1"/>
  <c r="HI48" i="17" s="1"/>
  <c r="BF48" i="17"/>
  <c r="CL48" i="17" s="1"/>
  <c r="DR48" i="17" s="1"/>
  <c r="EX48" i="17" s="1"/>
  <c r="GD48" i="17" s="1"/>
  <c r="HJ48" i="17" s="1"/>
  <c r="BJ48" i="17"/>
  <c r="CP48" i="17" s="1"/>
  <c r="DV48" i="17" s="1"/>
  <c r="FB48" i="17" s="1"/>
  <c r="GH48" i="17" s="1"/>
  <c r="HN48" i="17" s="1"/>
  <c r="BK48" i="17"/>
  <c r="CQ48" i="17" s="1"/>
  <c r="DW48" i="17" s="1"/>
  <c r="FC48" i="17" s="1"/>
  <c r="GI48" i="17" s="1"/>
  <c r="HO48" i="17" s="1"/>
  <c r="BL48" i="17"/>
  <c r="CR48" i="17" s="1"/>
  <c r="DX48" i="17" s="1"/>
  <c r="FD48" i="17" s="1"/>
  <c r="GJ48" i="17" s="1"/>
  <c r="HP48" i="17" s="1"/>
  <c r="BM48" i="17"/>
  <c r="CS48" i="17" s="1"/>
  <c r="DY48" i="17" s="1"/>
  <c r="FE48" i="17" s="1"/>
  <c r="GK48" i="17" s="1"/>
  <c r="HQ48" i="17" s="1"/>
  <c r="BY48" i="17"/>
  <c r="BZ48" i="17"/>
  <c r="CE48" i="17"/>
  <c r="CF48" i="17"/>
  <c r="DE48" i="17"/>
  <c r="DF48" i="17"/>
  <c r="DK48" i="17"/>
  <c r="DL48" i="17"/>
  <c r="G49" i="17"/>
  <c r="N49" i="17"/>
  <c r="R49" i="17"/>
  <c r="S49" i="17" s="1"/>
  <c r="AA49" i="17"/>
  <c r="AB49" i="17"/>
  <c r="AH49" i="17"/>
  <c r="AI49" i="17"/>
  <c r="AK49" i="17"/>
  <c r="AS49" i="17"/>
  <c r="AT49" i="17"/>
  <c r="AY49" i="17"/>
  <c r="AZ49" i="17"/>
  <c r="BA49" i="17"/>
  <c r="BQ49" i="17" s="1"/>
  <c r="BB49" i="17"/>
  <c r="CH49" i="17" s="1"/>
  <c r="DN49" i="17" s="1"/>
  <c r="ET49" i="17" s="1"/>
  <c r="FZ49" i="17" s="1"/>
  <c r="HF49" i="17" s="1"/>
  <c r="BC49" i="17"/>
  <c r="CI49" i="17" s="1"/>
  <c r="DO49" i="17" s="1"/>
  <c r="EU49" i="17" s="1"/>
  <c r="GA49" i="17" s="1"/>
  <c r="HG49" i="17" s="1"/>
  <c r="BD49" i="17"/>
  <c r="CJ49" i="17" s="1"/>
  <c r="DP49" i="17" s="1"/>
  <c r="EV49" i="17" s="1"/>
  <c r="GB49" i="17" s="1"/>
  <c r="HH49" i="17" s="1"/>
  <c r="BE49" i="17"/>
  <c r="CK49" i="17" s="1"/>
  <c r="DQ49" i="17" s="1"/>
  <c r="EW49" i="17" s="1"/>
  <c r="GC49" i="17" s="1"/>
  <c r="HI49" i="17" s="1"/>
  <c r="BF49" i="17"/>
  <c r="CL49" i="17" s="1"/>
  <c r="DR49" i="17" s="1"/>
  <c r="EX49" i="17" s="1"/>
  <c r="GD49" i="17" s="1"/>
  <c r="HJ49" i="17" s="1"/>
  <c r="BJ49" i="17"/>
  <c r="CP49" i="17" s="1"/>
  <c r="DV49" i="17" s="1"/>
  <c r="FB49" i="17" s="1"/>
  <c r="GH49" i="17" s="1"/>
  <c r="HN49" i="17" s="1"/>
  <c r="BK49" i="17"/>
  <c r="CQ49" i="17" s="1"/>
  <c r="DW49" i="17" s="1"/>
  <c r="FC49" i="17" s="1"/>
  <c r="GI49" i="17" s="1"/>
  <c r="HO49" i="17" s="1"/>
  <c r="BL49" i="17"/>
  <c r="CR49" i="17" s="1"/>
  <c r="DX49" i="17" s="1"/>
  <c r="FD49" i="17" s="1"/>
  <c r="GJ49" i="17" s="1"/>
  <c r="HP49" i="17" s="1"/>
  <c r="BM49" i="17"/>
  <c r="CS49" i="17" s="1"/>
  <c r="DY49" i="17" s="1"/>
  <c r="FE49" i="17" s="1"/>
  <c r="GK49" i="17" s="1"/>
  <c r="HQ49" i="17" s="1"/>
  <c r="BY49" i="17"/>
  <c r="BZ49" i="17"/>
  <c r="CE49" i="17"/>
  <c r="CF49" i="17"/>
  <c r="DE49" i="17"/>
  <c r="DF49" i="17"/>
  <c r="DK49" i="17"/>
  <c r="DL49" i="17"/>
  <c r="G50" i="17"/>
  <c r="N50" i="17"/>
  <c r="R50" i="17"/>
  <c r="S50" i="17" s="1"/>
  <c r="AA50" i="17"/>
  <c r="AB50" i="17"/>
  <c r="AH50" i="17"/>
  <c r="AI50" i="17"/>
  <c r="AK50" i="17"/>
  <c r="AS50" i="17"/>
  <c r="AT50" i="17"/>
  <c r="AY50" i="17"/>
  <c r="AZ50" i="17"/>
  <c r="BA50" i="17"/>
  <c r="CG50" i="17" s="1"/>
  <c r="CW50" i="17" s="1"/>
  <c r="BB50" i="17"/>
  <c r="CH50" i="17" s="1"/>
  <c r="DN50" i="17" s="1"/>
  <c r="ET50" i="17" s="1"/>
  <c r="FZ50" i="17" s="1"/>
  <c r="HF50" i="17" s="1"/>
  <c r="BC50" i="17"/>
  <c r="CI50" i="17" s="1"/>
  <c r="DO50" i="17" s="1"/>
  <c r="EU50" i="17" s="1"/>
  <c r="GA50" i="17" s="1"/>
  <c r="HG50" i="17" s="1"/>
  <c r="BD50" i="17"/>
  <c r="CJ50" i="17" s="1"/>
  <c r="DP50" i="17" s="1"/>
  <c r="EV50" i="17" s="1"/>
  <c r="GB50" i="17" s="1"/>
  <c r="HH50" i="17" s="1"/>
  <c r="BE50" i="17"/>
  <c r="CK50" i="17" s="1"/>
  <c r="DQ50" i="17" s="1"/>
  <c r="EW50" i="17" s="1"/>
  <c r="GC50" i="17" s="1"/>
  <c r="HI50" i="17" s="1"/>
  <c r="BF50" i="17"/>
  <c r="CL50" i="17" s="1"/>
  <c r="DR50" i="17" s="1"/>
  <c r="EX50" i="17" s="1"/>
  <c r="GD50" i="17" s="1"/>
  <c r="HJ50" i="17" s="1"/>
  <c r="BJ50" i="17"/>
  <c r="CP50" i="17" s="1"/>
  <c r="DV50" i="17" s="1"/>
  <c r="FB50" i="17" s="1"/>
  <c r="GH50" i="17" s="1"/>
  <c r="HN50" i="17" s="1"/>
  <c r="BK50" i="17"/>
  <c r="CQ50" i="17" s="1"/>
  <c r="DW50" i="17" s="1"/>
  <c r="FC50" i="17" s="1"/>
  <c r="GI50" i="17" s="1"/>
  <c r="HO50" i="17" s="1"/>
  <c r="BL50" i="17"/>
  <c r="CR50" i="17" s="1"/>
  <c r="DX50" i="17" s="1"/>
  <c r="FD50" i="17" s="1"/>
  <c r="GJ50" i="17" s="1"/>
  <c r="HP50" i="17" s="1"/>
  <c r="BM50" i="17"/>
  <c r="CS50" i="17" s="1"/>
  <c r="DY50" i="17" s="1"/>
  <c r="FE50" i="17" s="1"/>
  <c r="GK50" i="17" s="1"/>
  <c r="HQ50" i="17" s="1"/>
  <c r="BY50" i="17"/>
  <c r="BZ50" i="17"/>
  <c r="CE50" i="17"/>
  <c r="CF50" i="17"/>
  <c r="DE50" i="17"/>
  <c r="DF50" i="17"/>
  <c r="DK50" i="17"/>
  <c r="DL50" i="17"/>
  <c r="G51" i="17"/>
  <c r="M51" i="17"/>
  <c r="N51" i="17"/>
  <c r="O51" i="17"/>
  <c r="Q51" i="17"/>
  <c r="AA51" i="17"/>
  <c r="AB51" i="17"/>
  <c r="AH51" i="17"/>
  <c r="AI51" i="17"/>
  <c r="AK51" i="17"/>
  <c r="AS51" i="17"/>
  <c r="AT51" i="17"/>
  <c r="AY51" i="17"/>
  <c r="AZ51" i="17"/>
  <c r="BA51" i="17"/>
  <c r="BQ51" i="17" s="1"/>
  <c r="BB51" i="17"/>
  <c r="CH51" i="17" s="1"/>
  <c r="DN51" i="17" s="1"/>
  <c r="ET51" i="17" s="1"/>
  <c r="FZ51" i="17" s="1"/>
  <c r="HF51" i="17" s="1"/>
  <c r="BC51" i="17"/>
  <c r="CI51" i="17" s="1"/>
  <c r="DO51" i="17" s="1"/>
  <c r="EU51" i="17" s="1"/>
  <c r="GA51" i="17" s="1"/>
  <c r="HG51" i="17" s="1"/>
  <c r="BD51" i="17"/>
  <c r="CJ51" i="17" s="1"/>
  <c r="DP51" i="17" s="1"/>
  <c r="EV51" i="17" s="1"/>
  <c r="GB51" i="17" s="1"/>
  <c r="HH51" i="17" s="1"/>
  <c r="BE51" i="17"/>
  <c r="CK51" i="17" s="1"/>
  <c r="DQ51" i="17" s="1"/>
  <c r="EW51" i="17" s="1"/>
  <c r="GC51" i="17" s="1"/>
  <c r="HI51" i="17" s="1"/>
  <c r="BF51" i="17"/>
  <c r="CL51" i="17" s="1"/>
  <c r="DR51" i="17" s="1"/>
  <c r="EX51" i="17" s="1"/>
  <c r="GD51" i="17" s="1"/>
  <c r="HJ51" i="17" s="1"/>
  <c r="BJ51" i="17"/>
  <c r="CP51" i="17" s="1"/>
  <c r="DV51" i="17" s="1"/>
  <c r="FB51" i="17" s="1"/>
  <c r="GH51" i="17" s="1"/>
  <c r="HN51" i="17" s="1"/>
  <c r="BK51" i="17"/>
  <c r="CQ51" i="17" s="1"/>
  <c r="DW51" i="17" s="1"/>
  <c r="FC51" i="17" s="1"/>
  <c r="GI51" i="17" s="1"/>
  <c r="HO51" i="17" s="1"/>
  <c r="BL51" i="17"/>
  <c r="CR51" i="17" s="1"/>
  <c r="DX51" i="17" s="1"/>
  <c r="FD51" i="17" s="1"/>
  <c r="GJ51" i="17" s="1"/>
  <c r="HP51" i="17" s="1"/>
  <c r="BM51" i="17"/>
  <c r="CS51" i="17" s="1"/>
  <c r="DY51" i="17" s="1"/>
  <c r="FE51" i="17" s="1"/>
  <c r="GK51" i="17" s="1"/>
  <c r="HQ51" i="17" s="1"/>
  <c r="BY51" i="17"/>
  <c r="BZ51" i="17"/>
  <c r="CE51" i="17"/>
  <c r="CF51" i="17"/>
  <c r="DE51" i="17"/>
  <c r="DF51" i="17"/>
  <c r="DK51" i="17"/>
  <c r="DL51" i="17"/>
  <c r="G52" i="17"/>
  <c r="M52" i="17"/>
  <c r="N52" i="17"/>
  <c r="R52" i="17"/>
  <c r="S52" i="17" s="1"/>
  <c r="AA52" i="17"/>
  <c r="AB52" i="17"/>
  <c r="AH52" i="17"/>
  <c r="AI52" i="17"/>
  <c r="AK52" i="17"/>
  <c r="AS52" i="17"/>
  <c r="AT52" i="17"/>
  <c r="AY52" i="17"/>
  <c r="AZ52" i="17"/>
  <c r="BA52" i="17"/>
  <c r="CG52" i="17" s="1"/>
  <c r="BB52" i="17"/>
  <c r="CH52" i="17" s="1"/>
  <c r="DN52" i="17" s="1"/>
  <c r="ET52" i="17" s="1"/>
  <c r="FZ52" i="17" s="1"/>
  <c r="HF52" i="17" s="1"/>
  <c r="BC52" i="17"/>
  <c r="CI52" i="17" s="1"/>
  <c r="DO52" i="17" s="1"/>
  <c r="EU52" i="17" s="1"/>
  <c r="GA52" i="17" s="1"/>
  <c r="HG52" i="17" s="1"/>
  <c r="BD52" i="17"/>
  <c r="CJ52" i="17" s="1"/>
  <c r="DP52" i="17" s="1"/>
  <c r="EV52" i="17" s="1"/>
  <c r="GB52" i="17" s="1"/>
  <c r="HH52" i="17" s="1"/>
  <c r="BE52" i="17"/>
  <c r="CK52" i="17" s="1"/>
  <c r="DQ52" i="17" s="1"/>
  <c r="EW52" i="17" s="1"/>
  <c r="GC52" i="17" s="1"/>
  <c r="HI52" i="17" s="1"/>
  <c r="BF52" i="17"/>
  <c r="CL52" i="17" s="1"/>
  <c r="DR52" i="17" s="1"/>
  <c r="EX52" i="17" s="1"/>
  <c r="GD52" i="17" s="1"/>
  <c r="HJ52" i="17" s="1"/>
  <c r="BJ52" i="17"/>
  <c r="CP52" i="17" s="1"/>
  <c r="DV52" i="17" s="1"/>
  <c r="FB52" i="17" s="1"/>
  <c r="GH52" i="17" s="1"/>
  <c r="HN52" i="17" s="1"/>
  <c r="BK52" i="17"/>
  <c r="CQ52" i="17" s="1"/>
  <c r="DW52" i="17" s="1"/>
  <c r="FC52" i="17" s="1"/>
  <c r="GI52" i="17" s="1"/>
  <c r="HO52" i="17" s="1"/>
  <c r="BL52" i="17"/>
  <c r="CR52" i="17" s="1"/>
  <c r="DX52" i="17" s="1"/>
  <c r="FD52" i="17" s="1"/>
  <c r="GJ52" i="17" s="1"/>
  <c r="HP52" i="17" s="1"/>
  <c r="BM52" i="17"/>
  <c r="CS52" i="17" s="1"/>
  <c r="DY52" i="17" s="1"/>
  <c r="FE52" i="17" s="1"/>
  <c r="GK52" i="17" s="1"/>
  <c r="HQ52" i="17" s="1"/>
  <c r="BY52" i="17"/>
  <c r="BZ52" i="17"/>
  <c r="CE52" i="17"/>
  <c r="CF52" i="17"/>
  <c r="DE52" i="17"/>
  <c r="DF52" i="17"/>
  <c r="DK52" i="17"/>
  <c r="DL52" i="17"/>
  <c r="G53" i="17"/>
  <c r="N53" i="17"/>
  <c r="R53" i="17"/>
  <c r="S53" i="17" s="1"/>
  <c r="AA53" i="17"/>
  <c r="AB53" i="17"/>
  <c r="AH53" i="17"/>
  <c r="AI53" i="17"/>
  <c r="AK53" i="17"/>
  <c r="AS53" i="17"/>
  <c r="AT53" i="17"/>
  <c r="AY53" i="17"/>
  <c r="AZ53" i="17"/>
  <c r="BA53" i="17"/>
  <c r="BQ53" i="17" s="1"/>
  <c r="BB53" i="17"/>
  <c r="CH53" i="17" s="1"/>
  <c r="DN53" i="17" s="1"/>
  <c r="ET53" i="17" s="1"/>
  <c r="FZ53" i="17" s="1"/>
  <c r="HF53" i="17" s="1"/>
  <c r="BC53" i="17"/>
  <c r="CI53" i="17" s="1"/>
  <c r="DO53" i="17" s="1"/>
  <c r="EU53" i="17" s="1"/>
  <c r="GA53" i="17" s="1"/>
  <c r="HG53" i="17" s="1"/>
  <c r="BD53" i="17"/>
  <c r="CJ53" i="17" s="1"/>
  <c r="DP53" i="17" s="1"/>
  <c r="EV53" i="17" s="1"/>
  <c r="GB53" i="17" s="1"/>
  <c r="HH53" i="17" s="1"/>
  <c r="BE53" i="17"/>
  <c r="CK53" i="17" s="1"/>
  <c r="DQ53" i="17" s="1"/>
  <c r="EW53" i="17" s="1"/>
  <c r="GC53" i="17" s="1"/>
  <c r="HI53" i="17" s="1"/>
  <c r="BF53" i="17"/>
  <c r="CL53" i="17" s="1"/>
  <c r="DR53" i="17" s="1"/>
  <c r="EX53" i="17" s="1"/>
  <c r="GD53" i="17" s="1"/>
  <c r="HJ53" i="17" s="1"/>
  <c r="BJ53" i="17"/>
  <c r="CP53" i="17" s="1"/>
  <c r="DV53" i="17" s="1"/>
  <c r="FB53" i="17" s="1"/>
  <c r="GH53" i="17" s="1"/>
  <c r="HN53" i="17" s="1"/>
  <c r="BK53" i="17"/>
  <c r="CQ53" i="17" s="1"/>
  <c r="DW53" i="17" s="1"/>
  <c r="FC53" i="17" s="1"/>
  <c r="GI53" i="17" s="1"/>
  <c r="HO53" i="17" s="1"/>
  <c r="BL53" i="17"/>
  <c r="CR53" i="17" s="1"/>
  <c r="DX53" i="17" s="1"/>
  <c r="FD53" i="17" s="1"/>
  <c r="GJ53" i="17" s="1"/>
  <c r="HP53" i="17" s="1"/>
  <c r="BM53" i="17"/>
  <c r="CS53" i="17" s="1"/>
  <c r="DY53" i="17" s="1"/>
  <c r="FE53" i="17" s="1"/>
  <c r="GK53" i="17" s="1"/>
  <c r="HQ53" i="17" s="1"/>
  <c r="BY53" i="17"/>
  <c r="BZ53" i="17"/>
  <c r="CE53" i="17"/>
  <c r="CF53" i="17"/>
  <c r="DE53" i="17"/>
  <c r="DF53" i="17"/>
  <c r="DK53" i="17"/>
  <c r="DL53" i="17"/>
  <c r="G54" i="17"/>
  <c r="N54" i="17"/>
  <c r="R54" i="17"/>
  <c r="S54" i="17" s="1"/>
  <c r="AA54" i="17"/>
  <c r="AB54" i="17"/>
  <c r="AH54" i="17"/>
  <c r="AI54" i="17"/>
  <c r="AK54" i="17"/>
  <c r="AS54" i="17"/>
  <c r="AT54" i="17"/>
  <c r="AY54" i="17"/>
  <c r="AZ54" i="17"/>
  <c r="BA54" i="17"/>
  <c r="CG54" i="17" s="1"/>
  <c r="BB54" i="17"/>
  <c r="CH54" i="17" s="1"/>
  <c r="DN54" i="17" s="1"/>
  <c r="ET54" i="17" s="1"/>
  <c r="FZ54" i="17" s="1"/>
  <c r="HF54" i="17" s="1"/>
  <c r="BC54" i="17"/>
  <c r="CI54" i="17" s="1"/>
  <c r="DO54" i="17" s="1"/>
  <c r="EU54" i="17" s="1"/>
  <c r="GA54" i="17" s="1"/>
  <c r="HG54" i="17" s="1"/>
  <c r="BD54" i="17"/>
  <c r="CJ54" i="17" s="1"/>
  <c r="DP54" i="17" s="1"/>
  <c r="EV54" i="17" s="1"/>
  <c r="GB54" i="17" s="1"/>
  <c r="HH54" i="17" s="1"/>
  <c r="BE54" i="17"/>
  <c r="CK54" i="17" s="1"/>
  <c r="DQ54" i="17" s="1"/>
  <c r="EW54" i="17" s="1"/>
  <c r="GC54" i="17" s="1"/>
  <c r="HI54" i="17" s="1"/>
  <c r="BF54" i="17"/>
  <c r="CL54" i="17" s="1"/>
  <c r="DR54" i="17" s="1"/>
  <c r="EX54" i="17" s="1"/>
  <c r="GD54" i="17" s="1"/>
  <c r="HJ54" i="17" s="1"/>
  <c r="BJ54" i="17"/>
  <c r="CP54" i="17" s="1"/>
  <c r="DV54" i="17" s="1"/>
  <c r="FB54" i="17" s="1"/>
  <c r="GH54" i="17" s="1"/>
  <c r="HN54" i="17" s="1"/>
  <c r="BK54" i="17"/>
  <c r="CQ54" i="17" s="1"/>
  <c r="DW54" i="17" s="1"/>
  <c r="FC54" i="17" s="1"/>
  <c r="GI54" i="17" s="1"/>
  <c r="HO54" i="17" s="1"/>
  <c r="BL54" i="17"/>
  <c r="CR54" i="17" s="1"/>
  <c r="DX54" i="17" s="1"/>
  <c r="FD54" i="17" s="1"/>
  <c r="GJ54" i="17" s="1"/>
  <c r="HP54" i="17" s="1"/>
  <c r="BM54" i="17"/>
  <c r="CS54" i="17" s="1"/>
  <c r="DY54" i="17" s="1"/>
  <c r="FE54" i="17" s="1"/>
  <c r="GK54" i="17" s="1"/>
  <c r="HQ54" i="17" s="1"/>
  <c r="BY54" i="17"/>
  <c r="BZ54" i="17"/>
  <c r="CE54" i="17"/>
  <c r="CF54" i="17"/>
  <c r="DE54" i="17"/>
  <c r="DF54" i="17"/>
  <c r="DK54" i="17"/>
  <c r="DL54" i="17"/>
  <c r="G55" i="17"/>
  <c r="N55" i="17"/>
  <c r="R55" i="17"/>
  <c r="S55" i="17" s="1"/>
  <c r="AA55" i="17"/>
  <c r="AB55" i="17"/>
  <c r="AH55" i="17"/>
  <c r="AI55" i="17"/>
  <c r="AK55" i="17"/>
  <c r="AS55" i="17"/>
  <c r="AT55" i="17"/>
  <c r="AY55" i="17"/>
  <c r="AZ55" i="17"/>
  <c r="BA55" i="17"/>
  <c r="CG55" i="17" s="1"/>
  <c r="DM55" i="17" s="1"/>
  <c r="BB55" i="17"/>
  <c r="CH55" i="17" s="1"/>
  <c r="DN55" i="17" s="1"/>
  <c r="ET55" i="17" s="1"/>
  <c r="FZ55" i="17" s="1"/>
  <c r="HF55" i="17" s="1"/>
  <c r="BC55" i="17"/>
  <c r="CI55" i="17" s="1"/>
  <c r="DO55" i="17" s="1"/>
  <c r="EU55" i="17" s="1"/>
  <c r="GA55" i="17" s="1"/>
  <c r="HG55" i="17" s="1"/>
  <c r="BD55" i="17"/>
  <c r="CJ55" i="17" s="1"/>
  <c r="DP55" i="17" s="1"/>
  <c r="EV55" i="17" s="1"/>
  <c r="GB55" i="17" s="1"/>
  <c r="HH55" i="17" s="1"/>
  <c r="BE55" i="17"/>
  <c r="CK55" i="17" s="1"/>
  <c r="DQ55" i="17" s="1"/>
  <c r="EW55" i="17" s="1"/>
  <c r="GC55" i="17" s="1"/>
  <c r="HI55" i="17" s="1"/>
  <c r="BF55" i="17"/>
  <c r="CL55" i="17" s="1"/>
  <c r="DR55" i="17" s="1"/>
  <c r="EX55" i="17" s="1"/>
  <c r="GD55" i="17" s="1"/>
  <c r="HJ55" i="17" s="1"/>
  <c r="BJ55" i="17"/>
  <c r="CP55" i="17" s="1"/>
  <c r="DV55" i="17" s="1"/>
  <c r="FB55" i="17" s="1"/>
  <c r="GH55" i="17" s="1"/>
  <c r="HN55" i="17" s="1"/>
  <c r="BK55" i="17"/>
  <c r="CQ55" i="17" s="1"/>
  <c r="DW55" i="17" s="1"/>
  <c r="FC55" i="17" s="1"/>
  <c r="GI55" i="17" s="1"/>
  <c r="HO55" i="17" s="1"/>
  <c r="BL55" i="17"/>
  <c r="CR55" i="17" s="1"/>
  <c r="DX55" i="17" s="1"/>
  <c r="FD55" i="17" s="1"/>
  <c r="GJ55" i="17" s="1"/>
  <c r="HP55" i="17" s="1"/>
  <c r="BM55" i="17"/>
  <c r="CS55" i="17" s="1"/>
  <c r="DY55" i="17" s="1"/>
  <c r="FE55" i="17" s="1"/>
  <c r="GK55" i="17" s="1"/>
  <c r="HQ55" i="17" s="1"/>
  <c r="BY55" i="17"/>
  <c r="BZ55" i="17"/>
  <c r="CE55" i="17"/>
  <c r="CF55" i="17"/>
  <c r="DE55" i="17"/>
  <c r="DF55" i="17"/>
  <c r="DK55" i="17"/>
  <c r="DL55" i="17"/>
  <c r="G56" i="17"/>
  <c r="N56" i="17"/>
  <c r="O56" i="17"/>
  <c r="R56" i="17" s="1"/>
  <c r="AA56" i="17"/>
  <c r="AB56" i="17"/>
  <c r="AH56" i="17"/>
  <c r="AI56" i="17"/>
  <c r="AK56" i="17"/>
  <c r="AS56" i="17"/>
  <c r="AT56" i="17"/>
  <c r="AY56" i="17"/>
  <c r="AZ56" i="17"/>
  <c r="BA56" i="17"/>
  <c r="CG56" i="17" s="1"/>
  <c r="BB56" i="17"/>
  <c r="CH56" i="17" s="1"/>
  <c r="DN56" i="17" s="1"/>
  <c r="ET56" i="17" s="1"/>
  <c r="FZ56" i="17" s="1"/>
  <c r="HF56" i="17" s="1"/>
  <c r="BC56" i="17"/>
  <c r="CI56" i="17" s="1"/>
  <c r="DO56" i="17" s="1"/>
  <c r="EU56" i="17" s="1"/>
  <c r="GA56" i="17" s="1"/>
  <c r="HG56" i="17" s="1"/>
  <c r="BD56" i="17"/>
  <c r="CJ56" i="17" s="1"/>
  <c r="DP56" i="17" s="1"/>
  <c r="EV56" i="17" s="1"/>
  <c r="GB56" i="17" s="1"/>
  <c r="HH56" i="17" s="1"/>
  <c r="BE56" i="17"/>
  <c r="CK56" i="17" s="1"/>
  <c r="DQ56" i="17" s="1"/>
  <c r="EW56" i="17" s="1"/>
  <c r="GC56" i="17" s="1"/>
  <c r="HI56" i="17" s="1"/>
  <c r="BF56" i="17"/>
  <c r="CL56" i="17" s="1"/>
  <c r="DR56" i="17" s="1"/>
  <c r="EX56" i="17" s="1"/>
  <c r="GD56" i="17" s="1"/>
  <c r="HJ56" i="17" s="1"/>
  <c r="BJ56" i="17"/>
  <c r="CP56" i="17" s="1"/>
  <c r="DV56" i="17" s="1"/>
  <c r="FB56" i="17" s="1"/>
  <c r="GH56" i="17" s="1"/>
  <c r="HN56" i="17" s="1"/>
  <c r="BK56" i="17"/>
  <c r="CQ56" i="17" s="1"/>
  <c r="DW56" i="17" s="1"/>
  <c r="FC56" i="17" s="1"/>
  <c r="GI56" i="17" s="1"/>
  <c r="HO56" i="17" s="1"/>
  <c r="BL56" i="17"/>
  <c r="CR56" i="17" s="1"/>
  <c r="DX56" i="17" s="1"/>
  <c r="FD56" i="17" s="1"/>
  <c r="GJ56" i="17" s="1"/>
  <c r="HP56" i="17" s="1"/>
  <c r="BM56" i="17"/>
  <c r="CS56" i="17" s="1"/>
  <c r="DY56" i="17" s="1"/>
  <c r="FE56" i="17" s="1"/>
  <c r="GK56" i="17" s="1"/>
  <c r="HQ56" i="17" s="1"/>
  <c r="BY56" i="17"/>
  <c r="BZ56" i="17"/>
  <c r="CE56" i="17"/>
  <c r="CF56" i="17"/>
  <c r="DE56" i="17"/>
  <c r="DF56" i="17"/>
  <c r="DK56" i="17"/>
  <c r="DL56" i="17"/>
  <c r="G57" i="17"/>
  <c r="N57" i="17"/>
  <c r="R57" i="17"/>
  <c r="S57" i="17" s="1"/>
  <c r="AA57" i="17"/>
  <c r="AB57" i="17"/>
  <c r="AH57" i="17"/>
  <c r="AI57" i="17"/>
  <c r="AK57" i="17"/>
  <c r="AS57" i="17"/>
  <c r="AT57" i="17"/>
  <c r="AY57" i="17"/>
  <c r="AZ57" i="17"/>
  <c r="BA57" i="17"/>
  <c r="CG57" i="17" s="1"/>
  <c r="BB57" i="17"/>
  <c r="CH57" i="17" s="1"/>
  <c r="DN57" i="17" s="1"/>
  <c r="ET57" i="17" s="1"/>
  <c r="FZ57" i="17" s="1"/>
  <c r="HF57" i="17" s="1"/>
  <c r="BC57" i="17"/>
  <c r="CI57" i="17" s="1"/>
  <c r="DO57" i="17" s="1"/>
  <c r="EU57" i="17" s="1"/>
  <c r="GA57" i="17" s="1"/>
  <c r="HG57" i="17" s="1"/>
  <c r="BD57" i="17"/>
  <c r="CJ57" i="17" s="1"/>
  <c r="DP57" i="17" s="1"/>
  <c r="EV57" i="17" s="1"/>
  <c r="GB57" i="17" s="1"/>
  <c r="HH57" i="17" s="1"/>
  <c r="BE57" i="17"/>
  <c r="CK57" i="17" s="1"/>
  <c r="DQ57" i="17" s="1"/>
  <c r="EW57" i="17" s="1"/>
  <c r="GC57" i="17" s="1"/>
  <c r="HI57" i="17" s="1"/>
  <c r="BF57" i="17"/>
  <c r="CL57" i="17" s="1"/>
  <c r="DR57" i="17" s="1"/>
  <c r="EX57" i="17" s="1"/>
  <c r="GD57" i="17" s="1"/>
  <c r="HJ57" i="17" s="1"/>
  <c r="BJ57" i="17"/>
  <c r="CP57" i="17" s="1"/>
  <c r="DV57" i="17" s="1"/>
  <c r="FB57" i="17" s="1"/>
  <c r="GH57" i="17" s="1"/>
  <c r="HN57" i="17" s="1"/>
  <c r="BK57" i="17"/>
  <c r="CQ57" i="17" s="1"/>
  <c r="DW57" i="17" s="1"/>
  <c r="FC57" i="17" s="1"/>
  <c r="GI57" i="17" s="1"/>
  <c r="HO57" i="17" s="1"/>
  <c r="BL57" i="17"/>
  <c r="CR57" i="17" s="1"/>
  <c r="DX57" i="17" s="1"/>
  <c r="FD57" i="17" s="1"/>
  <c r="GJ57" i="17" s="1"/>
  <c r="HP57" i="17" s="1"/>
  <c r="BM57" i="17"/>
  <c r="CS57" i="17" s="1"/>
  <c r="DY57" i="17" s="1"/>
  <c r="FE57" i="17" s="1"/>
  <c r="GK57" i="17" s="1"/>
  <c r="HQ57" i="17" s="1"/>
  <c r="BY57" i="17"/>
  <c r="BZ57" i="17"/>
  <c r="CE57" i="17"/>
  <c r="CF57" i="17"/>
  <c r="DE57" i="17"/>
  <c r="DF57" i="17"/>
  <c r="DK57" i="17"/>
  <c r="DL57" i="17"/>
  <c r="G58" i="17"/>
  <c r="M58" i="17"/>
  <c r="N58" i="17"/>
  <c r="R58" i="17"/>
  <c r="S58" i="17" s="1"/>
  <c r="AA58" i="17"/>
  <c r="AB58" i="17"/>
  <c r="AH58" i="17"/>
  <c r="AI58" i="17"/>
  <c r="AK58" i="17"/>
  <c r="AS58" i="17"/>
  <c r="AT58" i="17"/>
  <c r="AY58" i="17"/>
  <c r="AZ58" i="17"/>
  <c r="BA58" i="17"/>
  <c r="CG58" i="17" s="1"/>
  <c r="BB58" i="17"/>
  <c r="CH58" i="17" s="1"/>
  <c r="DN58" i="17" s="1"/>
  <c r="ET58" i="17" s="1"/>
  <c r="FZ58" i="17" s="1"/>
  <c r="HF58" i="17" s="1"/>
  <c r="BC58" i="17"/>
  <c r="CI58" i="17" s="1"/>
  <c r="DO58" i="17" s="1"/>
  <c r="EU58" i="17" s="1"/>
  <c r="GA58" i="17" s="1"/>
  <c r="HG58" i="17" s="1"/>
  <c r="BD58" i="17"/>
  <c r="CJ58" i="17" s="1"/>
  <c r="DP58" i="17" s="1"/>
  <c r="EV58" i="17" s="1"/>
  <c r="GB58" i="17" s="1"/>
  <c r="HH58" i="17" s="1"/>
  <c r="BE58" i="17"/>
  <c r="CK58" i="17" s="1"/>
  <c r="DQ58" i="17" s="1"/>
  <c r="EW58" i="17" s="1"/>
  <c r="GC58" i="17" s="1"/>
  <c r="HI58" i="17" s="1"/>
  <c r="BF58" i="17"/>
  <c r="CL58" i="17" s="1"/>
  <c r="DR58" i="17" s="1"/>
  <c r="EX58" i="17" s="1"/>
  <c r="GD58" i="17" s="1"/>
  <c r="HJ58" i="17" s="1"/>
  <c r="BJ58" i="17"/>
  <c r="BK58" i="17"/>
  <c r="CQ58" i="17" s="1"/>
  <c r="DW58" i="17" s="1"/>
  <c r="FC58" i="17" s="1"/>
  <c r="GI58" i="17" s="1"/>
  <c r="HO58" i="17" s="1"/>
  <c r="BL58" i="17"/>
  <c r="CR58" i="17" s="1"/>
  <c r="DX58" i="17" s="1"/>
  <c r="FD58" i="17" s="1"/>
  <c r="GJ58" i="17" s="1"/>
  <c r="HP58" i="17" s="1"/>
  <c r="BM58" i="17"/>
  <c r="CS58" i="17" s="1"/>
  <c r="DY58" i="17" s="1"/>
  <c r="FE58" i="17" s="1"/>
  <c r="GK58" i="17" s="1"/>
  <c r="HQ58" i="17" s="1"/>
  <c r="BY58" i="17"/>
  <c r="BZ58" i="17"/>
  <c r="CE58" i="17"/>
  <c r="CF58" i="17"/>
  <c r="CP58" i="17"/>
  <c r="DV58" i="17" s="1"/>
  <c r="FB58" i="17" s="1"/>
  <c r="GH58" i="17" s="1"/>
  <c r="HN58" i="17" s="1"/>
  <c r="DE58" i="17"/>
  <c r="DF58" i="17"/>
  <c r="DK58" i="17"/>
  <c r="DL58" i="17"/>
  <c r="G59" i="17"/>
  <c r="N59" i="17"/>
  <c r="R59" i="17"/>
  <c r="S59" i="17" s="1"/>
  <c r="AA59" i="17"/>
  <c r="AB59" i="17"/>
  <c r="AC59" i="17" s="1"/>
  <c r="AH59" i="17"/>
  <c r="AI59" i="17"/>
  <c r="AK59" i="17"/>
  <c r="AS59" i="17"/>
  <c r="AT59" i="17"/>
  <c r="AY59" i="17"/>
  <c r="AZ59" i="17"/>
  <c r="BA59" i="17"/>
  <c r="BQ59" i="17" s="1"/>
  <c r="BB59" i="17"/>
  <c r="CH59" i="17" s="1"/>
  <c r="DN59" i="17" s="1"/>
  <c r="ET59" i="17" s="1"/>
  <c r="FZ59" i="17" s="1"/>
  <c r="HF59" i="17" s="1"/>
  <c r="BC59" i="17"/>
  <c r="CI59" i="17" s="1"/>
  <c r="DO59" i="17" s="1"/>
  <c r="EU59" i="17" s="1"/>
  <c r="GA59" i="17" s="1"/>
  <c r="HG59" i="17" s="1"/>
  <c r="BD59" i="17"/>
  <c r="CJ59" i="17" s="1"/>
  <c r="DP59" i="17" s="1"/>
  <c r="EV59" i="17" s="1"/>
  <c r="GB59" i="17" s="1"/>
  <c r="HH59" i="17" s="1"/>
  <c r="BE59" i="17"/>
  <c r="CK59" i="17" s="1"/>
  <c r="DQ59" i="17" s="1"/>
  <c r="EW59" i="17" s="1"/>
  <c r="GC59" i="17" s="1"/>
  <c r="HI59" i="17" s="1"/>
  <c r="BF59" i="17"/>
  <c r="CL59" i="17" s="1"/>
  <c r="DR59" i="17" s="1"/>
  <c r="EX59" i="17" s="1"/>
  <c r="GD59" i="17" s="1"/>
  <c r="HJ59" i="17" s="1"/>
  <c r="BJ59" i="17"/>
  <c r="CP59" i="17" s="1"/>
  <c r="DV59" i="17" s="1"/>
  <c r="FB59" i="17" s="1"/>
  <c r="GH59" i="17" s="1"/>
  <c r="HN59" i="17" s="1"/>
  <c r="BK59" i="17"/>
  <c r="CQ59" i="17" s="1"/>
  <c r="DW59" i="17" s="1"/>
  <c r="FC59" i="17" s="1"/>
  <c r="GI59" i="17" s="1"/>
  <c r="HO59" i="17" s="1"/>
  <c r="BL59" i="17"/>
  <c r="CR59" i="17" s="1"/>
  <c r="DX59" i="17" s="1"/>
  <c r="FD59" i="17" s="1"/>
  <c r="GJ59" i="17" s="1"/>
  <c r="HP59" i="17" s="1"/>
  <c r="BM59" i="17"/>
  <c r="BY59" i="17"/>
  <c r="BZ59" i="17"/>
  <c r="CE59" i="17"/>
  <c r="CF59" i="17"/>
  <c r="CS59" i="17"/>
  <c r="DY59" i="17" s="1"/>
  <c r="FE59" i="17" s="1"/>
  <c r="GK59" i="17" s="1"/>
  <c r="HQ59" i="17" s="1"/>
  <c r="DE59" i="17"/>
  <c r="DF59" i="17"/>
  <c r="DK59" i="17"/>
  <c r="DL59" i="17"/>
  <c r="G60" i="17"/>
  <c r="N60" i="17"/>
  <c r="R60" i="17"/>
  <c r="S60" i="17" s="1"/>
  <c r="AA60" i="17"/>
  <c r="AB60" i="17"/>
  <c r="AH60" i="17"/>
  <c r="AI60" i="17"/>
  <c r="AK60" i="17"/>
  <c r="AS60" i="17"/>
  <c r="AT60" i="17"/>
  <c r="AY60" i="17"/>
  <c r="AZ60" i="17"/>
  <c r="BA60" i="17"/>
  <c r="CG60" i="17" s="1"/>
  <c r="BB60" i="17"/>
  <c r="CH60" i="17" s="1"/>
  <c r="DN60" i="17" s="1"/>
  <c r="ET60" i="17" s="1"/>
  <c r="FZ60" i="17" s="1"/>
  <c r="HF60" i="17" s="1"/>
  <c r="BC60" i="17"/>
  <c r="CI60" i="17" s="1"/>
  <c r="DO60" i="17" s="1"/>
  <c r="EU60" i="17" s="1"/>
  <c r="GA60" i="17" s="1"/>
  <c r="HG60" i="17" s="1"/>
  <c r="BD60" i="17"/>
  <c r="CJ60" i="17" s="1"/>
  <c r="DP60" i="17" s="1"/>
  <c r="EV60" i="17" s="1"/>
  <c r="GB60" i="17" s="1"/>
  <c r="HH60" i="17" s="1"/>
  <c r="BE60" i="17"/>
  <c r="CK60" i="17" s="1"/>
  <c r="DQ60" i="17" s="1"/>
  <c r="EW60" i="17" s="1"/>
  <c r="GC60" i="17" s="1"/>
  <c r="HI60" i="17" s="1"/>
  <c r="BF60" i="17"/>
  <c r="CL60" i="17" s="1"/>
  <c r="DR60" i="17" s="1"/>
  <c r="EX60" i="17" s="1"/>
  <c r="GD60" i="17" s="1"/>
  <c r="HJ60" i="17" s="1"/>
  <c r="BJ60" i="17"/>
  <c r="CP60" i="17" s="1"/>
  <c r="DV60" i="17" s="1"/>
  <c r="FB60" i="17" s="1"/>
  <c r="GH60" i="17" s="1"/>
  <c r="HN60" i="17" s="1"/>
  <c r="BK60" i="17"/>
  <c r="CQ60" i="17" s="1"/>
  <c r="DW60" i="17" s="1"/>
  <c r="FC60" i="17" s="1"/>
  <c r="GI60" i="17" s="1"/>
  <c r="HO60" i="17" s="1"/>
  <c r="BL60" i="17"/>
  <c r="CR60" i="17" s="1"/>
  <c r="DX60" i="17" s="1"/>
  <c r="FD60" i="17" s="1"/>
  <c r="GJ60" i="17" s="1"/>
  <c r="HP60" i="17" s="1"/>
  <c r="BM60" i="17"/>
  <c r="CS60" i="17" s="1"/>
  <c r="DY60" i="17" s="1"/>
  <c r="FE60" i="17" s="1"/>
  <c r="GK60" i="17" s="1"/>
  <c r="HQ60" i="17" s="1"/>
  <c r="BY60" i="17"/>
  <c r="BZ60" i="17"/>
  <c r="CE60" i="17"/>
  <c r="CF60" i="17"/>
  <c r="DE60" i="17"/>
  <c r="DF60" i="17"/>
  <c r="DK60" i="17"/>
  <c r="DL60" i="17"/>
  <c r="G61" i="17"/>
  <c r="N61" i="17"/>
  <c r="Q61" i="17"/>
  <c r="AA61" i="17"/>
  <c r="AB61" i="17"/>
  <c r="AH61" i="17"/>
  <c r="AI61" i="17"/>
  <c r="AK61" i="17"/>
  <c r="AS61" i="17"/>
  <c r="AT61" i="17"/>
  <c r="AY61" i="17"/>
  <c r="AZ61" i="17"/>
  <c r="BA61" i="17"/>
  <c r="BB61" i="17"/>
  <c r="CH61" i="17" s="1"/>
  <c r="DN61" i="17" s="1"/>
  <c r="ET61" i="17" s="1"/>
  <c r="FZ61" i="17" s="1"/>
  <c r="HF61" i="17" s="1"/>
  <c r="BC61" i="17"/>
  <c r="CI61" i="17" s="1"/>
  <c r="DO61" i="17" s="1"/>
  <c r="EU61" i="17" s="1"/>
  <c r="GA61" i="17" s="1"/>
  <c r="HG61" i="17" s="1"/>
  <c r="BD61" i="17"/>
  <c r="CJ61" i="17" s="1"/>
  <c r="DP61" i="17" s="1"/>
  <c r="EV61" i="17" s="1"/>
  <c r="GB61" i="17" s="1"/>
  <c r="HH61" i="17" s="1"/>
  <c r="BE61" i="17"/>
  <c r="CK61" i="17" s="1"/>
  <c r="DQ61" i="17" s="1"/>
  <c r="EW61" i="17" s="1"/>
  <c r="GC61" i="17" s="1"/>
  <c r="HI61" i="17" s="1"/>
  <c r="BF61" i="17"/>
  <c r="CL61" i="17" s="1"/>
  <c r="DR61" i="17" s="1"/>
  <c r="EX61" i="17" s="1"/>
  <c r="GD61" i="17" s="1"/>
  <c r="HJ61" i="17" s="1"/>
  <c r="BJ61" i="17"/>
  <c r="CP61" i="17" s="1"/>
  <c r="DV61" i="17" s="1"/>
  <c r="FB61" i="17" s="1"/>
  <c r="GH61" i="17" s="1"/>
  <c r="HN61" i="17" s="1"/>
  <c r="BK61" i="17"/>
  <c r="CQ61" i="17" s="1"/>
  <c r="DW61" i="17" s="1"/>
  <c r="FC61" i="17" s="1"/>
  <c r="GI61" i="17" s="1"/>
  <c r="HO61" i="17" s="1"/>
  <c r="BL61" i="17"/>
  <c r="CR61" i="17" s="1"/>
  <c r="DX61" i="17" s="1"/>
  <c r="FD61" i="17" s="1"/>
  <c r="GJ61" i="17" s="1"/>
  <c r="HP61" i="17" s="1"/>
  <c r="BM61" i="17"/>
  <c r="CS61" i="17" s="1"/>
  <c r="DY61" i="17" s="1"/>
  <c r="FE61" i="17" s="1"/>
  <c r="GK61" i="17" s="1"/>
  <c r="HQ61" i="17" s="1"/>
  <c r="BY61" i="17"/>
  <c r="BZ61" i="17"/>
  <c r="CE61" i="17"/>
  <c r="CF61" i="17"/>
  <c r="DE61" i="17"/>
  <c r="DF61" i="17"/>
  <c r="DK61" i="17"/>
  <c r="DL61" i="17"/>
  <c r="G62" i="17"/>
  <c r="N62" i="17"/>
  <c r="R62" i="17"/>
  <c r="S62" i="17" s="1"/>
  <c r="AA62" i="17"/>
  <c r="AB62" i="17"/>
  <c r="AH62" i="17"/>
  <c r="AI62" i="17"/>
  <c r="AK62" i="17"/>
  <c r="AS62" i="17"/>
  <c r="AT62" i="17"/>
  <c r="AY62" i="17"/>
  <c r="AZ62" i="17"/>
  <c r="BA62" i="17"/>
  <c r="BB62" i="17"/>
  <c r="CH62" i="17" s="1"/>
  <c r="DN62" i="17" s="1"/>
  <c r="ET62" i="17" s="1"/>
  <c r="FZ62" i="17" s="1"/>
  <c r="HF62" i="17" s="1"/>
  <c r="BC62" i="17"/>
  <c r="CI62" i="17" s="1"/>
  <c r="DO62" i="17" s="1"/>
  <c r="EU62" i="17" s="1"/>
  <c r="GA62" i="17" s="1"/>
  <c r="HG62" i="17" s="1"/>
  <c r="BD62" i="17"/>
  <c r="CJ62" i="17" s="1"/>
  <c r="DP62" i="17" s="1"/>
  <c r="EV62" i="17" s="1"/>
  <c r="GB62" i="17" s="1"/>
  <c r="HH62" i="17" s="1"/>
  <c r="BE62" i="17"/>
  <c r="CK62" i="17" s="1"/>
  <c r="DQ62" i="17" s="1"/>
  <c r="EW62" i="17" s="1"/>
  <c r="GC62" i="17" s="1"/>
  <c r="HI62" i="17" s="1"/>
  <c r="BF62" i="17"/>
  <c r="CL62" i="17" s="1"/>
  <c r="DR62" i="17" s="1"/>
  <c r="EX62" i="17" s="1"/>
  <c r="GD62" i="17" s="1"/>
  <c r="HJ62" i="17" s="1"/>
  <c r="BJ62" i="17"/>
  <c r="CP62" i="17" s="1"/>
  <c r="DV62" i="17" s="1"/>
  <c r="FB62" i="17" s="1"/>
  <c r="GH62" i="17" s="1"/>
  <c r="HN62" i="17" s="1"/>
  <c r="BK62" i="17"/>
  <c r="CQ62" i="17" s="1"/>
  <c r="DW62" i="17" s="1"/>
  <c r="FC62" i="17" s="1"/>
  <c r="GI62" i="17" s="1"/>
  <c r="HO62" i="17" s="1"/>
  <c r="BL62" i="17"/>
  <c r="CR62" i="17" s="1"/>
  <c r="DX62" i="17" s="1"/>
  <c r="FD62" i="17" s="1"/>
  <c r="GJ62" i="17" s="1"/>
  <c r="HP62" i="17" s="1"/>
  <c r="BM62" i="17"/>
  <c r="CS62" i="17" s="1"/>
  <c r="DY62" i="17" s="1"/>
  <c r="FE62" i="17" s="1"/>
  <c r="GK62" i="17" s="1"/>
  <c r="HQ62" i="17" s="1"/>
  <c r="BY62" i="17"/>
  <c r="BZ62" i="17"/>
  <c r="CE62" i="17"/>
  <c r="CF62" i="17"/>
  <c r="DE62" i="17"/>
  <c r="DF62" i="17"/>
  <c r="DK62" i="17"/>
  <c r="DL62" i="17"/>
  <c r="G63" i="17"/>
  <c r="N63" i="17"/>
  <c r="R63" i="17"/>
  <c r="S63" i="17" s="1"/>
  <c r="AA63" i="17"/>
  <c r="AB63" i="17"/>
  <c r="AH63" i="17"/>
  <c r="AI63" i="17"/>
  <c r="AK63" i="17"/>
  <c r="AS63" i="17"/>
  <c r="AT63" i="17"/>
  <c r="AY63" i="17"/>
  <c r="AZ63" i="17"/>
  <c r="BA63" i="17"/>
  <c r="BB63" i="17"/>
  <c r="CH63" i="17" s="1"/>
  <c r="DN63" i="17" s="1"/>
  <c r="ET63" i="17" s="1"/>
  <c r="FZ63" i="17" s="1"/>
  <c r="HF63" i="17" s="1"/>
  <c r="BC63" i="17"/>
  <c r="CI63" i="17" s="1"/>
  <c r="DO63" i="17" s="1"/>
  <c r="EU63" i="17" s="1"/>
  <c r="GA63" i="17" s="1"/>
  <c r="HG63" i="17" s="1"/>
  <c r="BD63" i="17"/>
  <c r="CJ63" i="17" s="1"/>
  <c r="DP63" i="17" s="1"/>
  <c r="EV63" i="17" s="1"/>
  <c r="GB63" i="17" s="1"/>
  <c r="HH63" i="17" s="1"/>
  <c r="BE63" i="17"/>
  <c r="CK63" i="17" s="1"/>
  <c r="DQ63" i="17" s="1"/>
  <c r="EW63" i="17" s="1"/>
  <c r="GC63" i="17" s="1"/>
  <c r="HI63" i="17" s="1"/>
  <c r="BF63" i="17"/>
  <c r="CL63" i="17" s="1"/>
  <c r="DR63" i="17" s="1"/>
  <c r="EX63" i="17" s="1"/>
  <c r="GD63" i="17" s="1"/>
  <c r="HJ63" i="17" s="1"/>
  <c r="BJ63" i="17"/>
  <c r="CP63" i="17" s="1"/>
  <c r="DV63" i="17" s="1"/>
  <c r="FB63" i="17" s="1"/>
  <c r="GH63" i="17" s="1"/>
  <c r="HN63" i="17" s="1"/>
  <c r="BK63" i="17"/>
  <c r="CQ63" i="17" s="1"/>
  <c r="DW63" i="17" s="1"/>
  <c r="FC63" i="17" s="1"/>
  <c r="GI63" i="17" s="1"/>
  <c r="HO63" i="17" s="1"/>
  <c r="BL63" i="17"/>
  <c r="CR63" i="17" s="1"/>
  <c r="DX63" i="17" s="1"/>
  <c r="FD63" i="17" s="1"/>
  <c r="GJ63" i="17" s="1"/>
  <c r="HP63" i="17" s="1"/>
  <c r="BM63" i="17"/>
  <c r="CS63" i="17" s="1"/>
  <c r="DY63" i="17" s="1"/>
  <c r="FE63" i="17" s="1"/>
  <c r="GK63" i="17" s="1"/>
  <c r="HQ63" i="17" s="1"/>
  <c r="BY63" i="17"/>
  <c r="BZ63" i="17"/>
  <c r="CE63" i="17"/>
  <c r="CF63" i="17"/>
  <c r="DE63" i="17"/>
  <c r="DF63" i="17"/>
  <c r="DK63" i="17"/>
  <c r="DL63" i="17"/>
  <c r="G64" i="17"/>
  <c r="N64" i="17"/>
  <c r="R64" i="17"/>
  <c r="S64" i="17" s="1"/>
  <c r="AA64" i="17"/>
  <c r="AB64" i="17"/>
  <c r="AH64" i="17"/>
  <c r="AI64" i="17"/>
  <c r="AK64" i="17"/>
  <c r="AS64" i="17"/>
  <c r="AT64" i="17"/>
  <c r="AY64" i="17"/>
  <c r="AZ64" i="17"/>
  <c r="BA64" i="17"/>
  <c r="BB64" i="17"/>
  <c r="CH64" i="17" s="1"/>
  <c r="DN64" i="17" s="1"/>
  <c r="ET64" i="17" s="1"/>
  <c r="FZ64" i="17" s="1"/>
  <c r="HF64" i="17" s="1"/>
  <c r="BC64" i="17"/>
  <c r="CI64" i="17" s="1"/>
  <c r="DO64" i="17" s="1"/>
  <c r="EU64" i="17" s="1"/>
  <c r="GA64" i="17" s="1"/>
  <c r="HG64" i="17" s="1"/>
  <c r="BD64" i="17"/>
  <c r="CJ64" i="17" s="1"/>
  <c r="DP64" i="17" s="1"/>
  <c r="EV64" i="17" s="1"/>
  <c r="GB64" i="17" s="1"/>
  <c r="HH64" i="17" s="1"/>
  <c r="BE64" i="17"/>
  <c r="CK64" i="17" s="1"/>
  <c r="DQ64" i="17" s="1"/>
  <c r="EW64" i="17" s="1"/>
  <c r="GC64" i="17" s="1"/>
  <c r="HI64" i="17" s="1"/>
  <c r="BF64" i="17"/>
  <c r="CL64" i="17" s="1"/>
  <c r="DR64" i="17" s="1"/>
  <c r="EX64" i="17" s="1"/>
  <c r="GD64" i="17" s="1"/>
  <c r="HJ64" i="17" s="1"/>
  <c r="BJ64" i="17"/>
  <c r="CP64" i="17" s="1"/>
  <c r="DV64" i="17" s="1"/>
  <c r="FB64" i="17" s="1"/>
  <c r="GH64" i="17" s="1"/>
  <c r="HN64" i="17" s="1"/>
  <c r="BK64" i="17"/>
  <c r="CQ64" i="17" s="1"/>
  <c r="DW64" i="17" s="1"/>
  <c r="FC64" i="17" s="1"/>
  <c r="GI64" i="17" s="1"/>
  <c r="HO64" i="17" s="1"/>
  <c r="BL64" i="17"/>
  <c r="BM64" i="17"/>
  <c r="CS64" i="17" s="1"/>
  <c r="DY64" i="17" s="1"/>
  <c r="FE64" i="17" s="1"/>
  <c r="GK64" i="17" s="1"/>
  <c r="HQ64" i="17" s="1"/>
  <c r="BY64" i="17"/>
  <c r="BZ64" i="17"/>
  <c r="CE64" i="17"/>
  <c r="CF64" i="17"/>
  <c r="CR64" i="17"/>
  <c r="DX64" i="17" s="1"/>
  <c r="FD64" i="17" s="1"/>
  <c r="GJ64" i="17" s="1"/>
  <c r="HP64" i="17" s="1"/>
  <c r="DE64" i="17"/>
  <c r="DF64" i="17"/>
  <c r="DK64" i="17"/>
  <c r="DL64" i="17"/>
  <c r="G65" i="17"/>
  <c r="M65" i="17"/>
  <c r="N65" i="17"/>
  <c r="R65" i="17"/>
  <c r="S65" i="17" s="1"/>
  <c r="AA65" i="17"/>
  <c r="AB65" i="17"/>
  <c r="AH65" i="17"/>
  <c r="AI65" i="17"/>
  <c r="AK65" i="17"/>
  <c r="AS65" i="17"/>
  <c r="AT65" i="17"/>
  <c r="AY65" i="17"/>
  <c r="AZ65" i="17"/>
  <c r="BA65" i="17"/>
  <c r="CG65" i="17" s="1"/>
  <c r="BB65" i="17"/>
  <c r="CH65" i="17" s="1"/>
  <c r="DN65" i="17" s="1"/>
  <c r="ET65" i="17" s="1"/>
  <c r="FZ65" i="17" s="1"/>
  <c r="HF65" i="17" s="1"/>
  <c r="BC65" i="17"/>
  <c r="CI65" i="17" s="1"/>
  <c r="DO65" i="17" s="1"/>
  <c r="EU65" i="17" s="1"/>
  <c r="GA65" i="17" s="1"/>
  <c r="HG65" i="17" s="1"/>
  <c r="BD65" i="17"/>
  <c r="CJ65" i="17" s="1"/>
  <c r="DP65" i="17" s="1"/>
  <c r="EV65" i="17" s="1"/>
  <c r="GB65" i="17" s="1"/>
  <c r="HH65" i="17" s="1"/>
  <c r="BE65" i="17"/>
  <c r="CK65" i="17" s="1"/>
  <c r="DQ65" i="17" s="1"/>
  <c r="EW65" i="17" s="1"/>
  <c r="GC65" i="17" s="1"/>
  <c r="HI65" i="17" s="1"/>
  <c r="BF65" i="17"/>
  <c r="CL65" i="17" s="1"/>
  <c r="DR65" i="17" s="1"/>
  <c r="EX65" i="17" s="1"/>
  <c r="GD65" i="17" s="1"/>
  <c r="HJ65" i="17" s="1"/>
  <c r="BJ65" i="17"/>
  <c r="CP65" i="17" s="1"/>
  <c r="DV65" i="17" s="1"/>
  <c r="FB65" i="17" s="1"/>
  <c r="GH65" i="17" s="1"/>
  <c r="HN65" i="17" s="1"/>
  <c r="BK65" i="17"/>
  <c r="CQ65" i="17" s="1"/>
  <c r="DW65" i="17" s="1"/>
  <c r="FC65" i="17" s="1"/>
  <c r="GI65" i="17" s="1"/>
  <c r="HO65" i="17" s="1"/>
  <c r="BL65" i="17"/>
  <c r="CR65" i="17" s="1"/>
  <c r="DX65" i="17" s="1"/>
  <c r="FD65" i="17" s="1"/>
  <c r="GJ65" i="17" s="1"/>
  <c r="HP65" i="17" s="1"/>
  <c r="BM65" i="17"/>
  <c r="CS65" i="17" s="1"/>
  <c r="DY65" i="17" s="1"/>
  <c r="FE65" i="17" s="1"/>
  <c r="GK65" i="17" s="1"/>
  <c r="HQ65" i="17" s="1"/>
  <c r="BQ65" i="17"/>
  <c r="BY65" i="17"/>
  <c r="BZ65" i="17"/>
  <c r="CE65" i="17"/>
  <c r="CF65" i="17"/>
  <c r="DE65" i="17"/>
  <c r="DF65" i="17"/>
  <c r="DK65" i="17"/>
  <c r="DL65" i="17"/>
  <c r="G66" i="17"/>
  <c r="M66" i="17"/>
  <c r="N66" i="17"/>
  <c r="R66" i="17"/>
  <c r="S66" i="17" s="1"/>
  <c r="AA66" i="17"/>
  <c r="AB66" i="17"/>
  <c r="AH66" i="17"/>
  <c r="AI66" i="17"/>
  <c r="AK66" i="17"/>
  <c r="AS66" i="17"/>
  <c r="AT66" i="17"/>
  <c r="AY66" i="17"/>
  <c r="AZ66" i="17"/>
  <c r="BA66" i="17"/>
  <c r="BB66" i="17"/>
  <c r="CH66" i="17" s="1"/>
  <c r="DN66" i="17" s="1"/>
  <c r="ET66" i="17" s="1"/>
  <c r="FZ66" i="17" s="1"/>
  <c r="HF66" i="17" s="1"/>
  <c r="BC66" i="17"/>
  <c r="CI66" i="17" s="1"/>
  <c r="DO66" i="17" s="1"/>
  <c r="EU66" i="17" s="1"/>
  <c r="GA66" i="17" s="1"/>
  <c r="HG66" i="17" s="1"/>
  <c r="BD66" i="17"/>
  <c r="CJ66" i="17" s="1"/>
  <c r="DP66" i="17" s="1"/>
  <c r="EV66" i="17" s="1"/>
  <c r="GB66" i="17" s="1"/>
  <c r="HH66" i="17" s="1"/>
  <c r="BE66" i="17"/>
  <c r="CK66" i="17" s="1"/>
  <c r="DQ66" i="17" s="1"/>
  <c r="EW66" i="17" s="1"/>
  <c r="GC66" i="17" s="1"/>
  <c r="HI66" i="17" s="1"/>
  <c r="BF66" i="17"/>
  <c r="CL66" i="17" s="1"/>
  <c r="DR66" i="17" s="1"/>
  <c r="EX66" i="17" s="1"/>
  <c r="GD66" i="17" s="1"/>
  <c r="HJ66" i="17" s="1"/>
  <c r="BJ66" i="17"/>
  <c r="CP66" i="17" s="1"/>
  <c r="DV66" i="17" s="1"/>
  <c r="FB66" i="17" s="1"/>
  <c r="GH66" i="17" s="1"/>
  <c r="HN66" i="17" s="1"/>
  <c r="BK66" i="17"/>
  <c r="CQ66" i="17" s="1"/>
  <c r="DW66" i="17" s="1"/>
  <c r="FC66" i="17" s="1"/>
  <c r="GI66" i="17" s="1"/>
  <c r="HO66" i="17" s="1"/>
  <c r="BL66" i="17"/>
  <c r="CR66" i="17" s="1"/>
  <c r="DX66" i="17" s="1"/>
  <c r="FD66" i="17" s="1"/>
  <c r="GJ66" i="17" s="1"/>
  <c r="HP66" i="17" s="1"/>
  <c r="BM66" i="17"/>
  <c r="CS66" i="17" s="1"/>
  <c r="DY66" i="17" s="1"/>
  <c r="FE66" i="17" s="1"/>
  <c r="GK66" i="17" s="1"/>
  <c r="HQ66" i="17" s="1"/>
  <c r="BY66" i="17"/>
  <c r="BZ66" i="17"/>
  <c r="CE66" i="17"/>
  <c r="CF66" i="17"/>
  <c r="DE66" i="17"/>
  <c r="DF66" i="17"/>
  <c r="DK66" i="17"/>
  <c r="DL66" i="17"/>
  <c r="G67" i="17"/>
  <c r="M67" i="17"/>
  <c r="N67" i="17"/>
  <c r="R67" i="17"/>
  <c r="S67" i="17" s="1"/>
  <c r="AA67" i="17"/>
  <c r="AB67" i="17"/>
  <c r="AH67" i="17"/>
  <c r="AI67" i="17"/>
  <c r="AK67" i="17"/>
  <c r="AS67" i="17"/>
  <c r="AT67" i="17"/>
  <c r="AY67" i="17"/>
  <c r="AZ67" i="17"/>
  <c r="BA67" i="17"/>
  <c r="CG67" i="17" s="1"/>
  <c r="BB67" i="17"/>
  <c r="CH67" i="17" s="1"/>
  <c r="DN67" i="17" s="1"/>
  <c r="ET67" i="17" s="1"/>
  <c r="FZ67" i="17" s="1"/>
  <c r="HF67" i="17" s="1"/>
  <c r="BC67" i="17"/>
  <c r="CI67" i="17" s="1"/>
  <c r="DO67" i="17" s="1"/>
  <c r="EU67" i="17" s="1"/>
  <c r="GA67" i="17" s="1"/>
  <c r="HG67" i="17" s="1"/>
  <c r="BD67" i="17"/>
  <c r="CJ67" i="17" s="1"/>
  <c r="DP67" i="17" s="1"/>
  <c r="EV67" i="17" s="1"/>
  <c r="GB67" i="17" s="1"/>
  <c r="HH67" i="17" s="1"/>
  <c r="BE67" i="17"/>
  <c r="CK67" i="17" s="1"/>
  <c r="DQ67" i="17" s="1"/>
  <c r="EW67" i="17" s="1"/>
  <c r="GC67" i="17" s="1"/>
  <c r="HI67" i="17" s="1"/>
  <c r="BF67" i="17"/>
  <c r="CL67" i="17" s="1"/>
  <c r="DR67" i="17" s="1"/>
  <c r="EX67" i="17" s="1"/>
  <c r="GD67" i="17" s="1"/>
  <c r="HJ67" i="17" s="1"/>
  <c r="BJ67" i="17"/>
  <c r="CP67" i="17" s="1"/>
  <c r="DV67" i="17" s="1"/>
  <c r="FB67" i="17" s="1"/>
  <c r="GH67" i="17" s="1"/>
  <c r="HN67" i="17" s="1"/>
  <c r="BK67" i="17"/>
  <c r="CQ67" i="17" s="1"/>
  <c r="DW67" i="17" s="1"/>
  <c r="FC67" i="17" s="1"/>
  <c r="GI67" i="17" s="1"/>
  <c r="HO67" i="17" s="1"/>
  <c r="BL67" i="17"/>
  <c r="CR67" i="17" s="1"/>
  <c r="DX67" i="17" s="1"/>
  <c r="FD67" i="17" s="1"/>
  <c r="GJ67" i="17" s="1"/>
  <c r="HP67" i="17" s="1"/>
  <c r="BM67" i="17"/>
  <c r="CS67" i="17" s="1"/>
  <c r="DY67" i="17" s="1"/>
  <c r="FE67" i="17" s="1"/>
  <c r="GK67" i="17" s="1"/>
  <c r="HQ67" i="17" s="1"/>
  <c r="BY67" i="17"/>
  <c r="BZ67" i="17"/>
  <c r="CE67" i="17"/>
  <c r="CF67" i="17"/>
  <c r="DE67" i="17"/>
  <c r="DF67" i="17"/>
  <c r="DK67" i="17"/>
  <c r="DL67" i="17"/>
  <c r="G68" i="17"/>
  <c r="N68" i="17"/>
  <c r="R68" i="17"/>
  <c r="S68" i="17" s="1"/>
  <c r="AA68" i="17"/>
  <c r="AB68" i="17"/>
  <c r="AH68" i="17"/>
  <c r="AI68" i="17"/>
  <c r="AK68" i="17"/>
  <c r="AS68" i="17"/>
  <c r="AT68" i="17"/>
  <c r="AY68" i="17"/>
  <c r="AZ68" i="17"/>
  <c r="BA68" i="17"/>
  <c r="CG68" i="17" s="1"/>
  <c r="BB68" i="17"/>
  <c r="CH68" i="17" s="1"/>
  <c r="DN68" i="17" s="1"/>
  <c r="ET68" i="17" s="1"/>
  <c r="FZ68" i="17" s="1"/>
  <c r="HF68" i="17" s="1"/>
  <c r="BC68" i="17"/>
  <c r="CI68" i="17" s="1"/>
  <c r="DO68" i="17" s="1"/>
  <c r="EU68" i="17" s="1"/>
  <c r="GA68" i="17" s="1"/>
  <c r="HG68" i="17" s="1"/>
  <c r="BD68" i="17"/>
  <c r="CJ68" i="17" s="1"/>
  <c r="DP68" i="17" s="1"/>
  <c r="EV68" i="17" s="1"/>
  <c r="GB68" i="17" s="1"/>
  <c r="HH68" i="17" s="1"/>
  <c r="BE68" i="17"/>
  <c r="CK68" i="17" s="1"/>
  <c r="DQ68" i="17" s="1"/>
  <c r="EW68" i="17" s="1"/>
  <c r="GC68" i="17" s="1"/>
  <c r="HI68" i="17" s="1"/>
  <c r="BF68" i="17"/>
  <c r="CL68" i="17" s="1"/>
  <c r="DR68" i="17" s="1"/>
  <c r="EX68" i="17" s="1"/>
  <c r="GD68" i="17" s="1"/>
  <c r="HJ68" i="17" s="1"/>
  <c r="BJ68" i="17"/>
  <c r="CP68" i="17" s="1"/>
  <c r="DV68" i="17" s="1"/>
  <c r="FB68" i="17" s="1"/>
  <c r="GH68" i="17" s="1"/>
  <c r="HN68" i="17" s="1"/>
  <c r="BK68" i="17"/>
  <c r="CQ68" i="17" s="1"/>
  <c r="DW68" i="17" s="1"/>
  <c r="FC68" i="17" s="1"/>
  <c r="GI68" i="17" s="1"/>
  <c r="HO68" i="17" s="1"/>
  <c r="BL68" i="17"/>
  <c r="CR68" i="17" s="1"/>
  <c r="DX68" i="17" s="1"/>
  <c r="FD68" i="17" s="1"/>
  <c r="GJ68" i="17" s="1"/>
  <c r="HP68" i="17" s="1"/>
  <c r="BM68" i="17"/>
  <c r="CS68" i="17" s="1"/>
  <c r="DY68" i="17" s="1"/>
  <c r="FE68" i="17" s="1"/>
  <c r="GK68" i="17" s="1"/>
  <c r="HQ68" i="17" s="1"/>
  <c r="BY68" i="17"/>
  <c r="BZ68" i="17"/>
  <c r="CE68" i="17"/>
  <c r="CF68" i="17"/>
  <c r="DE68" i="17"/>
  <c r="DF68" i="17"/>
  <c r="DK68" i="17"/>
  <c r="DL68" i="17"/>
  <c r="G69" i="17"/>
  <c r="N69" i="17"/>
  <c r="R69" i="17"/>
  <c r="S69" i="17" s="1"/>
  <c r="AA69" i="17"/>
  <c r="AB69" i="17"/>
  <c r="AH69" i="17"/>
  <c r="AI69" i="17"/>
  <c r="AK69" i="17"/>
  <c r="AS69" i="17"/>
  <c r="AT69" i="17"/>
  <c r="AY69" i="17"/>
  <c r="AZ69" i="17"/>
  <c r="BA69" i="17"/>
  <c r="BB69" i="17"/>
  <c r="CH69" i="17" s="1"/>
  <c r="DN69" i="17" s="1"/>
  <c r="ET69" i="17" s="1"/>
  <c r="FZ69" i="17" s="1"/>
  <c r="HF69" i="17" s="1"/>
  <c r="BC69" i="17"/>
  <c r="CI69" i="17" s="1"/>
  <c r="DO69" i="17" s="1"/>
  <c r="EU69" i="17" s="1"/>
  <c r="GA69" i="17" s="1"/>
  <c r="HG69" i="17" s="1"/>
  <c r="BD69" i="17"/>
  <c r="CJ69" i="17" s="1"/>
  <c r="DP69" i="17" s="1"/>
  <c r="EV69" i="17" s="1"/>
  <c r="GB69" i="17" s="1"/>
  <c r="HH69" i="17" s="1"/>
  <c r="BE69" i="17"/>
  <c r="CK69" i="17" s="1"/>
  <c r="DQ69" i="17" s="1"/>
  <c r="EW69" i="17" s="1"/>
  <c r="GC69" i="17" s="1"/>
  <c r="HI69" i="17" s="1"/>
  <c r="BF69" i="17"/>
  <c r="CL69" i="17" s="1"/>
  <c r="DR69" i="17" s="1"/>
  <c r="EX69" i="17" s="1"/>
  <c r="GD69" i="17" s="1"/>
  <c r="HJ69" i="17" s="1"/>
  <c r="BJ69" i="17"/>
  <c r="CP69" i="17" s="1"/>
  <c r="DV69" i="17" s="1"/>
  <c r="FB69" i="17" s="1"/>
  <c r="GH69" i="17" s="1"/>
  <c r="HN69" i="17" s="1"/>
  <c r="BK69" i="17"/>
  <c r="CQ69" i="17" s="1"/>
  <c r="DW69" i="17" s="1"/>
  <c r="FC69" i="17" s="1"/>
  <c r="GI69" i="17" s="1"/>
  <c r="HO69" i="17" s="1"/>
  <c r="BL69" i="17"/>
  <c r="CR69" i="17" s="1"/>
  <c r="DX69" i="17" s="1"/>
  <c r="FD69" i="17" s="1"/>
  <c r="GJ69" i="17" s="1"/>
  <c r="HP69" i="17" s="1"/>
  <c r="BM69" i="17"/>
  <c r="CS69" i="17" s="1"/>
  <c r="DY69" i="17" s="1"/>
  <c r="FE69" i="17" s="1"/>
  <c r="GK69" i="17" s="1"/>
  <c r="HQ69" i="17" s="1"/>
  <c r="BY69" i="17"/>
  <c r="BZ69" i="17"/>
  <c r="CE69" i="17"/>
  <c r="CF69" i="17"/>
  <c r="DE69" i="17"/>
  <c r="DF69" i="17"/>
  <c r="DK69" i="17"/>
  <c r="DL69" i="17"/>
  <c r="G70" i="17"/>
  <c r="M70" i="17"/>
  <c r="N70" i="17"/>
  <c r="R70" i="17"/>
  <c r="S70" i="17" s="1"/>
  <c r="AA70" i="17"/>
  <c r="AB70" i="17"/>
  <c r="AH70" i="17"/>
  <c r="AI70" i="17"/>
  <c r="AK70" i="17"/>
  <c r="AS70" i="17"/>
  <c r="AT70" i="17"/>
  <c r="AY70" i="17"/>
  <c r="AZ70" i="17"/>
  <c r="BA70" i="17"/>
  <c r="CG70" i="17" s="1"/>
  <c r="BB70" i="17"/>
  <c r="CH70" i="17" s="1"/>
  <c r="DN70" i="17" s="1"/>
  <c r="ET70" i="17" s="1"/>
  <c r="FZ70" i="17" s="1"/>
  <c r="HF70" i="17" s="1"/>
  <c r="BC70" i="17"/>
  <c r="CI70" i="17" s="1"/>
  <c r="DO70" i="17" s="1"/>
  <c r="EU70" i="17" s="1"/>
  <c r="GA70" i="17" s="1"/>
  <c r="HG70" i="17" s="1"/>
  <c r="BD70" i="17"/>
  <c r="CJ70" i="17" s="1"/>
  <c r="DP70" i="17" s="1"/>
  <c r="EV70" i="17" s="1"/>
  <c r="GB70" i="17" s="1"/>
  <c r="HH70" i="17" s="1"/>
  <c r="BE70" i="17"/>
  <c r="CK70" i="17" s="1"/>
  <c r="DQ70" i="17" s="1"/>
  <c r="EW70" i="17" s="1"/>
  <c r="GC70" i="17" s="1"/>
  <c r="HI70" i="17" s="1"/>
  <c r="BF70" i="17"/>
  <c r="CL70" i="17" s="1"/>
  <c r="DR70" i="17" s="1"/>
  <c r="EX70" i="17" s="1"/>
  <c r="GD70" i="17" s="1"/>
  <c r="HJ70" i="17" s="1"/>
  <c r="BJ70" i="17"/>
  <c r="BK70" i="17"/>
  <c r="CQ70" i="17" s="1"/>
  <c r="DW70" i="17" s="1"/>
  <c r="FC70" i="17" s="1"/>
  <c r="GI70" i="17" s="1"/>
  <c r="HO70" i="17" s="1"/>
  <c r="BL70" i="17"/>
  <c r="CR70" i="17" s="1"/>
  <c r="DX70" i="17" s="1"/>
  <c r="FD70" i="17" s="1"/>
  <c r="GJ70" i="17" s="1"/>
  <c r="HP70" i="17" s="1"/>
  <c r="BM70" i="17"/>
  <c r="CS70" i="17" s="1"/>
  <c r="DY70" i="17" s="1"/>
  <c r="FE70" i="17" s="1"/>
  <c r="GK70" i="17" s="1"/>
  <c r="HQ70" i="17" s="1"/>
  <c r="BY70" i="17"/>
  <c r="BZ70" i="17"/>
  <c r="CE70" i="17"/>
  <c r="CF70" i="17"/>
  <c r="CP70" i="17"/>
  <c r="DV70" i="17" s="1"/>
  <c r="FB70" i="17" s="1"/>
  <c r="GH70" i="17" s="1"/>
  <c r="HN70" i="17" s="1"/>
  <c r="DE70" i="17"/>
  <c r="DF70" i="17"/>
  <c r="DK70" i="17"/>
  <c r="DL70" i="17"/>
  <c r="G71" i="17"/>
  <c r="N71" i="17"/>
  <c r="R71" i="17"/>
  <c r="S71" i="17" s="1"/>
  <c r="AA71" i="17"/>
  <c r="AB71" i="17"/>
  <c r="AH71" i="17"/>
  <c r="AI71" i="17"/>
  <c r="AK71" i="17"/>
  <c r="AS71" i="17"/>
  <c r="AT71" i="17"/>
  <c r="AY71" i="17"/>
  <c r="AZ71" i="17"/>
  <c r="BA71" i="17"/>
  <c r="BB71" i="17"/>
  <c r="CH71" i="17" s="1"/>
  <c r="DN71" i="17" s="1"/>
  <c r="ET71" i="17" s="1"/>
  <c r="FZ71" i="17" s="1"/>
  <c r="HF71" i="17" s="1"/>
  <c r="BC71" i="17"/>
  <c r="CI71" i="17" s="1"/>
  <c r="DO71" i="17" s="1"/>
  <c r="EU71" i="17" s="1"/>
  <c r="GA71" i="17" s="1"/>
  <c r="HG71" i="17" s="1"/>
  <c r="BD71" i="17"/>
  <c r="CJ71" i="17" s="1"/>
  <c r="DP71" i="17" s="1"/>
  <c r="EV71" i="17" s="1"/>
  <c r="GB71" i="17" s="1"/>
  <c r="HH71" i="17" s="1"/>
  <c r="BE71" i="17"/>
  <c r="CK71" i="17" s="1"/>
  <c r="DQ71" i="17" s="1"/>
  <c r="EW71" i="17" s="1"/>
  <c r="GC71" i="17" s="1"/>
  <c r="HI71" i="17" s="1"/>
  <c r="BF71" i="17"/>
  <c r="CL71" i="17" s="1"/>
  <c r="DR71" i="17" s="1"/>
  <c r="EX71" i="17" s="1"/>
  <c r="GD71" i="17" s="1"/>
  <c r="HJ71" i="17" s="1"/>
  <c r="BJ71" i="17"/>
  <c r="CP71" i="17" s="1"/>
  <c r="DV71" i="17" s="1"/>
  <c r="FB71" i="17" s="1"/>
  <c r="GH71" i="17" s="1"/>
  <c r="HN71" i="17" s="1"/>
  <c r="BK71" i="17"/>
  <c r="CQ71" i="17" s="1"/>
  <c r="DW71" i="17" s="1"/>
  <c r="FC71" i="17" s="1"/>
  <c r="GI71" i="17" s="1"/>
  <c r="HO71" i="17" s="1"/>
  <c r="BL71" i="17"/>
  <c r="CR71" i="17" s="1"/>
  <c r="DX71" i="17" s="1"/>
  <c r="FD71" i="17" s="1"/>
  <c r="GJ71" i="17" s="1"/>
  <c r="HP71" i="17" s="1"/>
  <c r="BM71" i="17"/>
  <c r="CS71" i="17" s="1"/>
  <c r="DY71" i="17" s="1"/>
  <c r="FE71" i="17" s="1"/>
  <c r="GK71" i="17" s="1"/>
  <c r="HQ71" i="17" s="1"/>
  <c r="BY71" i="17"/>
  <c r="BZ71" i="17"/>
  <c r="CE71" i="17"/>
  <c r="CF71" i="17"/>
  <c r="DE71" i="17"/>
  <c r="DF71" i="17"/>
  <c r="DK71" i="17"/>
  <c r="DL71" i="17"/>
  <c r="G72" i="17"/>
  <c r="N72" i="17"/>
  <c r="R72" i="17"/>
  <c r="S72" i="17" s="1"/>
  <c r="AA72" i="17"/>
  <c r="AB72" i="17"/>
  <c r="AH72" i="17"/>
  <c r="AI72" i="17"/>
  <c r="AK72" i="17"/>
  <c r="AS72" i="17"/>
  <c r="AT72" i="17"/>
  <c r="AY72" i="17"/>
  <c r="AZ72" i="17"/>
  <c r="BA72" i="17"/>
  <c r="BB72" i="17"/>
  <c r="CH72" i="17" s="1"/>
  <c r="DN72" i="17" s="1"/>
  <c r="ET72" i="17" s="1"/>
  <c r="FZ72" i="17" s="1"/>
  <c r="HF72" i="17" s="1"/>
  <c r="BC72" i="17"/>
  <c r="CI72" i="17" s="1"/>
  <c r="DO72" i="17" s="1"/>
  <c r="EU72" i="17" s="1"/>
  <c r="GA72" i="17" s="1"/>
  <c r="HG72" i="17" s="1"/>
  <c r="BD72" i="17"/>
  <c r="CJ72" i="17" s="1"/>
  <c r="DP72" i="17" s="1"/>
  <c r="EV72" i="17" s="1"/>
  <c r="GB72" i="17" s="1"/>
  <c r="HH72" i="17" s="1"/>
  <c r="BE72" i="17"/>
  <c r="CK72" i="17" s="1"/>
  <c r="DQ72" i="17" s="1"/>
  <c r="EW72" i="17" s="1"/>
  <c r="GC72" i="17" s="1"/>
  <c r="HI72" i="17" s="1"/>
  <c r="BF72" i="17"/>
  <c r="CL72" i="17" s="1"/>
  <c r="DR72" i="17" s="1"/>
  <c r="EX72" i="17" s="1"/>
  <c r="GD72" i="17" s="1"/>
  <c r="HJ72" i="17" s="1"/>
  <c r="BJ72" i="17"/>
  <c r="CP72" i="17" s="1"/>
  <c r="DV72" i="17" s="1"/>
  <c r="FB72" i="17" s="1"/>
  <c r="GH72" i="17" s="1"/>
  <c r="HN72" i="17" s="1"/>
  <c r="BK72" i="17"/>
  <c r="CQ72" i="17" s="1"/>
  <c r="DW72" i="17" s="1"/>
  <c r="FC72" i="17" s="1"/>
  <c r="GI72" i="17" s="1"/>
  <c r="HO72" i="17" s="1"/>
  <c r="BL72" i="17"/>
  <c r="BM72" i="17"/>
  <c r="CS72" i="17" s="1"/>
  <c r="DY72" i="17" s="1"/>
  <c r="FE72" i="17" s="1"/>
  <c r="GK72" i="17" s="1"/>
  <c r="HQ72" i="17" s="1"/>
  <c r="BY72" i="17"/>
  <c r="BZ72" i="17"/>
  <c r="CE72" i="17"/>
  <c r="CF72" i="17"/>
  <c r="CR72" i="17"/>
  <c r="DX72" i="17" s="1"/>
  <c r="FD72" i="17" s="1"/>
  <c r="GJ72" i="17" s="1"/>
  <c r="HP72" i="17" s="1"/>
  <c r="DE72" i="17"/>
  <c r="DF72" i="17"/>
  <c r="DK72" i="17"/>
  <c r="DL72" i="17"/>
  <c r="G73" i="17"/>
  <c r="N73" i="17"/>
  <c r="O73" i="17"/>
  <c r="R73" i="17" s="1"/>
  <c r="S73" i="17" s="1"/>
  <c r="AA73" i="17"/>
  <c r="AB73" i="17"/>
  <c r="AH73" i="17"/>
  <c r="AI73" i="17"/>
  <c r="AK73" i="17"/>
  <c r="AS73" i="17"/>
  <c r="AT73" i="17"/>
  <c r="AY73" i="17"/>
  <c r="AZ73" i="17"/>
  <c r="BA73" i="17"/>
  <c r="CG73" i="17" s="1"/>
  <c r="BB73" i="17"/>
  <c r="CH73" i="17" s="1"/>
  <c r="DN73" i="17" s="1"/>
  <c r="ET73" i="17" s="1"/>
  <c r="FZ73" i="17" s="1"/>
  <c r="HF73" i="17" s="1"/>
  <c r="BC73" i="17"/>
  <c r="CI73" i="17" s="1"/>
  <c r="DO73" i="17" s="1"/>
  <c r="EU73" i="17" s="1"/>
  <c r="GA73" i="17" s="1"/>
  <c r="HG73" i="17" s="1"/>
  <c r="BD73" i="17"/>
  <c r="BE73" i="17"/>
  <c r="CK73" i="17" s="1"/>
  <c r="DQ73" i="17" s="1"/>
  <c r="EW73" i="17" s="1"/>
  <c r="GC73" i="17" s="1"/>
  <c r="HI73" i="17" s="1"/>
  <c r="BF73" i="17"/>
  <c r="CL73" i="17" s="1"/>
  <c r="DR73" i="17" s="1"/>
  <c r="EX73" i="17" s="1"/>
  <c r="GD73" i="17" s="1"/>
  <c r="HJ73" i="17" s="1"/>
  <c r="BJ73" i="17"/>
  <c r="CP73" i="17" s="1"/>
  <c r="DV73" i="17" s="1"/>
  <c r="FB73" i="17" s="1"/>
  <c r="GH73" i="17" s="1"/>
  <c r="HN73" i="17" s="1"/>
  <c r="BK73" i="17"/>
  <c r="CQ73" i="17" s="1"/>
  <c r="DW73" i="17" s="1"/>
  <c r="FC73" i="17" s="1"/>
  <c r="GI73" i="17" s="1"/>
  <c r="HO73" i="17" s="1"/>
  <c r="BL73" i="17"/>
  <c r="CR73" i="17" s="1"/>
  <c r="DX73" i="17" s="1"/>
  <c r="FD73" i="17" s="1"/>
  <c r="GJ73" i="17" s="1"/>
  <c r="HP73" i="17" s="1"/>
  <c r="BM73" i="17"/>
  <c r="CS73" i="17" s="1"/>
  <c r="DY73" i="17" s="1"/>
  <c r="FE73" i="17" s="1"/>
  <c r="GK73" i="17" s="1"/>
  <c r="HQ73" i="17" s="1"/>
  <c r="BY73" i="17"/>
  <c r="BZ73" i="17"/>
  <c r="CE73" i="17"/>
  <c r="CF73" i="17"/>
  <c r="CJ73" i="17"/>
  <c r="DP73" i="17" s="1"/>
  <c r="EV73" i="17" s="1"/>
  <c r="GB73" i="17" s="1"/>
  <c r="HH73" i="17" s="1"/>
  <c r="DE73" i="17"/>
  <c r="DF73" i="17"/>
  <c r="DK73" i="17"/>
  <c r="DL73" i="17"/>
  <c r="E74" i="17"/>
  <c r="F74" i="17"/>
  <c r="H74" i="17"/>
  <c r="I74" i="17"/>
  <c r="O74" i="17"/>
  <c r="Q74" i="17"/>
  <c r="T74" i="17"/>
  <c r="AK74" i="17" s="1"/>
  <c r="AA74" i="17"/>
  <c r="AB74" i="17"/>
  <c r="AH74" i="17"/>
  <c r="AI74" i="17"/>
  <c r="AS74" i="17"/>
  <c r="AT74" i="17"/>
  <c r="AY74" i="17"/>
  <c r="AZ74" i="17"/>
  <c r="BA74" i="17"/>
  <c r="CG74" i="17" s="1"/>
  <c r="BB74" i="17"/>
  <c r="CH74" i="17" s="1"/>
  <c r="DN74" i="17" s="1"/>
  <c r="ET74" i="17" s="1"/>
  <c r="FZ74" i="17" s="1"/>
  <c r="HF74" i="17" s="1"/>
  <c r="BC74" i="17"/>
  <c r="CI74" i="17" s="1"/>
  <c r="DO74" i="17" s="1"/>
  <c r="EU74" i="17" s="1"/>
  <c r="GA74" i="17" s="1"/>
  <c r="HG74" i="17" s="1"/>
  <c r="BD74" i="17"/>
  <c r="CJ74" i="17" s="1"/>
  <c r="DP74" i="17" s="1"/>
  <c r="EV74" i="17" s="1"/>
  <c r="GB74" i="17" s="1"/>
  <c r="HH74" i="17" s="1"/>
  <c r="BE74" i="17"/>
  <c r="CK74" i="17" s="1"/>
  <c r="DQ74" i="17" s="1"/>
  <c r="EW74" i="17" s="1"/>
  <c r="GC74" i="17" s="1"/>
  <c r="HI74" i="17" s="1"/>
  <c r="BF74" i="17"/>
  <c r="CL74" i="17" s="1"/>
  <c r="DR74" i="17" s="1"/>
  <c r="EX74" i="17" s="1"/>
  <c r="GD74" i="17" s="1"/>
  <c r="HJ74" i="17" s="1"/>
  <c r="BJ74" i="17"/>
  <c r="CP74" i="17" s="1"/>
  <c r="DV74" i="17" s="1"/>
  <c r="FB74" i="17" s="1"/>
  <c r="GH74" i="17" s="1"/>
  <c r="HN74" i="17" s="1"/>
  <c r="BK74" i="17"/>
  <c r="CQ74" i="17" s="1"/>
  <c r="DW74" i="17" s="1"/>
  <c r="FC74" i="17" s="1"/>
  <c r="GI74" i="17" s="1"/>
  <c r="HO74" i="17" s="1"/>
  <c r="BL74" i="17"/>
  <c r="CR74" i="17" s="1"/>
  <c r="DX74" i="17" s="1"/>
  <c r="FD74" i="17" s="1"/>
  <c r="GJ74" i="17" s="1"/>
  <c r="HP74" i="17" s="1"/>
  <c r="BM74" i="17"/>
  <c r="CS74" i="17" s="1"/>
  <c r="DY74" i="17" s="1"/>
  <c r="FE74" i="17" s="1"/>
  <c r="GK74" i="17" s="1"/>
  <c r="HQ74" i="17" s="1"/>
  <c r="BY74" i="17"/>
  <c r="BZ74" i="17"/>
  <c r="CE74" i="17"/>
  <c r="CF74" i="17"/>
  <c r="DE74" i="17"/>
  <c r="DF74" i="17"/>
  <c r="DK74" i="17"/>
  <c r="DL74" i="17"/>
  <c r="G75" i="17"/>
  <c r="M75" i="17"/>
  <c r="N75" i="17"/>
  <c r="R75" i="17"/>
  <c r="S75" i="17" s="1"/>
  <c r="AA75" i="17"/>
  <c r="AB75" i="17"/>
  <c r="AH75" i="17"/>
  <c r="AI75" i="17"/>
  <c r="AK75" i="17"/>
  <c r="AS75" i="17"/>
  <c r="AT75" i="17"/>
  <c r="AY75" i="17"/>
  <c r="AZ75" i="17"/>
  <c r="BA75" i="17"/>
  <c r="CG75" i="17" s="1"/>
  <c r="BB75" i="17"/>
  <c r="CH75" i="17" s="1"/>
  <c r="DN75" i="17" s="1"/>
  <c r="ET75" i="17" s="1"/>
  <c r="FZ75" i="17" s="1"/>
  <c r="HF75" i="17" s="1"/>
  <c r="BC75" i="17"/>
  <c r="CI75" i="17" s="1"/>
  <c r="DO75" i="17" s="1"/>
  <c r="EU75" i="17" s="1"/>
  <c r="GA75" i="17" s="1"/>
  <c r="HG75" i="17" s="1"/>
  <c r="BD75" i="17"/>
  <c r="CJ75" i="17" s="1"/>
  <c r="DP75" i="17" s="1"/>
  <c r="EV75" i="17" s="1"/>
  <c r="GB75" i="17" s="1"/>
  <c r="HH75" i="17" s="1"/>
  <c r="BE75" i="17"/>
  <c r="CK75" i="17" s="1"/>
  <c r="DQ75" i="17" s="1"/>
  <c r="EW75" i="17" s="1"/>
  <c r="GC75" i="17" s="1"/>
  <c r="HI75" i="17" s="1"/>
  <c r="BF75" i="17"/>
  <c r="CL75" i="17" s="1"/>
  <c r="DR75" i="17" s="1"/>
  <c r="EX75" i="17" s="1"/>
  <c r="GD75" i="17" s="1"/>
  <c r="HJ75" i="17" s="1"/>
  <c r="BJ75" i="17"/>
  <c r="CP75" i="17" s="1"/>
  <c r="DV75" i="17" s="1"/>
  <c r="FB75" i="17" s="1"/>
  <c r="GH75" i="17" s="1"/>
  <c r="HN75" i="17" s="1"/>
  <c r="BK75" i="17"/>
  <c r="CQ75" i="17" s="1"/>
  <c r="DW75" i="17" s="1"/>
  <c r="FC75" i="17" s="1"/>
  <c r="GI75" i="17" s="1"/>
  <c r="HO75" i="17" s="1"/>
  <c r="BL75" i="17"/>
  <c r="CR75" i="17" s="1"/>
  <c r="DX75" i="17" s="1"/>
  <c r="FD75" i="17" s="1"/>
  <c r="GJ75" i="17" s="1"/>
  <c r="HP75" i="17" s="1"/>
  <c r="BM75" i="17"/>
  <c r="CS75" i="17" s="1"/>
  <c r="DY75" i="17" s="1"/>
  <c r="FE75" i="17" s="1"/>
  <c r="GK75" i="17" s="1"/>
  <c r="HQ75" i="17" s="1"/>
  <c r="BY75" i="17"/>
  <c r="BZ75" i="17"/>
  <c r="CE75" i="17"/>
  <c r="CF75" i="17"/>
  <c r="DE75" i="17"/>
  <c r="DF75" i="17"/>
  <c r="DK75" i="17"/>
  <c r="DL75" i="17"/>
  <c r="G76" i="17"/>
  <c r="M76" i="17"/>
  <c r="N76" i="17"/>
  <c r="R76" i="17"/>
  <c r="S76" i="17" s="1"/>
  <c r="AA76" i="17"/>
  <c r="AB76" i="17"/>
  <c r="AH76" i="17"/>
  <c r="AI76" i="17"/>
  <c r="AK76" i="17"/>
  <c r="AS76" i="17"/>
  <c r="AT76" i="17"/>
  <c r="AY76" i="17"/>
  <c r="AZ76" i="17"/>
  <c r="BA76" i="17"/>
  <c r="CG76" i="17" s="1"/>
  <c r="BB76" i="17"/>
  <c r="CH76" i="17" s="1"/>
  <c r="DN76" i="17" s="1"/>
  <c r="ET76" i="17" s="1"/>
  <c r="FZ76" i="17" s="1"/>
  <c r="HF76" i="17" s="1"/>
  <c r="BC76" i="17"/>
  <c r="CI76" i="17" s="1"/>
  <c r="DO76" i="17" s="1"/>
  <c r="EU76" i="17" s="1"/>
  <c r="GA76" i="17" s="1"/>
  <c r="HG76" i="17" s="1"/>
  <c r="BD76" i="17"/>
  <c r="CJ76" i="17" s="1"/>
  <c r="DP76" i="17" s="1"/>
  <c r="EV76" i="17" s="1"/>
  <c r="GB76" i="17" s="1"/>
  <c r="HH76" i="17" s="1"/>
  <c r="BE76" i="17"/>
  <c r="CK76" i="17" s="1"/>
  <c r="DQ76" i="17" s="1"/>
  <c r="EW76" i="17" s="1"/>
  <c r="GC76" i="17" s="1"/>
  <c r="HI76" i="17" s="1"/>
  <c r="BF76" i="17"/>
  <c r="CL76" i="17" s="1"/>
  <c r="DR76" i="17" s="1"/>
  <c r="EX76" i="17" s="1"/>
  <c r="GD76" i="17" s="1"/>
  <c r="HJ76" i="17" s="1"/>
  <c r="BJ76" i="17"/>
  <c r="CP76" i="17" s="1"/>
  <c r="DV76" i="17" s="1"/>
  <c r="FB76" i="17" s="1"/>
  <c r="GH76" i="17" s="1"/>
  <c r="HN76" i="17" s="1"/>
  <c r="BK76" i="17"/>
  <c r="CQ76" i="17" s="1"/>
  <c r="DW76" i="17" s="1"/>
  <c r="FC76" i="17" s="1"/>
  <c r="GI76" i="17" s="1"/>
  <c r="HO76" i="17" s="1"/>
  <c r="BL76" i="17"/>
  <c r="CR76" i="17" s="1"/>
  <c r="DX76" i="17" s="1"/>
  <c r="FD76" i="17" s="1"/>
  <c r="GJ76" i="17" s="1"/>
  <c r="HP76" i="17" s="1"/>
  <c r="BM76" i="17"/>
  <c r="CS76" i="17" s="1"/>
  <c r="DY76" i="17" s="1"/>
  <c r="FE76" i="17" s="1"/>
  <c r="GK76" i="17" s="1"/>
  <c r="HQ76" i="17" s="1"/>
  <c r="BY76" i="17"/>
  <c r="BZ76" i="17"/>
  <c r="CE76" i="17"/>
  <c r="CF76" i="17"/>
  <c r="DE76" i="17"/>
  <c r="DF76" i="17"/>
  <c r="DK76" i="17"/>
  <c r="DL76" i="17"/>
  <c r="G77" i="17"/>
  <c r="N77" i="17"/>
  <c r="R77" i="17"/>
  <c r="S77" i="17" s="1"/>
  <c r="AA77" i="17"/>
  <c r="AB77" i="17"/>
  <c r="AH77" i="17"/>
  <c r="AI77" i="17"/>
  <c r="AK77" i="17"/>
  <c r="AS77" i="17"/>
  <c r="AT77" i="17"/>
  <c r="AY77" i="17"/>
  <c r="AZ77" i="17"/>
  <c r="BA77" i="17"/>
  <c r="CG77" i="17" s="1"/>
  <c r="DM77" i="17" s="1"/>
  <c r="BB77" i="17"/>
  <c r="CH77" i="17" s="1"/>
  <c r="DN77" i="17" s="1"/>
  <c r="ET77" i="17" s="1"/>
  <c r="FZ77" i="17" s="1"/>
  <c r="HF77" i="17" s="1"/>
  <c r="BC77" i="17"/>
  <c r="CI77" i="17" s="1"/>
  <c r="DO77" i="17" s="1"/>
  <c r="EU77" i="17" s="1"/>
  <c r="GA77" i="17" s="1"/>
  <c r="HG77" i="17" s="1"/>
  <c r="BD77" i="17"/>
  <c r="CJ77" i="17" s="1"/>
  <c r="DP77" i="17" s="1"/>
  <c r="EV77" i="17" s="1"/>
  <c r="GB77" i="17" s="1"/>
  <c r="HH77" i="17" s="1"/>
  <c r="BE77" i="17"/>
  <c r="CK77" i="17" s="1"/>
  <c r="DQ77" i="17" s="1"/>
  <c r="EW77" i="17" s="1"/>
  <c r="GC77" i="17" s="1"/>
  <c r="HI77" i="17" s="1"/>
  <c r="BF77" i="17"/>
  <c r="CL77" i="17" s="1"/>
  <c r="DR77" i="17" s="1"/>
  <c r="EX77" i="17" s="1"/>
  <c r="GD77" i="17" s="1"/>
  <c r="HJ77" i="17" s="1"/>
  <c r="BJ77" i="17"/>
  <c r="CP77" i="17" s="1"/>
  <c r="DV77" i="17" s="1"/>
  <c r="FB77" i="17" s="1"/>
  <c r="GH77" i="17" s="1"/>
  <c r="HN77" i="17" s="1"/>
  <c r="BK77" i="17"/>
  <c r="BL77" i="17"/>
  <c r="CR77" i="17" s="1"/>
  <c r="DX77" i="17" s="1"/>
  <c r="FD77" i="17" s="1"/>
  <c r="GJ77" i="17" s="1"/>
  <c r="HP77" i="17" s="1"/>
  <c r="BM77" i="17"/>
  <c r="CS77" i="17" s="1"/>
  <c r="DY77" i="17" s="1"/>
  <c r="FE77" i="17" s="1"/>
  <c r="GK77" i="17" s="1"/>
  <c r="HQ77" i="17" s="1"/>
  <c r="BQ77" i="17"/>
  <c r="BY77" i="17"/>
  <c r="BZ77" i="17"/>
  <c r="CE77" i="17"/>
  <c r="CF77" i="17"/>
  <c r="CQ77" i="17"/>
  <c r="DW77" i="17" s="1"/>
  <c r="FC77" i="17" s="1"/>
  <c r="GI77" i="17" s="1"/>
  <c r="HO77" i="17" s="1"/>
  <c r="DE77" i="17"/>
  <c r="DF77" i="17"/>
  <c r="DK77" i="17"/>
  <c r="DL77" i="17"/>
  <c r="G78" i="17"/>
  <c r="N78" i="17"/>
  <c r="R78" i="17"/>
  <c r="S78" i="17" s="1"/>
  <c r="AA78" i="17"/>
  <c r="AB78" i="17"/>
  <c r="AH78" i="17"/>
  <c r="AI78" i="17"/>
  <c r="AK78" i="17"/>
  <c r="AS78" i="17"/>
  <c r="AT78" i="17"/>
  <c r="AY78" i="17"/>
  <c r="AZ78" i="17"/>
  <c r="BA78" i="17"/>
  <c r="CG78" i="17" s="1"/>
  <c r="BB78" i="17"/>
  <c r="CH78" i="17" s="1"/>
  <c r="DN78" i="17" s="1"/>
  <c r="ET78" i="17" s="1"/>
  <c r="FZ78" i="17" s="1"/>
  <c r="HF78" i="17" s="1"/>
  <c r="BC78" i="17"/>
  <c r="CI78" i="17" s="1"/>
  <c r="DO78" i="17" s="1"/>
  <c r="EU78" i="17" s="1"/>
  <c r="GA78" i="17" s="1"/>
  <c r="HG78" i="17" s="1"/>
  <c r="BD78" i="17"/>
  <c r="BE78" i="17"/>
  <c r="CK78" i="17" s="1"/>
  <c r="DQ78" i="17" s="1"/>
  <c r="EW78" i="17" s="1"/>
  <c r="GC78" i="17" s="1"/>
  <c r="HI78" i="17" s="1"/>
  <c r="BF78" i="17"/>
  <c r="CL78" i="17" s="1"/>
  <c r="DR78" i="17" s="1"/>
  <c r="EX78" i="17" s="1"/>
  <c r="GD78" i="17" s="1"/>
  <c r="HJ78" i="17" s="1"/>
  <c r="BJ78" i="17"/>
  <c r="CP78" i="17" s="1"/>
  <c r="DV78" i="17" s="1"/>
  <c r="FB78" i="17" s="1"/>
  <c r="GH78" i="17" s="1"/>
  <c r="HN78" i="17" s="1"/>
  <c r="BK78" i="17"/>
  <c r="CQ78" i="17" s="1"/>
  <c r="DW78" i="17" s="1"/>
  <c r="FC78" i="17" s="1"/>
  <c r="GI78" i="17" s="1"/>
  <c r="HO78" i="17" s="1"/>
  <c r="BL78" i="17"/>
  <c r="CR78" i="17" s="1"/>
  <c r="DX78" i="17" s="1"/>
  <c r="FD78" i="17" s="1"/>
  <c r="GJ78" i="17" s="1"/>
  <c r="HP78" i="17" s="1"/>
  <c r="BM78" i="17"/>
  <c r="CS78" i="17" s="1"/>
  <c r="DY78" i="17" s="1"/>
  <c r="FE78" i="17" s="1"/>
  <c r="GK78" i="17" s="1"/>
  <c r="HQ78" i="17" s="1"/>
  <c r="BQ78" i="17"/>
  <c r="BY78" i="17"/>
  <c r="BZ78" i="17"/>
  <c r="CE78" i="17"/>
  <c r="CF78" i="17"/>
  <c r="CJ78" i="17"/>
  <c r="DP78" i="17" s="1"/>
  <c r="EV78" i="17" s="1"/>
  <c r="GB78" i="17" s="1"/>
  <c r="HH78" i="17" s="1"/>
  <c r="DE78" i="17"/>
  <c r="DF78" i="17"/>
  <c r="DK78" i="17"/>
  <c r="DL78" i="17"/>
  <c r="G79" i="17"/>
  <c r="J79" i="17"/>
  <c r="M79" i="17"/>
  <c r="N79" i="17"/>
  <c r="O79" i="17"/>
  <c r="AA79" i="17"/>
  <c r="AB79" i="17"/>
  <c r="AH79" i="17"/>
  <c r="AI79" i="17"/>
  <c r="AK79" i="17"/>
  <c r="AS79" i="17"/>
  <c r="AT79" i="17"/>
  <c r="AY79" i="17"/>
  <c r="AZ79" i="17"/>
  <c r="BA79" i="17"/>
  <c r="CG79" i="17" s="1"/>
  <c r="BB79" i="17"/>
  <c r="CH79" i="17" s="1"/>
  <c r="DN79" i="17" s="1"/>
  <c r="ET79" i="17" s="1"/>
  <c r="FZ79" i="17" s="1"/>
  <c r="HF79" i="17" s="1"/>
  <c r="BC79" i="17"/>
  <c r="CI79" i="17" s="1"/>
  <c r="DO79" i="17" s="1"/>
  <c r="EU79" i="17" s="1"/>
  <c r="GA79" i="17" s="1"/>
  <c r="HG79" i="17" s="1"/>
  <c r="BD79" i="17"/>
  <c r="CJ79" i="17" s="1"/>
  <c r="DP79" i="17" s="1"/>
  <c r="EV79" i="17" s="1"/>
  <c r="GB79" i="17" s="1"/>
  <c r="HH79" i="17" s="1"/>
  <c r="BE79" i="17"/>
  <c r="CK79" i="17" s="1"/>
  <c r="DQ79" i="17" s="1"/>
  <c r="EW79" i="17" s="1"/>
  <c r="GC79" i="17" s="1"/>
  <c r="HI79" i="17" s="1"/>
  <c r="BF79" i="17"/>
  <c r="CL79" i="17" s="1"/>
  <c r="DR79" i="17" s="1"/>
  <c r="EX79" i="17" s="1"/>
  <c r="GD79" i="17" s="1"/>
  <c r="HJ79" i="17" s="1"/>
  <c r="BJ79" i="17"/>
  <c r="CP79" i="17" s="1"/>
  <c r="DV79" i="17" s="1"/>
  <c r="FB79" i="17" s="1"/>
  <c r="GH79" i="17" s="1"/>
  <c r="HN79" i="17" s="1"/>
  <c r="BK79" i="17"/>
  <c r="CQ79" i="17" s="1"/>
  <c r="DW79" i="17" s="1"/>
  <c r="FC79" i="17" s="1"/>
  <c r="GI79" i="17" s="1"/>
  <c r="HO79" i="17" s="1"/>
  <c r="BL79" i="17"/>
  <c r="CR79" i="17" s="1"/>
  <c r="DX79" i="17" s="1"/>
  <c r="FD79" i="17" s="1"/>
  <c r="GJ79" i="17" s="1"/>
  <c r="HP79" i="17" s="1"/>
  <c r="BM79" i="17"/>
  <c r="CS79" i="17" s="1"/>
  <c r="DY79" i="17" s="1"/>
  <c r="FE79" i="17" s="1"/>
  <c r="GK79" i="17" s="1"/>
  <c r="HQ79" i="17" s="1"/>
  <c r="BY79" i="17"/>
  <c r="BZ79" i="17"/>
  <c r="CE79" i="17"/>
  <c r="CF79" i="17"/>
  <c r="DE79" i="17"/>
  <c r="DF79" i="17"/>
  <c r="DK79" i="17"/>
  <c r="DL79" i="17"/>
  <c r="G80" i="17"/>
  <c r="M80" i="17"/>
  <c r="N80" i="17"/>
  <c r="R80" i="17"/>
  <c r="S80" i="17" s="1"/>
  <c r="AA80" i="17"/>
  <c r="AB80" i="17"/>
  <c r="AH80" i="17"/>
  <c r="AI80" i="17"/>
  <c r="AK80" i="17"/>
  <c r="AS80" i="17"/>
  <c r="AT80" i="17"/>
  <c r="AY80" i="17"/>
  <c r="AZ80" i="17"/>
  <c r="BA80" i="17"/>
  <c r="CG80" i="17" s="1"/>
  <c r="BB80" i="17"/>
  <c r="CH80" i="17" s="1"/>
  <c r="DN80" i="17" s="1"/>
  <c r="ET80" i="17" s="1"/>
  <c r="FZ80" i="17" s="1"/>
  <c r="HF80" i="17" s="1"/>
  <c r="BC80" i="17"/>
  <c r="CI80" i="17" s="1"/>
  <c r="DO80" i="17" s="1"/>
  <c r="EU80" i="17" s="1"/>
  <c r="GA80" i="17" s="1"/>
  <c r="HG80" i="17" s="1"/>
  <c r="BD80" i="17"/>
  <c r="CJ80" i="17" s="1"/>
  <c r="DP80" i="17" s="1"/>
  <c r="EV80" i="17" s="1"/>
  <c r="GB80" i="17" s="1"/>
  <c r="HH80" i="17" s="1"/>
  <c r="BE80" i="17"/>
  <c r="CK80" i="17" s="1"/>
  <c r="DQ80" i="17" s="1"/>
  <c r="EW80" i="17" s="1"/>
  <c r="GC80" i="17" s="1"/>
  <c r="HI80" i="17" s="1"/>
  <c r="BF80" i="17"/>
  <c r="CL80" i="17" s="1"/>
  <c r="DR80" i="17" s="1"/>
  <c r="EX80" i="17" s="1"/>
  <c r="GD80" i="17" s="1"/>
  <c r="HJ80" i="17" s="1"/>
  <c r="BJ80" i="17"/>
  <c r="CP80" i="17" s="1"/>
  <c r="DV80" i="17" s="1"/>
  <c r="FB80" i="17" s="1"/>
  <c r="GH80" i="17" s="1"/>
  <c r="HN80" i="17" s="1"/>
  <c r="BK80" i="17"/>
  <c r="CQ80" i="17" s="1"/>
  <c r="DW80" i="17" s="1"/>
  <c r="FC80" i="17" s="1"/>
  <c r="GI80" i="17" s="1"/>
  <c r="HO80" i="17" s="1"/>
  <c r="BL80" i="17"/>
  <c r="CR80" i="17" s="1"/>
  <c r="DX80" i="17" s="1"/>
  <c r="FD80" i="17" s="1"/>
  <c r="GJ80" i="17" s="1"/>
  <c r="HP80" i="17" s="1"/>
  <c r="BM80" i="17"/>
  <c r="CS80" i="17" s="1"/>
  <c r="DY80" i="17" s="1"/>
  <c r="FE80" i="17" s="1"/>
  <c r="GK80" i="17" s="1"/>
  <c r="HQ80" i="17" s="1"/>
  <c r="BY80" i="17"/>
  <c r="BZ80" i="17"/>
  <c r="CE80" i="17"/>
  <c r="CF80" i="17"/>
  <c r="DE80" i="17"/>
  <c r="DF80" i="17"/>
  <c r="DK80" i="17"/>
  <c r="DL80" i="17"/>
  <c r="G81" i="17"/>
  <c r="J81" i="17"/>
  <c r="N81" i="17"/>
  <c r="R81" i="17"/>
  <c r="S81" i="17" s="1"/>
  <c r="AA81" i="17"/>
  <c r="AB81" i="17"/>
  <c r="AH81" i="17"/>
  <c r="AI81" i="17"/>
  <c r="AK81" i="17"/>
  <c r="AS81" i="17"/>
  <c r="AT81" i="17"/>
  <c r="AY81" i="17"/>
  <c r="AZ81" i="17"/>
  <c r="BA81" i="17"/>
  <c r="CG81" i="17" s="1"/>
  <c r="BB81" i="17"/>
  <c r="CH81" i="17" s="1"/>
  <c r="DN81" i="17" s="1"/>
  <c r="ET81" i="17" s="1"/>
  <c r="FZ81" i="17" s="1"/>
  <c r="HF81" i="17" s="1"/>
  <c r="BC81" i="17"/>
  <c r="CI81" i="17" s="1"/>
  <c r="DO81" i="17" s="1"/>
  <c r="EU81" i="17" s="1"/>
  <c r="GA81" i="17" s="1"/>
  <c r="HG81" i="17" s="1"/>
  <c r="BD81" i="17"/>
  <c r="CJ81" i="17" s="1"/>
  <c r="DP81" i="17" s="1"/>
  <c r="EV81" i="17" s="1"/>
  <c r="GB81" i="17" s="1"/>
  <c r="HH81" i="17" s="1"/>
  <c r="BE81" i="17"/>
  <c r="CK81" i="17" s="1"/>
  <c r="DQ81" i="17" s="1"/>
  <c r="EW81" i="17" s="1"/>
  <c r="GC81" i="17" s="1"/>
  <c r="HI81" i="17" s="1"/>
  <c r="BF81" i="17"/>
  <c r="CL81" i="17" s="1"/>
  <c r="DR81" i="17" s="1"/>
  <c r="EX81" i="17" s="1"/>
  <c r="GD81" i="17" s="1"/>
  <c r="HJ81" i="17" s="1"/>
  <c r="BJ81" i="17"/>
  <c r="CP81" i="17" s="1"/>
  <c r="DV81" i="17" s="1"/>
  <c r="FB81" i="17" s="1"/>
  <c r="GH81" i="17" s="1"/>
  <c r="HN81" i="17" s="1"/>
  <c r="BK81" i="17"/>
  <c r="CQ81" i="17" s="1"/>
  <c r="DW81" i="17" s="1"/>
  <c r="FC81" i="17" s="1"/>
  <c r="GI81" i="17" s="1"/>
  <c r="HO81" i="17" s="1"/>
  <c r="BL81" i="17"/>
  <c r="CR81" i="17" s="1"/>
  <c r="DX81" i="17" s="1"/>
  <c r="FD81" i="17" s="1"/>
  <c r="GJ81" i="17" s="1"/>
  <c r="HP81" i="17" s="1"/>
  <c r="BM81" i="17"/>
  <c r="CS81" i="17" s="1"/>
  <c r="DY81" i="17" s="1"/>
  <c r="FE81" i="17" s="1"/>
  <c r="GK81" i="17" s="1"/>
  <c r="HQ81" i="17" s="1"/>
  <c r="BY81" i="17"/>
  <c r="BZ81" i="17"/>
  <c r="CE81" i="17"/>
  <c r="CF81" i="17"/>
  <c r="DE81" i="17"/>
  <c r="DF81" i="17"/>
  <c r="DK81" i="17"/>
  <c r="DL81" i="17"/>
  <c r="G82" i="17"/>
  <c r="N82" i="17"/>
  <c r="R82" i="17"/>
  <c r="S82" i="17" s="1"/>
  <c r="AA82" i="17"/>
  <c r="AB82" i="17"/>
  <c r="AH82" i="17"/>
  <c r="AI82" i="17"/>
  <c r="AK82" i="17"/>
  <c r="AS82" i="17"/>
  <c r="AT82" i="17"/>
  <c r="AY82" i="17"/>
  <c r="AZ82" i="17"/>
  <c r="BA82" i="17"/>
  <c r="CG82" i="17" s="1"/>
  <c r="BB82" i="17"/>
  <c r="CH82" i="17" s="1"/>
  <c r="DN82" i="17" s="1"/>
  <c r="ET82" i="17" s="1"/>
  <c r="FZ82" i="17" s="1"/>
  <c r="HF82" i="17" s="1"/>
  <c r="BC82" i="17"/>
  <c r="CI82" i="17" s="1"/>
  <c r="DO82" i="17" s="1"/>
  <c r="EU82" i="17" s="1"/>
  <c r="GA82" i="17" s="1"/>
  <c r="HG82" i="17" s="1"/>
  <c r="BD82" i="17"/>
  <c r="CJ82" i="17" s="1"/>
  <c r="DP82" i="17" s="1"/>
  <c r="EV82" i="17" s="1"/>
  <c r="GB82" i="17" s="1"/>
  <c r="HH82" i="17" s="1"/>
  <c r="BE82" i="17"/>
  <c r="CK82" i="17" s="1"/>
  <c r="DQ82" i="17" s="1"/>
  <c r="EW82" i="17" s="1"/>
  <c r="GC82" i="17" s="1"/>
  <c r="HI82" i="17" s="1"/>
  <c r="BF82" i="17"/>
  <c r="CL82" i="17" s="1"/>
  <c r="DR82" i="17" s="1"/>
  <c r="EX82" i="17" s="1"/>
  <c r="GD82" i="17" s="1"/>
  <c r="HJ82" i="17" s="1"/>
  <c r="BJ82" i="17"/>
  <c r="CP82" i="17" s="1"/>
  <c r="DV82" i="17" s="1"/>
  <c r="FB82" i="17" s="1"/>
  <c r="GH82" i="17" s="1"/>
  <c r="HN82" i="17" s="1"/>
  <c r="BK82" i="17"/>
  <c r="CQ82" i="17" s="1"/>
  <c r="DW82" i="17" s="1"/>
  <c r="FC82" i="17" s="1"/>
  <c r="GI82" i="17" s="1"/>
  <c r="HO82" i="17" s="1"/>
  <c r="BL82" i="17"/>
  <c r="CR82" i="17" s="1"/>
  <c r="DX82" i="17" s="1"/>
  <c r="FD82" i="17" s="1"/>
  <c r="GJ82" i="17" s="1"/>
  <c r="HP82" i="17" s="1"/>
  <c r="BM82" i="17"/>
  <c r="CS82" i="17" s="1"/>
  <c r="DY82" i="17" s="1"/>
  <c r="FE82" i="17" s="1"/>
  <c r="GK82" i="17" s="1"/>
  <c r="HQ82" i="17" s="1"/>
  <c r="BY82" i="17"/>
  <c r="BZ82" i="17"/>
  <c r="CE82" i="17"/>
  <c r="CF82" i="17"/>
  <c r="DE82" i="17"/>
  <c r="DF82" i="17"/>
  <c r="DK82" i="17"/>
  <c r="DL82" i="17"/>
  <c r="G83" i="17"/>
  <c r="J83" i="17"/>
  <c r="M83" i="17"/>
  <c r="N83" i="17"/>
  <c r="R83" i="17"/>
  <c r="S83" i="17" s="1"/>
  <c r="AA83" i="17"/>
  <c r="AB83" i="17"/>
  <c r="AH83" i="17"/>
  <c r="AI83" i="17"/>
  <c r="AJ83" i="17" s="1"/>
  <c r="AK83" i="17"/>
  <c r="AS83" i="17"/>
  <c r="AT83" i="17"/>
  <c r="AY83" i="17"/>
  <c r="AZ83" i="17"/>
  <c r="BA83" i="17"/>
  <c r="CG83" i="17" s="1"/>
  <c r="CW83" i="17" s="1"/>
  <c r="BB83" i="17"/>
  <c r="CH83" i="17" s="1"/>
  <c r="DN83" i="17" s="1"/>
  <c r="ET83" i="17" s="1"/>
  <c r="FZ83" i="17" s="1"/>
  <c r="HF83" i="17" s="1"/>
  <c r="BC83" i="17"/>
  <c r="CI83" i="17" s="1"/>
  <c r="DO83" i="17" s="1"/>
  <c r="EU83" i="17" s="1"/>
  <c r="GA83" i="17" s="1"/>
  <c r="HG83" i="17" s="1"/>
  <c r="BD83" i="17"/>
  <c r="CJ83" i="17" s="1"/>
  <c r="DP83" i="17" s="1"/>
  <c r="EV83" i="17" s="1"/>
  <c r="GB83" i="17" s="1"/>
  <c r="HH83" i="17" s="1"/>
  <c r="BE83" i="17"/>
  <c r="CK83" i="17" s="1"/>
  <c r="DQ83" i="17" s="1"/>
  <c r="EW83" i="17" s="1"/>
  <c r="GC83" i="17" s="1"/>
  <c r="HI83" i="17" s="1"/>
  <c r="BF83" i="17"/>
  <c r="BJ83" i="17"/>
  <c r="CP83" i="17" s="1"/>
  <c r="DV83" i="17" s="1"/>
  <c r="FB83" i="17" s="1"/>
  <c r="GH83" i="17" s="1"/>
  <c r="HN83" i="17" s="1"/>
  <c r="BK83" i="17"/>
  <c r="CQ83" i="17" s="1"/>
  <c r="DW83" i="17" s="1"/>
  <c r="BL83" i="17"/>
  <c r="CR83" i="17" s="1"/>
  <c r="DX83" i="17" s="1"/>
  <c r="FD83" i="17" s="1"/>
  <c r="GJ83" i="17" s="1"/>
  <c r="HP83" i="17" s="1"/>
  <c r="BM83" i="17"/>
  <c r="CS83" i="17" s="1"/>
  <c r="DY83" i="17" s="1"/>
  <c r="FE83" i="17" s="1"/>
  <c r="GK83" i="17" s="1"/>
  <c r="HQ83" i="17" s="1"/>
  <c r="BY83" i="17"/>
  <c r="BZ83" i="17"/>
  <c r="CE83" i="17"/>
  <c r="CF83" i="17"/>
  <c r="CL83" i="17"/>
  <c r="DR83" i="17" s="1"/>
  <c r="EX83" i="17" s="1"/>
  <c r="GD83" i="17" s="1"/>
  <c r="HJ83" i="17" s="1"/>
  <c r="DE83" i="17"/>
  <c r="DF83" i="17"/>
  <c r="DK83" i="17"/>
  <c r="DL83" i="17"/>
  <c r="DM83" i="17"/>
  <c r="G84" i="17"/>
  <c r="M84" i="17"/>
  <c r="N84" i="17"/>
  <c r="R84" i="17"/>
  <c r="S84" i="17" s="1"/>
  <c r="AA84" i="17"/>
  <c r="AB84" i="17"/>
  <c r="AH84" i="17"/>
  <c r="AI84" i="17"/>
  <c r="AK84" i="17"/>
  <c r="AS84" i="17"/>
  <c r="AT84" i="17"/>
  <c r="AY84" i="17"/>
  <c r="AZ84" i="17"/>
  <c r="BA84" i="17"/>
  <c r="CG84" i="17" s="1"/>
  <c r="CW84" i="17" s="1"/>
  <c r="BB84" i="17"/>
  <c r="CH84" i="17" s="1"/>
  <c r="DN84" i="17" s="1"/>
  <c r="ET84" i="17" s="1"/>
  <c r="FZ84" i="17" s="1"/>
  <c r="HF84" i="17" s="1"/>
  <c r="BC84" i="17"/>
  <c r="CI84" i="17" s="1"/>
  <c r="DO84" i="17" s="1"/>
  <c r="EU84" i="17" s="1"/>
  <c r="GA84" i="17" s="1"/>
  <c r="HG84" i="17" s="1"/>
  <c r="BD84" i="17"/>
  <c r="CJ84" i="17" s="1"/>
  <c r="DP84" i="17" s="1"/>
  <c r="EV84" i="17" s="1"/>
  <c r="GB84" i="17" s="1"/>
  <c r="HH84" i="17" s="1"/>
  <c r="BE84" i="17"/>
  <c r="CK84" i="17" s="1"/>
  <c r="DQ84" i="17" s="1"/>
  <c r="EW84" i="17" s="1"/>
  <c r="GC84" i="17" s="1"/>
  <c r="HI84" i="17" s="1"/>
  <c r="BF84" i="17"/>
  <c r="CL84" i="17" s="1"/>
  <c r="DR84" i="17" s="1"/>
  <c r="EX84" i="17" s="1"/>
  <c r="GD84" i="17" s="1"/>
  <c r="HJ84" i="17" s="1"/>
  <c r="BJ84" i="17"/>
  <c r="CP84" i="17" s="1"/>
  <c r="DV84" i="17" s="1"/>
  <c r="FB84" i="17" s="1"/>
  <c r="GH84" i="17" s="1"/>
  <c r="HN84" i="17" s="1"/>
  <c r="BK84" i="17"/>
  <c r="CQ84" i="17" s="1"/>
  <c r="DW84" i="17" s="1"/>
  <c r="FC84" i="17" s="1"/>
  <c r="GI84" i="17" s="1"/>
  <c r="HO84" i="17" s="1"/>
  <c r="BL84" i="17"/>
  <c r="CR84" i="17" s="1"/>
  <c r="DX84" i="17" s="1"/>
  <c r="FD84" i="17" s="1"/>
  <c r="GJ84" i="17" s="1"/>
  <c r="HP84" i="17" s="1"/>
  <c r="BM84" i="17"/>
  <c r="CS84" i="17" s="1"/>
  <c r="DY84" i="17" s="1"/>
  <c r="BY84" i="17"/>
  <c r="BZ84" i="17"/>
  <c r="CE84" i="17"/>
  <c r="CF84" i="17"/>
  <c r="DE84" i="17"/>
  <c r="DF84" i="17"/>
  <c r="DK84" i="17"/>
  <c r="DL84" i="17"/>
  <c r="G85" i="17"/>
  <c r="M85" i="17"/>
  <c r="N85" i="17"/>
  <c r="R85" i="17"/>
  <c r="S85" i="17" s="1"/>
  <c r="AA85" i="17"/>
  <c r="AB85" i="17"/>
  <c r="AH85" i="17"/>
  <c r="AI85" i="17"/>
  <c r="AK85" i="17"/>
  <c r="AS85" i="17"/>
  <c r="AT85" i="17"/>
  <c r="AY85" i="17"/>
  <c r="AZ85" i="17"/>
  <c r="BA85" i="17"/>
  <c r="CG85" i="17" s="1"/>
  <c r="CW85" i="17" s="1"/>
  <c r="BB85" i="17"/>
  <c r="CH85" i="17" s="1"/>
  <c r="DN85" i="17" s="1"/>
  <c r="ET85" i="17" s="1"/>
  <c r="FZ85" i="17" s="1"/>
  <c r="HF85" i="17" s="1"/>
  <c r="BC85" i="17"/>
  <c r="CI85" i="17" s="1"/>
  <c r="DO85" i="17" s="1"/>
  <c r="EU85" i="17" s="1"/>
  <c r="GA85" i="17" s="1"/>
  <c r="HG85" i="17" s="1"/>
  <c r="BD85" i="17"/>
  <c r="CJ85" i="17" s="1"/>
  <c r="DP85" i="17" s="1"/>
  <c r="EV85" i="17" s="1"/>
  <c r="GB85" i="17" s="1"/>
  <c r="HH85" i="17" s="1"/>
  <c r="BE85" i="17"/>
  <c r="CK85" i="17" s="1"/>
  <c r="BF85" i="17"/>
  <c r="CL85" i="17" s="1"/>
  <c r="DR85" i="17" s="1"/>
  <c r="EX85" i="17" s="1"/>
  <c r="GD85" i="17" s="1"/>
  <c r="HJ85" i="17" s="1"/>
  <c r="BJ85" i="17"/>
  <c r="CP85" i="17" s="1"/>
  <c r="DV85" i="17" s="1"/>
  <c r="FB85" i="17" s="1"/>
  <c r="GH85" i="17" s="1"/>
  <c r="HN85" i="17" s="1"/>
  <c r="BK85" i="17"/>
  <c r="CQ85" i="17" s="1"/>
  <c r="DW85" i="17" s="1"/>
  <c r="FC85" i="17" s="1"/>
  <c r="GI85" i="17" s="1"/>
  <c r="HO85" i="17" s="1"/>
  <c r="BL85" i="17"/>
  <c r="CR85" i="17" s="1"/>
  <c r="DX85" i="17" s="1"/>
  <c r="FD85" i="17" s="1"/>
  <c r="GJ85" i="17" s="1"/>
  <c r="HP85" i="17" s="1"/>
  <c r="BM85" i="17"/>
  <c r="CS85" i="17" s="1"/>
  <c r="BY85" i="17"/>
  <c r="BZ85" i="17"/>
  <c r="CE85" i="17"/>
  <c r="CF85" i="17"/>
  <c r="DE85" i="17"/>
  <c r="DF85" i="17"/>
  <c r="DK85" i="17"/>
  <c r="DL85" i="17"/>
  <c r="DQ85" i="17"/>
  <c r="EW85" i="17" s="1"/>
  <c r="GC85" i="17" s="1"/>
  <c r="HI85" i="17" s="1"/>
  <c r="DY85" i="17"/>
  <c r="FE85" i="17" s="1"/>
  <c r="GK85" i="17" s="1"/>
  <c r="HQ85" i="17" s="1"/>
  <c r="G86" i="17"/>
  <c r="N86" i="17"/>
  <c r="R86" i="17"/>
  <c r="S86" i="17" s="1"/>
  <c r="AA86" i="17"/>
  <c r="AB86" i="17"/>
  <c r="AH86" i="17"/>
  <c r="AI86" i="17"/>
  <c r="AK86" i="17"/>
  <c r="AS86" i="17"/>
  <c r="AT86" i="17"/>
  <c r="AY86" i="17"/>
  <c r="AZ86" i="17"/>
  <c r="BA86" i="17"/>
  <c r="BQ86" i="17" s="1"/>
  <c r="BB86" i="17"/>
  <c r="CH86" i="17" s="1"/>
  <c r="DN86" i="17" s="1"/>
  <c r="ET86" i="17" s="1"/>
  <c r="FZ86" i="17" s="1"/>
  <c r="HF86" i="17" s="1"/>
  <c r="BC86" i="17"/>
  <c r="CI86" i="17" s="1"/>
  <c r="DO86" i="17" s="1"/>
  <c r="EU86" i="17" s="1"/>
  <c r="GA86" i="17" s="1"/>
  <c r="HG86" i="17" s="1"/>
  <c r="BD86" i="17"/>
  <c r="CJ86" i="17" s="1"/>
  <c r="DP86" i="17" s="1"/>
  <c r="BE86" i="17"/>
  <c r="CK86" i="17" s="1"/>
  <c r="DQ86" i="17" s="1"/>
  <c r="EW86" i="17" s="1"/>
  <c r="GC86" i="17" s="1"/>
  <c r="HI86" i="17" s="1"/>
  <c r="BF86" i="17"/>
  <c r="CL86" i="17" s="1"/>
  <c r="DR86" i="17" s="1"/>
  <c r="EX86" i="17" s="1"/>
  <c r="GD86" i="17" s="1"/>
  <c r="HJ86" i="17" s="1"/>
  <c r="BJ86" i="17"/>
  <c r="CP86" i="17" s="1"/>
  <c r="DV86" i="17" s="1"/>
  <c r="FB86" i="17" s="1"/>
  <c r="GH86" i="17" s="1"/>
  <c r="HN86" i="17" s="1"/>
  <c r="BK86" i="17"/>
  <c r="CQ86" i="17" s="1"/>
  <c r="DW86" i="17" s="1"/>
  <c r="FC86" i="17" s="1"/>
  <c r="GI86" i="17" s="1"/>
  <c r="HO86" i="17" s="1"/>
  <c r="BL86" i="17"/>
  <c r="CR86" i="17" s="1"/>
  <c r="DX86" i="17" s="1"/>
  <c r="FD86" i="17" s="1"/>
  <c r="GJ86" i="17" s="1"/>
  <c r="HP86" i="17" s="1"/>
  <c r="BM86" i="17"/>
  <c r="CS86" i="17" s="1"/>
  <c r="DY86" i="17" s="1"/>
  <c r="FE86" i="17" s="1"/>
  <c r="GK86" i="17" s="1"/>
  <c r="HQ86" i="17" s="1"/>
  <c r="BY86" i="17"/>
  <c r="BZ86" i="17"/>
  <c r="CE86" i="17"/>
  <c r="CF86" i="17"/>
  <c r="DE86" i="17"/>
  <c r="DF86" i="17"/>
  <c r="DK86" i="17"/>
  <c r="DL86" i="17"/>
  <c r="G87" i="17"/>
  <c r="H87" i="17"/>
  <c r="I87" i="17"/>
  <c r="Q87" i="17"/>
  <c r="AA87" i="17"/>
  <c r="AB87" i="17"/>
  <c r="AH87" i="17"/>
  <c r="AI87" i="17"/>
  <c r="AK87" i="17"/>
  <c r="AS87" i="17"/>
  <c r="AT87" i="17"/>
  <c r="AY87" i="17"/>
  <c r="AZ87" i="17"/>
  <c r="BA87" i="17"/>
  <c r="BQ87" i="17" s="1"/>
  <c r="BB87" i="17"/>
  <c r="CH87" i="17" s="1"/>
  <c r="BC87" i="17"/>
  <c r="CI87" i="17" s="1"/>
  <c r="DO87" i="17" s="1"/>
  <c r="EU87" i="17" s="1"/>
  <c r="GA87" i="17" s="1"/>
  <c r="HG87" i="17" s="1"/>
  <c r="BD87" i="17"/>
  <c r="CJ87" i="17" s="1"/>
  <c r="DP87" i="17" s="1"/>
  <c r="EV87" i="17" s="1"/>
  <c r="GB87" i="17" s="1"/>
  <c r="HH87" i="17" s="1"/>
  <c r="BE87" i="17"/>
  <c r="CK87" i="17" s="1"/>
  <c r="DQ87" i="17" s="1"/>
  <c r="EW87" i="17" s="1"/>
  <c r="GC87" i="17" s="1"/>
  <c r="HI87" i="17" s="1"/>
  <c r="BF87" i="17"/>
  <c r="CL87" i="17" s="1"/>
  <c r="DR87" i="17" s="1"/>
  <c r="EX87" i="17" s="1"/>
  <c r="GD87" i="17" s="1"/>
  <c r="HJ87" i="17" s="1"/>
  <c r="BJ87" i="17"/>
  <c r="CP87" i="17" s="1"/>
  <c r="DV87" i="17" s="1"/>
  <c r="FB87" i="17" s="1"/>
  <c r="GH87" i="17" s="1"/>
  <c r="HN87" i="17" s="1"/>
  <c r="BK87" i="17"/>
  <c r="CQ87" i="17" s="1"/>
  <c r="DW87" i="17" s="1"/>
  <c r="FC87" i="17" s="1"/>
  <c r="GI87" i="17" s="1"/>
  <c r="HO87" i="17" s="1"/>
  <c r="BL87" i="17"/>
  <c r="CR87" i="17" s="1"/>
  <c r="DX87" i="17" s="1"/>
  <c r="FD87" i="17" s="1"/>
  <c r="GJ87" i="17" s="1"/>
  <c r="HP87" i="17" s="1"/>
  <c r="BM87" i="17"/>
  <c r="CS87" i="17" s="1"/>
  <c r="DY87" i="17" s="1"/>
  <c r="FE87" i="17" s="1"/>
  <c r="GK87" i="17" s="1"/>
  <c r="HQ87" i="17" s="1"/>
  <c r="BY87" i="17"/>
  <c r="BZ87" i="17"/>
  <c r="CE87" i="17"/>
  <c r="CF87" i="17"/>
  <c r="DE87" i="17"/>
  <c r="DF87" i="17"/>
  <c r="DK87" i="17"/>
  <c r="DL87" i="17"/>
  <c r="DN87" i="17"/>
  <c r="ET87" i="17" s="1"/>
  <c r="FZ87" i="17" s="1"/>
  <c r="HF87" i="17" s="1"/>
  <c r="G88" i="17"/>
  <c r="H88" i="17"/>
  <c r="I88" i="17"/>
  <c r="M88" i="17"/>
  <c r="Q88" i="17"/>
  <c r="T88" i="17"/>
  <c r="AK88" i="17" s="1"/>
  <c r="AA88" i="17"/>
  <c r="AB88" i="17"/>
  <c r="AH88" i="17"/>
  <c r="AI88" i="17"/>
  <c r="AS88" i="17"/>
  <c r="AT88" i="17"/>
  <c r="AY88" i="17"/>
  <c r="AZ88" i="17"/>
  <c r="BA88" i="17"/>
  <c r="CG88" i="17" s="1"/>
  <c r="DM88" i="17" s="1"/>
  <c r="BB88" i="17"/>
  <c r="CH88" i="17" s="1"/>
  <c r="DN88" i="17" s="1"/>
  <c r="ET88" i="17" s="1"/>
  <c r="FZ88" i="17" s="1"/>
  <c r="HF88" i="17" s="1"/>
  <c r="BC88" i="17"/>
  <c r="BD88" i="17"/>
  <c r="CJ88" i="17" s="1"/>
  <c r="DP88" i="17" s="1"/>
  <c r="EV88" i="17" s="1"/>
  <c r="GB88" i="17" s="1"/>
  <c r="HH88" i="17" s="1"/>
  <c r="BE88" i="17"/>
  <c r="CK88" i="17" s="1"/>
  <c r="DQ88" i="17" s="1"/>
  <c r="EW88" i="17" s="1"/>
  <c r="GC88" i="17" s="1"/>
  <c r="HI88" i="17" s="1"/>
  <c r="BF88" i="17"/>
  <c r="CL88" i="17" s="1"/>
  <c r="DR88" i="17" s="1"/>
  <c r="EX88" i="17" s="1"/>
  <c r="GD88" i="17" s="1"/>
  <c r="HJ88" i="17" s="1"/>
  <c r="BJ88" i="17"/>
  <c r="CP88" i="17" s="1"/>
  <c r="DV88" i="17" s="1"/>
  <c r="FB88" i="17" s="1"/>
  <c r="GH88" i="17" s="1"/>
  <c r="HN88" i="17" s="1"/>
  <c r="BK88" i="17"/>
  <c r="CQ88" i="17" s="1"/>
  <c r="DW88" i="17" s="1"/>
  <c r="FC88" i="17" s="1"/>
  <c r="GI88" i="17" s="1"/>
  <c r="HO88" i="17" s="1"/>
  <c r="BL88" i="17"/>
  <c r="CR88" i="17" s="1"/>
  <c r="DX88" i="17" s="1"/>
  <c r="FD88" i="17" s="1"/>
  <c r="GJ88" i="17" s="1"/>
  <c r="HP88" i="17" s="1"/>
  <c r="BM88" i="17"/>
  <c r="CS88" i="17" s="1"/>
  <c r="DY88" i="17" s="1"/>
  <c r="FE88" i="17" s="1"/>
  <c r="GK88" i="17" s="1"/>
  <c r="HQ88" i="17" s="1"/>
  <c r="BY88" i="17"/>
  <c r="BZ88" i="17"/>
  <c r="CE88" i="17"/>
  <c r="CF88" i="17"/>
  <c r="CI88" i="17"/>
  <c r="DO88" i="17" s="1"/>
  <c r="EU88" i="17" s="1"/>
  <c r="GA88" i="17" s="1"/>
  <c r="HG88" i="17" s="1"/>
  <c r="DE88" i="17"/>
  <c r="DF88" i="17"/>
  <c r="DK88" i="17"/>
  <c r="DL88" i="17"/>
  <c r="G89" i="17"/>
  <c r="H89" i="17"/>
  <c r="I89" i="17"/>
  <c r="M89" i="17"/>
  <c r="Q89" i="17"/>
  <c r="AA89" i="17"/>
  <c r="AB89" i="17"/>
  <c r="AH89" i="17"/>
  <c r="AI89" i="17"/>
  <c r="AK89" i="17"/>
  <c r="AS89" i="17"/>
  <c r="AT89" i="17"/>
  <c r="AY89" i="17"/>
  <c r="AZ89" i="17"/>
  <c r="BA89" i="17"/>
  <c r="BQ89" i="17" s="1"/>
  <c r="BB89" i="17"/>
  <c r="CH89" i="17" s="1"/>
  <c r="DN89" i="17" s="1"/>
  <c r="ET89" i="17" s="1"/>
  <c r="FZ89" i="17" s="1"/>
  <c r="HF89" i="17" s="1"/>
  <c r="BC89" i="17"/>
  <c r="CI89" i="17" s="1"/>
  <c r="DO89" i="17" s="1"/>
  <c r="EU89" i="17" s="1"/>
  <c r="GA89" i="17" s="1"/>
  <c r="HG89" i="17" s="1"/>
  <c r="BD89" i="17"/>
  <c r="CJ89" i="17" s="1"/>
  <c r="DP89" i="17" s="1"/>
  <c r="EV89" i="17" s="1"/>
  <c r="GB89" i="17" s="1"/>
  <c r="HH89" i="17" s="1"/>
  <c r="BE89" i="17"/>
  <c r="CK89" i="17" s="1"/>
  <c r="DQ89" i="17" s="1"/>
  <c r="EW89" i="17" s="1"/>
  <c r="GC89" i="17" s="1"/>
  <c r="HI89" i="17" s="1"/>
  <c r="BF89" i="17"/>
  <c r="CL89" i="17" s="1"/>
  <c r="DR89" i="17" s="1"/>
  <c r="EX89" i="17" s="1"/>
  <c r="GD89" i="17" s="1"/>
  <c r="HJ89" i="17" s="1"/>
  <c r="BJ89" i="17"/>
  <c r="CP89" i="17" s="1"/>
  <c r="BK89" i="17"/>
  <c r="CQ89" i="17" s="1"/>
  <c r="DW89" i="17" s="1"/>
  <c r="FC89" i="17" s="1"/>
  <c r="GI89" i="17" s="1"/>
  <c r="HO89" i="17" s="1"/>
  <c r="BL89" i="17"/>
  <c r="CR89" i="17" s="1"/>
  <c r="DX89" i="17" s="1"/>
  <c r="FD89" i="17" s="1"/>
  <c r="GJ89" i="17" s="1"/>
  <c r="HP89" i="17" s="1"/>
  <c r="BM89" i="17"/>
  <c r="CS89" i="17" s="1"/>
  <c r="DY89" i="17" s="1"/>
  <c r="FE89" i="17" s="1"/>
  <c r="GK89" i="17" s="1"/>
  <c r="HQ89" i="17" s="1"/>
  <c r="BY89" i="17"/>
  <c r="BZ89" i="17"/>
  <c r="CE89" i="17"/>
  <c r="CF89" i="17"/>
  <c r="DE89" i="17"/>
  <c r="DF89" i="17"/>
  <c r="DK89" i="17"/>
  <c r="DL89" i="17"/>
  <c r="DV89" i="17"/>
  <c r="FB89" i="17" s="1"/>
  <c r="GH89" i="17" s="1"/>
  <c r="HN89" i="17" s="1"/>
  <c r="G90" i="17"/>
  <c r="H90" i="17"/>
  <c r="I90" i="17"/>
  <c r="M90" i="17"/>
  <c r="T90" i="17"/>
  <c r="AK90" i="17" s="1"/>
  <c r="AA90" i="17"/>
  <c r="AB90" i="17"/>
  <c r="AH90" i="17"/>
  <c r="AI90" i="17"/>
  <c r="AS90" i="17"/>
  <c r="AT90" i="17"/>
  <c r="AY90" i="17"/>
  <c r="AZ90" i="17"/>
  <c r="BA90" i="17"/>
  <c r="BB90" i="17"/>
  <c r="CH90" i="17" s="1"/>
  <c r="DN90" i="17" s="1"/>
  <c r="ET90" i="17" s="1"/>
  <c r="FZ90" i="17" s="1"/>
  <c r="HF90" i="17" s="1"/>
  <c r="BC90" i="17"/>
  <c r="CI90" i="17" s="1"/>
  <c r="DO90" i="17" s="1"/>
  <c r="EU90" i="17" s="1"/>
  <c r="GA90" i="17" s="1"/>
  <c r="HG90" i="17" s="1"/>
  <c r="BD90" i="17"/>
  <c r="CJ90" i="17" s="1"/>
  <c r="DP90" i="17" s="1"/>
  <c r="EV90" i="17" s="1"/>
  <c r="GB90" i="17" s="1"/>
  <c r="HH90" i="17" s="1"/>
  <c r="BE90" i="17"/>
  <c r="CK90" i="17" s="1"/>
  <c r="DQ90" i="17" s="1"/>
  <c r="EW90" i="17" s="1"/>
  <c r="GC90" i="17" s="1"/>
  <c r="HI90" i="17" s="1"/>
  <c r="BF90" i="17"/>
  <c r="CL90" i="17" s="1"/>
  <c r="DR90" i="17" s="1"/>
  <c r="EX90" i="17" s="1"/>
  <c r="GD90" i="17" s="1"/>
  <c r="HJ90" i="17" s="1"/>
  <c r="BJ90" i="17"/>
  <c r="CP90" i="17" s="1"/>
  <c r="DV90" i="17" s="1"/>
  <c r="FB90" i="17" s="1"/>
  <c r="GH90" i="17" s="1"/>
  <c r="HN90" i="17" s="1"/>
  <c r="BK90" i="17"/>
  <c r="CQ90" i="17" s="1"/>
  <c r="DW90" i="17" s="1"/>
  <c r="FC90" i="17" s="1"/>
  <c r="GI90" i="17" s="1"/>
  <c r="HO90" i="17" s="1"/>
  <c r="BL90" i="17"/>
  <c r="CR90" i="17" s="1"/>
  <c r="DX90" i="17" s="1"/>
  <c r="FD90" i="17" s="1"/>
  <c r="GJ90" i="17" s="1"/>
  <c r="HP90" i="17" s="1"/>
  <c r="BM90" i="17"/>
  <c r="CS90" i="17" s="1"/>
  <c r="DY90" i="17" s="1"/>
  <c r="FE90" i="17" s="1"/>
  <c r="GK90" i="17" s="1"/>
  <c r="HQ90" i="17" s="1"/>
  <c r="BY90" i="17"/>
  <c r="BZ90" i="17"/>
  <c r="CE90" i="17"/>
  <c r="CF90" i="17"/>
  <c r="DE90" i="17"/>
  <c r="DF90" i="17"/>
  <c r="DK90" i="17"/>
  <c r="DL90" i="17"/>
  <c r="G91" i="17"/>
  <c r="H91" i="17"/>
  <c r="I91" i="17"/>
  <c r="M91" i="17"/>
  <c r="Q91" i="17"/>
  <c r="AA91" i="17"/>
  <c r="AB91" i="17"/>
  <c r="AH91" i="17"/>
  <c r="AI91" i="17"/>
  <c r="AK91" i="17"/>
  <c r="AS91" i="17"/>
  <c r="AT91" i="17"/>
  <c r="AY91" i="17"/>
  <c r="AZ91" i="17"/>
  <c r="BA91" i="17"/>
  <c r="CG91" i="17" s="1"/>
  <c r="CW91" i="17" s="1"/>
  <c r="BB91" i="17"/>
  <c r="CH91" i="17" s="1"/>
  <c r="DN91" i="17" s="1"/>
  <c r="ET91" i="17" s="1"/>
  <c r="FZ91" i="17" s="1"/>
  <c r="HF91" i="17" s="1"/>
  <c r="BC91" i="17"/>
  <c r="CI91" i="17" s="1"/>
  <c r="DO91" i="17" s="1"/>
  <c r="EU91" i="17" s="1"/>
  <c r="GA91" i="17" s="1"/>
  <c r="HG91" i="17" s="1"/>
  <c r="BD91" i="17"/>
  <c r="CJ91" i="17" s="1"/>
  <c r="DP91" i="17" s="1"/>
  <c r="EV91" i="17" s="1"/>
  <c r="GB91" i="17" s="1"/>
  <c r="HH91" i="17" s="1"/>
  <c r="BE91" i="17"/>
  <c r="CK91" i="17" s="1"/>
  <c r="DQ91" i="17" s="1"/>
  <c r="EW91" i="17" s="1"/>
  <c r="GC91" i="17" s="1"/>
  <c r="HI91" i="17" s="1"/>
  <c r="BF91" i="17"/>
  <c r="CL91" i="17" s="1"/>
  <c r="DR91" i="17" s="1"/>
  <c r="EX91" i="17" s="1"/>
  <c r="GD91" i="17" s="1"/>
  <c r="HJ91" i="17" s="1"/>
  <c r="BJ91" i="17"/>
  <c r="CP91" i="17" s="1"/>
  <c r="DV91" i="17" s="1"/>
  <c r="FB91" i="17" s="1"/>
  <c r="GH91" i="17" s="1"/>
  <c r="HN91" i="17" s="1"/>
  <c r="BK91" i="17"/>
  <c r="CQ91" i="17" s="1"/>
  <c r="DW91" i="17" s="1"/>
  <c r="FC91" i="17" s="1"/>
  <c r="GI91" i="17" s="1"/>
  <c r="HO91" i="17" s="1"/>
  <c r="BL91" i="17"/>
  <c r="CR91" i="17" s="1"/>
  <c r="DX91" i="17" s="1"/>
  <c r="FD91" i="17" s="1"/>
  <c r="GJ91" i="17" s="1"/>
  <c r="HP91" i="17" s="1"/>
  <c r="BM91" i="17"/>
  <c r="CS91" i="17" s="1"/>
  <c r="DY91" i="17" s="1"/>
  <c r="FE91" i="17" s="1"/>
  <c r="GK91" i="17" s="1"/>
  <c r="HQ91" i="17" s="1"/>
  <c r="BY91" i="17"/>
  <c r="BZ91" i="17"/>
  <c r="CE91" i="17"/>
  <c r="CF91" i="17"/>
  <c r="DE91" i="17"/>
  <c r="DF91" i="17"/>
  <c r="DK91" i="17"/>
  <c r="DL91" i="17"/>
  <c r="G92" i="17"/>
  <c r="H92" i="17"/>
  <c r="I92" i="17"/>
  <c r="T92" i="17"/>
  <c r="AK92" i="17" s="1"/>
  <c r="AA92" i="17"/>
  <c r="AB92" i="17"/>
  <c r="AH92" i="17"/>
  <c r="AI92" i="17"/>
  <c r="AS92" i="17"/>
  <c r="AT92" i="17"/>
  <c r="AY92" i="17"/>
  <c r="BN92" i="17" s="1"/>
  <c r="AZ92" i="17"/>
  <c r="BA92" i="17"/>
  <c r="CG92" i="17" s="1"/>
  <c r="BB92" i="17"/>
  <c r="CH92" i="17" s="1"/>
  <c r="DN92" i="17" s="1"/>
  <c r="ET92" i="17" s="1"/>
  <c r="FZ92" i="17" s="1"/>
  <c r="HF92" i="17" s="1"/>
  <c r="BC92" i="17"/>
  <c r="CI92" i="17" s="1"/>
  <c r="DO92" i="17" s="1"/>
  <c r="EU92" i="17" s="1"/>
  <c r="GA92" i="17" s="1"/>
  <c r="HG92" i="17" s="1"/>
  <c r="BD92" i="17"/>
  <c r="CJ92" i="17" s="1"/>
  <c r="DP92" i="17" s="1"/>
  <c r="EV92" i="17" s="1"/>
  <c r="GB92" i="17" s="1"/>
  <c r="HH92" i="17" s="1"/>
  <c r="BE92" i="17"/>
  <c r="CK92" i="17" s="1"/>
  <c r="DQ92" i="17" s="1"/>
  <c r="EW92" i="17" s="1"/>
  <c r="GC92" i="17" s="1"/>
  <c r="HI92" i="17" s="1"/>
  <c r="BF92" i="17"/>
  <c r="CL92" i="17" s="1"/>
  <c r="DR92" i="17" s="1"/>
  <c r="EX92" i="17" s="1"/>
  <c r="GD92" i="17" s="1"/>
  <c r="HJ92" i="17" s="1"/>
  <c r="BJ92" i="17"/>
  <c r="CP92" i="17" s="1"/>
  <c r="DV92" i="17" s="1"/>
  <c r="FB92" i="17" s="1"/>
  <c r="GH92" i="17" s="1"/>
  <c r="HN92" i="17" s="1"/>
  <c r="BK92" i="17"/>
  <c r="CQ92" i="17" s="1"/>
  <c r="DW92" i="17" s="1"/>
  <c r="FC92" i="17" s="1"/>
  <c r="GI92" i="17" s="1"/>
  <c r="HO92" i="17" s="1"/>
  <c r="BL92" i="17"/>
  <c r="CR92" i="17" s="1"/>
  <c r="DX92" i="17" s="1"/>
  <c r="FD92" i="17" s="1"/>
  <c r="GJ92" i="17" s="1"/>
  <c r="HP92" i="17" s="1"/>
  <c r="BM92" i="17"/>
  <c r="CS92" i="17" s="1"/>
  <c r="DY92" i="17" s="1"/>
  <c r="FE92" i="17" s="1"/>
  <c r="GK92" i="17" s="1"/>
  <c r="HQ92" i="17" s="1"/>
  <c r="BY92" i="17"/>
  <c r="BZ92" i="17"/>
  <c r="CE92" i="17"/>
  <c r="CF92" i="17"/>
  <c r="DE92" i="17"/>
  <c r="DF92" i="17"/>
  <c r="DK92" i="17"/>
  <c r="DL92" i="17"/>
  <c r="G93" i="17"/>
  <c r="H93" i="17"/>
  <c r="I93" i="17"/>
  <c r="M93" i="17"/>
  <c r="Q93" i="17"/>
  <c r="T93" i="17"/>
  <c r="AK93" i="17" s="1"/>
  <c r="AA93" i="17"/>
  <c r="AB93" i="17"/>
  <c r="AH93" i="17"/>
  <c r="AI93" i="17"/>
  <c r="AS93" i="17"/>
  <c r="AT93" i="17"/>
  <c r="AY93" i="17"/>
  <c r="AZ93" i="17"/>
  <c r="BA93" i="17"/>
  <c r="CG93" i="17" s="1"/>
  <c r="DM93" i="17" s="1"/>
  <c r="ES93" i="17" s="1"/>
  <c r="FY93" i="17" s="1"/>
  <c r="HE93" i="17" s="1"/>
  <c r="BB93" i="17"/>
  <c r="CH93" i="17" s="1"/>
  <c r="DN93" i="17" s="1"/>
  <c r="ET93" i="17" s="1"/>
  <c r="FZ93" i="17" s="1"/>
  <c r="HF93" i="17" s="1"/>
  <c r="BC93" i="17"/>
  <c r="CI93" i="17" s="1"/>
  <c r="DO93" i="17" s="1"/>
  <c r="EU93" i="17" s="1"/>
  <c r="GA93" i="17" s="1"/>
  <c r="HG93" i="17" s="1"/>
  <c r="BD93" i="17"/>
  <c r="CJ93" i="17" s="1"/>
  <c r="DP93" i="17" s="1"/>
  <c r="EV93" i="17" s="1"/>
  <c r="GB93" i="17" s="1"/>
  <c r="HH93" i="17" s="1"/>
  <c r="BE93" i="17"/>
  <c r="CK93" i="17" s="1"/>
  <c r="DQ93" i="17" s="1"/>
  <c r="EW93" i="17" s="1"/>
  <c r="GC93" i="17" s="1"/>
  <c r="HI93" i="17" s="1"/>
  <c r="BF93" i="17"/>
  <c r="CL93" i="17" s="1"/>
  <c r="DR93" i="17" s="1"/>
  <c r="EX93" i="17" s="1"/>
  <c r="GD93" i="17" s="1"/>
  <c r="HJ93" i="17" s="1"/>
  <c r="BJ93" i="17"/>
  <c r="CP93" i="17" s="1"/>
  <c r="DV93" i="17" s="1"/>
  <c r="FB93" i="17" s="1"/>
  <c r="GH93" i="17" s="1"/>
  <c r="HN93" i="17" s="1"/>
  <c r="BK93" i="17"/>
  <c r="CQ93" i="17" s="1"/>
  <c r="DW93" i="17" s="1"/>
  <c r="FC93" i="17" s="1"/>
  <c r="GI93" i="17" s="1"/>
  <c r="HO93" i="17" s="1"/>
  <c r="BL93" i="17"/>
  <c r="CR93" i="17" s="1"/>
  <c r="DX93" i="17" s="1"/>
  <c r="FD93" i="17" s="1"/>
  <c r="GJ93" i="17" s="1"/>
  <c r="HP93" i="17" s="1"/>
  <c r="BM93" i="17"/>
  <c r="CS93" i="17" s="1"/>
  <c r="DY93" i="17" s="1"/>
  <c r="FE93" i="17" s="1"/>
  <c r="GK93" i="17" s="1"/>
  <c r="HQ93" i="17" s="1"/>
  <c r="BY93" i="17"/>
  <c r="BZ93" i="17"/>
  <c r="CE93" i="17"/>
  <c r="CF93" i="17"/>
  <c r="DE93" i="17"/>
  <c r="DF93" i="17"/>
  <c r="DK93" i="17"/>
  <c r="DL93" i="17"/>
  <c r="G94" i="17"/>
  <c r="J94" i="17"/>
  <c r="N94" i="17"/>
  <c r="R94" i="17"/>
  <c r="S94" i="17" s="1"/>
  <c r="AA94" i="17"/>
  <c r="AB94" i="17"/>
  <c r="AH94" i="17"/>
  <c r="AI94" i="17"/>
  <c r="AK94" i="17"/>
  <c r="AS94" i="17"/>
  <c r="AT94" i="17"/>
  <c r="AY94" i="17"/>
  <c r="AZ94" i="17"/>
  <c r="BA94" i="17"/>
  <c r="CG94" i="17" s="1"/>
  <c r="CW94" i="17" s="1"/>
  <c r="BB94" i="17"/>
  <c r="CH94" i="17" s="1"/>
  <c r="DN94" i="17" s="1"/>
  <c r="ET94" i="17" s="1"/>
  <c r="FZ94" i="17" s="1"/>
  <c r="HF94" i="17" s="1"/>
  <c r="BC94" i="17"/>
  <c r="CI94" i="17" s="1"/>
  <c r="DO94" i="17" s="1"/>
  <c r="EU94" i="17" s="1"/>
  <c r="GA94" i="17" s="1"/>
  <c r="HG94" i="17" s="1"/>
  <c r="BD94" i="17"/>
  <c r="CJ94" i="17" s="1"/>
  <c r="DP94" i="17" s="1"/>
  <c r="EV94" i="17" s="1"/>
  <c r="GB94" i="17" s="1"/>
  <c r="HH94" i="17" s="1"/>
  <c r="BE94" i="17"/>
  <c r="CK94" i="17" s="1"/>
  <c r="DQ94" i="17" s="1"/>
  <c r="EW94" i="17" s="1"/>
  <c r="GC94" i="17" s="1"/>
  <c r="HI94" i="17" s="1"/>
  <c r="BF94" i="17"/>
  <c r="CL94" i="17" s="1"/>
  <c r="DR94" i="17" s="1"/>
  <c r="EX94" i="17" s="1"/>
  <c r="GD94" i="17" s="1"/>
  <c r="HJ94" i="17" s="1"/>
  <c r="BJ94" i="17"/>
  <c r="CP94" i="17" s="1"/>
  <c r="DV94" i="17" s="1"/>
  <c r="FB94" i="17" s="1"/>
  <c r="GH94" i="17" s="1"/>
  <c r="HN94" i="17" s="1"/>
  <c r="BK94" i="17"/>
  <c r="CQ94" i="17" s="1"/>
  <c r="DW94" i="17" s="1"/>
  <c r="FC94" i="17" s="1"/>
  <c r="GI94" i="17" s="1"/>
  <c r="HO94" i="17" s="1"/>
  <c r="BL94" i="17"/>
  <c r="CR94" i="17" s="1"/>
  <c r="DX94" i="17" s="1"/>
  <c r="FD94" i="17" s="1"/>
  <c r="GJ94" i="17" s="1"/>
  <c r="HP94" i="17" s="1"/>
  <c r="BM94" i="17"/>
  <c r="CS94" i="17" s="1"/>
  <c r="DY94" i="17" s="1"/>
  <c r="FE94" i="17" s="1"/>
  <c r="GK94" i="17" s="1"/>
  <c r="HQ94" i="17" s="1"/>
  <c r="BY94" i="17"/>
  <c r="BZ94" i="17"/>
  <c r="CE94" i="17"/>
  <c r="CF94" i="17"/>
  <c r="DE94" i="17"/>
  <c r="DF94" i="17"/>
  <c r="DK94" i="17"/>
  <c r="DL94" i="17"/>
  <c r="E95" i="17"/>
  <c r="F95" i="17"/>
  <c r="H95" i="17"/>
  <c r="I95" i="17"/>
  <c r="Q95" i="17"/>
  <c r="X95" i="17"/>
  <c r="BD95" i="17" s="1"/>
  <c r="CJ95" i="17" s="1"/>
  <c r="AA95" i="17"/>
  <c r="AB95" i="17"/>
  <c r="AH95" i="17"/>
  <c r="AI95" i="17"/>
  <c r="AK95" i="17"/>
  <c r="AS95" i="17"/>
  <c r="AT95" i="17"/>
  <c r="AY95" i="17"/>
  <c r="AZ95" i="17"/>
  <c r="BA95" i="17"/>
  <c r="BQ95" i="17" s="1"/>
  <c r="BB95" i="17"/>
  <c r="CH95" i="17" s="1"/>
  <c r="BC95" i="17"/>
  <c r="CI95" i="17" s="1"/>
  <c r="DO95" i="17" s="1"/>
  <c r="EU95" i="17" s="1"/>
  <c r="GA95" i="17" s="1"/>
  <c r="HG95" i="17" s="1"/>
  <c r="BE95" i="17"/>
  <c r="CK95" i="17" s="1"/>
  <c r="DQ95" i="17" s="1"/>
  <c r="EW95" i="17" s="1"/>
  <c r="GC95" i="17" s="1"/>
  <c r="HI95" i="17" s="1"/>
  <c r="BF95" i="17"/>
  <c r="CL95" i="17" s="1"/>
  <c r="BJ95" i="17"/>
  <c r="CP95" i="17" s="1"/>
  <c r="DV95" i="17" s="1"/>
  <c r="FB95" i="17" s="1"/>
  <c r="GH95" i="17" s="1"/>
  <c r="HN95" i="17" s="1"/>
  <c r="BK95" i="17"/>
  <c r="CQ95" i="17" s="1"/>
  <c r="BL95" i="17"/>
  <c r="CR95" i="17" s="1"/>
  <c r="DX95" i="17" s="1"/>
  <c r="FD95" i="17" s="1"/>
  <c r="GJ95" i="17" s="1"/>
  <c r="HP95" i="17" s="1"/>
  <c r="BM95" i="17"/>
  <c r="CS95" i="17" s="1"/>
  <c r="BY95" i="17"/>
  <c r="BZ95" i="17"/>
  <c r="CE95" i="17"/>
  <c r="CF95" i="17"/>
  <c r="DE95" i="17"/>
  <c r="DF95" i="17"/>
  <c r="DK95" i="17"/>
  <c r="DL95" i="17"/>
  <c r="G96" i="17"/>
  <c r="H96" i="17"/>
  <c r="I96" i="17"/>
  <c r="T96" i="17"/>
  <c r="AK96" i="17" s="1"/>
  <c r="AA96" i="17"/>
  <c r="AB96" i="17"/>
  <c r="AH96" i="17"/>
  <c r="AI96" i="17"/>
  <c r="AS96" i="17"/>
  <c r="AT96" i="17"/>
  <c r="AY96" i="17"/>
  <c r="AZ96" i="17"/>
  <c r="BA96" i="17"/>
  <c r="CG96" i="17" s="1"/>
  <c r="BB96" i="17"/>
  <c r="CH96" i="17" s="1"/>
  <c r="DN96" i="17" s="1"/>
  <c r="ET96" i="17" s="1"/>
  <c r="FZ96" i="17" s="1"/>
  <c r="HF96" i="17" s="1"/>
  <c r="BC96" i="17"/>
  <c r="CI96" i="17" s="1"/>
  <c r="DO96" i="17" s="1"/>
  <c r="EU96" i="17" s="1"/>
  <c r="GA96" i="17" s="1"/>
  <c r="HG96" i="17" s="1"/>
  <c r="BD96" i="17"/>
  <c r="CJ96" i="17" s="1"/>
  <c r="DP96" i="17" s="1"/>
  <c r="EV96" i="17" s="1"/>
  <c r="GB96" i="17" s="1"/>
  <c r="HH96" i="17" s="1"/>
  <c r="BE96" i="17"/>
  <c r="CK96" i="17" s="1"/>
  <c r="DQ96" i="17" s="1"/>
  <c r="EW96" i="17" s="1"/>
  <c r="GC96" i="17" s="1"/>
  <c r="HI96" i="17" s="1"/>
  <c r="BF96" i="17"/>
  <c r="CL96" i="17" s="1"/>
  <c r="DR96" i="17" s="1"/>
  <c r="EX96" i="17" s="1"/>
  <c r="GD96" i="17" s="1"/>
  <c r="HJ96" i="17" s="1"/>
  <c r="BJ96" i="17"/>
  <c r="CP96" i="17" s="1"/>
  <c r="DV96" i="17" s="1"/>
  <c r="FB96" i="17" s="1"/>
  <c r="GH96" i="17" s="1"/>
  <c r="HN96" i="17" s="1"/>
  <c r="BK96" i="17"/>
  <c r="CQ96" i="17" s="1"/>
  <c r="DW96" i="17" s="1"/>
  <c r="FC96" i="17" s="1"/>
  <c r="GI96" i="17" s="1"/>
  <c r="HO96" i="17" s="1"/>
  <c r="BL96" i="17"/>
  <c r="CR96" i="17" s="1"/>
  <c r="DX96" i="17" s="1"/>
  <c r="FD96" i="17" s="1"/>
  <c r="GJ96" i="17" s="1"/>
  <c r="HP96" i="17" s="1"/>
  <c r="BM96" i="17"/>
  <c r="CS96" i="17" s="1"/>
  <c r="DY96" i="17" s="1"/>
  <c r="FE96" i="17" s="1"/>
  <c r="GK96" i="17" s="1"/>
  <c r="HQ96" i="17" s="1"/>
  <c r="BY96" i="17"/>
  <c r="BZ96" i="17"/>
  <c r="CE96" i="17"/>
  <c r="CF96" i="17"/>
  <c r="DE96" i="17"/>
  <c r="DF96" i="17"/>
  <c r="DK96" i="17"/>
  <c r="DL96" i="17"/>
  <c r="G97" i="17"/>
  <c r="H97" i="17"/>
  <c r="I97" i="17"/>
  <c r="Q97" i="17"/>
  <c r="T97" i="17"/>
  <c r="AK97" i="17" s="1"/>
  <c r="AA97" i="17"/>
  <c r="AB97" i="17"/>
  <c r="AH97" i="17"/>
  <c r="AI97" i="17"/>
  <c r="AS97" i="17"/>
  <c r="AT97" i="17"/>
  <c r="AY97" i="17"/>
  <c r="AZ97" i="17"/>
  <c r="BA97" i="17"/>
  <c r="CG97" i="17" s="1"/>
  <c r="BB97" i="17"/>
  <c r="CH97" i="17" s="1"/>
  <c r="DN97" i="17" s="1"/>
  <c r="ET97" i="17" s="1"/>
  <c r="FZ97" i="17" s="1"/>
  <c r="HF97" i="17" s="1"/>
  <c r="BC97" i="17"/>
  <c r="CI97" i="17" s="1"/>
  <c r="DO97" i="17" s="1"/>
  <c r="EU97" i="17" s="1"/>
  <c r="GA97" i="17" s="1"/>
  <c r="HG97" i="17" s="1"/>
  <c r="BD97" i="17"/>
  <c r="CJ97" i="17" s="1"/>
  <c r="DP97" i="17" s="1"/>
  <c r="EV97" i="17" s="1"/>
  <c r="GB97" i="17" s="1"/>
  <c r="HH97" i="17" s="1"/>
  <c r="BE97" i="17"/>
  <c r="CK97" i="17" s="1"/>
  <c r="DQ97" i="17" s="1"/>
  <c r="EW97" i="17" s="1"/>
  <c r="GC97" i="17" s="1"/>
  <c r="HI97" i="17" s="1"/>
  <c r="BF97" i="17"/>
  <c r="CL97" i="17" s="1"/>
  <c r="DR97" i="17" s="1"/>
  <c r="EX97" i="17" s="1"/>
  <c r="GD97" i="17" s="1"/>
  <c r="HJ97" i="17" s="1"/>
  <c r="BJ97" i="17"/>
  <c r="CP97" i="17" s="1"/>
  <c r="DV97" i="17" s="1"/>
  <c r="FB97" i="17" s="1"/>
  <c r="GH97" i="17" s="1"/>
  <c r="HN97" i="17" s="1"/>
  <c r="BK97" i="17"/>
  <c r="CQ97" i="17" s="1"/>
  <c r="DW97" i="17" s="1"/>
  <c r="FC97" i="17" s="1"/>
  <c r="GI97" i="17" s="1"/>
  <c r="HO97" i="17" s="1"/>
  <c r="BL97" i="17"/>
  <c r="CR97" i="17" s="1"/>
  <c r="DX97" i="17" s="1"/>
  <c r="FD97" i="17" s="1"/>
  <c r="GJ97" i="17" s="1"/>
  <c r="HP97" i="17" s="1"/>
  <c r="BM97" i="17"/>
  <c r="CS97" i="17" s="1"/>
  <c r="DY97" i="17" s="1"/>
  <c r="FE97" i="17" s="1"/>
  <c r="GK97" i="17" s="1"/>
  <c r="HQ97" i="17" s="1"/>
  <c r="BY97" i="17"/>
  <c r="BZ97" i="17"/>
  <c r="CE97" i="17"/>
  <c r="CF97" i="17"/>
  <c r="DE97" i="17"/>
  <c r="DF97" i="17"/>
  <c r="DK97" i="17"/>
  <c r="DL97" i="17"/>
  <c r="G98" i="17"/>
  <c r="H98" i="17"/>
  <c r="I98" i="17"/>
  <c r="N98" i="17" s="1"/>
  <c r="AA98" i="17"/>
  <c r="AB98" i="17"/>
  <c r="AH98" i="17"/>
  <c r="AI98" i="17"/>
  <c r="AK98" i="17"/>
  <c r="AS98" i="17"/>
  <c r="AT98" i="17"/>
  <c r="AY98" i="17"/>
  <c r="AZ98" i="17"/>
  <c r="BA98" i="17"/>
  <c r="BQ98" i="17" s="1"/>
  <c r="BB98" i="17"/>
  <c r="CH98" i="17" s="1"/>
  <c r="DN98" i="17" s="1"/>
  <c r="ET98" i="17" s="1"/>
  <c r="FZ98" i="17" s="1"/>
  <c r="HF98" i="17" s="1"/>
  <c r="BC98" i="17"/>
  <c r="CI98" i="17" s="1"/>
  <c r="DO98" i="17" s="1"/>
  <c r="EU98" i="17" s="1"/>
  <c r="GA98" i="17" s="1"/>
  <c r="HG98" i="17" s="1"/>
  <c r="BD98" i="17"/>
  <c r="CJ98" i="17" s="1"/>
  <c r="DP98" i="17" s="1"/>
  <c r="EV98" i="17" s="1"/>
  <c r="GB98" i="17" s="1"/>
  <c r="HH98" i="17" s="1"/>
  <c r="BE98" i="17"/>
  <c r="CK98" i="17" s="1"/>
  <c r="DQ98" i="17" s="1"/>
  <c r="EW98" i="17" s="1"/>
  <c r="GC98" i="17" s="1"/>
  <c r="HI98" i="17" s="1"/>
  <c r="BF98" i="17"/>
  <c r="CL98" i="17" s="1"/>
  <c r="DR98" i="17" s="1"/>
  <c r="EX98" i="17" s="1"/>
  <c r="GD98" i="17" s="1"/>
  <c r="HJ98" i="17" s="1"/>
  <c r="BJ98" i="17"/>
  <c r="CP98" i="17" s="1"/>
  <c r="DV98" i="17" s="1"/>
  <c r="FB98" i="17" s="1"/>
  <c r="GH98" i="17" s="1"/>
  <c r="HN98" i="17" s="1"/>
  <c r="BK98" i="17"/>
  <c r="CQ98" i="17" s="1"/>
  <c r="DW98" i="17" s="1"/>
  <c r="FC98" i="17" s="1"/>
  <c r="GI98" i="17" s="1"/>
  <c r="HO98" i="17" s="1"/>
  <c r="BL98" i="17"/>
  <c r="CR98" i="17" s="1"/>
  <c r="DX98" i="17" s="1"/>
  <c r="FD98" i="17" s="1"/>
  <c r="GJ98" i="17" s="1"/>
  <c r="HP98" i="17" s="1"/>
  <c r="BM98" i="17"/>
  <c r="CS98" i="17" s="1"/>
  <c r="DY98" i="17" s="1"/>
  <c r="FE98" i="17" s="1"/>
  <c r="GK98" i="17" s="1"/>
  <c r="HQ98" i="17" s="1"/>
  <c r="BY98" i="17"/>
  <c r="BZ98" i="17"/>
  <c r="CE98" i="17"/>
  <c r="CF98" i="17"/>
  <c r="DE98" i="17"/>
  <c r="DF98" i="17"/>
  <c r="DK98" i="17"/>
  <c r="DL98" i="17"/>
  <c r="G99" i="17"/>
  <c r="J99" i="17"/>
  <c r="N99" i="17"/>
  <c r="R99" i="17"/>
  <c r="S99" i="17" s="1"/>
  <c r="AA99" i="17"/>
  <c r="AB99" i="17"/>
  <c r="AC99" i="17" s="1"/>
  <c r="AH99" i="17"/>
  <c r="AI99" i="17"/>
  <c r="AK99" i="17"/>
  <c r="AS99" i="17"/>
  <c r="AT99" i="17"/>
  <c r="AY99" i="17"/>
  <c r="AZ99" i="17"/>
  <c r="BA99" i="17"/>
  <c r="CG99" i="17" s="1"/>
  <c r="BB99" i="17"/>
  <c r="CH99" i="17" s="1"/>
  <c r="DN99" i="17" s="1"/>
  <c r="ET99" i="17" s="1"/>
  <c r="FZ99" i="17" s="1"/>
  <c r="HF99" i="17" s="1"/>
  <c r="BC99" i="17"/>
  <c r="CI99" i="17" s="1"/>
  <c r="DO99" i="17" s="1"/>
  <c r="EU99" i="17" s="1"/>
  <c r="GA99" i="17" s="1"/>
  <c r="HG99" i="17" s="1"/>
  <c r="BD99" i="17"/>
  <c r="CJ99" i="17" s="1"/>
  <c r="DP99" i="17" s="1"/>
  <c r="EV99" i="17" s="1"/>
  <c r="GB99" i="17" s="1"/>
  <c r="HH99" i="17" s="1"/>
  <c r="BE99" i="17"/>
  <c r="CK99" i="17" s="1"/>
  <c r="DQ99" i="17" s="1"/>
  <c r="EW99" i="17" s="1"/>
  <c r="GC99" i="17" s="1"/>
  <c r="HI99" i="17" s="1"/>
  <c r="BF99" i="17"/>
  <c r="CL99" i="17" s="1"/>
  <c r="DR99" i="17" s="1"/>
  <c r="EX99" i="17" s="1"/>
  <c r="GD99" i="17" s="1"/>
  <c r="HJ99" i="17" s="1"/>
  <c r="BJ99" i="17"/>
  <c r="CP99" i="17" s="1"/>
  <c r="DV99" i="17" s="1"/>
  <c r="FB99" i="17" s="1"/>
  <c r="GH99" i="17" s="1"/>
  <c r="HN99" i="17" s="1"/>
  <c r="BK99" i="17"/>
  <c r="CQ99" i="17" s="1"/>
  <c r="DW99" i="17" s="1"/>
  <c r="FC99" i="17" s="1"/>
  <c r="GI99" i="17" s="1"/>
  <c r="HO99" i="17" s="1"/>
  <c r="BL99" i="17"/>
  <c r="CR99" i="17" s="1"/>
  <c r="DX99" i="17" s="1"/>
  <c r="FD99" i="17" s="1"/>
  <c r="GJ99" i="17" s="1"/>
  <c r="HP99" i="17" s="1"/>
  <c r="BM99" i="17"/>
  <c r="CS99" i="17" s="1"/>
  <c r="DY99" i="17" s="1"/>
  <c r="FE99" i="17" s="1"/>
  <c r="GK99" i="17" s="1"/>
  <c r="HQ99" i="17" s="1"/>
  <c r="BY99" i="17"/>
  <c r="BZ99" i="17"/>
  <c r="CE99" i="17"/>
  <c r="CF99" i="17"/>
  <c r="DE99" i="17"/>
  <c r="DF99" i="17"/>
  <c r="DK99" i="17"/>
  <c r="DL99" i="17"/>
  <c r="G100" i="17"/>
  <c r="J100" i="17"/>
  <c r="N100" i="17"/>
  <c r="R100" i="17"/>
  <c r="S100" i="17" s="1"/>
  <c r="AA100" i="17"/>
  <c r="AB100" i="17"/>
  <c r="AC100" i="17" s="1"/>
  <c r="AH100" i="17"/>
  <c r="AI100" i="17"/>
  <c r="AK100" i="17"/>
  <c r="AS100" i="17"/>
  <c r="AT100" i="17"/>
  <c r="AY100" i="17"/>
  <c r="AZ100" i="17"/>
  <c r="BA100" i="17"/>
  <c r="BQ100" i="17" s="1"/>
  <c r="BB100" i="17"/>
  <c r="CH100" i="17" s="1"/>
  <c r="DN100" i="17" s="1"/>
  <c r="ET100" i="17" s="1"/>
  <c r="FZ100" i="17" s="1"/>
  <c r="HF100" i="17" s="1"/>
  <c r="BC100" i="17"/>
  <c r="CI100" i="17" s="1"/>
  <c r="DO100" i="17" s="1"/>
  <c r="EU100" i="17" s="1"/>
  <c r="GA100" i="17" s="1"/>
  <c r="HG100" i="17" s="1"/>
  <c r="BD100" i="17"/>
  <c r="CJ100" i="17" s="1"/>
  <c r="DP100" i="17" s="1"/>
  <c r="EV100" i="17" s="1"/>
  <c r="GB100" i="17" s="1"/>
  <c r="HH100" i="17" s="1"/>
  <c r="BE100" i="17"/>
  <c r="CK100" i="17" s="1"/>
  <c r="DQ100" i="17" s="1"/>
  <c r="EW100" i="17" s="1"/>
  <c r="GC100" i="17" s="1"/>
  <c r="HI100" i="17" s="1"/>
  <c r="BF100" i="17"/>
  <c r="CL100" i="17" s="1"/>
  <c r="DR100" i="17" s="1"/>
  <c r="EX100" i="17" s="1"/>
  <c r="GD100" i="17" s="1"/>
  <c r="HJ100" i="17" s="1"/>
  <c r="BJ100" i="17"/>
  <c r="CP100" i="17" s="1"/>
  <c r="DV100" i="17" s="1"/>
  <c r="FB100" i="17" s="1"/>
  <c r="GH100" i="17" s="1"/>
  <c r="HN100" i="17" s="1"/>
  <c r="BK100" i="17"/>
  <c r="CQ100" i="17" s="1"/>
  <c r="DW100" i="17" s="1"/>
  <c r="FC100" i="17" s="1"/>
  <c r="GI100" i="17" s="1"/>
  <c r="HO100" i="17" s="1"/>
  <c r="BL100" i="17"/>
  <c r="CR100" i="17" s="1"/>
  <c r="DX100" i="17" s="1"/>
  <c r="FD100" i="17" s="1"/>
  <c r="GJ100" i="17" s="1"/>
  <c r="HP100" i="17" s="1"/>
  <c r="BM100" i="17"/>
  <c r="CS100" i="17" s="1"/>
  <c r="DY100" i="17" s="1"/>
  <c r="FE100" i="17" s="1"/>
  <c r="GK100" i="17" s="1"/>
  <c r="HQ100" i="17" s="1"/>
  <c r="BY100" i="17"/>
  <c r="BZ100" i="17"/>
  <c r="CE100" i="17"/>
  <c r="CF100" i="17"/>
  <c r="DE100" i="17"/>
  <c r="DF100" i="17"/>
  <c r="DK100" i="17"/>
  <c r="DL100" i="17"/>
  <c r="G101" i="17"/>
  <c r="H101" i="17"/>
  <c r="I101" i="17"/>
  <c r="M101" i="17"/>
  <c r="Q101" i="17"/>
  <c r="AA101" i="17"/>
  <c r="AB101" i="17"/>
  <c r="AH101" i="17"/>
  <c r="AI101" i="17"/>
  <c r="AK101" i="17"/>
  <c r="AS101" i="17"/>
  <c r="AT101" i="17"/>
  <c r="AY101" i="17"/>
  <c r="AZ101" i="17"/>
  <c r="BA101" i="17"/>
  <c r="BQ101" i="17" s="1"/>
  <c r="BB101" i="17"/>
  <c r="CH101" i="17" s="1"/>
  <c r="DN101" i="17" s="1"/>
  <c r="ET101" i="17" s="1"/>
  <c r="FZ101" i="17" s="1"/>
  <c r="HF101" i="17" s="1"/>
  <c r="BC101" i="17"/>
  <c r="CI101" i="17" s="1"/>
  <c r="DO101" i="17" s="1"/>
  <c r="EU101" i="17" s="1"/>
  <c r="GA101" i="17" s="1"/>
  <c r="HG101" i="17" s="1"/>
  <c r="BD101" i="17"/>
  <c r="CJ101" i="17" s="1"/>
  <c r="DP101" i="17" s="1"/>
  <c r="EV101" i="17" s="1"/>
  <c r="GB101" i="17" s="1"/>
  <c r="HH101" i="17" s="1"/>
  <c r="BE101" i="17"/>
  <c r="CK101" i="17" s="1"/>
  <c r="DQ101" i="17" s="1"/>
  <c r="EW101" i="17" s="1"/>
  <c r="GC101" i="17" s="1"/>
  <c r="HI101" i="17" s="1"/>
  <c r="BF101" i="17"/>
  <c r="CL101" i="17" s="1"/>
  <c r="DR101" i="17" s="1"/>
  <c r="EX101" i="17" s="1"/>
  <c r="GD101" i="17" s="1"/>
  <c r="HJ101" i="17" s="1"/>
  <c r="BJ101" i="17"/>
  <c r="CP101" i="17" s="1"/>
  <c r="DV101" i="17" s="1"/>
  <c r="FB101" i="17" s="1"/>
  <c r="GH101" i="17" s="1"/>
  <c r="HN101" i="17" s="1"/>
  <c r="BK101" i="17"/>
  <c r="CQ101" i="17" s="1"/>
  <c r="DW101" i="17" s="1"/>
  <c r="FC101" i="17" s="1"/>
  <c r="GI101" i="17" s="1"/>
  <c r="HO101" i="17" s="1"/>
  <c r="BL101" i="17"/>
  <c r="CR101" i="17" s="1"/>
  <c r="DX101" i="17" s="1"/>
  <c r="FD101" i="17" s="1"/>
  <c r="GJ101" i="17" s="1"/>
  <c r="HP101" i="17" s="1"/>
  <c r="BM101" i="17"/>
  <c r="CS101" i="17" s="1"/>
  <c r="DY101" i="17" s="1"/>
  <c r="FE101" i="17" s="1"/>
  <c r="GK101" i="17" s="1"/>
  <c r="HQ101" i="17" s="1"/>
  <c r="BY101" i="17"/>
  <c r="BZ101" i="17"/>
  <c r="CE101" i="17"/>
  <c r="CF101" i="17"/>
  <c r="DE101" i="17"/>
  <c r="DF101" i="17"/>
  <c r="DK101" i="17"/>
  <c r="DL101" i="17"/>
  <c r="G102" i="17"/>
  <c r="H102" i="17"/>
  <c r="I102" i="17"/>
  <c r="M102" i="17"/>
  <c r="Q102" i="17"/>
  <c r="AA102" i="17"/>
  <c r="AB102" i="17"/>
  <c r="AH102" i="17"/>
  <c r="AI102" i="17"/>
  <c r="AK102" i="17"/>
  <c r="AS102" i="17"/>
  <c r="AT102" i="17"/>
  <c r="AY102" i="17"/>
  <c r="AZ102" i="17"/>
  <c r="BA102" i="17"/>
  <c r="CG102" i="17" s="1"/>
  <c r="DM102" i="17" s="1"/>
  <c r="BB102" i="17"/>
  <c r="CH102" i="17" s="1"/>
  <c r="DN102" i="17" s="1"/>
  <c r="ET102" i="17" s="1"/>
  <c r="FZ102" i="17" s="1"/>
  <c r="HF102" i="17" s="1"/>
  <c r="BC102" i="17"/>
  <c r="CI102" i="17" s="1"/>
  <c r="DO102" i="17" s="1"/>
  <c r="EU102" i="17" s="1"/>
  <c r="GA102" i="17" s="1"/>
  <c r="HG102" i="17" s="1"/>
  <c r="BD102" i="17"/>
  <c r="CJ102" i="17" s="1"/>
  <c r="DP102" i="17" s="1"/>
  <c r="EV102" i="17" s="1"/>
  <c r="GB102" i="17" s="1"/>
  <c r="HH102" i="17" s="1"/>
  <c r="BE102" i="17"/>
  <c r="CK102" i="17" s="1"/>
  <c r="DQ102" i="17" s="1"/>
  <c r="EW102" i="17" s="1"/>
  <c r="GC102" i="17" s="1"/>
  <c r="HI102" i="17" s="1"/>
  <c r="BF102" i="17"/>
  <c r="CL102" i="17" s="1"/>
  <c r="DR102" i="17" s="1"/>
  <c r="EX102" i="17" s="1"/>
  <c r="GD102" i="17" s="1"/>
  <c r="HJ102" i="17" s="1"/>
  <c r="BJ102" i="17"/>
  <c r="CP102" i="17" s="1"/>
  <c r="DV102" i="17" s="1"/>
  <c r="FB102" i="17" s="1"/>
  <c r="GH102" i="17" s="1"/>
  <c r="HN102" i="17" s="1"/>
  <c r="BK102" i="17"/>
  <c r="CQ102" i="17" s="1"/>
  <c r="DW102" i="17" s="1"/>
  <c r="FC102" i="17" s="1"/>
  <c r="GI102" i="17" s="1"/>
  <c r="HO102" i="17" s="1"/>
  <c r="BL102" i="17"/>
  <c r="CR102" i="17" s="1"/>
  <c r="DX102" i="17" s="1"/>
  <c r="FD102" i="17" s="1"/>
  <c r="GJ102" i="17" s="1"/>
  <c r="HP102" i="17" s="1"/>
  <c r="BM102" i="17"/>
  <c r="CS102" i="17" s="1"/>
  <c r="DY102" i="17" s="1"/>
  <c r="FE102" i="17" s="1"/>
  <c r="GK102" i="17" s="1"/>
  <c r="HQ102" i="17" s="1"/>
  <c r="BY102" i="17"/>
  <c r="BZ102" i="17"/>
  <c r="CE102" i="17"/>
  <c r="CF102" i="17"/>
  <c r="DE102" i="17"/>
  <c r="DF102" i="17"/>
  <c r="DK102" i="17"/>
  <c r="DL102" i="17"/>
  <c r="G103" i="17"/>
  <c r="J103" i="17"/>
  <c r="M103" i="17"/>
  <c r="N103" i="17"/>
  <c r="R103" i="17"/>
  <c r="S103" i="17" s="1"/>
  <c r="AA103" i="17"/>
  <c r="AB103" i="17"/>
  <c r="AH103" i="17"/>
  <c r="AI103" i="17"/>
  <c r="AK103" i="17"/>
  <c r="AS103" i="17"/>
  <c r="AT103" i="17"/>
  <c r="AY103" i="17"/>
  <c r="AZ103" i="17"/>
  <c r="BA103" i="17"/>
  <c r="CG103" i="17" s="1"/>
  <c r="BB103" i="17"/>
  <c r="CH103" i="17" s="1"/>
  <c r="DN103" i="17" s="1"/>
  <c r="ET103" i="17" s="1"/>
  <c r="FZ103" i="17" s="1"/>
  <c r="HF103" i="17" s="1"/>
  <c r="BC103" i="17"/>
  <c r="CI103" i="17" s="1"/>
  <c r="DO103" i="17" s="1"/>
  <c r="EU103" i="17" s="1"/>
  <c r="GA103" i="17" s="1"/>
  <c r="HG103" i="17" s="1"/>
  <c r="BD103" i="17"/>
  <c r="CJ103" i="17" s="1"/>
  <c r="DP103" i="17" s="1"/>
  <c r="EV103" i="17" s="1"/>
  <c r="GB103" i="17" s="1"/>
  <c r="HH103" i="17" s="1"/>
  <c r="BE103" i="17"/>
  <c r="CK103" i="17" s="1"/>
  <c r="DQ103" i="17" s="1"/>
  <c r="EW103" i="17" s="1"/>
  <c r="GC103" i="17" s="1"/>
  <c r="HI103" i="17" s="1"/>
  <c r="BF103" i="17"/>
  <c r="CL103" i="17" s="1"/>
  <c r="DR103" i="17" s="1"/>
  <c r="EX103" i="17" s="1"/>
  <c r="GD103" i="17" s="1"/>
  <c r="HJ103" i="17" s="1"/>
  <c r="BJ103" i="17"/>
  <c r="CP103" i="17" s="1"/>
  <c r="DV103" i="17" s="1"/>
  <c r="FB103" i="17" s="1"/>
  <c r="GH103" i="17" s="1"/>
  <c r="HN103" i="17" s="1"/>
  <c r="BK103" i="17"/>
  <c r="CQ103" i="17" s="1"/>
  <c r="DW103" i="17" s="1"/>
  <c r="FC103" i="17" s="1"/>
  <c r="GI103" i="17" s="1"/>
  <c r="HO103" i="17" s="1"/>
  <c r="BL103" i="17"/>
  <c r="CR103" i="17" s="1"/>
  <c r="DX103" i="17" s="1"/>
  <c r="FD103" i="17" s="1"/>
  <c r="GJ103" i="17" s="1"/>
  <c r="HP103" i="17" s="1"/>
  <c r="BM103" i="17"/>
  <c r="CS103" i="17" s="1"/>
  <c r="DY103" i="17" s="1"/>
  <c r="FE103" i="17" s="1"/>
  <c r="GK103" i="17" s="1"/>
  <c r="HQ103" i="17" s="1"/>
  <c r="BY103" i="17"/>
  <c r="BZ103" i="17"/>
  <c r="CE103" i="17"/>
  <c r="CF103" i="17"/>
  <c r="DE103" i="17"/>
  <c r="DF103" i="17"/>
  <c r="DK103" i="17"/>
  <c r="DL103" i="17"/>
  <c r="G104" i="17"/>
  <c r="M104" i="17"/>
  <c r="N104" i="17"/>
  <c r="R104" i="17"/>
  <c r="S104" i="17" s="1"/>
  <c r="AA104" i="17"/>
  <c r="AB104" i="17"/>
  <c r="AH104" i="17"/>
  <c r="AI104" i="17"/>
  <c r="AK104" i="17"/>
  <c r="AS104" i="17"/>
  <c r="AT104" i="17"/>
  <c r="AY104" i="17"/>
  <c r="AZ104" i="17"/>
  <c r="BA104" i="17"/>
  <c r="CG104" i="17" s="1"/>
  <c r="BB104" i="17"/>
  <c r="CH104" i="17" s="1"/>
  <c r="DN104" i="17" s="1"/>
  <c r="ET104" i="17" s="1"/>
  <c r="FZ104" i="17" s="1"/>
  <c r="HF104" i="17" s="1"/>
  <c r="BC104" i="17"/>
  <c r="CI104" i="17" s="1"/>
  <c r="DO104" i="17" s="1"/>
  <c r="EU104" i="17" s="1"/>
  <c r="GA104" i="17" s="1"/>
  <c r="HG104" i="17" s="1"/>
  <c r="BD104" i="17"/>
  <c r="CJ104" i="17" s="1"/>
  <c r="DP104" i="17" s="1"/>
  <c r="EV104" i="17" s="1"/>
  <c r="GB104" i="17" s="1"/>
  <c r="HH104" i="17" s="1"/>
  <c r="BE104" i="17"/>
  <c r="CK104" i="17" s="1"/>
  <c r="DQ104" i="17" s="1"/>
  <c r="EW104" i="17" s="1"/>
  <c r="GC104" i="17" s="1"/>
  <c r="HI104" i="17" s="1"/>
  <c r="BF104" i="17"/>
  <c r="CL104" i="17" s="1"/>
  <c r="DR104" i="17" s="1"/>
  <c r="EX104" i="17" s="1"/>
  <c r="GD104" i="17" s="1"/>
  <c r="HJ104" i="17" s="1"/>
  <c r="BJ104" i="17"/>
  <c r="CP104" i="17" s="1"/>
  <c r="DV104" i="17" s="1"/>
  <c r="FB104" i="17" s="1"/>
  <c r="GH104" i="17" s="1"/>
  <c r="HN104" i="17" s="1"/>
  <c r="BK104" i="17"/>
  <c r="CQ104" i="17" s="1"/>
  <c r="DW104" i="17" s="1"/>
  <c r="FC104" i="17" s="1"/>
  <c r="GI104" i="17" s="1"/>
  <c r="HO104" i="17" s="1"/>
  <c r="BL104" i="17"/>
  <c r="CR104" i="17" s="1"/>
  <c r="DX104" i="17" s="1"/>
  <c r="FD104" i="17" s="1"/>
  <c r="GJ104" i="17" s="1"/>
  <c r="HP104" i="17" s="1"/>
  <c r="BM104" i="17"/>
  <c r="CS104" i="17" s="1"/>
  <c r="DY104" i="17" s="1"/>
  <c r="FE104" i="17" s="1"/>
  <c r="GK104" i="17" s="1"/>
  <c r="HQ104" i="17" s="1"/>
  <c r="BY104" i="17"/>
  <c r="BZ104" i="17"/>
  <c r="CE104" i="17"/>
  <c r="CF104" i="17"/>
  <c r="DE104" i="17"/>
  <c r="DF104" i="17"/>
  <c r="DK104" i="17"/>
  <c r="DL104" i="17"/>
  <c r="G105" i="17"/>
  <c r="H105" i="17"/>
  <c r="I105" i="17"/>
  <c r="M105" i="17"/>
  <c r="T105" i="17"/>
  <c r="AK105" i="17" s="1"/>
  <c r="AA105" i="17"/>
  <c r="AB105" i="17"/>
  <c r="AH105" i="17"/>
  <c r="AI105" i="17"/>
  <c r="AS105" i="17"/>
  <c r="AT105" i="17"/>
  <c r="AY105" i="17"/>
  <c r="AZ105" i="17"/>
  <c r="BA105" i="17"/>
  <c r="CG105" i="17" s="1"/>
  <c r="BB105" i="17"/>
  <c r="CH105" i="17" s="1"/>
  <c r="DN105" i="17" s="1"/>
  <c r="ET105" i="17" s="1"/>
  <c r="FZ105" i="17" s="1"/>
  <c r="HF105" i="17" s="1"/>
  <c r="BC105" i="17"/>
  <c r="CI105" i="17" s="1"/>
  <c r="DO105" i="17" s="1"/>
  <c r="EU105" i="17" s="1"/>
  <c r="GA105" i="17" s="1"/>
  <c r="HG105" i="17" s="1"/>
  <c r="BD105" i="17"/>
  <c r="CJ105" i="17" s="1"/>
  <c r="DP105" i="17" s="1"/>
  <c r="EV105" i="17" s="1"/>
  <c r="GB105" i="17" s="1"/>
  <c r="HH105" i="17" s="1"/>
  <c r="BE105" i="17"/>
  <c r="CK105" i="17" s="1"/>
  <c r="DQ105" i="17" s="1"/>
  <c r="EW105" i="17" s="1"/>
  <c r="GC105" i="17" s="1"/>
  <c r="HI105" i="17" s="1"/>
  <c r="BF105" i="17"/>
  <c r="CL105" i="17" s="1"/>
  <c r="DR105" i="17" s="1"/>
  <c r="EX105" i="17" s="1"/>
  <c r="GD105" i="17" s="1"/>
  <c r="HJ105" i="17" s="1"/>
  <c r="BJ105" i="17"/>
  <c r="CP105" i="17" s="1"/>
  <c r="DV105" i="17" s="1"/>
  <c r="FB105" i="17" s="1"/>
  <c r="GH105" i="17" s="1"/>
  <c r="HN105" i="17" s="1"/>
  <c r="BK105" i="17"/>
  <c r="CQ105" i="17" s="1"/>
  <c r="DW105" i="17" s="1"/>
  <c r="FC105" i="17" s="1"/>
  <c r="GI105" i="17" s="1"/>
  <c r="HO105" i="17" s="1"/>
  <c r="BL105" i="17"/>
  <c r="CR105" i="17" s="1"/>
  <c r="DX105" i="17" s="1"/>
  <c r="FD105" i="17" s="1"/>
  <c r="GJ105" i="17" s="1"/>
  <c r="HP105" i="17" s="1"/>
  <c r="BM105" i="17"/>
  <c r="CS105" i="17" s="1"/>
  <c r="DY105" i="17" s="1"/>
  <c r="FE105" i="17" s="1"/>
  <c r="GK105" i="17" s="1"/>
  <c r="HQ105" i="17" s="1"/>
  <c r="BY105" i="17"/>
  <c r="BZ105" i="17"/>
  <c r="CE105" i="17"/>
  <c r="CF105" i="17"/>
  <c r="DE105" i="17"/>
  <c r="DF105" i="17"/>
  <c r="DK105" i="17"/>
  <c r="DL105" i="17"/>
  <c r="G106" i="17"/>
  <c r="M106" i="17"/>
  <c r="N106" i="17"/>
  <c r="R106" i="17"/>
  <c r="S106" i="17" s="1"/>
  <c r="AA106" i="17"/>
  <c r="AB106" i="17"/>
  <c r="AH106" i="17"/>
  <c r="AI106" i="17"/>
  <c r="AK106" i="17"/>
  <c r="AS106" i="17"/>
  <c r="AT106" i="17"/>
  <c r="AY106" i="17"/>
  <c r="AZ106" i="17"/>
  <c r="BA106" i="17"/>
  <c r="CG106" i="17" s="1"/>
  <c r="BB106" i="17"/>
  <c r="CH106" i="17" s="1"/>
  <c r="DN106" i="17" s="1"/>
  <c r="ET106" i="17" s="1"/>
  <c r="FZ106" i="17" s="1"/>
  <c r="HF106" i="17" s="1"/>
  <c r="BC106" i="17"/>
  <c r="CI106" i="17" s="1"/>
  <c r="DO106" i="17" s="1"/>
  <c r="EU106" i="17" s="1"/>
  <c r="GA106" i="17" s="1"/>
  <c r="HG106" i="17" s="1"/>
  <c r="BD106" i="17"/>
  <c r="CJ106" i="17" s="1"/>
  <c r="DP106" i="17" s="1"/>
  <c r="EV106" i="17" s="1"/>
  <c r="GB106" i="17" s="1"/>
  <c r="HH106" i="17" s="1"/>
  <c r="BE106" i="17"/>
  <c r="CK106" i="17" s="1"/>
  <c r="DQ106" i="17" s="1"/>
  <c r="EW106" i="17" s="1"/>
  <c r="GC106" i="17" s="1"/>
  <c r="HI106" i="17" s="1"/>
  <c r="BF106" i="17"/>
  <c r="CL106" i="17" s="1"/>
  <c r="DR106" i="17" s="1"/>
  <c r="EX106" i="17" s="1"/>
  <c r="GD106" i="17" s="1"/>
  <c r="HJ106" i="17" s="1"/>
  <c r="BJ106" i="17"/>
  <c r="BK106" i="17"/>
  <c r="CQ106" i="17" s="1"/>
  <c r="DW106" i="17" s="1"/>
  <c r="FC106" i="17" s="1"/>
  <c r="GI106" i="17" s="1"/>
  <c r="HO106" i="17" s="1"/>
  <c r="BL106" i="17"/>
  <c r="CR106" i="17" s="1"/>
  <c r="DX106" i="17" s="1"/>
  <c r="FD106" i="17" s="1"/>
  <c r="GJ106" i="17" s="1"/>
  <c r="HP106" i="17" s="1"/>
  <c r="BM106" i="17"/>
  <c r="CS106" i="17" s="1"/>
  <c r="DY106" i="17" s="1"/>
  <c r="FE106" i="17" s="1"/>
  <c r="GK106" i="17" s="1"/>
  <c r="HQ106" i="17" s="1"/>
  <c r="BY106" i="17"/>
  <c r="BZ106" i="17"/>
  <c r="CE106" i="17"/>
  <c r="CF106" i="17"/>
  <c r="CP106" i="17"/>
  <c r="DV106" i="17" s="1"/>
  <c r="FB106" i="17" s="1"/>
  <c r="GH106" i="17" s="1"/>
  <c r="HN106" i="17" s="1"/>
  <c r="DE106" i="17"/>
  <c r="DF106" i="17"/>
  <c r="DK106" i="17"/>
  <c r="DL106" i="17"/>
  <c r="E107" i="17"/>
  <c r="F107" i="17"/>
  <c r="H107" i="17"/>
  <c r="I107" i="17"/>
  <c r="M107" i="17"/>
  <c r="Q107" i="17"/>
  <c r="X107" i="17"/>
  <c r="BD107" i="17" s="1"/>
  <c r="CJ107" i="17" s="1"/>
  <c r="DP107" i="17" s="1"/>
  <c r="EV107" i="17" s="1"/>
  <c r="GB107" i="17" s="1"/>
  <c r="HH107" i="17" s="1"/>
  <c r="AA107" i="17"/>
  <c r="AH107" i="17"/>
  <c r="AI107" i="17"/>
  <c r="AK107" i="17"/>
  <c r="AS107" i="17"/>
  <c r="AT107" i="17"/>
  <c r="AY107" i="17"/>
  <c r="AZ107" i="17"/>
  <c r="BA107" i="17"/>
  <c r="CG107" i="17" s="1"/>
  <c r="DM107" i="17" s="1"/>
  <c r="BB107" i="17"/>
  <c r="CH107" i="17" s="1"/>
  <c r="DN107" i="17" s="1"/>
  <c r="ET107" i="17" s="1"/>
  <c r="FZ107" i="17" s="1"/>
  <c r="HF107" i="17" s="1"/>
  <c r="BC107" i="17"/>
  <c r="CI107" i="17" s="1"/>
  <c r="DO107" i="17" s="1"/>
  <c r="EU107" i="17" s="1"/>
  <c r="GA107" i="17" s="1"/>
  <c r="HG107" i="17" s="1"/>
  <c r="BE107" i="17"/>
  <c r="CK107" i="17" s="1"/>
  <c r="DQ107" i="17" s="1"/>
  <c r="EW107" i="17" s="1"/>
  <c r="GC107" i="17" s="1"/>
  <c r="HI107" i="17" s="1"/>
  <c r="BF107" i="17"/>
  <c r="CL107" i="17" s="1"/>
  <c r="DR107" i="17" s="1"/>
  <c r="EX107" i="17" s="1"/>
  <c r="GD107" i="17" s="1"/>
  <c r="HJ107" i="17" s="1"/>
  <c r="BJ107" i="17"/>
  <c r="CP107" i="17" s="1"/>
  <c r="DV107" i="17" s="1"/>
  <c r="FB107" i="17" s="1"/>
  <c r="GH107" i="17" s="1"/>
  <c r="HN107" i="17" s="1"/>
  <c r="BK107" i="17"/>
  <c r="CQ107" i="17" s="1"/>
  <c r="DW107" i="17" s="1"/>
  <c r="FC107" i="17" s="1"/>
  <c r="GI107" i="17" s="1"/>
  <c r="HO107" i="17" s="1"/>
  <c r="BL107" i="17"/>
  <c r="CR107" i="17" s="1"/>
  <c r="DX107" i="17" s="1"/>
  <c r="FD107" i="17" s="1"/>
  <c r="GJ107" i="17" s="1"/>
  <c r="HP107" i="17" s="1"/>
  <c r="BM107" i="17"/>
  <c r="CS107" i="17" s="1"/>
  <c r="DY107" i="17" s="1"/>
  <c r="FE107" i="17" s="1"/>
  <c r="GK107" i="17" s="1"/>
  <c r="HQ107" i="17" s="1"/>
  <c r="BY107" i="17"/>
  <c r="BZ107" i="17"/>
  <c r="CE107" i="17"/>
  <c r="CF107" i="17"/>
  <c r="DE107" i="17"/>
  <c r="DF107" i="17"/>
  <c r="DK107" i="17"/>
  <c r="DL107" i="17"/>
  <c r="G108" i="17"/>
  <c r="H108" i="17"/>
  <c r="I108" i="17"/>
  <c r="N108" i="17" s="1"/>
  <c r="T108" i="17"/>
  <c r="AK108" i="17" s="1"/>
  <c r="AA108" i="17"/>
  <c r="AB108" i="17"/>
  <c r="AH108" i="17"/>
  <c r="AI108" i="17"/>
  <c r="AS108" i="17"/>
  <c r="AT108" i="17"/>
  <c r="AY108" i="17"/>
  <c r="AZ108" i="17"/>
  <c r="BA108" i="17"/>
  <c r="CG108" i="17" s="1"/>
  <c r="BB108" i="17"/>
  <c r="CH108" i="17" s="1"/>
  <c r="DN108" i="17" s="1"/>
  <c r="ET108" i="17" s="1"/>
  <c r="FZ108" i="17" s="1"/>
  <c r="HF108" i="17" s="1"/>
  <c r="BC108" i="17"/>
  <c r="CI108" i="17" s="1"/>
  <c r="DO108" i="17" s="1"/>
  <c r="EU108" i="17" s="1"/>
  <c r="GA108" i="17" s="1"/>
  <c r="HG108" i="17" s="1"/>
  <c r="BD108" i="17"/>
  <c r="CJ108" i="17" s="1"/>
  <c r="DP108" i="17" s="1"/>
  <c r="EV108" i="17" s="1"/>
  <c r="GB108" i="17" s="1"/>
  <c r="HH108" i="17" s="1"/>
  <c r="BE108" i="17"/>
  <c r="CK108" i="17" s="1"/>
  <c r="DQ108" i="17" s="1"/>
  <c r="EW108" i="17" s="1"/>
  <c r="GC108" i="17" s="1"/>
  <c r="HI108" i="17" s="1"/>
  <c r="BF108" i="17"/>
  <c r="CL108" i="17" s="1"/>
  <c r="DR108" i="17" s="1"/>
  <c r="EX108" i="17" s="1"/>
  <c r="GD108" i="17" s="1"/>
  <c r="HJ108" i="17" s="1"/>
  <c r="BJ108" i="17"/>
  <c r="BK108" i="17"/>
  <c r="CQ108" i="17" s="1"/>
  <c r="DW108" i="17" s="1"/>
  <c r="FC108" i="17" s="1"/>
  <c r="GI108" i="17" s="1"/>
  <c r="HO108" i="17" s="1"/>
  <c r="BL108" i="17"/>
  <c r="CR108" i="17" s="1"/>
  <c r="DX108" i="17" s="1"/>
  <c r="FD108" i="17" s="1"/>
  <c r="GJ108" i="17" s="1"/>
  <c r="HP108" i="17" s="1"/>
  <c r="BM108" i="17"/>
  <c r="CS108" i="17" s="1"/>
  <c r="DY108" i="17" s="1"/>
  <c r="FE108" i="17" s="1"/>
  <c r="GK108" i="17" s="1"/>
  <c r="HQ108" i="17" s="1"/>
  <c r="BY108" i="17"/>
  <c r="BZ108" i="17"/>
  <c r="CE108" i="17"/>
  <c r="CF108" i="17"/>
  <c r="CP108" i="17"/>
  <c r="DV108" i="17" s="1"/>
  <c r="FB108" i="17" s="1"/>
  <c r="GH108" i="17" s="1"/>
  <c r="HN108" i="17" s="1"/>
  <c r="DE108" i="17"/>
  <c r="DF108" i="17"/>
  <c r="DK108" i="17"/>
  <c r="DL108" i="17"/>
  <c r="G109" i="17"/>
  <c r="J109" i="17"/>
  <c r="M109" i="17"/>
  <c r="N109" i="17"/>
  <c r="R109" i="17"/>
  <c r="S109" i="17" s="1"/>
  <c r="AA109" i="17"/>
  <c r="AB109" i="17"/>
  <c r="AH109" i="17"/>
  <c r="AI109" i="17"/>
  <c r="AK109" i="17"/>
  <c r="AS109" i="17"/>
  <c r="AT109" i="17"/>
  <c r="AY109" i="17"/>
  <c r="AZ109" i="17"/>
  <c r="BA109" i="17"/>
  <c r="CG109" i="17" s="1"/>
  <c r="BB109" i="17"/>
  <c r="CH109" i="17" s="1"/>
  <c r="DN109" i="17" s="1"/>
  <c r="ET109" i="17" s="1"/>
  <c r="FZ109" i="17" s="1"/>
  <c r="HF109" i="17" s="1"/>
  <c r="BC109" i="17"/>
  <c r="CI109" i="17" s="1"/>
  <c r="DO109" i="17" s="1"/>
  <c r="EU109" i="17" s="1"/>
  <c r="GA109" i="17" s="1"/>
  <c r="HG109" i="17" s="1"/>
  <c r="BD109" i="17"/>
  <c r="CJ109" i="17" s="1"/>
  <c r="DP109" i="17" s="1"/>
  <c r="EV109" i="17" s="1"/>
  <c r="GB109" i="17" s="1"/>
  <c r="HH109" i="17" s="1"/>
  <c r="BE109" i="17"/>
  <c r="CK109" i="17" s="1"/>
  <c r="DQ109" i="17" s="1"/>
  <c r="EW109" i="17" s="1"/>
  <c r="GC109" i="17" s="1"/>
  <c r="HI109" i="17" s="1"/>
  <c r="BF109" i="17"/>
  <c r="CL109" i="17" s="1"/>
  <c r="DR109" i="17" s="1"/>
  <c r="EX109" i="17" s="1"/>
  <c r="GD109" i="17" s="1"/>
  <c r="HJ109" i="17" s="1"/>
  <c r="BJ109" i="17"/>
  <c r="CP109" i="17" s="1"/>
  <c r="DV109" i="17" s="1"/>
  <c r="FB109" i="17" s="1"/>
  <c r="GH109" i="17" s="1"/>
  <c r="HN109" i="17" s="1"/>
  <c r="BK109" i="17"/>
  <c r="CQ109" i="17" s="1"/>
  <c r="DW109" i="17" s="1"/>
  <c r="FC109" i="17" s="1"/>
  <c r="GI109" i="17" s="1"/>
  <c r="HO109" i="17" s="1"/>
  <c r="BL109" i="17"/>
  <c r="CR109" i="17" s="1"/>
  <c r="DX109" i="17" s="1"/>
  <c r="FD109" i="17" s="1"/>
  <c r="GJ109" i="17" s="1"/>
  <c r="HP109" i="17" s="1"/>
  <c r="BM109" i="17"/>
  <c r="CS109" i="17" s="1"/>
  <c r="DY109" i="17" s="1"/>
  <c r="FE109" i="17" s="1"/>
  <c r="GK109" i="17" s="1"/>
  <c r="HQ109" i="17" s="1"/>
  <c r="BY109" i="17"/>
  <c r="BZ109" i="17"/>
  <c r="CE109" i="17"/>
  <c r="CF109" i="17"/>
  <c r="DE109" i="17"/>
  <c r="DF109" i="17"/>
  <c r="DK109" i="17"/>
  <c r="DL109" i="17"/>
  <c r="G110" i="17"/>
  <c r="J110" i="17"/>
  <c r="M110" i="17"/>
  <c r="N110" i="17"/>
  <c r="R110" i="17"/>
  <c r="S110" i="17" s="1"/>
  <c r="AA110" i="17"/>
  <c r="AB110" i="17"/>
  <c r="AH110" i="17"/>
  <c r="AI110" i="17"/>
  <c r="AK110" i="17"/>
  <c r="AS110" i="17"/>
  <c r="AT110" i="17"/>
  <c r="AY110" i="17"/>
  <c r="AZ110" i="17"/>
  <c r="BA110" i="17"/>
  <c r="CG110" i="17" s="1"/>
  <c r="BB110" i="17"/>
  <c r="CH110" i="17" s="1"/>
  <c r="DN110" i="17" s="1"/>
  <c r="ET110" i="17" s="1"/>
  <c r="FZ110" i="17" s="1"/>
  <c r="HF110" i="17" s="1"/>
  <c r="BC110" i="17"/>
  <c r="CI110" i="17" s="1"/>
  <c r="DO110" i="17" s="1"/>
  <c r="EU110" i="17" s="1"/>
  <c r="GA110" i="17" s="1"/>
  <c r="HG110" i="17" s="1"/>
  <c r="BD110" i="17"/>
  <c r="CJ110" i="17" s="1"/>
  <c r="DP110" i="17" s="1"/>
  <c r="EV110" i="17" s="1"/>
  <c r="GB110" i="17" s="1"/>
  <c r="HH110" i="17" s="1"/>
  <c r="BE110" i="17"/>
  <c r="CK110" i="17" s="1"/>
  <c r="DQ110" i="17" s="1"/>
  <c r="EW110" i="17" s="1"/>
  <c r="GC110" i="17" s="1"/>
  <c r="HI110" i="17" s="1"/>
  <c r="BF110" i="17"/>
  <c r="CL110" i="17" s="1"/>
  <c r="DR110" i="17" s="1"/>
  <c r="EX110" i="17" s="1"/>
  <c r="GD110" i="17" s="1"/>
  <c r="HJ110" i="17" s="1"/>
  <c r="BJ110" i="17"/>
  <c r="CP110" i="17" s="1"/>
  <c r="DV110" i="17" s="1"/>
  <c r="FB110" i="17" s="1"/>
  <c r="GH110" i="17" s="1"/>
  <c r="HN110" i="17" s="1"/>
  <c r="BK110" i="17"/>
  <c r="CQ110" i="17" s="1"/>
  <c r="DW110" i="17" s="1"/>
  <c r="FC110" i="17" s="1"/>
  <c r="GI110" i="17" s="1"/>
  <c r="HO110" i="17" s="1"/>
  <c r="BL110" i="17"/>
  <c r="CR110" i="17" s="1"/>
  <c r="DX110" i="17" s="1"/>
  <c r="FD110" i="17" s="1"/>
  <c r="GJ110" i="17" s="1"/>
  <c r="HP110" i="17" s="1"/>
  <c r="BM110" i="17"/>
  <c r="CS110" i="17" s="1"/>
  <c r="DY110" i="17" s="1"/>
  <c r="FE110" i="17" s="1"/>
  <c r="GK110" i="17" s="1"/>
  <c r="HQ110" i="17" s="1"/>
  <c r="BY110" i="17"/>
  <c r="BZ110" i="17"/>
  <c r="CE110" i="17"/>
  <c r="CF110" i="17"/>
  <c r="DE110" i="17"/>
  <c r="DF110" i="17"/>
  <c r="DK110" i="17"/>
  <c r="DL110" i="17"/>
  <c r="G111" i="17"/>
  <c r="J111" i="17"/>
  <c r="N111" i="17"/>
  <c r="R111" i="17"/>
  <c r="S111" i="17" s="1"/>
  <c r="AA111" i="17"/>
  <c r="AB111" i="17"/>
  <c r="AH111" i="17"/>
  <c r="AI111" i="17"/>
  <c r="AK111" i="17"/>
  <c r="AS111" i="17"/>
  <c r="AT111" i="17"/>
  <c r="AY111" i="17"/>
  <c r="AZ111" i="17"/>
  <c r="BA111" i="17"/>
  <c r="CG111" i="17" s="1"/>
  <c r="DM111" i="17" s="1"/>
  <c r="BB111" i="17"/>
  <c r="CH111" i="17" s="1"/>
  <c r="DN111" i="17" s="1"/>
  <c r="ET111" i="17" s="1"/>
  <c r="FZ111" i="17" s="1"/>
  <c r="HF111" i="17" s="1"/>
  <c r="BC111" i="17"/>
  <c r="CI111" i="17" s="1"/>
  <c r="DO111" i="17" s="1"/>
  <c r="EU111" i="17" s="1"/>
  <c r="GA111" i="17" s="1"/>
  <c r="HG111" i="17" s="1"/>
  <c r="BD111" i="17"/>
  <c r="CJ111" i="17" s="1"/>
  <c r="DP111" i="17" s="1"/>
  <c r="EV111" i="17" s="1"/>
  <c r="GB111" i="17" s="1"/>
  <c r="HH111" i="17" s="1"/>
  <c r="BE111" i="17"/>
  <c r="CK111" i="17" s="1"/>
  <c r="DQ111" i="17" s="1"/>
  <c r="EW111" i="17" s="1"/>
  <c r="GC111" i="17" s="1"/>
  <c r="HI111" i="17" s="1"/>
  <c r="BF111" i="17"/>
  <c r="CL111" i="17" s="1"/>
  <c r="DR111" i="17" s="1"/>
  <c r="EX111" i="17" s="1"/>
  <c r="GD111" i="17" s="1"/>
  <c r="HJ111" i="17" s="1"/>
  <c r="BJ111" i="17"/>
  <c r="CP111" i="17" s="1"/>
  <c r="DV111" i="17" s="1"/>
  <c r="FB111" i="17" s="1"/>
  <c r="GH111" i="17" s="1"/>
  <c r="HN111" i="17" s="1"/>
  <c r="BK111" i="17"/>
  <c r="CQ111" i="17" s="1"/>
  <c r="DW111" i="17" s="1"/>
  <c r="FC111" i="17" s="1"/>
  <c r="GI111" i="17" s="1"/>
  <c r="HO111" i="17" s="1"/>
  <c r="BL111" i="17"/>
  <c r="CR111" i="17" s="1"/>
  <c r="DX111" i="17" s="1"/>
  <c r="FD111" i="17" s="1"/>
  <c r="GJ111" i="17" s="1"/>
  <c r="HP111" i="17" s="1"/>
  <c r="BM111" i="17"/>
  <c r="CS111" i="17" s="1"/>
  <c r="DY111" i="17" s="1"/>
  <c r="FE111" i="17" s="1"/>
  <c r="GK111" i="17" s="1"/>
  <c r="HQ111" i="17" s="1"/>
  <c r="BY111" i="17"/>
  <c r="BZ111" i="17"/>
  <c r="CE111" i="17"/>
  <c r="CF111" i="17"/>
  <c r="DE111" i="17"/>
  <c r="DF111" i="17"/>
  <c r="DK111" i="17"/>
  <c r="DL111" i="17"/>
  <c r="G112" i="17"/>
  <c r="N112" i="17"/>
  <c r="R112" i="17"/>
  <c r="S112" i="17" s="1"/>
  <c r="AA112" i="17"/>
  <c r="AB112" i="17"/>
  <c r="AH112" i="17"/>
  <c r="AI112" i="17"/>
  <c r="AK112" i="17"/>
  <c r="AS112" i="17"/>
  <c r="AT112" i="17"/>
  <c r="AY112" i="17"/>
  <c r="AZ112" i="17"/>
  <c r="BA112" i="17"/>
  <c r="CG112" i="17" s="1"/>
  <c r="BB112" i="17"/>
  <c r="CH112" i="17" s="1"/>
  <c r="DN112" i="17" s="1"/>
  <c r="ET112" i="17" s="1"/>
  <c r="FZ112" i="17" s="1"/>
  <c r="HF112" i="17" s="1"/>
  <c r="BC112" i="17"/>
  <c r="CI112" i="17" s="1"/>
  <c r="DO112" i="17" s="1"/>
  <c r="EU112" i="17" s="1"/>
  <c r="GA112" i="17" s="1"/>
  <c r="HG112" i="17" s="1"/>
  <c r="BD112" i="17"/>
  <c r="CJ112" i="17" s="1"/>
  <c r="DP112" i="17" s="1"/>
  <c r="EV112" i="17" s="1"/>
  <c r="GB112" i="17" s="1"/>
  <c r="HH112" i="17" s="1"/>
  <c r="BE112" i="17"/>
  <c r="CK112" i="17" s="1"/>
  <c r="DQ112" i="17" s="1"/>
  <c r="EW112" i="17" s="1"/>
  <c r="GC112" i="17" s="1"/>
  <c r="HI112" i="17" s="1"/>
  <c r="BF112" i="17"/>
  <c r="CL112" i="17" s="1"/>
  <c r="DR112" i="17" s="1"/>
  <c r="EX112" i="17" s="1"/>
  <c r="GD112" i="17" s="1"/>
  <c r="HJ112" i="17" s="1"/>
  <c r="BJ112" i="17"/>
  <c r="CP112" i="17" s="1"/>
  <c r="DV112" i="17" s="1"/>
  <c r="FB112" i="17" s="1"/>
  <c r="GH112" i="17" s="1"/>
  <c r="HN112" i="17" s="1"/>
  <c r="BK112" i="17"/>
  <c r="CQ112" i="17" s="1"/>
  <c r="DW112" i="17" s="1"/>
  <c r="FC112" i="17" s="1"/>
  <c r="GI112" i="17" s="1"/>
  <c r="HO112" i="17" s="1"/>
  <c r="BL112" i="17"/>
  <c r="CR112" i="17" s="1"/>
  <c r="DX112" i="17" s="1"/>
  <c r="FD112" i="17" s="1"/>
  <c r="GJ112" i="17" s="1"/>
  <c r="HP112" i="17" s="1"/>
  <c r="BM112" i="17"/>
  <c r="CS112" i="17" s="1"/>
  <c r="DY112" i="17" s="1"/>
  <c r="FE112" i="17" s="1"/>
  <c r="GK112" i="17" s="1"/>
  <c r="HQ112" i="17" s="1"/>
  <c r="BY112" i="17"/>
  <c r="BZ112" i="17"/>
  <c r="CE112" i="17"/>
  <c r="CF112" i="17"/>
  <c r="DE112" i="17"/>
  <c r="DF112" i="17"/>
  <c r="DK112" i="17"/>
  <c r="DL112" i="17"/>
  <c r="G113" i="17"/>
  <c r="N113" i="17"/>
  <c r="R113" i="17"/>
  <c r="S113" i="17" s="1"/>
  <c r="AA113" i="17"/>
  <c r="AB113" i="17"/>
  <c r="AH113" i="17"/>
  <c r="AI113" i="17"/>
  <c r="AK113" i="17"/>
  <c r="AS113" i="17"/>
  <c r="AT113" i="17"/>
  <c r="AY113" i="17"/>
  <c r="AZ113" i="17"/>
  <c r="BA113" i="17"/>
  <c r="BQ113" i="17" s="1"/>
  <c r="BB113" i="17"/>
  <c r="CH113" i="17" s="1"/>
  <c r="DN113" i="17" s="1"/>
  <c r="ET113" i="17" s="1"/>
  <c r="FZ113" i="17" s="1"/>
  <c r="HF113" i="17" s="1"/>
  <c r="BC113" i="17"/>
  <c r="CI113" i="17" s="1"/>
  <c r="DO113" i="17" s="1"/>
  <c r="EU113" i="17" s="1"/>
  <c r="GA113" i="17" s="1"/>
  <c r="HG113" i="17" s="1"/>
  <c r="BD113" i="17"/>
  <c r="CJ113" i="17" s="1"/>
  <c r="DP113" i="17" s="1"/>
  <c r="EV113" i="17" s="1"/>
  <c r="GB113" i="17" s="1"/>
  <c r="HH113" i="17" s="1"/>
  <c r="BE113" i="17"/>
  <c r="CK113" i="17" s="1"/>
  <c r="DQ113" i="17" s="1"/>
  <c r="EW113" i="17" s="1"/>
  <c r="GC113" i="17" s="1"/>
  <c r="HI113" i="17" s="1"/>
  <c r="BF113" i="17"/>
  <c r="CL113" i="17" s="1"/>
  <c r="DR113" i="17" s="1"/>
  <c r="EX113" i="17" s="1"/>
  <c r="GD113" i="17" s="1"/>
  <c r="HJ113" i="17" s="1"/>
  <c r="BJ113" i="17"/>
  <c r="CP113" i="17" s="1"/>
  <c r="DV113" i="17" s="1"/>
  <c r="FB113" i="17" s="1"/>
  <c r="GH113" i="17" s="1"/>
  <c r="HN113" i="17" s="1"/>
  <c r="BK113" i="17"/>
  <c r="BL113" i="17"/>
  <c r="CR113" i="17" s="1"/>
  <c r="DX113" i="17" s="1"/>
  <c r="FD113" i="17" s="1"/>
  <c r="GJ113" i="17" s="1"/>
  <c r="HP113" i="17" s="1"/>
  <c r="BM113" i="17"/>
  <c r="CS113" i="17" s="1"/>
  <c r="DY113" i="17" s="1"/>
  <c r="FE113" i="17" s="1"/>
  <c r="GK113" i="17" s="1"/>
  <c r="HQ113" i="17" s="1"/>
  <c r="BY113" i="17"/>
  <c r="BZ113" i="17"/>
  <c r="CE113" i="17"/>
  <c r="CF113" i="17"/>
  <c r="CG113" i="17"/>
  <c r="DM113" i="17" s="1"/>
  <c r="CQ113" i="17"/>
  <c r="DW113" i="17" s="1"/>
  <c r="FC113" i="17" s="1"/>
  <c r="GI113" i="17" s="1"/>
  <c r="HO113" i="17" s="1"/>
  <c r="DE113" i="17"/>
  <c r="DF113" i="17"/>
  <c r="DK113" i="17"/>
  <c r="DL113" i="17"/>
  <c r="G114" i="17"/>
  <c r="N114" i="17"/>
  <c r="R114" i="17"/>
  <c r="S114" i="17" s="1"/>
  <c r="AA114" i="17"/>
  <c r="AB114" i="17"/>
  <c r="AH114" i="17"/>
  <c r="AI114" i="17"/>
  <c r="AK114" i="17"/>
  <c r="AS114" i="17"/>
  <c r="AT114" i="17"/>
  <c r="AY114" i="17"/>
  <c r="AZ114" i="17"/>
  <c r="BA114" i="17"/>
  <c r="CG114" i="17" s="1"/>
  <c r="BB114" i="17"/>
  <c r="CH114" i="17" s="1"/>
  <c r="DN114" i="17" s="1"/>
  <c r="ET114" i="17" s="1"/>
  <c r="FZ114" i="17" s="1"/>
  <c r="HF114" i="17" s="1"/>
  <c r="BC114" i="17"/>
  <c r="CI114" i="17" s="1"/>
  <c r="DO114" i="17" s="1"/>
  <c r="EU114" i="17" s="1"/>
  <c r="GA114" i="17" s="1"/>
  <c r="HG114" i="17" s="1"/>
  <c r="BD114" i="17"/>
  <c r="CJ114" i="17" s="1"/>
  <c r="DP114" i="17" s="1"/>
  <c r="EV114" i="17" s="1"/>
  <c r="GB114" i="17" s="1"/>
  <c r="HH114" i="17" s="1"/>
  <c r="BE114" i="17"/>
  <c r="CK114" i="17" s="1"/>
  <c r="DQ114" i="17" s="1"/>
  <c r="EW114" i="17" s="1"/>
  <c r="GC114" i="17" s="1"/>
  <c r="HI114" i="17" s="1"/>
  <c r="BF114" i="17"/>
  <c r="CL114" i="17" s="1"/>
  <c r="DR114" i="17" s="1"/>
  <c r="EX114" i="17" s="1"/>
  <c r="GD114" i="17" s="1"/>
  <c r="HJ114" i="17" s="1"/>
  <c r="BJ114" i="17"/>
  <c r="CP114" i="17" s="1"/>
  <c r="DV114" i="17" s="1"/>
  <c r="FB114" i="17" s="1"/>
  <c r="GH114" i="17" s="1"/>
  <c r="HN114" i="17" s="1"/>
  <c r="BK114" i="17"/>
  <c r="CQ114" i="17" s="1"/>
  <c r="DW114" i="17" s="1"/>
  <c r="FC114" i="17" s="1"/>
  <c r="GI114" i="17" s="1"/>
  <c r="HO114" i="17" s="1"/>
  <c r="BL114" i="17"/>
  <c r="BM114" i="17"/>
  <c r="CS114" i="17" s="1"/>
  <c r="DY114" i="17" s="1"/>
  <c r="FE114" i="17" s="1"/>
  <c r="GK114" i="17" s="1"/>
  <c r="HQ114" i="17" s="1"/>
  <c r="BY114" i="17"/>
  <c r="BZ114" i="17"/>
  <c r="CE114" i="17"/>
  <c r="CF114" i="17"/>
  <c r="CR114" i="17"/>
  <c r="DX114" i="17" s="1"/>
  <c r="FD114" i="17" s="1"/>
  <c r="GJ114" i="17" s="1"/>
  <c r="HP114" i="17" s="1"/>
  <c r="DE114" i="17"/>
  <c r="DF114" i="17"/>
  <c r="DK114" i="17"/>
  <c r="DL114" i="17"/>
  <c r="G115" i="17"/>
  <c r="N115" i="17"/>
  <c r="R115" i="17"/>
  <c r="S115" i="17" s="1"/>
  <c r="AA115" i="17"/>
  <c r="AB115" i="17"/>
  <c r="AC115" i="17" s="1"/>
  <c r="AH115" i="17"/>
  <c r="AI115" i="17"/>
  <c r="AK115" i="17"/>
  <c r="AS115" i="17"/>
  <c r="AT115" i="17"/>
  <c r="AY115" i="17"/>
  <c r="AZ115" i="17"/>
  <c r="BA115" i="17"/>
  <c r="CG115" i="17" s="1"/>
  <c r="DM115" i="17" s="1"/>
  <c r="BB115" i="17"/>
  <c r="CH115" i="17" s="1"/>
  <c r="DN115" i="17" s="1"/>
  <c r="ET115" i="17" s="1"/>
  <c r="FZ115" i="17" s="1"/>
  <c r="HF115" i="17" s="1"/>
  <c r="BC115" i="17"/>
  <c r="CI115" i="17" s="1"/>
  <c r="DO115" i="17" s="1"/>
  <c r="EU115" i="17" s="1"/>
  <c r="GA115" i="17" s="1"/>
  <c r="HG115" i="17" s="1"/>
  <c r="BD115" i="17"/>
  <c r="CJ115" i="17" s="1"/>
  <c r="DP115" i="17" s="1"/>
  <c r="EV115" i="17" s="1"/>
  <c r="GB115" i="17" s="1"/>
  <c r="HH115" i="17" s="1"/>
  <c r="BE115" i="17"/>
  <c r="CK115" i="17" s="1"/>
  <c r="DQ115" i="17" s="1"/>
  <c r="EW115" i="17" s="1"/>
  <c r="GC115" i="17" s="1"/>
  <c r="HI115" i="17" s="1"/>
  <c r="BF115" i="17"/>
  <c r="CL115" i="17" s="1"/>
  <c r="DR115" i="17" s="1"/>
  <c r="EX115" i="17" s="1"/>
  <c r="GD115" i="17" s="1"/>
  <c r="HJ115" i="17" s="1"/>
  <c r="BJ115" i="17"/>
  <c r="CP115" i="17" s="1"/>
  <c r="DV115" i="17" s="1"/>
  <c r="FB115" i="17" s="1"/>
  <c r="GH115" i="17" s="1"/>
  <c r="HN115" i="17" s="1"/>
  <c r="BK115" i="17"/>
  <c r="CQ115" i="17" s="1"/>
  <c r="DW115" i="17" s="1"/>
  <c r="FC115" i="17" s="1"/>
  <c r="GI115" i="17" s="1"/>
  <c r="HO115" i="17" s="1"/>
  <c r="BL115" i="17"/>
  <c r="CR115" i="17" s="1"/>
  <c r="DX115" i="17" s="1"/>
  <c r="FD115" i="17" s="1"/>
  <c r="GJ115" i="17" s="1"/>
  <c r="HP115" i="17" s="1"/>
  <c r="BM115" i="17"/>
  <c r="CS115" i="17" s="1"/>
  <c r="DY115" i="17" s="1"/>
  <c r="FE115" i="17" s="1"/>
  <c r="GK115" i="17" s="1"/>
  <c r="HQ115" i="17" s="1"/>
  <c r="BY115" i="17"/>
  <c r="BZ115" i="17"/>
  <c r="CE115" i="17"/>
  <c r="CF115" i="17"/>
  <c r="DE115" i="17"/>
  <c r="DF115" i="17"/>
  <c r="DK115" i="17"/>
  <c r="DL115" i="17"/>
  <c r="G116" i="17"/>
  <c r="N116" i="17"/>
  <c r="R116" i="17"/>
  <c r="S116" i="17" s="1"/>
  <c r="AA116" i="17"/>
  <c r="AB116" i="17"/>
  <c r="AH116" i="17"/>
  <c r="AI116" i="17"/>
  <c r="AK116" i="17"/>
  <c r="AS116" i="17"/>
  <c r="AT116" i="17"/>
  <c r="AY116" i="17"/>
  <c r="AZ116" i="17"/>
  <c r="BA116" i="17"/>
  <c r="CG116" i="17" s="1"/>
  <c r="BB116" i="17"/>
  <c r="CH116" i="17" s="1"/>
  <c r="DN116" i="17" s="1"/>
  <c r="ET116" i="17" s="1"/>
  <c r="FZ116" i="17" s="1"/>
  <c r="HF116" i="17" s="1"/>
  <c r="BC116" i="17"/>
  <c r="CI116" i="17" s="1"/>
  <c r="DO116" i="17" s="1"/>
  <c r="EU116" i="17" s="1"/>
  <c r="GA116" i="17" s="1"/>
  <c r="HG116" i="17" s="1"/>
  <c r="BD116" i="17"/>
  <c r="CJ116" i="17" s="1"/>
  <c r="DP116" i="17" s="1"/>
  <c r="EV116" i="17" s="1"/>
  <c r="GB116" i="17" s="1"/>
  <c r="HH116" i="17" s="1"/>
  <c r="BE116" i="17"/>
  <c r="CK116" i="17" s="1"/>
  <c r="DQ116" i="17" s="1"/>
  <c r="EW116" i="17" s="1"/>
  <c r="GC116" i="17" s="1"/>
  <c r="HI116" i="17" s="1"/>
  <c r="BF116" i="17"/>
  <c r="CL116" i="17" s="1"/>
  <c r="DR116" i="17" s="1"/>
  <c r="EX116" i="17" s="1"/>
  <c r="GD116" i="17" s="1"/>
  <c r="HJ116" i="17" s="1"/>
  <c r="BJ116" i="17"/>
  <c r="CP116" i="17" s="1"/>
  <c r="DV116" i="17" s="1"/>
  <c r="FB116" i="17" s="1"/>
  <c r="GH116" i="17" s="1"/>
  <c r="HN116" i="17" s="1"/>
  <c r="BK116" i="17"/>
  <c r="CQ116" i="17" s="1"/>
  <c r="DW116" i="17" s="1"/>
  <c r="FC116" i="17" s="1"/>
  <c r="GI116" i="17" s="1"/>
  <c r="HO116" i="17" s="1"/>
  <c r="BL116" i="17"/>
  <c r="CR116" i="17" s="1"/>
  <c r="DX116" i="17" s="1"/>
  <c r="FD116" i="17" s="1"/>
  <c r="GJ116" i="17" s="1"/>
  <c r="HP116" i="17" s="1"/>
  <c r="BM116" i="17"/>
  <c r="CS116" i="17" s="1"/>
  <c r="DY116" i="17" s="1"/>
  <c r="FE116" i="17" s="1"/>
  <c r="GK116" i="17" s="1"/>
  <c r="HQ116" i="17" s="1"/>
  <c r="BY116" i="17"/>
  <c r="BZ116" i="17"/>
  <c r="CE116" i="17"/>
  <c r="CF116" i="17"/>
  <c r="DE116" i="17"/>
  <c r="DF116" i="17"/>
  <c r="DK116" i="17"/>
  <c r="DL116" i="17"/>
  <c r="E117" i="17"/>
  <c r="F117" i="17"/>
  <c r="Q117" i="17"/>
  <c r="AA117" i="17"/>
  <c r="AB117" i="17"/>
  <c r="AH117" i="17"/>
  <c r="AI117" i="17"/>
  <c r="AK117" i="17"/>
  <c r="AS117" i="17"/>
  <c r="AT117" i="17"/>
  <c r="AY117" i="17"/>
  <c r="AZ117" i="17"/>
  <c r="BA117" i="17"/>
  <c r="BB117" i="17"/>
  <c r="CH117" i="17" s="1"/>
  <c r="DN117" i="17" s="1"/>
  <c r="ET117" i="17" s="1"/>
  <c r="FZ117" i="17" s="1"/>
  <c r="HF117" i="17" s="1"/>
  <c r="BC117" i="17"/>
  <c r="CI117" i="17" s="1"/>
  <c r="DO117" i="17" s="1"/>
  <c r="EU117" i="17" s="1"/>
  <c r="GA117" i="17" s="1"/>
  <c r="HG117" i="17" s="1"/>
  <c r="BD117" i="17"/>
  <c r="CJ117" i="17" s="1"/>
  <c r="DP117" i="17" s="1"/>
  <c r="EV117" i="17" s="1"/>
  <c r="GB117" i="17" s="1"/>
  <c r="HH117" i="17" s="1"/>
  <c r="BE117" i="17"/>
  <c r="CK117" i="17" s="1"/>
  <c r="DQ117" i="17" s="1"/>
  <c r="EW117" i="17" s="1"/>
  <c r="GC117" i="17" s="1"/>
  <c r="HI117" i="17" s="1"/>
  <c r="BF117" i="17"/>
  <c r="CL117" i="17" s="1"/>
  <c r="DR117" i="17" s="1"/>
  <c r="EX117" i="17" s="1"/>
  <c r="GD117" i="17" s="1"/>
  <c r="HJ117" i="17" s="1"/>
  <c r="BJ117" i="17"/>
  <c r="CP117" i="17" s="1"/>
  <c r="DV117" i="17" s="1"/>
  <c r="FB117" i="17" s="1"/>
  <c r="GH117" i="17" s="1"/>
  <c r="HN117" i="17" s="1"/>
  <c r="BK117" i="17"/>
  <c r="BL117" i="17"/>
  <c r="CR117" i="17" s="1"/>
  <c r="DX117" i="17" s="1"/>
  <c r="FD117" i="17" s="1"/>
  <c r="GJ117" i="17" s="1"/>
  <c r="HP117" i="17" s="1"/>
  <c r="BM117" i="17"/>
  <c r="CS117" i="17" s="1"/>
  <c r="DY117" i="17" s="1"/>
  <c r="FE117" i="17" s="1"/>
  <c r="GK117" i="17" s="1"/>
  <c r="HQ117" i="17" s="1"/>
  <c r="BY117" i="17"/>
  <c r="BZ117" i="17"/>
  <c r="CE117" i="17"/>
  <c r="CF117" i="17"/>
  <c r="CQ117" i="17"/>
  <c r="DW117" i="17" s="1"/>
  <c r="FC117" i="17" s="1"/>
  <c r="GI117" i="17" s="1"/>
  <c r="HO117" i="17" s="1"/>
  <c r="DE117" i="17"/>
  <c r="DF117" i="17"/>
  <c r="DK117" i="17"/>
  <c r="DL117" i="17"/>
  <c r="G118" i="17"/>
  <c r="N118" i="17"/>
  <c r="R118" i="17"/>
  <c r="S118" i="17" s="1"/>
  <c r="AA118" i="17"/>
  <c r="AB118" i="17"/>
  <c r="AH118" i="17"/>
  <c r="AI118" i="17"/>
  <c r="AK118" i="17"/>
  <c r="AS118" i="17"/>
  <c r="AT118" i="17"/>
  <c r="AY118" i="17"/>
  <c r="AZ118" i="17"/>
  <c r="BA118" i="17"/>
  <c r="BB118" i="17"/>
  <c r="CH118" i="17" s="1"/>
  <c r="DN118" i="17" s="1"/>
  <c r="ET118" i="17" s="1"/>
  <c r="FZ118" i="17" s="1"/>
  <c r="HF118" i="17" s="1"/>
  <c r="BC118" i="17"/>
  <c r="CI118" i="17" s="1"/>
  <c r="DO118" i="17" s="1"/>
  <c r="EU118" i="17" s="1"/>
  <c r="GA118" i="17" s="1"/>
  <c r="HG118" i="17" s="1"/>
  <c r="BD118" i="17"/>
  <c r="BE118" i="17"/>
  <c r="CK118" i="17" s="1"/>
  <c r="DQ118" i="17" s="1"/>
  <c r="EW118" i="17" s="1"/>
  <c r="GC118" i="17" s="1"/>
  <c r="HI118" i="17" s="1"/>
  <c r="BF118" i="17"/>
  <c r="CL118" i="17" s="1"/>
  <c r="DR118" i="17" s="1"/>
  <c r="EX118" i="17" s="1"/>
  <c r="GD118" i="17" s="1"/>
  <c r="HJ118" i="17" s="1"/>
  <c r="BJ118" i="17"/>
  <c r="CP118" i="17" s="1"/>
  <c r="DV118" i="17" s="1"/>
  <c r="FB118" i="17" s="1"/>
  <c r="GH118" i="17" s="1"/>
  <c r="HN118" i="17" s="1"/>
  <c r="BK118" i="17"/>
  <c r="CQ118" i="17" s="1"/>
  <c r="DW118" i="17" s="1"/>
  <c r="FC118" i="17" s="1"/>
  <c r="GI118" i="17" s="1"/>
  <c r="HO118" i="17" s="1"/>
  <c r="BL118" i="17"/>
  <c r="CR118" i="17" s="1"/>
  <c r="DX118" i="17" s="1"/>
  <c r="FD118" i="17" s="1"/>
  <c r="GJ118" i="17" s="1"/>
  <c r="HP118" i="17" s="1"/>
  <c r="BM118" i="17"/>
  <c r="CS118" i="17" s="1"/>
  <c r="DY118" i="17" s="1"/>
  <c r="FE118" i="17" s="1"/>
  <c r="GK118" i="17" s="1"/>
  <c r="HQ118" i="17" s="1"/>
  <c r="BY118" i="17"/>
  <c r="BZ118" i="17"/>
  <c r="CE118" i="17"/>
  <c r="CF118" i="17"/>
  <c r="CJ118" i="17"/>
  <c r="DP118" i="17" s="1"/>
  <c r="EV118" i="17" s="1"/>
  <c r="GB118" i="17" s="1"/>
  <c r="HH118" i="17" s="1"/>
  <c r="DE118" i="17"/>
  <c r="DF118" i="17"/>
  <c r="DK118" i="17"/>
  <c r="DL118" i="17"/>
  <c r="E119" i="17"/>
  <c r="F119" i="17"/>
  <c r="Q119" i="17"/>
  <c r="AA119" i="17"/>
  <c r="AB119" i="17"/>
  <c r="AH119" i="17"/>
  <c r="AI119" i="17"/>
  <c r="AK119" i="17"/>
  <c r="AS119" i="17"/>
  <c r="AT119" i="17"/>
  <c r="AY119" i="17"/>
  <c r="AZ119" i="17"/>
  <c r="BA119" i="17"/>
  <c r="BQ119" i="17" s="1"/>
  <c r="BB119" i="17"/>
  <c r="CH119" i="17" s="1"/>
  <c r="DN119" i="17" s="1"/>
  <c r="ET119" i="17" s="1"/>
  <c r="FZ119" i="17" s="1"/>
  <c r="HF119" i="17" s="1"/>
  <c r="BC119" i="17"/>
  <c r="CI119" i="17" s="1"/>
  <c r="DO119" i="17" s="1"/>
  <c r="EU119" i="17" s="1"/>
  <c r="GA119" i="17" s="1"/>
  <c r="HG119" i="17" s="1"/>
  <c r="BD119" i="17"/>
  <c r="CJ119" i="17" s="1"/>
  <c r="DP119" i="17" s="1"/>
  <c r="EV119" i="17" s="1"/>
  <c r="GB119" i="17" s="1"/>
  <c r="HH119" i="17" s="1"/>
  <c r="BE119" i="17"/>
  <c r="CK119" i="17" s="1"/>
  <c r="DQ119" i="17" s="1"/>
  <c r="EW119" i="17" s="1"/>
  <c r="GC119" i="17" s="1"/>
  <c r="HI119" i="17" s="1"/>
  <c r="BF119" i="17"/>
  <c r="CL119" i="17" s="1"/>
  <c r="DR119" i="17" s="1"/>
  <c r="EX119" i="17" s="1"/>
  <c r="GD119" i="17" s="1"/>
  <c r="HJ119" i="17" s="1"/>
  <c r="BJ119" i="17"/>
  <c r="CP119" i="17" s="1"/>
  <c r="DV119" i="17" s="1"/>
  <c r="FB119" i="17" s="1"/>
  <c r="GH119" i="17" s="1"/>
  <c r="HN119" i="17" s="1"/>
  <c r="BK119" i="17"/>
  <c r="CQ119" i="17" s="1"/>
  <c r="DW119" i="17" s="1"/>
  <c r="FC119" i="17" s="1"/>
  <c r="GI119" i="17" s="1"/>
  <c r="HO119" i="17" s="1"/>
  <c r="BL119" i="17"/>
  <c r="CR119" i="17" s="1"/>
  <c r="DX119" i="17" s="1"/>
  <c r="FD119" i="17" s="1"/>
  <c r="GJ119" i="17" s="1"/>
  <c r="HP119" i="17" s="1"/>
  <c r="BM119" i="17"/>
  <c r="CS119" i="17" s="1"/>
  <c r="DY119" i="17" s="1"/>
  <c r="FE119" i="17" s="1"/>
  <c r="GK119" i="17" s="1"/>
  <c r="HQ119" i="17" s="1"/>
  <c r="BY119" i="17"/>
  <c r="BZ119" i="17"/>
  <c r="CE119" i="17"/>
  <c r="CF119" i="17"/>
  <c r="DE119" i="17"/>
  <c r="DF119" i="17"/>
  <c r="DK119" i="17"/>
  <c r="DL119" i="17"/>
  <c r="E120" i="17"/>
  <c r="F120" i="17"/>
  <c r="N120" i="17" s="1"/>
  <c r="Q120" i="17"/>
  <c r="AA120" i="17"/>
  <c r="AB120" i="17"/>
  <c r="AH120" i="17"/>
  <c r="AI120" i="17"/>
  <c r="AK120" i="17"/>
  <c r="AS120" i="17"/>
  <c r="AT120" i="17"/>
  <c r="AY120" i="17"/>
  <c r="AZ120" i="17"/>
  <c r="BA120" i="17"/>
  <c r="CG120" i="17" s="1"/>
  <c r="BB120" i="17"/>
  <c r="CH120" i="17" s="1"/>
  <c r="DN120" i="17" s="1"/>
  <c r="ET120" i="17" s="1"/>
  <c r="FZ120" i="17" s="1"/>
  <c r="HF120" i="17" s="1"/>
  <c r="BC120" i="17"/>
  <c r="CI120" i="17" s="1"/>
  <c r="DO120" i="17" s="1"/>
  <c r="EU120" i="17" s="1"/>
  <c r="GA120" i="17" s="1"/>
  <c r="HG120" i="17" s="1"/>
  <c r="BD120" i="17"/>
  <c r="BE120" i="17"/>
  <c r="CK120" i="17" s="1"/>
  <c r="DQ120" i="17" s="1"/>
  <c r="EW120" i="17" s="1"/>
  <c r="GC120" i="17" s="1"/>
  <c r="HI120" i="17" s="1"/>
  <c r="BF120" i="17"/>
  <c r="CL120" i="17" s="1"/>
  <c r="DR120" i="17" s="1"/>
  <c r="EX120" i="17" s="1"/>
  <c r="GD120" i="17" s="1"/>
  <c r="HJ120" i="17" s="1"/>
  <c r="BJ120" i="17"/>
  <c r="CP120" i="17" s="1"/>
  <c r="DV120" i="17" s="1"/>
  <c r="FB120" i="17" s="1"/>
  <c r="GH120" i="17" s="1"/>
  <c r="HN120" i="17" s="1"/>
  <c r="BK120" i="17"/>
  <c r="CQ120" i="17" s="1"/>
  <c r="DW120" i="17" s="1"/>
  <c r="FC120" i="17" s="1"/>
  <c r="GI120" i="17" s="1"/>
  <c r="HO120" i="17" s="1"/>
  <c r="BL120" i="17"/>
  <c r="CR120" i="17" s="1"/>
  <c r="DX120" i="17" s="1"/>
  <c r="FD120" i="17" s="1"/>
  <c r="GJ120" i="17" s="1"/>
  <c r="HP120" i="17" s="1"/>
  <c r="BM120" i="17"/>
  <c r="CS120" i="17" s="1"/>
  <c r="DY120" i="17" s="1"/>
  <c r="FE120" i="17" s="1"/>
  <c r="GK120" i="17" s="1"/>
  <c r="HQ120" i="17" s="1"/>
  <c r="BQ120" i="17"/>
  <c r="BY120" i="17"/>
  <c r="BZ120" i="17"/>
  <c r="CE120" i="17"/>
  <c r="CF120" i="17"/>
  <c r="CJ120" i="17"/>
  <c r="DP120" i="17" s="1"/>
  <c r="EV120" i="17" s="1"/>
  <c r="GB120" i="17" s="1"/>
  <c r="HH120" i="17" s="1"/>
  <c r="DE120" i="17"/>
  <c r="DF120" i="17"/>
  <c r="DK120" i="17"/>
  <c r="DL120" i="17"/>
  <c r="G121" i="17"/>
  <c r="J121" i="17"/>
  <c r="N121" i="17"/>
  <c r="R121" i="17"/>
  <c r="S121" i="17" s="1"/>
  <c r="AA121" i="17"/>
  <c r="AB121" i="17"/>
  <c r="AH121" i="17"/>
  <c r="AI121" i="17"/>
  <c r="AK121" i="17"/>
  <c r="AS121" i="17"/>
  <c r="AT121" i="17"/>
  <c r="AY121" i="17"/>
  <c r="AZ121" i="17"/>
  <c r="BA121" i="17"/>
  <c r="CG121" i="17" s="1"/>
  <c r="BB121" i="17"/>
  <c r="CH121" i="17" s="1"/>
  <c r="DN121" i="17" s="1"/>
  <c r="ET121" i="17" s="1"/>
  <c r="FZ121" i="17" s="1"/>
  <c r="HF121" i="17" s="1"/>
  <c r="BC121" i="17"/>
  <c r="CI121" i="17" s="1"/>
  <c r="DO121" i="17" s="1"/>
  <c r="EU121" i="17" s="1"/>
  <c r="GA121" i="17" s="1"/>
  <c r="HG121" i="17" s="1"/>
  <c r="BD121" i="17"/>
  <c r="CJ121" i="17" s="1"/>
  <c r="DP121" i="17" s="1"/>
  <c r="EV121" i="17" s="1"/>
  <c r="GB121" i="17" s="1"/>
  <c r="HH121" i="17" s="1"/>
  <c r="BE121" i="17"/>
  <c r="CK121" i="17" s="1"/>
  <c r="DQ121" i="17" s="1"/>
  <c r="EW121" i="17" s="1"/>
  <c r="GC121" i="17" s="1"/>
  <c r="HI121" i="17" s="1"/>
  <c r="BF121" i="17"/>
  <c r="CL121" i="17" s="1"/>
  <c r="DR121" i="17" s="1"/>
  <c r="EX121" i="17" s="1"/>
  <c r="GD121" i="17" s="1"/>
  <c r="HJ121" i="17" s="1"/>
  <c r="BJ121" i="17"/>
  <c r="CP121" i="17" s="1"/>
  <c r="DV121" i="17" s="1"/>
  <c r="FB121" i="17" s="1"/>
  <c r="GH121" i="17" s="1"/>
  <c r="HN121" i="17" s="1"/>
  <c r="BK121" i="17"/>
  <c r="CQ121" i="17" s="1"/>
  <c r="DW121" i="17" s="1"/>
  <c r="FC121" i="17" s="1"/>
  <c r="GI121" i="17" s="1"/>
  <c r="HO121" i="17" s="1"/>
  <c r="BL121" i="17"/>
  <c r="CR121" i="17" s="1"/>
  <c r="DX121" i="17" s="1"/>
  <c r="FD121" i="17" s="1"/>
  <c r="GJ121" i="17" s="1"/>
  <c r="HP121" i="17" s="1"/>
  <c r="BM121" i="17"/>
  <c r="CS121" i="17" s="1"/>
  <c r="DY121" i="17" s="1"/>
  <c r="FE121" i="17" s="1"/>
  <c r="GK121" i="17" s="1"/>
  <c r="HQ121" i="17" s="1"/>
  <c r="BY121" i="17"/>
  <c r="BZ121" i="17"/>
  <c r="CE121" i="17"/>
  <c r="CF121" i="17"/>
  <c r="DE121" i="17"/>
  <c r="DF121" i="17"/>
  <c r="DK121" i="17"/>
  <c r="DL121" i="17"/>
  <c r="N122" i="17"/>
  <c r="S122" i="17"/>
  <c r="AA122" i="17"/>
  <c r="AB122" i="17"/>
  <c r="AC122" i="17" s="1"/>
  <c r="AH122" i="17"/>
  <c r="AI122" i="17"/>
  <c r="AK122" i="17"/>
  <c r="AS122" i="17"/>
  <c r="AT122" i="17"/>
  <c r="AY122" i="17"/>
  <c r="AZ122" i="17"/>
  <c r="BA122" i="17"/>
  <c r="BQ122" i="17" s="1"/>
  <c r="BB122" i="17"/>
  <c r="CH122" i="17" s="1"/>
  <c r="DN122" i="17" s="1"/>
  <c r="ET122" i="17" s="1"/>
  <c r="FZ122" i="17" s="1"/>
  <c r="HF122" i="17" s="1"/>
  <c r="BC122" i="17"/>
  <c r="CI122" i="17" s="1"/>
  <c r="DO122" i="17" s="1"/>
  <c r="EU122" i="17" s="1"/>
  <c r="GA122" i="17" s="1"/>
  <c r="HG122" i="17" s="1"/>
  <c r="BD122" i="17"/>
  <c r="CJ122" i="17" s="1"/>
  <c r="DP122" i="17" s="1"/>
  <c r="EV122" i="17" s="1"/>
  <c r="GB122" i="17" s="1"/>
  <c r="HH122" i="17" s="1"/>
  <c r="BE122" i="17"/>
  <c r="CK122" i="17" s="1"/>
  <c r="DQ122" i="17" s="1"/>
  <c r="EW122" i="17" s="1"/>
  <c r="GC122" i="17" s="1"/>
  <c r="HI122" i="17" s="1"/>
  <c r="BF122" i="17"/>
  <c r="CL122" i="17" s="1"/>
  <c r="DR122" i="17" s="1"/>
  <c r="EX122" i="17" s="1"/>
  <c r="GD122" i="17" s="1"/>
  <c r="HJ122" i="17" s="1"/>
  <c r="BJ122" i="17"/>
  <c r="CP122" i="17" s="1"/>
  <c r="DV122" i="17" s="1"/>
  <c r="FB122" i="17" s="1"/>
  <c r="GH122" i="17" s="1"/>
  <c r="HN122" i="17" s="1"/>
  <c r="BK122" i="17"/>
  <c r="CQ122" i="17" s="1"/>
  <c r="DW122" i="17" s="1"/>
  <c r="FC122" i="17" s="1"/>
  <c r="GI122" i="17" s="1"/>
  <c r="HO122" i="17" s="1"/>
  <c r="BL122" i="17"/>
  <c r="CR122" i="17" s="1"/>
  <c r="DX122" i="17" s="1"/>
  <c r="FD122" i="17" s="1"/>
  <c r="GJ122" i="17" s="1"/>
  <c r="HP122" i="17" s="1"/>
  <c r="BM122" i="17"/>
  <c r="CS122" i="17" s="1"/>
  <c r="DY122" i="17" s="1"/>
  <c r="FE122" i="17" s="1"/>
  <c r="GK122" i="17" s="1"/>
  <c r="HQ122" i="17" s="1"/>
  <c r="BY122" i="17"/>
  <c r="BZ122" i="17"/>
  <c r="CE122" i="17"/>
  <c r="CF122" i="17"/>
  <c r="DE122" i="17"/>
  <c r="DF122" i="17"/>
  <c r="DK122" i="17"/>
  <c r="DL122" i="17"/>
  <c r="K123" i="17"/>
  <c r="O123" i="17"/>
  <c r="U123" i="17"/>
  <c r="V123" i="17"/>
  <c r="W123" i="17"/>
  <c r="Y123" i="17"/>
  <c r="Z123" i="17"/>
  <c r="AD123" i="17"/>
  <c r="AE123" i="17"/>
  <c r="AF123" i="17"/>
  <c r="AG123" i="17"/>
  <c r="AL123" i="17"/>
  <c r="AM123" i="17"/>
  <c r="AN123" i="17"/>
  <c r="AO123" i="17"/>
  <c r="AP123" i="17"/>
  <c r="AQ123" i="17"/>
  <c r="AR123" i="17"/>
  <c r="AU123" i="17"/>
  <c r="AV123" i="17"/>
  <c r="AW123" i="17"/>
  <c r="AX123" i="17"/>
  <c r="BR123" i="17"/>
  <c r="BS123" i="17"/>
  <c r="BT123" i="17"/>
  <c r="BU123" i="17"/>
  <c r="BV123" i="17"/>
  <c r="BW123" i="17"/>
  <c r="BX123" i="17"/>
  <c r="CA123" i="17"/>
  <c r="CB123" i="17"/>
  <c r="CC123" i="17"/>
  <c r="CD123" i="17"/>
  <c r="CX123" i="17"/>
  <c r="CY123" i="17"/>
  <c r="CZ123" i="17"/>
  <c r="DA123" i="17"/>
  <c r="DB123" i="17"/>
  <c r="DC123" i="17"/>
  <c r="DD123" i="17"/>
  <c r="DG123" i="17"/>
  <c r="DH123" i="17"/>
  <c r="DI123" i="17"/>
  <c r="DJ123" i="17"/>
  <c r="ED123" i="17"/>
  <c r="EE123" i="17"/>
  <c r="EF123" i="17"/>
  <c r="EG123" i="17"/>
  <c r="EH123" i="17"/>
  <c r="EI123" i="17"/>
  <c r="EJ123" i="17"/>
  <c r="EK123" i="17"/>
  <c r="EL123" i="17"/>
  <c r="EM123" i="17"/>
  <c r="EN123" i="17"/>
  <c r="EO123" i="17"/>
  <c r="EP123" i="17"/>
  <c r="EQ123" i="17"/>
  <c r="ER123" i="17"/>
  <c r="FJ123" i="17"/>
  <c r="FK123" i="17"/>
  <c r="FL123" i="17"/>
  <c r="FM123" i="17"/>
  <c r="FN123" i="17"/>
  <c r="FO123" i="17"/>
  <c r="FP123" i="17"/>
  <c r="FQ123" i="17"/>
  <c r="FR123" i="17"/>
  <c r="FS123" i="17"/>
  <c r="FT123" i="17"/>
  <c r="FU123" i="17"/>
  <c r="FV123" i="17"/>
  <c r="FW123" i="17"/>
  <c r="FX123" i="17"/>
  <c r="GP123" i="17"/>
  <c r="GQ123" i="17"/>
  <c r="GR123" i="17"/>
  <c r="GS123" i="17"/>
  <c r="GT123" i="17"/>
  <c r="GU123" i="17"/>
  <c r="GV123" i="17"/>
  <c r="GW123" i="17"/>
  <c r="GX123" i="17"/>
  <c r="GY123" i="17"/>
  <c r="GZ123" i="17"/>
  <c r="HA123" i="17"/>
  <c r="HB123" i="17"/>
  <c r="HC123" i="17"/>
  <c r="HD123" i="17"/>
  <c r="EU124" i="17"/>
  <c r="EV124" i="17"/>
  <c r="EW124" i="17"/>
  <c r="EX124" i="17"/>
  <c r="EY124" i="17"/>
  <c r="EZ124" i="17"/>
  <c r="FB124" i="17"/>
  <c r="FC124" i="17"/>
  <c r="FD124" i="17"/>
  <c r="FE124" i="17"/>
  <c r="FF124" i="17"/>
  <c r="FG124" i="17"/>
  <c r="GA124" i="17"/>
  <c r="GB124" i="17"/>
  <c r="GC124" i="17"/>
  <c r="GD124" i="17"/>
  <c r="GE124" i="17"/>
  <c r="GF124" i="17"/>
  <c r="GH124" i="17"/>
  <c r="GI124" i="17"/>
  <c r="GJ124" i="17"/>
  <c r="GK124" i="17"/>
  <c r="GL124" i="17"/>
  <c r="GM124" i="17"/>
  <c r="HG124" i="17"/>
  <c r="HH124" i="17"/>
  <c r="HI124" i="17"/>
  <c r="HJ124" i="17"/>
  <c r="HK124" i="17"/>
  <c r="HL124" i="17"/>
  <c r="HN124" i="17"/>
  <c r="HO124" i="17"/>
  <c r="HP124" i="17"/>
  <c r="HQ124" i="17"/>
  <c r="HR124" i="17"/>
  <c r="HS124" i="17"/>
  <c r="G125" i="17"/>
  <c r="K125" i="17"/>
  <c r="K128" i="17" s="1"/>
  <c r="L125" i="17"/>
  <c r="N125" i="17" s="1"/>
  <c r="O125" i="17"/>
  <c r="P125" i="17"/>
  <c r="Q125" i="17"/>
  <c r="AA125" i="17"/>
  <c r="AB125" i="17"/>
  <c r="AH125" i="17"/>
  <c r="AI125" i="17"/>
  <c r="AK125" i="17"/>
  <c r="AN125" i="17"/>
  <c r="BB125" i="17" s="1"/>
  <c r="CH125" i="17" s="1"/>
  <c r="AP125" i="17"/>
  <c r="BD125" i="17" s="1"/>
  <c r="CJ125" i="17" s="1"/>
  <c r="DP125" i="17" s="1"/>
  <c r="AS125" i="17"/>
  <c r="AY125" i="17"/>
  <c r="AZ125" i="17"/>
  <c r="BA125" i="17"/>
  <c r="BC125" i="17"/>
  <c r="CI125" i="17" s="1"/>
  <c r="DO125" i="17" s="1"/>
  <c r="EU125" i="17" s="1"/>
  <c r="GA125" i="17" s="1"/>
  <c r="HG125" i="17" s="1"/>
  <c r="BE125" i="17"/>
  <c r="CK125" i="17" s="1"/>
  <c r="DQ125" i="17" s="1"/>
  <c r="EW125" i="17" s="1"/>
  <c r="GC125" i="17" s="1"/>
  <c r="HI125" i="17" s="1"/>
  <c r="BF125" i="17"/>
  <c r="CL125" i="17" s="1"/>
  <c r="DR125" i="17" s="1"/>
  <c r="BJ125" i="17"/>
  <c r="CP125" i="17" s="1"/>
  <c r="DV125" i="17" s="1"/>
  <c r="BK125" i="17"/>
  <c r="BL125" i="17"/>
  <c r="BM125" i="17"/>
  <c r="BY125" i="17"/>
  <c r="BZ125" i="17"/>
  <c r="CB125" i="17"/>
  <c r="CD125" i="17"/>
  <c r="CE125" i="17"/>
  <c r="CZ125" i="17"/>
  <c r="DE125" i="17"/>
  <c r="DF125" i="17"/>
  <c r="DH125" i="17"/>
  <c r="DJ125" i="17"/>
  <c r="DK125" i="17"/>
  <c r="EK125" i="17"/>
  <c r="EL125" i="17"/>
  <c r="EQ125" i="17"/>
  <c r="ER125" i="17"/>
  <c r="FQ125" i="17"/>
  <c r="FR125" i="17"/>
  <c r="FW125" i="17"/>
  <c r="FX125" i="17"/>
  <c r="GW125" i="17"/>
  <c r="GX125" i="17"/>
  <c r="HC125" i="17"/>
  <c r="HD125" i="17"/>
  <c r="G126" i="17"/>
  <c r="N126" i="17"/>
  <c r="O126" i="17"/>
  <c r="P126" i="17"/>
  <c r="AA126" i="17"/>
  <c r="AB126" i="17"/>
  <c r="AH126" i="17"/>
  <c r="AI126" i="17"/>
  <c r="AJ126" i="17" s="1"/>
  <c r="AK126" i="17"/>
  <c r="AS126" i="17"/>
  <c r="AT126" i="17"/>
  <c r="AY126" i="17"/>
  <c r="AZ126" i="17"/>
  <c r="BA126" i="17"/>
  <c r="CG126" i="17" s="1"/>
  <c r="BB126" i="17"/>
  <c r="CH126" i="17" s="1"/>
  <c r="DN126" i="17" s="1"/>
  <c r="ET126" i="17" s="1"/>
  <c r="FZ126" i="17" s="1"/>
  <c r="HF126" i="17" s="1"/>
  <c r="BC126" i="17"/>
  <c r="BD126" i="17"/>
  <c r="CJ126" i="17" s="1"/>
  <c r="BE126" i="17"/>
  <c r="CK126" i="17" s="1"/>
  <c r="DQ126" i="17" s="1"/>
  <c r="BF126" i="17"/>
  <c r="CL126" i="17" s="1"/>
  <c r="BJ126" i="17"/>
  <c r="CP126" i="17" s="1"/>
  <c r="DV126" i="17" s="1"/>
  <c r="FB126" i="17" s="1"/>
  <c r="GH126" i="17" s="1"/>
  <c r="HN126" i="17" s="1"/>
  <c r="BK126" i="17"/>
  <c r="CQ126" i="17" s="1"/>
  <c r="DW126" i="17" s="1"/>
  <c r="FC126" i="17" s="1"/>
  <c r="GI126" i="17" s="1"/>
  <c r="HO126" i="17" s="1"/>
  <c r="BL126" i="17"/>
  <c r="CR126" i="17" s="1"/>
  <c r="BM126" i="17"/>
  <c r="CS126" i="17" s="1"/>
  <c r="DY126" i="17" s="1"/>
  <c r="FE126" i="17" s="1"/>
  <c r="GK126" i="17" s="1"/>
  <c r="HQ126" i="17" s="1"/>
  <c r="BY126" i="17"/>
  <c r="BZ126" i="17"/>
  <c r="CE126" i="17"/>
  <c r="CF126" i="17"/>
  <c r="CI126" i="17"/>
  <c r="DO126" i="17" s="1"/>
  <c r="DE126" i="17"/>
  <c r="DF126" i="17"/>
  <c r="DK126" i="17"/>
  <c r="DL126" i="17"/>
  <c r="EK126" i="17"/>
  <c r="EL126" i="17"/>
  <c r="EQ126" i="17"/>
  <c r="ER126" i="17"/>
  <c r="FQ126" i="17"/>
  <c r="FR126" i="17"/>
  <c r="FW126" i="17"/>
  <c r="FX126" i="17"/>
  <c r="GW126" i="17"/>
  <c r="GX126" i="17"/>
  <c r="HC126" i="17"/>
  <c r="HD126" i="17"/>
  <c r="E127" i="17"/>
  <c r="E128" i="17" s="1"/>
  <c r="F127" i="17"/>
  <c r="H127" i="17"/>
  <c r="H128" i="17" s="1"/>
  <c r="I127" i="17"/>
  <c r="I128" i="17" s="1"/>
  <c r="M127" i="17"/>
  <c r="P127" i="17"/>
  <c r="Q127" i="17"/>
  <c r="T127" i="17"/>
  <c r="AK127" i="17" s="1"/>
  <c r="W127" i="17"/>
  <c r="W128" i="17" s="1"/>
  <c r="X127" i="17"/>
  <c r="AB127" i="17" s="1"/>
  <c r="AG127" i="17"/>
  <c r="AG128" i="17" s="1"/>
  <c r="AH127" i="17"/>
  <c r="AN127" i="17"/>
  <c r="AO127" i="17"/>
  <c r="AO128" i="17" s="1"/>
  <c r="AO129" i="17" s="1"/>
  <c r="AP127" i="17"/>
  <c r="AT127" i="17" s="1"/>
  <c r="AV127" i="17"/>
  <c r="BK127" i="17" s="1"/>
  <c r="AY127" i="17"/>
  <c r="BA127" i="17"/>
  <c r="BE127" i="17"/>
  <c r="CK127" i="17" s="1"/>
  <c r="DQ127" i="17" s="1"/>
  <c r="EW127" i="17" s="1"/>
  <c r="GC127" i="17" s="1"/>
  <c r="HI127" i="17" s="1"/>
  <c r="BF127" i="17"/>
  <c r="CL127" i="17" s="1"/>
  <c r="DR127" i="17" s="1"/>
  <c r="EX127" i="17" s="1"/>
  <c r="GD127" i="17" s="1"/>
  <c r="HJ127" i="17" s="1"/>
  <c r="BJ127" i="17"/>
  <c r="CP127" i="17" s="1"/>
  <c r="DV127" i="17" s="1"/>
  <c r="FB127" i="17" s="1"/>
  <c r="GH127" i="17" s="1"/>
  <c r="HN127" i="17" s="1"/>
  <c r="BL127" i="17"/>
  <c r="CR127" i="17" s="1"/>
  <c r="DX127" i="17" s="1"/>
  <c r="FD127" i="17" s="1"/>
  <c r="GJ127" i="17" s="1"/>
  <c r="HP127" i="17" s="1"/>
  <c r="BU127" i="17"/>
  <c r="BY127" i="17" s="1"/>
  <c r="BZ127" i="17"/>
  <c r="CB127" i="17"/>
  <c r="CE127" i="17"/>
  <c r="DA127" i="17"/>
  <c r="DB127" i="17"/>
  <c r="DB128" i="17" s="1"/>
  <c r="DH127" i="17"/>
  <c r="DJ127" i="17"/>
  <c r="DK127" i="17"/>
  <c r="EH127" i="17"/>
  <c r="EH128" i="17" s="1"/>
  <c r="EK127" i="17"/>
  <c r="EL127" i="17"/>
  <c r="EN127" i="17"/>
  <c r="EN128" i="17" s="1"/>
  <c r="EQ127" i="17"/>
  <c r="FL127" i="17"/>
  <c r="FL128" i="17" s="1"/>
  <c r="FN127" i="17"/>
  <c r="FN128" i="17" s="1"/>
  <c r="FQ127" i="17"/>
  <c r="FW127" i="17"/>
  <c r="FX127" i="17"/>
  <c r="GW127" i="17"/>
  <c r="GX127" i="17"/>
  <c r="GZ127" i="17"/>
  <c r="GZ128" i="17" s="1"/>
  <c r="HC127" i="17"/>
  <c r="J128" i="17"/>
  <c r="M128" i="17"/>
  <c r="U128" i="17"/>
  <c r="Y128" i="17"/>
  <c r="Z128" i="17"/>
  <c r="AD128" i="17"/>
  <c r="AE128" i="17"/>
  <c r="AF128" i="17"/>
  <c r="AL128" i="17"/>
  <c r="AM128" i="17"/>
  <c r="AQ128" i="17"/>
  <c r="AR128" i="17"/>
  <c r="AU128" i="17"/>
  <c r="AW128" i="17"/>
  <c r="BR128" i="17"/>
  <c r="BS128" i="17"/>
  <c r="BT128" i="17"/>
  <c r="BV128" i="17"/>
  <c r="BW128" i="17"/>
  <c r="BX128" i="17"/>
  <c r="CA128" i="17"/>
  <c r="CC128" i="17"/>
  <c r="CX128" i="17"/>
  <c r="CY128" i="17"/>
  <c r="DC128" i="17"/>
  <c r="DD128" i="17"/>
  <c r="DG128" i="17"/>
  <c r="DI128" i="17"/>
  <c r="ED128" i="17"/>
  <c r="EE128" i="17"/>
  <c r="EG128" i="17"/>
  <c r="EI128" i="17"/>
  <c r="EJ128" i="17"/>
  <c r="EM128" i="17"/>
  <c r="EO128" i="17"/>
  <c r="FJ128" i="17"/>
  <c r="FK128" i="17"/>
  <c r="FM128" i="17"/>
  <c r="FO128" i="17"/>
  <c r="FP128" i="17"/>
  <c r="FS128" i="17"/>
  <c r="FT128" i="17"/>
  <c r="FU128" i="17"/>
  <c r="FV128" i="17"/>
  <c r="GP128" i="17"/>
  <c r="GQ128" i="17"/>
  <c r="GR128" i="17"/>
  <c r="GS128" i="17"/>
  <c r="GT128" i="17"/>
  <c r="GU128" i="17"/>
  <c r="GV128" i="17"/>
  <c r="GY128" i="17"/>
  <c r="HA128" i="17"/>
  <c r="HB128" i="17"/>
  <c r="G130" i="17"/>
  <c r="N130" i="17"/>
  <c r="N131" i="17" s="1"/>
  <c r="R130" i="17"/>
  <c r="S130" i="17" s="1"/>
  <c r="S131" i="17" s="1"/>
  <c r="AA130" i="17"/>
  <c r="AA131" i="17" s="1"/>
  <c r="AB130" i="17"/>
  <c r="AB131" i="17" s="1"/>
  <c r="AH130" i="17"/>
  <c r="AI130" i="17"/>
  <c r="AK130" i="17"/>
  <c r="AN130" i="17"/>
  <c r="AN131" i="17" s="1"/>
  <c r="AP130" i="17"/>
  <c r="BD130" i="17" s="1"/>
  <c r="CJ130" i="17" s="1"/>
  <c r="CJ131" i="17" s="1"/>
  <c r="AS130" i="17"/>
  <c r="AS131" i="17" s="1"/>
  <c r="AV130" i="17"/>
  <c r="BK130" i="17" s="1"/>
  <c r="AY130" i="17"/>
  <c r="AY131" i="17" s="1"/>
  <c r="BA130" i="17"/>
  <c r="BA131" i="17" s="1"/>
  <c r="BC130" i="17"/>
  <c r="BC131" i="17" s="1"/>
  <c r="BE130" i="17"/>
  <c r="BE131" i="17" s="1"/>
  <c r="BF130" i="17"/>
  <c r="BF131" i="17" s="1"/>
  <c r="BJ130" i="17"/>
  <c r="BJ131" i="17" s="1"/>
  <c r="BL130" i="17"/>
  <c r="BL131" i="17" s="1"/>
  <c r="BM130" i="17"/>
  <c r="BM131" i="17" s="1"/>
  <c r="BY130" i="17"/>
  <c r="BY131" i="17" s="1"/>
  <c r="BZ130" i="17"/>
  <c r="BZ131" i="17" s="1"/>
  <c r="CB130" i="17"/>
  <c r="CB131" i="17" s="1"/>
  <c r="CD130" i="17"/>
  <c r="CD131" i="17" s="1"/>
  <c r="CE130" i="17"/>
  <c r="CE131" i="17" s="1"/>
  <c r="CZ130" i="17"/>
  <c r="DB130" i="17"/>
  <c r="DB131" i="17" s="1"/>
  <c r="DE130" i="17"/>
  <c r="DE131" i="17" s="1"/>
  <c r="DH130" i="17"/>
  <c r="DH131" i="17" s="1"/>
  <c r="DJ130" i="17"/>
  <c r="DJ131" i="17" s="1"/>
  <c r="DK130" i="17"/>
  <c r="DK131" i="17" s="1"/>
  <c r="EF130" i="17"/>
  <c r="EF131" i="17" s="1"/>
  <c r="EK130" i="17"/>
  <c r="EK131" i="17" s="1"/>
  <c r="EL130" i="17"/>
  <c r="EL131" i="17" s="1"/>
  <c r="EN130" i="17"/>
  <c r="EN131" i="17" s="1"/>
  <c r="EQ130" i="17"/>
  <c r="EQ131" i="17" s="1"/>
  <c r="FQ130" i="17"/>
  <c r="FQ131" i="17" s="1"/>
  <c r="FR130" i="17"/>
  <c r="FR131" i="17" s="1"/>
  <c r="FT130" i="17"/>
  <c r="FV130" i="17"/>
  <c r="FV131" i="17" s="1"/>
  <c r="FW130" i="17"/>
  <c r="FW131" i="17" s="1"/>
  <c r="GR130" i="17"/>
  <c r="GR131" i="17" s="1"/>
  <c r="GT130" i="17"/>
  <c r="GT131" i="17" s="1"/>
  <c r="GW130" i="17"/>
  <c r="GW131" i="17" s="1"/>
  <c r="GX130" i="17"/>
  <c r="GX131" i="17" s="1"/>
  <c r="GZ130" i="17"/>
  <c r="GZ131" i="17" s="1"/>
  <c r="HB130" i="17"/>
  <c r="HB131" i="17" s="1"/>
  <c r="HC130" i="17"/>
  <c r="HC131" i="17" s="1"/>
  <c r="E131" i="17"/>
  <c r="F131" i="17"/>
  <c r="H131" i="17"/>
  <c r="I131" i="17"/>
  <c r="K131" i="17"/>
  <c r="L131" i="17"/>
  <c r="O131" i="17"/>
  <c r="P131" i="17"/>
  <c r="Q131" i="17"/>
  <c r="T131" i="17"/>
  <c r="U131" i="17"/>
  <c r="V131" i="17"/>
  <c r="W131" i="17"/>
  <c r="X131" i="17"/>
  <c r="Y131" i="17"/>
  <c r="Z131" i="17"/>
  <c r="AD131" i="17"/>
  <c r="AE131" i="17"/>
  <c r="AF131" i="17"/>
  <c r="AG131" i="17"/>
  <c r="AL131" i="17"/>
  <c r="AM131" i="17"/>
  <c r="AO131" i="17"/>
  <c r="AQ131" i="17"/>
  <c r="AR131" i="17"/>
  <c r="AU131" i="17"/>
  <c r="AW131" i="17"/>
  <c r="AX131" i="17"/>
  <c r="BR131" i="17"/>
  <c r="BS131" i="17"/>
  <c r="BT131" i="17"/>
  <c r="BU131" i="17"/>
  <c r="BV131" i="17"/>
  <c r="BW131" i="17"/>
  <c r="BX131" i="17"/>
  <c r="CA131" i="17"/>
  <c r="CC131" i="17"/>
  <c r="CX131" i="17"/>
  <c r="CY131" i="17"/>
  <c r="DA131" i="17"/>
  <c r="DC131" i="17"/>
  <c r="DD131" i="17"/>
  <c r="DG131" i="17"/>
  <c r="DI131" i="17"/>
  <c r="ED131" i="17"/>
  <c r="EE131" i="17"/>
  <c r="EG131" i="17"/>
  <c r="EH131" i="17"/>
  <c r="EI131" i="17"/>
  <c r="EJ131" i="17"/>
  <c r="EM131" i="17"/>
  <c r="EO131" i="17"/>
  <c r="FJ131" i="17"/>
  <c r="FK131" i="17"/>
  <c r="FL131" i="17"/>
  <c r="FM131" i="17"/>
  <c r="FN131" i="17"/>
  <c r="FO131" i="17"/>
  <c r="FP131" i="17"/>
  <c r="FS131" i="17"/>
  <c r="FU131" i="17"/>
  <c r="GP131" i="17"/>
  <c r="GQ131" i="17"/>
  <c r="GS131" i="17"/>
  <c r="GU131" i="17"/>
  <c r="GV131" i="17"/>
  <c r="GY131" i="17"/>
  <c r="HA131" i="17"/>
  <c r="E132" i="17"/>
  <c r="E138" i="17" s="1"/>
  <c r="F132" i="17"/>
  <c r="Q132" i="17"/>
  <c r="T132" i="17"/>
  <c r="W132" i="17"/>
  <c r="AA132" i="17" s="1"/>
  <c r="X132" i="17"/>
  <c r="AB132" i="17" s="1"/>
  <c r="AH132" i="17"/>
  <c r="AI132" i="17"/>
  <c r="AJ132" i="17" s="1"/>
  <c r="AN132" i="17"/>
  <c r="BB132" i="17" s="1"/>
  <c r="AO132" i="17"/>
  <c r="AP132" i="17"/>
  <c r="AT132" i="17" s="1"/>
  <c r="AS132" i="17"/>
  <c r="AV132" i="17"/>
  <c r="BK132" i="17" s="1"/>
  <c r="AY132" i="17"/>
  <c r="BA132" i="17"/>
  <c r="CG132" i="17" s="1"/>
  <c r="DM132" i="17" s="1"/>
  <c r="BE132" i="17"/>
  <c r="BF132" i="17"/>
  <c r="CL132" i="17" s="1"/>
  <c r="BJ132" i="17"/>
  <c r="CP132" i="17" s="1"/>
  <c r="DV132" i="17" s="1"/>
  <c r="FB132" i="17" s="1"/>
  <c r="GH132" i="17" s="1"/>
  <c r="HN132" i="17" s="1"/>
  <c r="BL132" i="17"/>
  <c r="CR132" i="17" s="1"/>
  <c r="DX132" i="17" s="1"/>
  <c r="FD132" i="17" s="1"/>
  <c r="BY132" i="17"/>
  <c r="BZ132" i="17"/>
  <c r="CB132" i="17"/>
  <c r="CE132" i="17"/>
  <c r="CK132" i="17"/>
  <c r="DQ132" i="17" s="1"/>
  <c r="EW132" i="17" s="1"/>
  <c r="GC132" i="17" s="1"/>
  <c r="HI132" i="17" s="1"/>
  <c r="CZ132" i="17"/>
  <c r="DA132" i="17"/>
  <c r="DE132" i="17" s="1"/>
  <c r="DB132" i="17"/>
  <c r="DF132" i="17" s="1"/>
  <c r="DH132" i="17"/>
  <c r="DK132" i="17"/>
  <c r="EF132" i="17"/>
  <c r="EH132" i="17"/>
  <c r="EK132" i="17"/>
  <c r="EL132" i="17"/>
  <c r="EN132" i="17"/>
  <c r="EQ132" i="17"/>
  <c r="FN132" i="17"/>
  <c r="FQ132" i="17"/>
  <c r="FR132" i="17"/>
  <c r="FW132" i="17"/>
  <c r="FX132" i="17"/>
  <c r="GW132" i="17"/>
  <c r="GX132" i="17"/>
  <c r="GZ132" i="17"/>
  <c r="HC132" i="17"/>
  <c r="F133" i="17"/>
  <c r="G133" i="17" s="1"/>
  <c r="Q133" i="17"/>
  <c r="AA133" i="17"/>
  <c r="AB133" i="17"/>
  <c r="AH133" i="17"/>
  <c r="AI133" i="17"/>
  <c r="AJ133" i="17" s="1"/>
  <c r="AN133" i="17"/>
  <c r="BB133" i="17" s="1"/>
  <c r="CH133" i="17" s="1"/>
  <c r="AS133" i="17"/>
  <c r="AT133" i="17"/>
  <c r="AV133" i="17"/>
  <c r="AX133" i="17"/>
  <c r="BM133" i="17" s="1"/>
  <c r="AY133" i="17"/>
  <c r="BA133" i="17"/>
  <c r="CG133" i="17" s="1"/>
  <c r="BC133" i="17"/>
  <c r="CI133" i="17" s="1"/>
  <c r="DO133" i="17" s="1"/>
  <c r="EU133" i="17" s="1"/>
  <c r="GA133" i="17" s="1"/>
  <c r="HG133" i="17" s="1"/>
  <c r="BD133" i="17"/>
  <c r="BE133" i="17"/>
  <c r="CK133" i="17" s="1"/>
  <c r="DQ133" i="17" s="1"/>
  <c r="BF133" i="17"/>
  <c r="CL133" i="17" s="1"/>
  <c r="DR133" i="17" s="1"/>
  <c r="BJ133" i="17"/>
  <c r="CP133" i="17" s="1"/>
  <c r="DV133" i="17" s="1"/>
  <c r="FB133" i="17" s="1"/>
  <c r="GH133" i="17" s="1"/>
  <c r="HN133" i="17" s="1"/>
  <c r="BL133" i="17"/>
  <c r="CR133" i="17" s="1"/>
  <c r="DX133" i="17" s="1"/>
  <c r="FD133" i="17" s="1"/>
  <c r="GJ133" i="17" s="1"/>
  <c r="HP133" i="17" s="1"/>
  <c r="BY133" i="17"/>
  <c r="BZ133" i="17"/>
  <c r="CB133" i="17"/>
  <c r="CD133" i="17"/>
  <c r="CE133" i="17"/>
  <c r="CJ133" i="17"/>
  <c r="DP133" i="17" s="1"/>
  <c r="EV133" i="17" s="1"/>
  <c r="GB133" i="17" s="1"/>
  <c r="HH133" i="17" s="1"/>
  <c r="CZ133" i="17"/>
  <c r="DE133" i="17"/>
  <c r="DF133" i="17"/>
  <c r="DH133" i="17"/>
  <c r="DJ133" i="17"/>
  <c r="DK133" i="17"/>
  <c r="EF133" i="17"/>
  <c r="EK133" i="17"/>
  <c r="EL133" i="17"/>
  <c r="EN133" i="17"/>
  <c r="EP133" i="17"/>
  <c r="EQ133" i="17"/>
  <c r="EW133" i="17"/>
  <c r="GC133" i="17" s="1"/>
  <c r="HI133" i="17" s="1"/>
  <c r="FQ133" i="17"/>
  <c r="FR133" i="17"/>
  <c r="FW133" i="17"/>
  <c r="FX133" i="17"/>
  <c r="GW133" i="17"/>
  <c r="GX133" i="17"/>
  <c r="GZ133" i="17"/>
  <c r="HB133" i="17"/>
  <c r="HC133" i="17"/>
  <c r="F134" i="17"/>
  <c r="G134" i="17" s="1"/>
  <c r="Q134" i="17"/>
  <c r="AA134" i="17"/>
  <c r="AB134" i="17"/>
  <c r="AH134" i="17"/>
  <c r="AI134" i="17"/>
  <c r="AJ134" i="17" s="1"/>
  <c r="AN134" i="17"/>
  <c r="BB134" i="17" s="1"/>
  <c r="CH134" i="17" s="1"/>
  <c r="AS134" i="17"/>
  <c r="AT134" i="17"/>
  <c r="AV134" i="17"/>
  <c r="BK134" i="17" s="1"/>
  <c r="AX134" i="17"/>
  <c r="BM134" i="17" s="1"/>
  <c r="AY134" i="17"/>
  <c r="BA134" i="17"/>
  <c r="CG134" i="17" s="1"/>
  <c r="DM134" i="17" s="1"/>
  <c r="ES134" i="17" s="1"/>
  <c r="BC134" i="17"/>
  <c r="CI134" i="17" s="1"/>
  <c r="DO134" i="17" s="1"/>
  <c r="EU134" i="17" s="1"/>
  <c r="GA134" i="17" s="1"/>
  <c r="HG134" i="17" s="1"/>
  <c r="BD134" i="17"/>
  <c r="CJ134" i="17" s="1"/>
  <c r="DP134" i="17" s="1"/>
  <c r="EV134" i="17" s="1"/>
  <c r="GB134" i="17" s="1"/>
  <c r="HH134" i="17" s="1"/>
  <c r="BE134" i="17"/>
  <c r="CK134" i="17" s="1"/>
  <c r="DQ134" i="17" s="1"/>
  <c r="BF134" i="17"/>
  <c r="CL134" i="17" s="1"/>
  <c r="DR134" i="17" s="1"/>
  <c r="EX134" i="17" s="1"/>
  <c r="GD134" i="17" s="1"/>
  <c r="HJ134" i="17" s="1"/>
  <c r="BJ134" i="17"/>
  <c r="CP134" i="17" s="1"/>
  <c r="DV134" i="17" s="1"/>
  <c r="BL134" i="17"/>
  <c r="CR134" i="17" s="1"/>
  <c r="DX134" i="17" s="1"/>
  <c r="FD134" i="17" s="1"/>
  <c r="GJ134" i="17" s="1"/>
  <c r="HP134" i="17" s="1"/>
  <c r="BY134" i="17"/>
  <c r="BZ134" i="17"/>
  <c r="CB134" i="17"/>
  <c r="CD134" i="17"/>
  <c r="CE134" i="17"/>
  <c r="CZ134" i="17"/>
  <c r="DE134" i="17"/>
  <c r="DF134" i="17"/>
  <c r="DH134" i="17"/>
  <c r="DJ134" i="17"/>
  <c r="DK134" i="17"/>
  <c r="EF134" i="17"/>
  <c r="EK134" i="17"/>
  <c r="EL134" i="17"/>
  <c r="EN134" i="17"/>
  <c r="EP134" i="17"/>
  <c r="EQ134" i="17"/>
  <c r="FQ134" i="17"/>
  <c r="FR134" i="17"/>
  <c r="FW134" i="17"/>
  <c r="FX134" i="17"/>
  <c r="GW134" i="17"/>
  <c r="GX134" i="17"/>
  <c r="GZ134" i="17"/>
  <c r="HB134" i="17"/>
  <c r="HC134" i="17"/>
  <c r="J135" i="17"/>
  <c r="N135" i="17"/>
  <c r="O135" i="17"/>
  <c r="T135" i="17"/>
  <c r="AA135" i="17"/>
  <c r="AB135" i="17"/>
  <c r="AH135" i="17"/>
  <c r="AN135" i="17"/>
  <c r="BB135" i="17" s="1"/>
  <c r="CH135" i="17" s="1"/>
  <c r="AS135" i="17"/>
  <c r="AT135" i="17"/>
  <c r="AV135" i="17"/>
  <c r="AX135" i="17"/>
  <c r="AY135" i="17"/>
  <c r="BA135" i="17"/>
  <c r="CG135" i="17" s="1"/>
  <c r="DM135" i="17" s="1"/>
  <c r="BC135" i="17"/>
  <c r="CI135" i="17" s="1"/>
  <c r="DO135" i="17" s="1"/>
  <c r="EU135" i="17" s="1"/>
  <c r="GA135" i="17" s="1"/>
  <c r="HG135" i="17" s="1"/>
  <c r="BD135" i="17"/>
  <c r="CJ135" i="17" s="1"/>
  <c r="DP135" i="17" s="1"/>
  <c r="EV135" i="17" s="1"/>
  <c r="GB135" i="17" s="1"/>
  <c r="HH135" i="17" s="1"/>
  <c r="BE135" i="17"/>
  <c r="CK135" i="17" s="1"/>
  <c r="DQ135" i="17" s="1"/>
  <c r="EW135" i="17" s="1"/>
  <c r="GC135" i="17" s="1"/>
  <c r="HI135" i="17" s="1"/>
  <c r="BF135" i="17"/>
  <c r="CL135" i="17" s="1"/>
  <c r="DR135" i="17" s="1"/>
  <c r="EX135" i="17" s="1"/>
  <c r="GD135" i="17" s="1"/>
  <c r="HJ135" i="17" s="1"/>
  <c r="BJ135" i="17"/>
  <c r="CP135" i="17" s="1"/>
  <c r="DV135" i="17" s="1"/>
  <c r="FB135" i="17" s="1"/>
  <c r="GH135" i="17" s="1"/>
  <c r="HN135" i="17" s="1"/>
  <c r="BL135" i="17"/>
  <c r="CR135" i="17" s="1"/>
  <c r="DX135" i="17" s="1"/>
  <c r="FD135" i="17" s="1"/>
  <c r="GJ135" i="17" s="1"/>
  <c r="HP135" i="17" s="1"/>
  <c r="BN135" i="17"/>
  <c r="BY135" i="17"/>
  <c r="BZ135" i="17"/>
  <c r="CB135" i="17"/>
  <c r="CD135" i="17"/>
  <c r="CE135" i="17"/>
  <c r="CZ135" i="17"/>
  <c r="DE135" i="17"/>
  <c r="DF135" i="17"/>
  <c r="DH135" i="17"/>
  <c r="DJ135" i="17"/>
  <c r="DK135" i="17"/>
  <c r="EF135" i="17"/>
  <c r="EK135" i="17"/>
  <c r="EL135" i="17"/>
  <c r="EN135" i="17"/>
  <c r="EP135" i="17"/>
  <c r="EQ135" i="17"/>
  <c r="FQ135" i="17"/>
  <c r="FR135" i="17"/>
  <c r="FW135" i="17"/>
  <c r="FX135" i="17"/>
  <c r="GW135" i="17"/>
  <c r="GX135" i="17"/>
  <c r="GZ135" i="17"/>
  <c r="HC135" i="17"/>
  <c r="H136" i="17"/>
  <c r="H138" i="17" s="1"/>
  <c r="I136" i="17"/>
  <c r="N136" i="17" s="1"/>
  <c r="W136" i="17"/>
  <c r="AA136" i="17" s="1"/>
  <c r="X136" i="17"/>
  <c r="AB136" i="17"/>
  <c r="AG136" i="17"/>
  <c r="AI136" i="17" s="1"/>
  <c r="AJ136" i="17" s="1"/>
  <c r="AH136" i="17"/>
  <c r="AN136" i="17"/>
  <c r="BB136" i="17" s="1"/>
  <c r="CH136" i="17" s="1"/>
  <c r="AO136" i="17"/>
  <c r="AS136" i="17" s="1"/>
  <c r="AP136" i="17"/>
  <c r="AT136" i="17"/>
  <c r="AV136" i="17"/>
  <c r="AY136" i="17"/>
  <c r="BA136" i="17"/>
  <c r="CG136" i="17" s="1"/>
  <c r="DM136" i="17" s="1"/>
  <c r="BE136" i="17"/>
  <c r="CK136" i="17" s="1"/>
  <c r="DQ136" i="17" s="1"/>
  <c r="EW136" i="17" s="1"/>
  <c r="GC136" i="17" s="1"/>
  <c r="HI136" i="17" s="1"/>
  <c r="BF136" i="17"/>
  <c r="CL136" i="17" s="1"/>
  <c r="DR136" i="17" s="1"/>
  <c r="EX136" i="17" s="1"/>
  <c r="GD136" i="17" s="1"/>
  <c r="HJ136" i="17" s="1"/>
  <c r="BJ136" i="17"/>
  <c r="CP136" i="17" s="1"/>
  <c r="DV136" i="17" s="1"/>
  <c r="FB136" i="17" s="1"/>
  <c r="GH136" i="17" s="1"/>
  <c r="HN136" i="17" s="1"/>
  <c r="BL136" i="17"/>
  <c r="CR136" i="17" s="1"/>
  <c r="DX136" i="17" s="1"/>
  <c r="FD136" i="17" s="1"/>
  <c r="GJ136" i="17" s="1"/>
  <c r="HP136" i="17" s="1"/>
  <c r="BY136" i="17"/>
  <c r="BZ136" i="17"/>
  <c r="CB136" i="17"/>
  <c r="CE136" i="17"/>
  <c r="CZ136" i="17"/>
  <c r="DA136" i="17"/>
  <c r="DE136" i="17" s="1"/>
  <c r="DB136" i="17"/>
  <c r="DF136" i="17"/>
  <c r="DH136" i="17"/>
  <c r="DK136" i="17"/>
  <c r="EF136" i="17"/>
  <c r="EH136" i="17"/>
  <c r="EL136" i="17" s="1"/>
  <c r="EK136" i="17"/>
  <c r="EN136" i="17"/>
  <c r="EQ136" i="17"/>
  <c r="FN136" i="17"/>
  <c r="FR136" i="17" s="1"/>
  <c r="FQ136" i="17"/>
  <c r="FW136" i="17"/>
  <c r="FX136" i="17"/>
  <c r="GW136" i="17"/>
  <c r="GX136" i="17"/>
  <c r="GZ136" i="17"/>
  <c r="HC136" i="17"/>
  <c r="K137" i="17"/>
  <c r="K138" i="17" s="1"/>
  <c r="L137" i="17"/>
  <c r="N137" i="17" s="1"/>
  <c r="Q137" i="17"/>
  <c r="S137" i="17"/>
  <c r="S138" i="17" s="1"/>
  <c r="AA137" i="17"/>
  <c r="AB137" i="17"/>
  <c r="AH137" i="17"/>
  <c r="AI137" i="17"/>
  <c r="AS137" i="17"/>
  <c r="AT137" i="17"/>
  <c r="AV137" i="17"/>
  <c r="AX137" i="17"/>
  <c r="AY137" i="17"/>
  <c r="BC137" i="17"/>
  <c r="BD137" i="17"/>
  <c r="CJ137" i="17" s="1"/>
  <c r="DP137" i="17" s="1"/>
  <c r="EV137" i="17" s="1"/>
  <c r="GB137" i="17" s="1"/>
  <c r="HH137" i="17" s="1"/>
  <c r="BE137" i="17"/>
  <c r="CK137" i="17" s="1"/>
  <c r="DQ137" i="17" s="1"/>
  <c r="EW137" i="17" s="1"/>
  <c r="GC137" i="17" s="1"/>
  <c r="HI137" i="17" s="1"/>
  <c r="BF137" i="17"/>
  <c r="CL137" i="17" s="1"/>
  <c r="DR137" i="17" s="1"/>
  <c r="EX137" i="17" s="1"/>
  <c r="GD137" i="17" s="1"/>
  <c r="HJ137" i="17" s="1"/>
  <c r="BJ137" i="17"/>
  <c r="CP137" i="17" s="1"/>
  <c r="DV137" i="17" s="1"/>
  <c r="FB137" i="17" s="1"/>
  <c r="GH137" i="17" s="1"/>
  <c r="HN137" i="17" s="1"/>
  <c r="BL137" i="17"/>
  <c r="CR137" i="17" s="1"/>
  <c r="BM137" i="17"/>
  <c r="BY137" i="17"/>
  <c r="BZ137" i="17"/>
  <c r="CB137" i="17"/>
  <c r="CD137" i="17"/>
  <c r="CE137" i="17"/>
  <c r="CI137" i="17"/>
  <c r="DO137" i="17" s="1"/>
  <c r="EU137" i="17" s="1"/>
  <c r="GA137" i="17" s="1"/>
  <c r="HG137" i="17" s="1"/>
  <c r="DE137" i="17"/>
  <c r="DF137" i="17"/>
  <c r="DH137" i="17"/>
  <c r="DJ137" i="17"/>
  <c r="DK137" i="17"/>
  <c r="EK137" i="17"/>
  <c r="EL137" i="17"/>
  <c r="EN137" i="17"/>
  <c r="EP137" i="17"/>
  <c r="EQ137" i="17"/>
  <c r="FQ137" i="17"/>
  <c r="FR137" i="17"/>
  <c r="FW137" i="17"/>
  <c r="FX137" i="17"/>
  <c r="GW137" i="17"/>
  <c r="GX137" i="17"/>
  <c r="GZ137" i="17"/>
  <c r="HB137" i="17"/>
  <c r="HC137" i="17"/>
  <c r="L138" i="17"/>
  <c r="U138" i="17"/>
  <c r="V138" i="17"/>
  <c r="Y138" i="17"/>
  <c r="Z138" i="17"/>
  <c r="AD138" i="17"/>
  <c r="AE138" i="17"/>
  <c r="AF138" i="17"/>
  <c r="AL138" i="17"/>
  <c r="AM138" i="17"/>
  <c r="AQ138" i="17"/>
  <c r="AR138" i="17"/>
  <c r="AU138" i="17"/>
  <c r="AW138" i="17"/>
  <c r="BR138" i="17"/>
  <c r="BS138" i="17"/>
  <c r="BT138" i="17"/>
  <c r="BU138" i="17"/>
  <c r="BV138" i="17"/>
  <c r="BW138" i="17"/>
  <c r="BX138" i="17"/>
  <c r="CA138" i="17"/>
  <c r="CC138" i="17"/>
  <c r="CX138" i="17"/>
  <c r="CY138" i="17"/>
  <c r="DC138" i="17"/>
  <c r="DD138" i="17"/>
  <c r="DG138" i="17"/>
  <c r="DI138" i="17"/>
  <c r="ED138" i="17"/>
  <c r="EE138" i="17"/>
  <c r="EG138" i="17"/>
  <c r="EI138" i="17"/>
  <c r="EJ138" i="17"/>
  <c r="EM138" i="17"/>
  <c r="EO138" i="17"/>
  <c r="FJ138" i="17"/>
  <c r="FK138" i="17"/>
  <c r="FL138" i="17"/>
  <c r="FM138" i="17"/>
  <c r="FO138" i="17"/>
  <c r="FP138" i="17"/>
  <c r="FS138" i="17"/>
  <c r="FT138" i="17"/>
  <c r="FU138" i="17"/>
  <c r="FV138" i="17"/>
  <c r="GP138" i="17"/>
  <c r="GQ138" i="17"/>
  <c r="GR138" i="17"/>
  <c r="GS138" i="17"/>
  <c r="GT138" i="17"/>
  <c r="GU138" i="17"/>
  <c r="GV138" i="17"/>
  <c r="GY138" i="17"/>
  <c r="HA138" i="17"/>
  <c r="G140" i="17"/>
  <c r="N140" i="17"/>
  <c r="O140" i="17" s="1"/>
  <c r="AA140" i="17"/>
  <c r="AB140" i="17"/>
  <c r="AH140" i="17"/>
  <c r="AI140" i="17"/>
  <c r="AK140" i="17"/>
  <c r="AS140" i="17"/>
  <c r="AT140" i="17"/>
  <c r="AY140" i="17"/>
  <c r="AZ140" i="17"/>
  <c r="BA140" i="17"/>
  <c r="BB140" i="17"/>
  <c r="CH140" i="17" s="1"/>
  <c r="DN140" i="17" s="1"/>
  <c r="ET140" i="17" s="1"/>
  <c r="FZ140" i="17" s="1"/>
  <c r="HF140" i="17" s="1"/>
  <c r="BC140" i="17"/>
  <c r="CI140" i="17" s="1"/>
  <c r="BD140" i="17"/>
  <c r="BE140" i="17"/>
  <c r="CK140" i="17" s="1"/>
  <c r="BF140" i="17"/>
  <c r="CL140" i="17" s="1"/>
  <c r="DR140" i="17" s="1"/>
  <c r="EX140" i="17" s="1"/>
  <c r="GD140" i="17" s="1"/>
  <c r="BJ140" i="17"/>
  <c r="CP140" i="17" s="1"/>
  <c r="DV140" i="17" s="1"/>
  <c r="FB140" i="17" s="1"/>
  <c r="GH140" i="17" s="1"/>
  <c r="BK140" i="17"/>
  <c r="CQ140" i="17" s="1"/>
  <c r="BL140" i="17"/>
  <c r="CR140" i="17" s="1"/>
  <c r="DX140" i="17" s="1"/>
  <c r="FD140" i="17" s="1"/>
  <c r="GJ140" i="17" s="1"/>
  <c r="HP140" i="17" s="1"/>
  <c r="BM140" i="17"/>
  <c r="CS140" i="17" s="1"/>
  <c r="DY140" i="17" s="1"/>
  <c r="FE140" i="17" s="1"/>
  <c r="GK140" i="17" s="1"/>
  <c r="BS140" i="17"/>
  <c r="BY140" i="17"/>
  <c r="BZ140" i="17"/>
  <c r="CE140" i="17"/>
  <c r="CF140" i="17"/>
  <c r="CJ140" i="17"/>
  <c r="DB140" i="17"/>
  <c r="DF140" i="17" s="1"/>
  <c r="DE140" i="17"/>
  <c r="DK140" i="17"/>
  <c r="DL140" i="17"/>
  <c r="EG140" i="17"/>
  <c r="EL140" i="17"/>
  <c r="EQ140" i="17"/>
  <c r="ER140" i="17"/>
  <c r="FN140" i="17"/>
  <c r="FR140" i="17" s="1"/>
  <c r="FQ140" i="17"/>
  <c r="FW140" i="17"/>
  <c r="FX140" i="17"/>
  <c r="GT140" i="17"/>
  <c r="GQ140" i="17" s="1"/>
  <c r="GW140" i="17"/>
  <c r="GZ140" i="17"/>
  <c r="HB140" i="17"/>
  <c r="HQ140" i="17" s="1"/>
  <c r="HC140" i="17"/>
  <c r="G141" i="17"/>
  <c r="L141" i="17"/>
  <c r="N141" i="17" s="1"/>
  <c r="O141" i="17" s="1"/>
  <c r="AA141" i="17"/>
  <c r="AB141" i="17"/>
  <c r="AH141" i="17"/>
  <c r="AI141" i="17"/>
  <c r="AK141" i="17"/>
  <c r="AP141" i="17"/>
  <c r="AM141" i="17" s="1"/>
  <c r="AS141" i="17"/>
  <c r="AY141" i="17"/>
  <c r="AZ141" i="17"/>
  <c r="BB141" i="17"/>
  <c r="CH141" i="17" s="1"/>
  <c r="DN141" i="17" s="1"/>
  <c r="ET141" i="17" s="1"/>
  <c r="FZ141" i="17" s="1"/>
  <c r="HF141" i="17" s="1"/>
  <c r="BC141" i="17"/>
  <c r="CI141" i="17" s="1"/>
  <c r="DO141" i="17" s="1"/>
  <c r="EU141" i="17" s="1"/>
  <c r="GA141" i="17" s="1"/>
  <c r="HG141" i="17" s="1"/>
  <c r="BE141" i="17"/>
  <c r="CK141" i="17" s="1"/>
  <c r="DQ141" i="17" s="1"/>
  <c r="EW141" i="17" s="1"/>
  <c r="GC141" i="17" s="1"/>
  <c r="HI141" i="17" s="1"/>
  <c r="BF141" i="17"/>
  <c r="CL141" i="17" s="1"/>
  <c r="DR141" i="17" s="1"/>
  <c r="EX141" i="17" s="1"/>
  <c r="GD141" i="17" s="1"/>
  <c r="HJ141" i="17" s="1"/>
  <c r="BJ141" i="17"/>
  <c r="CP141" i="17" s="1"/>
  <c r="DV141" i="17" s="1"/>
  <c r="FB141" i="17" s="1"/>
  <c r="GH141" i="17" s="1"/>
  <c r="HN141" i="17" s="1"/>
  <c r="BK141" i="17"/>
  <c r="CQ141" i="17" s="1"/>
  <c r="DW141" i="17" s="1"/>
  <c r="FC141" i="17" s="1"/>
  <c r="GI141" i="17" s="1"/>
  <c r="BL141" i="17"/>
  <c r="CR141" i="17" s="1"/>
  <c r="DX141" i="17" s="1"/>
  <c r="FD141" i="17" s="1"/>
  <c r="GJ141" i="17" s="1"/>
  <c r="HP141" i="17" s="1"/>
  <c r="BM141" i="17"/>
  <c r="CS141" i="17" s="1"/>
  <c r="DY141" i="17" s="1"/>
  <c r="FE141" i="17" s="1"/>
  <c r="GK141" i="17" s="1"/>
  <c r="HQ141" i="17" s="1"/>
  <c r="BY141" i="17"/>
  <c r="BZ141" i="17"/>
  <c r="CE141" i="17"/>
  <c r="CF141" i="17"/>
  <c r="DE141" i="17"/>
  <c r="DF141" i="17"/>
  <c r="DK141" i="17"/>
  <c r="DL141" i="17"/>
  <c r="EK141" i="17"/>
  <c r="EL141" i="17"/>
  <c r="EQ141" i="17"/>
  <c r="ER141" i="17"/>
  <c r="FN141" i="17"/>
  <c r="FR141" i="17" s="1"/>
  <c r="FQ141" i="17"/>
  <c r="FW141" i="17"/>
  <c r="FX141" i="17"/>
  <c r="GT141" i="17"/>
  <c r="GW141" i="17"/>
  <c r="GX141" i="17"/>
  <c r="GZ141" i="17"/>
  <c r="HC141" i="17"/>
  <c r="G142" i="17"/>
  <c r="J142" i="17"/>
  <c r="N142" i="17"/>
  <c r="O142" i="17"/>
  <c r="P142" i="17"/>
  <c r="Q142" i="17"/>
  <c r="AA142" i="17"/>
  <c r="AB142" i="17"/>
  <c r="AH142" i="17"/>
  <c r="AI142" i="17"/>
  <c r="AK142" i="17"/>
  <c r="AP142" i="17"/>
  <c r="AM142" i="17" s="1"/>
  <c r="BA142" i="17" s="1"/>
  <c r="AS142" i="17"/>
  <c r="AT142" i="17"/>
  <c r="AY142" i="17"/>
  <c r="AZ142" i="17"/>
  <c r="BB142" i="17"/>
  <c r="CH142" i="17" s="1"/>
  <c r="DN142" i="17" s="1"/>
  <c r="ET142" i="17" s="1"/>
  <c r="FZ142" i="17" s="1"/>
  <c r="HF142" i="17" s="1"/>
  <c r="BC142" i="17"/>
  <c r="CI142" i="17" s="1"/>
  <c r="DO142" i="17" s="1"/>
  <c r="EU142" i="17" s="1"/>
  <c r="GA142" i="17" s="1"/>
  <c r="HG142" i="17" s="1"/>
  <c r="BE142" i="17"/>
  <c r="CK142" i="17" s="1"/>
  <c r="DQ142" i="17" s="1"/>
  <c r="EW142" i="17" s="1"/>
  <c r="GC142" i="17" s="1"/>
  <c r="HI142" i="17" s="1"/>
  <c r="BF142" i="17"/>
  <c r="BJ142" i="17"/>
  <c r="CP142" i="17" s="1"/>
  <c r="DV142" i="17" s="1"/>
  <c r="FB142" i="17" s="1"/>
  <c r="GH142" i="17" s="1"/>
  <c r="HN142" i="17" s="1"/>
  <c r="BK142" i="17"/>
  <c r="CQ142" i="17" s="1"/>
  <c r="DW142" i="17" s="1"/>
  <c r="FC142" i="17" s="1"/>
  <c r="GI142" i="17" s="1"/>
  <c r="HO142" i="17" s="1"/>
  <c r="BL142" i="17"/>
  <c r="CR142" i="17" s="1"/>
  <c r="DX142" i="17" s="1"/>
  <c r="FD142" i="17" s="1"/>
  <c r="GJ142" i="17" s="1"/>
  <c r="HP142" i="17" s="1"/>
  <c r="BM142" i="17"/>
  <c r="CS142" i="17" s="1"/>
  <c r="DY142" i="17" s="1"/>
  <c r="FE142" i="17" s="1"/>
  <c r="GK142" i="17" s="1"/>
  <c r="HQ142" i="17" s="1"/>
  <c r="BV142" i="17"/>
  <c r="BZ142" i="17" s="1"/>
  <c r="BY142" i="17"/>
  <c r="CE142" i="17"/>
  <c r="CF142" i="17"/>
  <c r="CL142" i="17"/>
  <c r="DR142" i="17" s="1"/>
  <c r="EX142" i="17" s="1"/>
  <c r="GD142" i="17" s="1"/>
  <c r="HJ142" i="17" s="1"/>
  <c r="DB142" i="17"/>
  <c r="DF142" i="17" s="1"/>
  <c r="DE142" i="17"/>
  <c r="DK142" i="17"/>
  <c r="DL142" i="17"/>
  <c r="EE142" i="17"/>
  <c r="EK142" i="17"/>
  <c r="EL142" i="17"/>
  <c r="EQ142" i="17"/>
  <c r="ER142" i="17"/>
  <c r="FN142" i="17"/>
  <c r="FQ142" i="17"/>
  <c r="FR142" i="17"/>
  <c r="FW142" i="17"/>
  <c r="FX142" i="17"/>
  <c r="GT142" i="17"/>
  <c r="GX142" i="17" s="1"/>
  <c r="GW142" i="17"/>
  <c r="HC142" i="17"/>
  <c r="HD142" i="17"/>
  <c r="G143" i="17"/>
  <c r="M143" i="17"/>
  <c r="N143" i="17"/>
  <c r="R143" i="17"/>
  <c r="S143" i="17" s="1"/>
  <c r="AA143" i="17"/>
  <c r="AB143" i="17"/>
  <c r="AH143" i="17"/>
  <c r="AI143" i="17"/>
  <c r="AK143" i="17"/>
  <c r="AS143" i="17"/>
  <c r="AT143" i="17"/>
  <c r="AY143" i="17"/>
  <c r="AZ143" i="17"/>
  <c r="BA143" i="17"/>
  <c r="CG143" i="17" s="1"/>
  <c r="BB143" i="17"/>
  <c r="BC143" i="17"/>
  <c r="CI143" i="17" s="1"/>
  <c r="DO143" i="17" s="1"/>
  <c r="EU143" i="17" s="1"/>
  <c r="GA143" i="17" s="1"/>
  <c r="HG143" i="17" s="1"/>
  <c r="BD143" i="17"/>
  <c r="BE143" i="17"/>
  <c r="CK143" i="17" s="1"/>
  <c r="DQ143" i="17" s="1"/>
  <c r="EW143" i="17" s="1"/>
  <c r="GC143" i="17" s="1"/>
  <c r="HI143" i="17" s="1"/>
  <c r="BF143" i="17"/>
  <c r="BJ143" i="17"/>
  <c r="BK143" i="17"/>
  <c r="BL143" i="17"/>
  <c r="BM143" i="17"/>
  <c r="CS143" i="17" s="1"/>
  <c r="DY143" i="17" s="1"/>
  <c r="FE143" i="17" s="1"/>
  <c r="GK143" i="17" s="1"/>
  <c r="BY143" i="17"/>
  <c r="BZ143" i="17"/>
  <c r="CE143" i="17"/>
  <c r="CF143" i="17"/>
  <c r="CQ143" i="17"/>
  <c r="DW143" i="17" s="1"/>
  <c r="FC143" i="17" s="1"/>
  <c r="GI143" i="17" s="1"/>
  <c r="DB143" i="17"/>
  <c r="DF143" i="17" s="1"/>
  <c r="DE143" i="17"/>
  <c r="DK143" i="17"/>
  <c r="DL143" i="17"/>
  <c r="EK143" i="17"/>
  <c r="EL143" i="17"/>
  <c r="EQ143" i="17"/>
  <c r="ER143" i="17"/>
  <c r="FK143" i="17"/>
  <c r="FK147" i="17" s="1"/>
  <c r="FN143" i="17"/>
  <c r="FR143" i="17" s="1"/>
  <c r="FQ143" i="17"/>
  <c r="FW143" i="17"/>
  <c r="FX143" i="17"/>
  <c r="GT143" i="17"/>
  <c r="GQ143" i="17" s="1"/>
  <c r="GW143" i="17"/>
  <c r="GX143" i="17"/>
  <c r="HC143" i="17"/>
  <c r="G144" i="17"/>
  <c r="N144" i="17"/>
  <c r="O144" i="17"/>
  <c r="P144" i="17"/>
  <c r="Q144" i="17"/>
  <c r="AA144" i="17"/>
  <c r="BG144" i="17" s="1"/>
  <c r="AB144" i="17"/>
  <c r="AH144" i="17"/>
  <c r="AI144" i="17"/>
  <c r="AK144" i="17"/>
  <c r="AP144" i="17"/>
  <c r="AM144" i="17" s="1"/>
  <c r="BA144" i="17" s="1"/>
  <c r="AS144" i="17"/>
  <c r="AY144" i="17"/>
  <c r="AZ144" i="17"/>
  <c r="BB144" i="17"/>
  <c r="CH144" i="17" s="1"/>
  <c r="BC144" i="17"/>
  <c r="CI144" i="17" s="1"/>
  <c r="DO144" i="17" s="1"/>
  <c r="EU144" i="17" s="1"/>
  <c r="GA144" i="17" s="1"/>
  <c r="HG144" i="17" s="1"/>
  <c r="BE144" i="17"/>
  <c r="CK144" i="17" s="1"/>
  <c r="DQ144" i="17" s="1"/>
  <c r="EW144" i="17" s="1"/>
  <c r="GC144" i="17" s="1"/>
  <c r="HI144" i="17" s="1"/>
  <c r="BF144" i="17"/>
  <c r="BJ144" i="17"/>
  <c r="CP144" i="17" s="1"/>
  <c r="DV144" i="17" s="1"/>
  <c r="FB144" i="17" s="1"/>
  <c r="GH144" i="17" s="1"/>
  <c r="HN144" i="17" s="1"/>
  <c r="BK144" i="17"/>
  <c r="BL144" i="17"/>
  <c r="CR144" i="17" s="1"/>
  <c r="DX144" i="17" s="1"/>
  <c r="FD144" i="17" s="1"/>
  <c r="GJ144" i="17" s="1"/>
  <c r="HP144" i="17" s="1"/>
  <c r="BM144" i="17"/>
  <c r="BS144" i="17"/>
  <c r="BY144" i="17"/>
  <c r="BZ144" i="17"/>
  <c r="CB144" i="17"/>
  <c r="CD144" i="17"/>
  <c r="CE144" i="17"/>
  <c r="CL144" i="17"/>
  <c r="DR144" i="17" s="1"/>
  <c r="EX144" i="17" s="1"/>
  <c r="GD144" i="17" s="1"/>
  <c r="HJ144" i="17" s="1"/>
  <c r="CZ144" i="17"/>
  <c r="DB144" i="17"/>
  <c r="DF144" i="17" s="1"/>
  <c r="DE144" i="17"/>
  <c r="DH144" i="17"/>
  <c r="DJ144" i="17"/>
  <c r="DK144" i="17"/>
  <c r="EF144" i="17"/>
  <c r="EH144" i="17"/>
  <c r="EL144" i="17" s="1"/>
  <c r="EK144" i="17"/>
  <c r="EN144" i="17"/>
  <c r="EP144" i="17"/>
  <c r="EQ144" i="17"/>
  <c r="FN144" i="17"/>
  <c r="FR144" i="17" s="1"/>
  <c r="FQ144" i="17"/>
  <c r="FT144" i="17"/>
  <c r="FX144" i="17" s="1"/>
  <c r="FW144" i="17"/>
  <c r="GT144" i="17"/>
  <c r="GX144" i="17" s="1"/>
  <c r="GW144" i="17"/>
  <c r="GZ144" i="17"/>
  <c r="HB144" i="17"/>
  <c r="HC144" i="17"/>
  <c r="G145" i="17"/>
  <c r="N145" i="17"/>
  <c r="O145" i="17"/>
  <c r="P145" i="17"/>
  <c r="Q145" i="17"/>
  <c r="AA145" i="17"/>
  <c r="AB145" i="17"/>
  <c r="AH145" i="17"/>
  <c r="AI145" i="17"/>
  <c r="AK145" i="17"/>
  <c r="AS145" i="17"/>
  <c r="AT145" i="17"/>
  <c r="AY145" i="17"/>
  <c r="AZ145" i="17"/>
  <c r="BA145" i="17"/>
  <c r="BQ145" i="17" s="1"/>
  <c r="BB145" i="17"/>
  <c r="CH145" i="17" s="1"/>
  <c r="DN145" i="17" s="1"/>
  <c r="BC145" i="17"/>
  <c r="BD145" i="17"/>
  <c r="BE145" i="17"/>
  <c r="CK145" i="17" s="1"/>
  <c r="DQ145" i="17" s="1"/>
  <c r="EW145" i="17" s="1"/>
  <c r="GC145" i="17" s="1"/>
  <c r="HI145" i="17" s="1"/>
  <c r="BF145" i="17"/>
  <c r="CL145" i="17" s="1"/>
  <c r="DR145" i="17" s="1"/>
  <c r="EX145" i="17" s="1"/>
  <c r="GD145" i="17" s="1"/>
  <c r="HJ145" i="17" s="1"/>
  <c r="BJ145" i="17"/>
  <c r="CP145" i="17" s="1"/>
  <c r="DV145" i="17" s="1"/>
  <c r="FB145" i="17" s="1"/>
  <c r="GH145" i="17" s="1"/>
  <c r="HN145" i="17" s="1"/>
  <c r="BK145" i="17"/>
  <c r="CQ145" i="17" s="1"/>
  <c r="DW145" i="17" s="1"/>
  <c r="BL145" i="17"/>
  <c r="CR145" i="17" s="1"/>
  <c r="DX145" i="17" s="1"/>
  <c r="FD145" i="17" s="1"/>
  <c r="GJ145" i="17" s="1"/>
  <c r="HP145" i="17" s="1"/>
  <c r="BM145" i="17"/>
  <c r="CS145" i="17" s="1"/>
  <c r="DY145" i="17" s="1"/>
  <c r="BV145" i="17"/>
  <c r="BS145" i="17" s="1"/>
  <c r="BY145" i="17"/>
  <c r="BZ145" i="17"/>
  <c r="CE145" i="17"/>
  <c r="CF145" i="17"/>
  <c r="CI145" i="17"/>
  <c r="DO145" i="17" s="1"/>
  <c r="EU145" i="17" s="1"/>
  <c r="GA145" i="17" s="1"/>
  <c r="HG145" i="17" s="1"/>
  <c r="DB145" i="17"/>
  <c r="CY145" i="17" s="1"/>
  <c r="DE145" i="17"/>
  <c r="DF145" i="17"/>
  <c r="DK145" i="17"/>
  <c r="DL145" i="17"/>
  <c r="EE145" i="17"/>
  <c r="EF145" i="17"/>
  <c r="EH145" i="17"/>
  <c r="EK145" i="17"/>
  <c r="EL145" i="17"/>
  <c r="EN145" i="17"/>
  <c r="EP145" i="17"/>
  <c r="EQ145" i="17"/>
  <c r="FN145" i="17"/>
  <c r="FR145" i="17" s="1"/>
  <c r="FQ145" i="17"/>
  <c r="FT145" i="17"/>
  <c r="FX145" i="17" s="1"/>
  <c r="FW145" i="17"/>
  <c r="GT145" i="17"/>
  <c r="GX145" i="17" s="1"/>
  <c r="GW145" i="17"/>
  <c r="GZ145" i="17"/>
  <c r="HB145" i="17"/>
  <c r="HC145" i="17"/>
  <c r="G146" i="17"/>
  <c r="J146" i="17"/>
  <c r="N146" i="17"/>
  <c r="R146" i="17"/>
  <c r="S146" i="17" s="1"/>
  <c r="AA146" i="17"/>
  <c r="AB146" i="17"/>
  <c r="AH146" i="17"/>
  <c r="AI146" i="17"/>
  <c r="AK146" i="17"/>
  <c r="AN146" i="17"/>
  <c r="AN147" i="17" s="1"/>
  <c r="AP146" i="17"/>
  <c r="AT146" i="17" s="1"/>
  <c r="AS146" i="17"/>
  <c r="AV146" i="17"/>
  <c r="BK146" i="17" s="1"/>
  <c r="AY146" i="17"/>
  <c r="BA146" i="17"/>
  <c r="CG146" i="17" s="1"/>
  <c r="BC146" i="17"/>
  <c r="CI146" i="17" s="1"/>
  <c r="DO146" i="17" s="1"/>
  <c r="EU146" i="17" s="1"/>
  <c r="GA146" i="17" s="1"/>
  <c r="HG146" i="17" s="1"/>
  <c r="BE146" i="17"/>
  <c r="CK146" i="17" s="1"/>
  <c r="DQ146" i="17" s="1"/>
  <c r="EW146" i="17" s="1"/>
  <c r="GC146" i="17" s="1"/>
  <c r="HI146" i="17" s="1"/>
  <c r="BF146" i="17"/>
  <c r="CL146" i="17" s="1"/>
  <c r="DR146" i="17" s="1"/>
  <c r="EX146" i="17" s="1"/>
  <c r="GD146" i="17" s="1"/>
  <c r="HJ146" i="17" s="1"/>
  <c r="BJ146" i="17"/>
  <c r="CP146" i="17" s="1"/>
  <c r="DV146" i="17" s="1"/>
  <c r="FB146" i="17" s="1"/>
  <c r="GH146" i="17" s="1"/>
  <c r="HN146" i="17" s="1"/>
  <c r="BL146" i="17"/>
  <c r="CR146" i="17" s="1"/>
  <c r="DX146" i="17" s="1"/>
  <c r="FD146" i="17" s="1"/>
  <c r="GJ146" i="17" s="1"/>
  <c r="HP146" i="17" s="1"/>
  <c r="BM146" i="17"/>
  <c r="BV146" i="17"/>
  <c r="BY146" i="17"/>
  <c r="BZ146" i="17"/>
  <c r="CB146" i="17"/>
  <c r="CE146" i="17"/>
  <c r="CZ146" i="17"/>
  <c r="DB146" i="17"/>
  <c r="DF146" i="17" s="1"/>
  <c r="DE146" i="17"/>
  <c r="DH146" i="17"/>
  <c r="DK146" i="17"/>
  <c r="EF146" i="17"/>
  <c r="EH146" i="17"/>
  <c r="EL146" i="17" s="1"/>
  <c r="EK146" i="17"/>
  <c r="EN146" i="17"/>
  <c r="ER146" i="17" s="1"/>
  <c r="EQ146" i="17"/>
  <c r="FN146" i="17"/>
  <c r="FQ146" i="17"/>
  <c r="FT146" i="17"/>
  <c r="FX146" i="17" s="1"/>
  <c r="FW146" i="17"/>
  <c r="GT146" i="17"/>
  <c r="GX146" i="17" s="1"/>
  <c r="GW146" i="17"/>
  <c r="GZ146" i="17"/>
  <c r="HC146" i="17"/>
  <c r="E147" i="17"/>
  <c r="F147" i="17"/>
  <c r="H147" i="17"/>
  <c r="I147" i="17"/>
  <c r="K147" i="17"/>
  <c r="T147" i="17"/>
  <c r="U147" i="17"/>
  <c r="V147" i="17"/>
  <c r="W147" i="17"/>
  <c r="X147" i="17"/>
  <c r="Y147" i="17"/>
  <c r="Z147" i="17"/>
  <c r="AD147" i="17"/>
  <c r="AE147" i="17"/>
  <c r="AF147" i="17"/>
  <c r="AG147" i="17"/>
  <c r="AL147" i="17"/>
  <c r="AO147" i="17"/>
  <c r="AQ147" i="17"/>
  <c r="AR147" i="17"/>
  <c r="AU147" i="17"/>
  <c r="AW147" i="17"/>
  <c r="AX147" i="17"/>
  <c r="BR147" i="17"/>
  <c r="BT147" i="17"/>
  <c r="BU147" i="17"/>
  <c r="BW147" i="17"/>
  <c r="BX147" i="17"/>
  <c r="CA147" i="17"/>
  <c r="CC147" i="17"/>
  <c r="CX147" i="17"/>
  <c r="DA147" i="17"/>
  <c r="DC147" i="17"/>
  <c r="DD147" i="17"/>
  <c r="DG147" i="17"/>
  <c r="DI147" i="17"/>
  <c r="ED147" i="17"/>
  <c r="EI147" i="17"/>
  <c r="EJ147" i="17"/>
  <c r="EM147" i="17"/>
  <c r="EO147" i="17"/>
  <c r="FJ147" i="17"/>
  <c r="FL147" i="17"/>
  <c r="FM147" i="17"/>
  <c r="FO147" i="17"/>
  <c r="FP147" i="17"/>
  <c r="FS147" i="17"/>
  <c r="FU147" i="17"/>
  <c r="FV147" i="17"/>
  <c r="GP147" i="17"/>
  <c r="GR147" i="17"/>
  <c r="GS147" i="17"/>
  <c r="GU147" i="17"/>
  <c r="GV147" i="17"/>
  <c r="GY147" i="17"/>
  <c r="HA147" i="17"/>
  <c r="G148" i="17"/>
  <c r="L148" i="17"/>
  <c r="N148" i="17" s="1"/>
  <c r="R148" i="17"/>
  <c r="S148" i="17" s="1"/>
  <c r="AA148" i="17"/>
  <c r="AB148" i="17"/>
  <c r="AH148" i="17"/>
  <c r="AI148" i="17"/>
  <c r="AK148" i="17"/>
  <c r="AM148" i="17"/>
  <c r="AS148" i="17"/>
  <c r="AT148" i="17"/>
  <c r="AY148" i="17"/>
  <c r="AZ148" i="17"/>
  <c r="BB148" i="17"/>
  <c r="CH148" i="17" s="1"/>
  <c r="DN148" i="17" s="1"/>
  <c r="ET148" i="17" s="1"/>
  <c r="FZ148" i="17" s="1"/>
  <c r="HF148" i="17" s="1"/>
  <c r="BC148" i="17"/>
  <c r="CI148" i="17" s="1"/>
  <c r="DO148" i="17" s="1"/>
  <c r="BD148" i="17"/>
  <c r="CJ148" i="17" s="1"/>
  <c r="DP148" i="17" s="1"/>
  <c r="EV148" i="17" s="1"/>
  <c r="GB148" i="17" s="1"/>
  <c r="HH148" i="17" s="1"/>
  <c r="BE148" i="17"/>
  <c r="CK148" i="17" s="1"/>
  <c r="DQ148" i="17" s="1"/>
  <c r="BF148" i="17"/>
  <c r="CL148" i="17" s="1"/>
  <c r="DR148" i="17" s="1"/>
  <c r="EX148" i="17" s="1"/>
  <c r="GD148" i="17" s="1"/>
  <c r="HJ148" i="17" s="1"/>
  <c r="BJ148" i="17"/>
  <c r="CP148" i="17" s="1"/>
  <c r="DV148" i="17" s="1"/>
  <c r="FB148" i="17" s="1"/>
  <c r="GH148" i="17" s="1"/>
  <c r="HN148" i="17" s="1"/>
  <c r="BK148" i="17"/>
  <c r="CQ148" i="17" s="1"/>
  <c r="DW148" i="17" s="1"/>
  <c r="BL148" i="17"/>
  <c r="CR148" i="17" s="1"/>
  <c r="DX148" i="17" s="1"/>
  <c r="FD148" i="17" s="1"/>
  <c r="GJ148" i="17" s="1"/>
  <c r="HP148" i="17" s="1"/>
  <c r="BM148" i="17"/>
  <c r="CS148" i="17" s="1"/>
  <c r="DY148" i="17" s="1"/>
  <c r="BN148" i="17"/>
  <c r="BY148" i="17"/>
  <c r="BZ148" i="17"/>
  <c r="CE148" i="17"/>
  <c r="CF148" i="17"/>
  <c r="CY148" i="17"/>
  <c r="CY154" i="17" s="1"/>
  <c r="DE148" i="17"/>
  <c r="DF148" i="17"/>
  <c r="DK148" i="17"/>
  <c r="DL148" i="17"/>
  <c r="EK148" i="17"/>
  <c r="EL148" i="17"/>
  <c r="EQ148" i="17"/>
  <c r="ER148" i="17"/>
  <c r="FQ148" i="17"/>
  <c r="FR148" i="17"/>
  <c r="FW148" i="17"/>
  <c r="FX148" i="17"/>
  <c r="GW148" i="17"/>
  <c r="GX148" i="17"/>
  <c r="HC148" i="17"/>
  <c r="HD148" i="17"/>
  <c r="G149" i="17"/>
  <c r="N149" i="17"/>
  <c r="R149" i="17"/>
  <c r="S149" i="17" s="1"/>
  <c r="AA149" i="17"/>
  <c r="AB149" i="17"/>
  <c r="AH149" i="17"/>
  <c r="AI149" i="17"/>
  <c r="AK149" i="17"/>
  <c r="AS149" i="17"/>
  <c r="AT149" i="17"/>
  <c r="AY149" i="17"/>
  <c r="AZ149" i="17"/>
  <c r="BA149" i="17"/>
  <c r="BQ149" i="17" s="1"/>
  <c r="BB149" i="17"/>
  <c r="CH149" i="17" s="1"/>
  <c r="DN149" i="17" s="1"/>
  <c r="ET149" i="17" s="1"/>
  <c r="FZ149" i="17" s="1"/>
  <c r="HF149" i="17" s="1"/>
  <c r="BC149" i="17"/>
  <c r="CI149" i="17" s="1"/>
  <c r="DO149" i="17" s="1"/>
  <c r="EU149" i="17" s="1"/>
  <c r="GA149" i="17" s="1"/>
  <c r="HG149" i="17" s="1"/>
  <c r="BD149" i="17"/>
  <c r="CJ149" i="17" s="1"/>
  <c r="DP149" i="17" s="1"/>
  <c r="EV149" i="17" s="1"/>
  <c r="GB149" i="17" s="1"/>
  <c r="HH149" i="17" s="1"/>
  <c r="BE149" i="17"/>
  <c r="BF149" i="17"/>
  <c r="CL149" i="17" s="1"/>
  <c r="DR149" i="17" s="1"/>
  <c r="EX149" i="17" s="1"/>
  <c r="GD149" i="17" s="1"/>
  <c r="HJ149" i="17" s="1"/>
  <c r="BJ149" i="17"/>
  <c r="CP149" i="17" s="1"/>
  <c r="DV149" i="17" s="1"/>
  <c r="FB149" i="17" s="1"/>
  <c r="GH149" i="17" s="1"/>
  <c r="HN149" i="17" s="1"/>
  <c r="BK149" i="17"/>
  <c r="CQ149" i="17" s="1"/>
  <c r="DW149" i="17" s="1"/>
  <c r="FC149" i="17" s="1"/>
  <c r="GI149" i="17" s="1"/>
  <c r="HO149" i="17" s="1"/>
  <c r="BL149" i="17"/>
  <c r="CR149" i="17" s="1"/>
  <c r="DX149" i="17" s="1"/>
  <c r="FD149" i="17" s="1"/>
  <c r="GJ149" i="17" s="1"/>
  <c r="HP149" i="17" s="1"/>
  <c r="BM149" i="17"/>
  <c r="CS149" i="17" s="1"/>
  <c r="DY149" i="17" s="1"/>
  <c r="FE149" i="17" s="1"/>
  <c r="GK149" i="17" s="1"/>
  <c r="HQ149" i="17" s="1"/>
  <c r="BY149" i="17"/>
  <c r="BZ149" i="17"/>
  <c r="CE149" i="17"/>
  <c r="CF149" i="17"/>
  <c r="DE149" i="17"/>
  <c r="DF149" i="17"/>
  <c r="DK149" i="17"/>
  <c r="DL149" i="17"/>
  <c r="EK149" i="17"/>
  <c r="EL149" i="17"/>
  <c r="EQ149" i="17"/>
  <c r="ER149" i="17"/>
  <c r="FQ149" i="17"/>
  <c r="FR149" i="17"/>
  <c r="FW149" i="17"/>
  <c r="FX149" i="17"/>
  <c r="GW149" i="17"/>
  <c r="GX149" i="17"/>
  <c r="HC149" i="17"/>
  <c r="HD149" i="17"/>
  <c r="G150" i="17"/>
  <c r="J150" i="17"/>
  <c r="N150" i="17"/>
  <c r="R150" i="17"/>
  <c r="S150" i="17" s="1"/>
  <c r="AA150" i="17"/>
  <c r="AB150" i="17"/>
  <c r="AH150" i="17"/>
  <c r="AI150" i="17"/>
  <c r="AK150" i="17"/>
  <c r="AS150" i="17"/>
  <c r="AT150" i="17"/>
  <c r="AY150" i="17"/>
  <c r="AZ150" i="17"/>
  <c r="BA150" i="17"/>
  <c r="CG150" i="17" s="1"/>
  <c r="DM150" i="17" s="1"/>
  <c r="EC150" i="17" s="1"/>
  <c r="BB150" i="17"/>
  <c r="CH150" i="17" s="1"/>
  <c r="DN150" i="17" s="1"/>
  <c r="BC150" i="17"/>
  <c r="CI150" i="17" s="1"/>
  <c r="DO150" i="17" s="1"/>
  <c r="EU150" i="17" s="1"/>
  <c r="GA150" i="17" s="1"/>
  <c r="HG150" i="17" s="1"/>
  <c r="BD150" i="17"/>
  <c r="CJ150" i="17" s="1"/>
  <c r="DP150" i="17" s="1"/>
  <c r="BE150" i="17"/>
  <c r="CK150" i="17" s="1"/>
  <c r="DQ150" i="17" s="1"/>
  <c r="EW150" i="17" s="1"/>
  <c r="GC150" i="17" s="1"/>
  <c r="HI150" i="17" s="1"/>
  <c r="BF150" i="17"/>
  <c r="CL150" i="17" s="1"/>
  <c r="DR150" i="17" s="1"/>
  <c r="EX150" i="17" s="1"/>
  <c r="GD150" i="17" s="1"/>
  <c r="BJ150" i="17"/>
  <c r="CP150" i="17" s="1"/>
  <c r="DV150" i="17" s="1"/>
  <c r="FB150" i="17" s="1"/>
  <c r="GH150" i="17" s="1"/>
  <c r="BK150" i="17"/>
  <c r="CQ150" i="17" s="1"/>
  <c r="DW150" i="17" s="1"/>
  <c r="FC150" i="17" s="1"/>
  <c r="GI150" i="17" s="1"/>
  <c r="HO150" i="17" s="1"/>
  <c r="BL150" i="17"/>
  <c r="CR150" i="17" s="1"/>
  <c r="DX150" i="17" s="1"/>
  <c r="BM150" i="17"/>
  <c r="CS150" i="17" s="1"/>
  <c r="DY150" i="17" s="1"/>
  <c r="FE150" i="17" s="1"/>
  <c r="GK150" i="17" s="1"/>
  <c r="HQ150" i="17" s="1"/>
  <c r="BQ150" i="17"/>
  <c r="BY150" i="17"/>
  <c r="BZ150" i="17"/>
  <c r="CE150" i="17"/>
  <c r="CF150" i="17"/>
  <c r="DE150" i="17"/>
  <c r="DF150" i="17"/>
  <c r="DK150" i="17"/>
  <c r="DL150" i="17"/>
  <c r="EK150" i="17"/>
  <c r="EL150" i="17"/>
  <c r="EQ150" i="17"/>
  <c r="ER150" i="17"/>
  <c r="FQ150" i="17"/>
  <c r="FR150" i="17"/>
  <c r="FW150" i="17"/>
  <c r="FX150" i="17"/>
  <c r="GW150" i="17"/>
  <c r="GX150" i="17"/>
  <c r="HC150" i="17"/>
  <c r="HD150" i="17"/>
  <c r="G151" i="17"/>
  <c r="N151" i="17"/>
  <c r="S151" i="17"/>
  <c r="AA151" i="17"/>
  <c r="AB151" i="17"/>
  <c r="AC151" i="17" s="1"/>
  <c r="AH151" i="17"/>
  <c r="AI151" i="17"/>
  <c r="AK151" i="17"/>
  <c r="AS151" i="17"/>
  <c r="AT151" i="17"/>
  <c r="AY151" i="17"/>
  <c r="AZ151" i="17"/>
  <c r="BA151" i="17"/>
  <c r="BQ151" i="17" s="1"/>
  <c r="BB151" i="17"/>
  <c r="CH151" i="17" s="1"/>
  <c r="DN151" i="17" s="1"/>
  <c r="ET151" i="17" s="1"/>
  <c r="FZ151" i="17" s="1"/>
  <c r="HF151" i="17" s="1"/>
  <c r="BC151" i="17"/>
  <c r="CI151" i="17" s="1"/>
  <c r="DO151" i="17" s="1"/>
  <c r="EU151" i="17" s="1"/>
  <c r="GA151" i="17" s="1"/>
  <c r="HG151" i="17" s="1"/>
  <c r="BD151" i="17"/>
  <c r="CJ151" i="17" s="1"/>
  <c r="DP151" i="17" s="1"/>
  <c r="EV151" i="17" s="1"/>
  <c r="GB151" i="17" s="1"/>
  <c r="HH151" i="17" s="1"/>
  <c r="BE151" i="17"/>
  <c r="CK151" i="17" s="1"/>
  <c r="DQ151" i="17" s="1"/>
  <c r="EW151" i="17" s="1"/>
  <c r="GC151" i="17" s="1"/>
  <c r="HI151" i="17" s="1"/>
  <c r="BF151" i="17"/>
  <c r="CL151" i="17" s="1"/>
  <c r="DR151" i="17" s="1"/>
  <c r="EX151" i="17" s="1"/>
  <c r="GD151" i="17" s="1"/>
  <c r="HJ151" i="17" s="1"/>
  <c r="BJ151" i="17"/>
  <c r="CP151" i="17" s="1"/>
  <c r="BK151" i="17"/>
  <c r="CQ151" i="17" s="1"/>
  <c r="DW151" i="17" s="1"/>
  <c r="FC151" i="17" s="1"/>
  <c r="GI151" i="17" s="1"/>
  <c r="HO151" i="17" s="1"/>
  <c r="BL151" i="17"/>
  <c r="CR151" i="17" s="1"/>
  <c r="DX151" i="17" s="1"/>
  <c r="FD151" i="17" s="1"/>
  <c r="GJ151" i="17" s="1"/>
  <c r="HP151" i="17" s="1"/>
  <c r="BM151" i="17"/>
  <c r="CS151" i="17" s="1"/>
  <c r="DY151" i="17" s="1"/>
  <c r="FE151" i="17" s="1"/>
  <c r="GK151" i="17" s="1"/>
  <c r="HQ151" i="17" s="1"/>
  <c r="BY151" i="17"/>
  <c r="BZ151" i="17"/>
  <c r="CE151" i="17"/>
  <c r="CF151" i="17"/>
  <c r="DE151" i="17"/>
  <c r="DF151" i="17"/>
  <c r="DK151" i="17"/>
  <c r="DL151" i="17"/>
  <c r="DV151" i="17"/>
  <c r="FB151" i="17" s="1"/>
  <c r="GH151" i="17" s="1"/>
  <c r="HN151" i="17" s="1"/>
  <c r="EK151" i="17"/>
  <c r="EL151" i="17"/>
  <c r="EQ151" i="17"/>
  <c r="ER151" i="17"/>
  <c r="FQ151" i="17"/>
  <c r="FR151" i="17"/>
  <c r="FW151" i="17"/>
  <c r="FX151" i="17"/>
  <c r="GW151" i="17"/>
  <c r="GX151" i="17"/>
  <c r="HC151" i="17"/>
  <c r="HD151" i="17"/>
  <c r="G152" i="17"/>
  <c r="J152" i="17"/>
  <c r="N152" i="17"/>
  <c r="R152" i="17"/>
  <c r="S152" i="17" s="1"/>
  <c r="AA152" i="17"/>
  <c r="AB152" i="17"/>
  <c r="AH152" i="17"/>
  <c r="AI152" i="17"/>
  <c r="AK152" i="17"/>
  <c r="AP152" i="17"/>
  <c r="AM152" i="17" s="1"/>
  <c r="BA152" i="17" s="1"/>
  <c r="BQ152" i="17" s="1"/>
  <c r="AS152" i="17"/>
  <c r="AT152" i="17"/>
  <c r="AY152" i="17"/>
  <c r="AZ152" i="17"/>
  <c r="BB152" i="17"/>
  <c r="CH152" i="17" s="1"/>
  <c r="DN152" i="17" s="1"/>
  <c r="ET152" i="17" s="1"/>
  <c r="FZ152" i="17" s="1"/>
  <c r="HF152" i="17" s="1"/>
  <c r="BC152" i="17"/>
  <c r="CI152" i="17" s="1"/>
  <c r="DO152" i="17" s="1"/>
  <c r="EU152" i="17" s="1"/>
  <c r="GA152" i="17" s="1"/>
  <c r="HG152" i="17" s="1"/>
  <c r="BE152" i="17"/>
  <c r="CK152" i="17" s="1"/>
  <c r="DQ152" i="17" s="1"/>
  <c r="EW152" i="17" s="1"/>
  <c r="GC152" i="17" s="1"/>
  <c r="HI152" i="17" s="1"/>
  <c r="BF152" i="17"/>
  <c r="CL152" i="17" s="1"/>
  <c r="DR152" i="17" s="1"/>
  <c r="EX152" i="17" s="1"/>
  <c r="GD152" i="17" s="1"/>
  <c r="HJ152" i="17" s="1"/>
  <c r="BJ152" i="17"/>
  <c r="CP152" i="17" s="1"/>
  <c r="DV152" i="17" s="1"/>
  <c r="FB152" i="17" s="1"/>
  <c r="GH152" i="17" s="1"/>
  <c r="HN152" i="17" s="1"/>
  <c r="BK152" i="17"/>
  <c r="CQ152" i="17" s="1"/>
  <c r="DW152" i="17" s="1"/>
  <c r="FC152" i="17" s="1"/>
  <c r="GI152" i="17" s="1"/>
  <c r="HO152" i="17" s="1"/>
  <c r="BL152" i="17"/>
  <c r="CR152" i="17" s="1"/>
  <c r="DX152" i="17" s="1"/>
  <c r="FD152" i="17" s="1"/>
  <c r="GJ152" i="17" s="1"/>
  <c r="HP152" i="17" s="1"/>
  <c r="BM152" i="17"/>
  <c r="CS152" i="17" s="1"/>
  <c r="DY152" i="17" s="1"/>
  <c r="FE152" i="17" s="1"/>
  <c r="GK152" i="17" s="1"/>
  <c r="HQ152" i="17" s="1"/>
  <c r="BN152" i="17"/>
  <c r="BY152" i="17"/>
  <c r="BZ152" i="17"/>
  <c r="CE152" i="17"/>
  <c r="CF152" i="17"/>
  <c r="DE152" i="17"/>
  <c r="DF152" i="17"/>
  <c r="DK152" i="17"/>
  <c r="DL152" i="17"/>
  <c r="EK152" i="17"/>
  <c r="EL152" i="17"/>
  <c r="EQ152" i="17"/>
  <c r="ER152" i="17"/>
  <c r="FQ152" i="17"/>
  <c r="FR152" i="17"/>
  <c r="FW152" i="17"/>
  <c r="FX152" i="17"/>
  <c r="GW152" i="17"/>
  <c r="GX152" i="17"/>
  <c r="HC152" i="17"/>
  <c r="HD152" i="17"/>
  <c r="G153" i="17"/>
  <c r="J153" i="17"/>
  <c r="N153" i="17"/>
  <c r="R153" i="17"/>
  <c r="S153" i="17" s="1"/>
  <c r="AA153" i="17"/>
  <c r="AB153" i="17"/>
  <c r="AH153" i="17"/>
  <c r="AI153" i="17"/>
  <c r="AK153" i="17"/>
  <c r="AS153" i="17"/>
  <c r="AT153" i="17"/>
  <c r="AY153" i="17"/>
  <c r="AZ153" i="17"/>
  <c r="BA153" i="17"/>
  <c r="CG153" i="17" s="1"/>
  <c r="DM153" i="17" s="1"/>
  <c r="EC153" i="17" s="1"/>
  <c r="BB153" i="17"/>
  <c r="CH153" i="17" s="1"/>
  <c r="BC153" i="17"/>
  <c r="CI153" i="17" s="1"/>
  <c r="DO153" i="17" s="1"/>
  <c r="EU153" i="17" s="1"/>
  <c r="GA153" i="17" s="1"/>
  <c r="HG153" i="17" s="1"/>
  <c r="BD153" i="17"/>
  <c r="CJ153" i="17" s="1"/>
  <c r="DP153" i="17" s="1"/>
  <c r="EV153" i="17" s="1"/>
  <c r="GB153" i="17" s="1"/>
  <c r="BE153" i="17"/>
  <c r="CK153" i="17" s="1"/>
  <c r="DQ153" i="17" s="1"/>
  <c r="EW153" i="17" s="1"/>
  <c r="GC153" i="17" s="1"/>
  <c r="HI153" i="17" s="1"/>
  <c r="BF153" i="17"/>
  <c r="CL153" i="17" s="1"/>
  <c r="DR153" i="17" s="1"/>
  <c r="EX153" i="17" s="1"/>
  <c r="GD153" i="17" s="1"/>
  <c r="HJ153" i="17" s="1"/>
  <c r="BJ153" i="17"/>
  <c r="CP153" i="17" s="1"/>
  <c r="DV153" i="17" s="1"/>
  <c r="BK153" i="17"/>
  <c r="CQ153" i="17" s="1"/>
  <c r="DW153" i="17" s="1"/>
  <c r="FC153" i="17" s="1"/>
  <c r="GI153" i="17" s="1"/>
  <c r="HO153" i="17" s="1"/>
  <c r="BL153" i="17"/>
  <c r="CR153" i="17" s="1"/>
  <c r="DX153" i="17" s="1"/>
  <c r="FD153" i="17" s="1"/>
  <c r="GJ153" i="17" s="1"/>
  <c r="HP153" i="17" s="1"/>
  <c r="BM153" i="17"/>
  <c r="CS153" i="17" s="1"/>
  <c r="DY153" i="17" s="1"/>
  <c r="FE153" i="17" s="1"/>
  <c r="GK153" i="17" s="1"/>
  <c r="HQ153" i="17" s="1"/>
  <c r="BQ153" i="17"/>
  <c r="BY153" i="17"/>
  <c r="BZ153" i="17"/>
  <c r="CE153" i="17"/>
  <c r="CF153" i="17"/>
  <c r="DE153" i="17"/>
  <c r="DF153" i="17"/>
  <c r="DK153" i="17"/>
  <c r="DL153" i="17"/>
  <c r="DN153" i="17"/>
  <c r="ET153" i="17" s="1"/>
  <c r="FZ153" i="17" s="1"/>
  <c r="HF153" i="17" s="1"/>
  <c r="EK153" i="17"/>
  <c r="EL153" i="17"/>
  <c r="EQ153" i="17"/>
  <c r="ER153" i="17"/>
  <c r="FQ153" i="17"/>
  <c r="FR153" i="17"/>
  <c r="FW153" i="17"/>
  <c r="FX153" i="17"/>
  <c r="GT153" i="17"/>
  <c r="GQ153" i="17" s="1"/>
  <c r="GQ154" i="17" s="1"/>
  <c r="GW153" i="17"/>
  <c r="HC153" i="17"/>
  <c r="HD153" i="17"/>
  <c r="E154" i="17"/>
  <c r="F154" i="17"/>
  <c r="H154" i="17"/>
  <c r="I154" i="17"/>
  <c r="K154" i="17"/>
  <c r="M154" i="17" s="1"/>
  <c r="O154" i="17"/>
  <c r="P154" i="17"/>
  <c r="Q154" i="17"/>
  <c r="T154" i="17"/>
  <c r="U154" i="17"/>
  <c r="V154" i="17"/>
  <c r="W154" i="17"/>
  <c r="X154" i="17"/>
  <c r="Y154" i="17"/>
  <c r="Z154" i="17"/>
  <c r="AD154" i="17"/>
  <c r="AE154" i="17"/>
  <c r="AF154" i="17"/>
  <c r="AG154" i="17"/>
  <c r="AL154" i="17"/>
  <c r="AN154" i="17"/>
  <c r="AO154" i="17"/>
  <c r="AQ154" i="17"/>
  <c r="AR154" i="17"/>
  <c r="AU154" i="17"/>
  <c r="AV154" i="17"/>
  <c r="AW154" i="17"/>
  <c r="AX154" i="17"/>
  <c r="BR154" i="17"/>
  <c r="BS154" i="17"/>
  <c r="BT154" i="17"/>
  <c r="BU154" i="17"/>
  <c r="BV154" i="17"/>
  <c r="BW154" i="17"/>
  <c r="BX154" i="17"/>
  <c r="CA154" i="17"/>
  <c r="CB154" i="17"/>
  <c r="CC154" i="17"/>
  <c r="CD154" i="17"/>
  <c r="CX154" i="17"/>
  <c r="CZ154" i="17"/>
  <c r="DA154" i="17"/>
  <c r="DB154" i="17"/>
  <c r="DC154" i="17"/>
  <c r="DD154" i="17"/>
  <c r="DG154" i="17"/>
  <c r="DH154" i="17"/>
  <c r="DI154" i="17"/>
  <c r="DJ154" i="17"/>
  <c r="ED154" i="17"/>
  <c r="EE154" i="17"/>
  <c r="EF154" i="17"/>
  <c r="EG154" i="17"/>
  <c r="EH154" i="17"/>
  <c r="EI154" i="17"/>
  <c r="EJ154" i="17"/>
  <c r="EM154" i="17"/>
  <c r="EN154" i="17"/>
  <c r="EO154" i="17"/>
  <c r="EP154" i="17"/>
  <c r="FJ154" i="17"/>
  <c r="FK154" i="17"/>
  <c r="FL154" i="17"/>
  <c r="FM154" i="17"/>
  <c r="FN154" i="17"/>
  <c r="FO154" i="17"/>
  <c r="FP154" i="17"/>
  <c r="FS154" i="17"/>
  <c r="FT154" i="17"/>
  <c r="FU154" i="17"/>
  <c r="FV154" i="17"/>
  <c r="GP154" i="17"/>
  <c r="GR154" i="17"/>
  <c r="GS154" i="17"/>
  <c r="GU154" i="17"/>
  <c r="GV154" i="17"/>
  <c r="GY154" i="17"/>
  <c r="GZ154" i="17"/>
  <c r="HA154" i="17"/>
  <c r="HB154" i="17"/>
  <c r="G155" i="17"/>
  <c r="J155" i="17"/>
  <c r="L155" i="17"/>
  <c r="N155" i="17" s="1"/>
  <c r="P155" i="17" s="1"/>
  <c r="P160" i="17" s="1"/>
  <c r="T155" i="17"/>
  <c r="AK155" i="17" s="1"/>
  <c r="AA155" i="17"/>
  <c r="AB155" i="17"/>
  <c r="AH155" i="17"/>
  <c r="AI155" i="17"/>
  <c r="AS155" i="17"/>
  <c r="AT155" i="17"/>
  <c r="AY155" i="17"/>
  <c r="AZ155" i="17"/>
  <c r="BA155" i="17"/>
  <c r="CG155" i="17" s="1"/>
  <c r="BB155" i="17"/>
  <c r="CH155" i="17" s="1"/>
  <c r="DN155" i="17" s="1"/>
  <c r="BC155" i="17"/>
  <c r="BD155" i="17"/>
  <c r="CJ155" i="17" s="1"/>
  <c r="DP155" i="17" s="1"/>
  <c r="BE155" i="17"/>
  <c r="CK155" i="17" s="1"/>
  <c r="BF155" i="17"/>
  <c r="CL155" i="17" s="1"/>
  <c r="DR155" i="17" s="1"/>
  <c r="EX155" i="17" s="1"/>
  <c r="GD155" i="17" s="1"/>
  <c r="BJ155" i="17"/>
  <c r="CP155" i="17" s="1"/>
  <c r="DV155" i="17" s="1"/>
  <c r="FB155" i="17" s="1"/>
  <c r="GH155" i="17" s="1"/>
  <c r="BK155" i="17"/>
  <c r="CQ155" i="17" s="1"/>
  <c r="BL155" i="17"/>
  <c r="CR155" i="17" s="1"/>
  <c r="DX155" i="17" s="1"/>
  <c r="BM155" i="17"/>
  <c r="CS155" i="17" s="1"/>
  <c r="BY155" i="17"/>
  <c r="BZ155" i="17"/>
  <c r="CE155" i="17"/>
  <c r="CF155" i="17"/>
  <c r="CI155" i="17"/>
  <c r="DE155" i="17"/>
  <c r="DF155" i="17"/>
  <c r="DK155" i="17"/>
  <c r="DL155" i="17"/>
  <c r="EK155" i="17"/>
  <c r="EL155" i="17"/>
  <c r="EQ155" i="17"/>
  <c r="ER155" i="17"/>
  <c r="FQ155" i="17"/>
  <c r="FR155" i="17"/>
  <c r="FW155" i="17"/>
  <c r="FX155" i="17"/>
  <c r="GW155" i="17"/>
  <c r="GX155" i="17"/>
  <c r="HC155" i="17"/>
  <c r="HD155" i="17"/>
  <c r="N156" i="17"/>
  <c r="R156" i="17"/>
  <c r="S156" i="17" s="1"/>
  <c r="T156" i="17"/>
  <c r="AK156" i="17" s="1"/>
  <c r="AA156" i="17"/>
  <c r="AB156" i="17"/>
  <c r="AH156" i="17"/>
  <c r="AI156" i="17"/>
  <c r="AS156" i="17"/>
  <c r="AT156" i="17"/>
  <c r="AY156" i="17"/>
  <c r="AZ156" i="17"/>
  <c r="BA156" i="17"/>
  <c r="BB156" i="17"/>
  <c r="CH156" i="17" s="1"/>
  <c r="BC156" i="17"/>
  <c r="BD156" i="17"/>
  <c r="CJ156" i="17" s="1"/>
  <c r="DP156" i="17" s="1"/>
  <c r="EV156" i="17" s="1"/>
  <c r="GB156" i="17" s="1"/>
  <c r="HH156" i="17" s="1"/>
  <c r="BE156" i="17"/>
  <c r="BF156" i="17"/>
  <c r="CL156" i="17" s="1"/>
  <c r="BJ156" i="17"/>
  <c r="BK156" i="17"/>
  <c r="BL156" i="17"/>
  <c r="CR156" i="17" s="1"/>
  <c r="DX156" i="17" s="1"/>
  <c r="FD156" i="17" s="1"/>
  <c r="GJ156" i="17" s="1"/>
  <c r="HP156" i="17" s="1"/>
  <c r="BM156" i="17"/>
  <c r="BY156" i="17"/>
  <c r="BZ156" i="17"/>
  <c r="CE156" i="17"/>
  <c r="CF156" i="17"/>
  <c r="CP156" i="17"/>
  <c r="DV156" i="17" s="1"/>
  <c r="FB156" i="17" s="1"/>
  <c r="DE156" i="17"/>
  <c r="DF156" i="17"/>
  <c r="DK156" i="17"/>
  <c r="DL156" i="17"/>
  <c r="EK156" i="17"/>
  <c r="EL156" i="17"/>
  <c r="EQ156" i="17"/>
  <c r="ER156" i="17"/>
  <c r="FQ156" i="17"/>
  <c r="FR156" i="17"/>
  <c r="FW156" i="17"/>
  <c r="FX156" i="17"/>
  <c r="GW156" i="17"/>
  <c r="GX156" i="17"/>
  <c r="HC156" i="17"/>
  <c r="HD156" i="17"/>
  <c r="G157" i="17"/>
  <c r="J157" i="17"/>
  <c r="M157" i="17"/>
  <c r="N157" i="17"/>
  <c r="S157" i="17"/>
  <c r="AA157" i="17"/>
  <c r="AB157" i="17"/>
  <c r="AH157" i="17"/>
  <c r="AI157" i="17"/>
  <c r="AK157" i="17"/>
  <c r="AS157" i="17"/>
  <c r="AT157" i="17"/>
  <c r="AY157" i="17"/>
  <c r="AZ157" i="17"/>
  <c r="BA157" i="17"/>
  <c r="BQ157" i="17" s="1"/>
  <c r="BB157" i="17"/>
  <c r="CH157" i="17" s="1"/>
  <c r="DN157" i="17" s="1"/>
  <c r="ET157" i="17" s="1"/>
  <c r="FZ157" i="17" s="1"/>
  <c r="HF157" i="17" s="1"/>
  <c r="BC157" i="17"/>
  <c r="CI157" i="17" s="1"/>
  <c r="DO157" i="17" s="1"/>
  <c r="EU157" i="17" s="1"/>
  <c r="GA157" i="17" s="1"/>
  <c r="HG157" i="17" s="1"/>
  <c r="BD157" i="17"/>
  <c r="CJ157" i="17" s="1"/>
  <c r="DP157" i="17" s="1"/>
  <c r="BE157" i="17"/>
  <c r="CK157" i="17" s="1"/>
  <c r="DQ157" i="17" s="1"/>
  <c r="EW157" i="17" s="1"/>
  <c r="GC157" i="17" s="1"/>
  <c r="HI157" i="17" s="1"/>
  <c r="BF157" i="17"/>
  <c r="CL157" i="17" s="1"/>
  <c r="DR157" i="17" s="1"/>
  <c r="EX157" i="17" s="1"/>
  <c r="GD157" i="17" s="1"/>
  <c r="HJ157" i="17" s="1"/>
  <c r="BJ157" i="17"/>
  <c r="CP157" i="17" s="1"/>
  <c r="BK157" i="17"/>
  <c r="CQ157" i="17" s="1"/>
  <c r="DW157" i="17" s="1"/>
  <c r="FC157" i="17" s="1"/>
  <c r="GI157" i="17" s="1"/>
  <c r="HO157" i="17" s="1"/>
  <c r="BL157" i="17"/>
  <c r="CR157" i="17" s="1"/>
  <c r="DX157" i="17" s="1"/>
  <c r="FD157" i="17" s="1"/>
  <c r="GJ157" i="17" s="1"/>
  <c r="HP157" i="17" s="1"/>
  <c r="BM157" i="17"/>
  <c r="CS157" i="17" s="1"/>
  <c r="DY157" i="17" s="1"/>
  <c r="FE157" i="17" s="1"/>
  <c r="GK157" i="17" s="1"/>
  <c r="HQ157" i="17" s="1"/>
  <c r="BS157" i="17"/>
  <c r="BY157" i="17"/>
  <c r="BZ157" i="17"/>
  <c r="CE157" i="17"/>
  <c r="CF157" i="17"/>
  <c r="DE157" i="17"/>
  <c r="DF157" i="17"/>
  <c r="DK157" i="17"/>
  <c r="DL157" i="17"/>
  <c r="EH157" i="17"/>
  <c r="EK157" i="17"/>
  <c r="EQ157" i="17"/>
  <c r="ER157" i="17"/>
  <c r="FK157" i="17"/>
  <c r="FN157" i="17"/>
  <c r="FR157" i="17" s="1"/>
  <c r="FQ157" i="17"/>
  <c r="FW157" i="17"/>
  <c r="FX157" i="17"/>
  <c r="GT157" i="17"/>
  <c r="GQ157" i="17" s="1"/>
  <c r="GW157" i="17"/>
  <c r="HC157" i="17"/>
  <c r="HD157" i="17"/>
  <c r="G158" i="17"/>
  <c r="J158" i="17"/>
  <c r="M158" i="17"/>
  <c r="N158" i="17"/>
  <c r="R158" i="17"/>
  <c r="S158" i="17" s="1"/>
  <c r="AA158" i="17"/>
  <c r="AB158" i="17"/>
  <c r="AH158" i="17"/>
  <c r="AI158" i="17"/>
  <c r="AK158" i="17"/>
  <c r="AP158" i="17"/>
  <c r="AS158" i="17"/>
  <c r="AY158" i="17"/>
  <c r="AZ158" i="17"/>
  <c r="BB158" i="17"/>
  <c r="CH158" i="17" s="1"/>
  <c r="DN158" i="17" s="1"/>
  <c r="ET158" i="17" s="1"/>
  <c r="FZ158" i="17" s="1"/>
  <c r="HF158" i="17" s="1"/>
  <c r="BC158" i="17"/>
  <c r="CI158" i="17" s="1"/>
  <c r="DO158" i="17" s="1"/>
  <c r="EU158" i="17" s="1"/>
  <c r="GA158" i="17" s="1"/>
  <c r="HG158" i="17" s="1"/>
  <c r="BE158" i="17"/>
  <c r="CK158" i="17" s="1"/>
  <c r="DQ158" i="17" s="1"/>
  <c r="EW158" i="17" s="1"/>
  <c r="GC158" i="17" s="1"/>
  <c r="HI158" i="17" s="1"/>
  <c r="BF158" i="17"/>
  <c r="CL158" i="17" s="1"/>
  <c r="DR158" i="17" s="1"/>
  <c r="EX158" i="17" s="1"/>
  <c r="GD158" i="17" s="1"/>
  <c r="HJ158" i="17" s="1"/>
  <c r="BJ158" i="17"/>
  <c r="CP158" i="17" s="1"/>
  <c r="DV158" i="17" s="1"/>
  <c r="FB158" i="17" s="1"/>
  <c r="GH158" i="17" s="1"/>
  <c r="HN158" i="17" s="1"/>
  <c r="BK158" i="17"/>
  <c r="CQ158" i="17" s="1"/>
  <c r="DW158" i="17" s="1"/>
  <c r="FC158" i="17" s="1"/>
  <c r="GI158" i="17" s="1"/>
  <c r="HO158" i="17" s="1"/>
  <c r="BL158" i="17"/>
  <c r="CR158" i="17" s="1"/>
  <c r="DX158" i="17" s="1"/>
  <c r="FD158" i="17" s="1"/>
  <c r="GJ158" i="17" s="1"/>
  <c r="HP158" i="17" s="1"/>
  <c r="BM158" i="17"/>
  <c r="CS158" i="17" s="1"/>
  <c r="DY158" i="17" s="1"/>
  <c r="FE158" i="17" s="1"/>
  <c r="GK158" i="17" s="1"/>
  <c r="HQ158" i="17" s="1"/>
  <c r="BS158" i="17"/>
  <c r="BS160" i="17" s="1"/>
  <c r="BV158" i="17"/>
  <c r="BV160" i="17" s="1"/>
  <c r="BY158" i="17"/>
  <c r="CE158" i="17"/>
  <c r="CF158" i="17"/>
  <c r="DB158" i="17"/>
  <c r="CY158" i="17" s="1"/>
  <c r="CY160" i="17" s="1"/>
  <c r="DE158" i="17"/>
  <c r="DF158" i="17"/>
  <c r="DK158" i="17"/>
  <c r="DL158" i="17"/>
  <c r="EH158" i="17"/>
  <c r="EK158" i="17"/>
  <c r="EL158" i="17"/>
  <c r="EQ158" i="17"/>
  <c r="ER158" i="17"/>
  <c r="FK158" i="17"/>
  <c r="FN158" i="17"/>
  <c r="FR158" i="17" s="1"/>
  <c r="FQ158" i="17"/>
  <c r="FW158" i="17"/>
  <c r="FX158" i="17"/>
  <c r="GT158" i="17"/>
  <c r="GQ158" i="17" s="1"/>
  <c r="GW158" i="17"/>
  <c r="HC158" i="17"/>
  <c r="HD158" i="17"/>
  <c r="G159" i="17"/>
  <c r="J159" i="17"/>
  <c r="N159" i="17"/>
  <c r="R159" i="17"/>
  <c r="S159" i="17" s="1"/>
  <c r="AA159" i="17"/>
  <c r="AB159" i="17"/>
  <c r="AH159" i="17"/>
  <c r="AI159" i="17"/>
  <c r="AK159" i="17"/>
  <c r="AS159" i="17"/>
  <c r="AT159" i="17"/>
  <c r="AY159" i="17"/>
  <c r="AZ159" i="17"/>
  <c r="BA159" i="17"/>
  <c r="BQ159" i="17" s="1"/>
  <c r="BB159" i="17"/>
  <c r="CH159" i="17" s="1"/>
  <c r="DN159" i="17" s="1"/>
  <c r="ET159" i="17" s="1"/>
  <c r="FZ159" i="17" s="1"/>
  <c r="HF159" i="17" s="1"/>
  <c r="BC159" i="17"/>
  <c r="CI159" i="17" s="1"/>
  <c r="DO159" i="17" s="1"/>
  <c r="EU159" i="17" s="1"/>
  <c r="GA159" i="17" s="1"/>
  <c r="HG159" i="17" s="1"/>
  <c r="BD159" i="17"/>
  <c r="CJ159" i="17" s="1"/>
  <c r="DP159" i="17" s="1"/>
  <c r="EV159" i="17" s="1"/>
  <c r="GB159" i="17" s="1"/>
  <c r="HH159" i="17" s="1"/>
  <c r="BE159" i="17"/>
  <c r="CK159" i="17" s="1"/>
  <c r="DQ159" i="17" s="1"/>
  <c r="EW159" i="17" s="1"/>
  <c r="GC159" i="17" s="1"/>
  <c r="HI159" i="17" s="1"/>
  <c r="BF159" i="17"/>
  <c r="CL159" i="17" s="1"/>
  <c r="DR159" i="17" s="1"/>
  <c r="EX159" i="17" s="1"/>
  <c r="GD159" i="17" s="1"/>
  <c r="HJ159" i="17" s="1"/>
  <c r="BJ159" i="17"/>
  <c r="CP159" i="17" s="1"/>
  <c r="DV159" i="17" s="1"/>
  <c r="BK159" i="17"/>
  <c r="CQ159" i="17" s="1"/>
  <c r="DW159" i="17" s="1"/>
  <c r="FC159" i="17" s="1"/>
  <c r="GI159" i="17" s="1"/>
  <c r="HO159" i="17" s="1"/>
  <c r="BL159" i="17"/>
  <c r="CR159" i="17" s="1"/>
  <c r="DX159" i="17" s="1"/>
  <c r="FD159" i="17" s="1"/>
  <c r="GJ159" i="17" s="1"/>
  <c r="HP159" i="17" s="1"/>
  <c r="BM159" i="17"/>
  <c r="CS159" i="17" s="1"/>
  <c r="DY159" i="17" s="1"/>
  <c r="FE159" i="17" s="1"/>
  <c r="GK159" i="17" s="1"/>
  <c r="HQ159" i="17" s="1"/>
  <c r="BY159" i="17"/>
  <c r="BZ159" i="17"/>
  <c r="CE159" i="17"/>
  <c r="CF159" i="17"/>
  <c r="DE159" i="17"/>
  <c r="DF159" i="17"/>
  <c r="DK159" i="17"/>
  <c r="DL159" i="17"/>
  <c r="EK159" i="17"/>
  <c r="EL159" i="17"/>
  <c r="EQ159" i="17"/>
  <c r="ER159" i="17"/>
  <c r="FQ159" i="17"/>
  <c r="FR159" i="17"/>
  <c r="FW159" i="17"/>
  <c r="FX159" i="17"/>
  <c r="GW159" i="17"/>
  <c r="GX159" i="17"/>
  <c r="HC159" i="17"/>
  <c r="HD159" i="17"/>
  <c r="E160" i="17"/>
  <c r="F160" i="17"/>
  <c r="H160" i="17"/>
  <c r="I160" i="17"/>
  <c r="K160" i="17"/>
  <c r="U160" i="17"/>
  <c r="V160" i="17"/>
  <c r="W160" i="17"/>
  <c r="X160" i="17"/>
  <c r="Y160" i="17"/>
  <c r="Z160" i="17"/>
  <c r="AD160" i="17"/>
  <c r="AE160" i="17"/>
  <c r="AF160" i="17"/>
  <c r="AG160" i="17"/>
  <c r="AL160" i="17"/>
  <c r="AN160" i="17"/>
  <c r="AO160" i="17"/>
  <c r="AQ160" i="17"/>
  <c r="AR160" i="17"/>
  <c r="AU160" i="17"/>
  <c r="AV160" i="17"/>
  <c r="AW160" i="17"/>
  <c r="AX160" i="17"/>
  <c r="BR160" i="17"/>
  <c r="BT160" i="17"/>
  <c r="BU160" i="17"/>
  <c r="BW160" i="17"/>
  <c r="BX160" i="17"/>
  <c r="CA160" i="17"/>
  <c r="CB160" i="17"/>
  <c r="CC160" i="17"/>
  <c r="CD160" i="17"/>
  <c r="CX160" i="17"/>
  <c r="CZ160" i="17"/>
  <c r="DA160" i="17"/>
  <c r="DC160" i="17"/>
  <c r="DD160" i="17"/>
  <c r="DG160" i="17"/>
  <c r="DH160" i="17"/>
  <c r="DI160" i="17"/>
  <c r="DJ160" i="17"/>
  <c r="ED160" i="17"/>
  <c r="EF160" i="17"/>
  <c r="EG160" i="17"/>
  <c r="EI160" i="17"/>
  <c r="EJ160" i="17"/>
  <c r="EM160" i="17"/>
  <c r="EN160" i="17"/>
  <c r="EO160" i="17"/>
  <c r="EP160" i="17"/>
  <c r="FJ160" i="17"/>
  <c r="FL160" i="17"/>
  <c r="FM160" i="17"/>
  <c r="FO160" i="17"/>
  <c r="FP160" i="17"/>
  <c r="FS160" i="17"/>
  <c r="FT160" i="17"/>
  <c r="FU160" i="17"/>
  <c r="FV160" i="17"/>
  <c r="GP160" i="17"/>
  <c r="GR160" i="17"/>
  <c r="GS160" i="17"/>
  <c r="GU160" i="17"/>
  <c r="GV160" i="17"/>
  <c r="GY160" i="17"/>
  <c r="GZ160" i="17"/>
  <c r="HA160" i="17"/>
  <c r="HB160" i="17"/>
  <c r="E163" i="17"/>
  <c r="F163" i="17"/>
  <c r="H163" i="17"/>
  <c r="I163" i="17"/>
  <c r="K163" i="17"/>
  <c r="L163" i="17"/>
  <c r="R163" i="17"/>
  <c r="U163" i="17"/>
  <c r="V163" i="17"/>
  <c r="X163" i="17"/>
  <c r="Y163" i="17"/>
  <c r="Z163" i="17"/>
  <c r="AD163" i="17"/>
  <c r="AE163" i="17"/>
  <c r="AL163" i="17"/>
  <c r="AO163" i="17"/>
  <c r="AP163" i="17"/>
  <c r="AQ163" i="17"/>
  <c r="AR163" i="17"/>
  <c r="AU163" i="17"/>
  <c r="AV163" i="17"/>
  <c r="BR163" i="17"/>
  <c r="BS163" i="17"/>
  <c r="BT163" i="17"/>
  <c r="BU163" i="17"/>
  <c r="BV163" i="17"/>
  <c r="BW163" i="17"/>
  <c r="BX163" i="17"/>
  <c r="CA163" i="17"/>
  <c r="CB163" i="17"/>
  <c r="CX163" i="17"/>
  <c r="DA163" i="17"/>
  <c r="DB163" i="17"/>
  <c r="DC163" i="17"/>
  <c r="DD163" i="17"/>
  <c r="DG163" i="17"/>
  <c r="DH163" i="17"/>
  <c r="ED163" i="17"/>
  <c r="EE163" i="17"/>
  <c r="EF163" i="17"/>
  <c r="EG163" i="17"/>
  <c r="EH163" i="17"/>
  <c r="EI163" i="17"/>
  <c r="EJ163" i="17"/>
  <c r="EM163" i="17"/>
  <c r="EN163" i="17"/>
  <c r="ER163" i="17" s="1"/>
  <c r="EO163" i="17"/>
  <c r="EQ163" i="17" s="1"/>
  <c r="EP163" i="17"/>
  <c r="FJ163" i="17"/>
  <c r="FM163" i="17"/>
  <c r="FN163" i="17"/>
  <c r="FO163" i="17"/>
  <c r="FP163" i="17"/>
  <c r="FS163" i="17"/>
  <c r="FT163" i="17"/>
  <c r="FU163" i="17"/>
  <c r="GP163" i="17"/>
  <c r="GQ163" i="17"/>
  <c r="GR163" i="17"/>
  <c r="GS163" i="17"/>
  <c r="GT163" i="17"/>
  <c r="GU163" i="17"/>
  <c r="GV163" i="17"/>
  <c r="GY163" i="17"/>
  <c r="GZ163" i="17"/>
  <c r="HA163" i="17"/>
  <c r="HC163" i="17" s="1"/>
  <c r="HB163" i="17"/>
  <c r="G164" i="17"/>
  <c r="N164" i="17"/>
  <c r="S164" i="17"/>
  <c r="T164" i="17"/>
  <c r="AK164" i="17" s="1"/>
  <c r="W164" i="17"/>
  <c r="AA164" i="17" s="1"/>
  <c r="AB164" i="17"/>
  <c r="AC164" i="17" s="1"/>
  <c r="AF164" i="17"/>
  <c r="AG164" i="17"/>
  <c r="AI164" i="17" s="1"/>
  <c r="AH164" i="17"/>
  <c r="AM164" i="17"/>
  <c r="BA164" i="17" s="1"/>
  <c r="AS164" i="17"/>
  <c r="AT164" i="17"/>
  <c r="AW164" i="17"/>
  <c r="AY164" i="17" s="1"/>
  <c r="AX164" i="17"/>
  <c r="AZ164" i="17" s="1"/>
  <c r="BD164" i="17"/>
  <c r="BE164" i="17"/>
  <c r="CK164" i="17" s="1"/>
  <c r="DQ164" i="17" s="1"/>
  <c r="EW164" i="17" s="1"/>
  <c r="GC164" i="17" s="1"/>
  <c r="HI164" i="17" s="1"/>
  <c r="BF164" i="17"/>
  <c r="BJ164" i="17"/>
  <c r="BK164" i="17"/>
  <c r="CQ164" i="17" s="1"/>
  <c r="DW164" i="17" s="1"/>
  <c r="FC164" i="17" s="1"/>
  <c r="GI164" i="17" s="1"/>
  <c r="BY164" i="17"/>
  <c r="BZ164" i="17"/>
  <c r="CC164" i="17"/>
  <c r="CE164" i="17" s="1"/>
  <c r="CD164" i="17"/>
  <c r="CF164" i="17" s="1"/>
  <c r="DE164" i="17"/>
  <c r="DF164" i="17"/>
  <c r="DI164" i="17"/>
  <c r="DK164" i="17" s="1"/>
  <c r="DJ164" i="17"/>
  <c r="DL164" i="17" s="1"/>
  <c r="EK164" i="17"/>
  <c r="EL164" i="17"/>
  <c r="EQ164" i="17"/>
  <c r="ER164" i="17"/>
  <c r="FQ164" i="17"/>
  <c r="FR164" i="17"/>
  <c r="FW164" i="17"/>
  <c r="FX164" i="17"/>
  <c r="GW164" i="17"/>
  <c r="GX164" i="17"/>
  <c r="HC164" i="17"/>
  <c r="HD164" i="17"/>
  <c r="G165" i="17"/>
  <c r="N165" i="17"/>
  <c r="S165" i="17"/>
  <c r="T165" i="17"/>
  <c r="W165" i="17"/>
  <c r="AA165" i="17" s="1"/>
  <c r="AB165" i="17"/>
  <c r="AC165" i="17" s="1"/>
  <c r="AF165" i="17"/>
  <c r="AG165" i="17"/>
  <c r="AI165" i="17" s="1"/>
  <c r="AH165" i="17"/>
  <c r="AM165" i="17"/>
  <c r="BA165" i="17" s="1"/>
  <c r="CG165" i="17" s="1"/>
  <c r="AS165" i="17"/>
  <c r="AT165" i="17"/>
  <c r="AW165" i="17"/>
  <c r="AY165" i="17" s="1"/>
  <c r="AX165" i="17"/>
  <c r="AN165" i="17" s="1"/>
  <c r="BB165" i="17" s="1"/>
  <c r="CH165" i="17" s="1"/>
  <c r="DN165" i="17" s="1"/>
  <c r="ET165" i="17" s="1"/>
  <c r="FZ165" i="17" s="1"/>
  <c r="HF165" i="17" s="1"/>
  <c r="AZ165" i="17"/>
  <c r="BD165" i="17"/>
  <c r="CJ165" i="17" s="1"/>
  <c r="DP165" i="17" s="1"/>
  <c r="EV165" i="17" s="1"/>
  <c r="GB165" i="17" s="1"/>
  <c r="HH165" i="17" s="1"/>
  <c r="BE165" i="17"/>
  <c r="CK165" i="17" s="1"/>
  <c r="DQ165" i="17" s="1"/>
  <c r="EW165" i="17" s="1"/>
  <c r="GC165" i="17" s="1"/>
  <c r="HI165" i="17" s="1"/>
  <c r="BF165" i="17"/>
  <c r="CL165" i="17" s="1"/>
  <c r="DR165" i="17" s="1"/>
  <c r="EX165" i="17" s="1"/>
  <c r="GD165" i="17" s="1"/>
  <c r="HJ165" i="17" s="1"/>
  <c r="BJ165" i="17"/>
  <c r="CP165" i="17" s="1"/>
  <c r="DV165" i="17" s="1"/>
  <c r="FB165" i="17" s="1"/>
  <c r="GH165" i="17" s="1"/>
  <c r="HN165" i="17" s="1"/>
  <c r="BK165" i="17"/>
  <c r="CQ165" i="17" s="1"/>
  <c r="DW165" i="17" s="1"/>
  <c r="FC165" i="17" s="1"/>
  <c r="GI165" i="17" s="1"/>
  <c r="HO165" i="17" s="1"/>
  <c r="BY165" i="17"/>
  <c r="BZ165" i="17"/>
  <c r="CC165" i="17"/>
  <c r="CE165" i="17" s="1"/>
  <c r="CD165" i="17"/>
  <c r="CF165" i="17" s="1"/>
  <c r="DE165" i="17"/>
  <c r="DF165" i="17"/>
  <c r="DI165" i="17"/>
  <c r="DK165" i="17" s="1"/>
  <c r="DJ165" i="17"/>
  <c r="DL165" i="17" s="1"/>
  <c r="EK165" i="17"/>
  <c r="EL165" i="17"/>
  <c r="EQ165" i="17"/>
  <c r="ER165" i="17"/>
  <c r="FQ165" i="17"/>
  <c r="FR165" i="17"/>
  <c r="FW165" i="17"/>
  <c r="FX165" i="17"/>
  <c r="GW165" i="17"/>
  <c r="GX165" i="17"/>
  <c r="HC165" i="17"/>
  <c r="HD165" i="17"/>
  <c r="G166" i="17"/>
  <c r="N166" i="17"/>
  <c r="S166" i="17"/>
  <c r="W166" i="17"/>
  <c r="AB166" i="17"/>
  <c r="AC166" i="17" s="1"/>
  <c r="AF166" i="17"/>
  <c r="AH166" i="17" s="1"/>
  <c r="AG166" i="17"/>
  <c r="AI166" i="17" s="1"/>
  <c r="AJ166" i="17" s="1"/>
  <c r="AK166" i="17"/>
  <c r="AS166" i="17"/>
  <c r="AT166" i="17"/>
  <c r="AW166" i="17"/>
  <c r="AX166" i="17"/>
  <c r="AZ166" i="17" s="1"/>
  <c r="AY166" i="17"/>
  <c r="BA166" i="17"/>
  <c r="BQ166" i="17" s="1"/>
  <c r="BD166" i="17"/>
  <c r="CJ166" i="17" s="1"/>
  <c r="DP166" i="17" s="1"/>
  <c r="EV166" i="17" s="1"/>
  <c r="GB166" i="17" s="1"/>
  <c r="HH166" i="17" s="1"/>
  <c r="BE166" i="17"/>
  <c r="CK166" i="17" s="1"/>
  <c r="DQ166" i="17" s="1"/>
  <c r="EW166" i="17" s="1"/>
  <c r="GC166" i="17" s="1"/>
  <c r="HI166" i="17" s="1"/>
  <c r="BF166" i="17"/>
  <c r="CL166" i="17" s="1"/>
  <c r="DR166" i="17" s="1"/>
  <c r="EX166" i="17" s="1"/>
  <c r="GD166" i="17" s="1"/>
  <c r="HJ166" i="17" s="1"/>
  <c r="BJ166" i="17"/>
  <c r="CP166" i="17" s="1"/>
  <c r="DV166" i="17" s="1"/>
  <c r="FB166" i="17" s="1"/>
  <c r="GH166" i="17" s="1"/>
  <c r="HN166" i="17" s="1"/>
  <c r="BK166" i="17"/>
  <c r="CQ166" i="17" s="1"/>
  <c r="DW166" i="17" s="1"/>
  <c r="FC166" i="17" s="1"/>
  <c r="GI166" i="17" s="1"/>
  <c r="HO166" i="17" s="1"/>
  <c r="BY166" i="17"/>
  <c r="BZ166" i="17"/>
  <c r="CC166" i="17"/>
  <c r="CD166" i="17"/>
  <c r="CF166" i="17" s="1"/>
  <c r="CE166" i="17"/>
  <c r="CG166" i="17"/>
  <c r="DM166" i="17" s="1"/>
  <c r="EC166" i="17" s="1"/>
  <c r="DE166" i="17"/>
  <c r="DF166" i="17"/>
  <c r="DI166" i="17"/>
  <c r="DK166" i="17" s="1"/>
  <c r="DJ166" i="17"/>
  <c r="DL166" i="17"/>
  <c r="EK166" i="17"/>
  <c r="EL166" i="17"/>
  <c r="EQ166" i="17"/>
  <c r="ER166" i="17"/>
  <c r="FQ166" i="17"/>
  <c r="FR166" i="17"/>
  <c r="FW166" i="17"/>
  <c r="FX166" i="17"/>
  <c r="GW166" i="17"/>
  <c r="GX166" i="17"/>
  <c r="HC166" i="17"/>
  <c r="HD166" i="17"/>
  <c r="G167" i="17"/>
  <c r="N167" i="17"/>
  <c r="S167" i="17"/>
  <c r="T167" i="17" s="1"/>
  <c r="AA167" i="17"/>
  <c r="AB167" i="17"/>
  <c r="AC167" i="17" s="1"/>
  <c r="AH167" i="17"/>
  <c r="AI167" i="17"/>
  <c r="AJ167" i="17" s="1"/>
  <c r="AS167" i="17"/>
  <c r="AT167" i="17"/>
  <c r="AY167" i="17"/>
  <c r="AZ167" i="17"/>
  <c r="BG167" i="17"/>
  <c r="BH167" i="17"/>
  <c r="BI167" i="17" s="1"/>
  <c r="BN167" i="17"/>
  <c r="BO167" i="17"/>
  <c r="BY167" i="17"/>
  <c r="BZ167" i="17"/>
  <c r="CE167" i="17"/>
  <c r="CF167" i="17"/>
  <c r="CG167" i="17"/>
  <c r="CH167" i="17"/>
  <c r="CI167" i="17"/>
  <c r="DO167" i="17" s="1"/>
  <c r="EU167" i="17" s="1"/>
  <c r="GA167" i="17" s="1"/>
  <c r="HG167" i="17" s="1"/>
  <c r="CJ167" i="17"/>
  <c r="DP167" i="17" s="1"/>
  <c r="EV167" i="17" s="1"/>
  <c r="GB167" i="17" s="1"/>
  <c r="HH167" i="17" s="1"/>
  <c r="CK167" i="17"/>
  <c r="DQ167" i="17" s="1"/>
  <c r="EW167" i="17" s="1"/>
  <c r="GC167" i="17" s="1"/>
  <c r="HI167" i="17" s="1"/>
  <c r="CL167" i="17"/>
  <c r="DR167" i="17" s="1"/>
  <c r="EX167" i="17" s="1"/>
  <c r="GD167" i="17" s="1"/>
  <c r="HJ167" i="17" s="1"/>
  <c r="CP167" i="17"/>
  <c r="DV167" i="17" s="1"/>
  <c r="FB167" i="17" s="1"/>
  <c r="GH167" i="17" s="1"/>
  <c r="HN167" i="17" s="1"/>
  <c r="CQ167" i="17"/>
  <c r="DW167" i="17" s="1"/>
  <c r="FC167" i="17" s="1"/>
  <c r="GI167" i="17" s="1"/>
  <c r="HO167" i="17" s="1"/>
  <c r="CR167" i="17"/>
  <c r="DX167" i="17" s="1"/>
  <c r="FD167" i="17" s="1"/>
  <c r="GJ167" i="17" s="1"/>
  <c r="HP167" i="17" s="1"/>
  <c r="CS167" i="17"/>
  <c r="CY167" i="17"/>
  <c r="DE167" i="17"/>
  <c r="DF167" i="17"/>
  <c r="DJ167" i="17"/>
  <c r="DL167" i="17" s="1"/>
  <c r="DK167" i="17"/>
  <c r="EK167" i="17"/>
  <c r="EL167" i="17"/>
  <c r="EQ167" i="17"/>
  <c r="ER167" i="17"/>
  <c r="FK167" i="17"/>
  <c r="FK163" i="17" s="1"/>
  <c r="FQ167" i="17"/>
  <c r="FR167" i="17"/>
  <c r="FV167" i="17"/>
  <c r="FV163" i="17" s="1"/>
  <c r="FW167" i="17"/>
  <c r="GW167" i="17"/>
  <c r="GX167" i="17"/>
  <c r="HC167" i="17"/>
  <c r="HD167" i="17"/>
  <c r="R168" i="17"/>
  <c r="S168" i="17" s="1"/>
  <c r="Y168" i="17"/>
  <c r="Z168" i="17"/>
  <c r="AE168" i="17"/>
  <c r="AF168" i="17"/>
  <c r="AG168" i="17"/>
  <c r="AO168" i="17"/>
  <c r="AP168" i="17"/>
  <c r="AQ168" i="17"/>
  <c r="AR168" i="17"/>
  <c r="AU168" i="17"/>
  <c r="AV168" i="17"/>
  <c r="AW168" i="17"/>
  <c r="AX168" i="17"/>
  <c r="BU168" i="17"/>
  <c r="BV168" i="17"/>
  <c r="BW168" i="17"/>
  <c r="BX168" i="17"/>
  <c r="CA168" i="17"/>
  <c r="CB168" i="17"/>
  <c r="CC168" i="17"/>
  <c r="CD168" i="17"/>
  <c r="DA168" i="17"/>
  <c r="DB168" i="17"/>
  <c r="DC168" i="17"/>
  <c r="DD168" i="17"/>
  <c r="DG168" i="17"/>
  <c r="DH168" i="17"/>
  <c r="DI168" i="17"/>
  <c r="DJ168" i="17"/>
  <c r="ED168" i="17"/>
  <c r="EE168" i="17"/>
  <c r="EF168" i="17"/>
  <c r="EG168" i="17"/>
  <c r="EH168" i="17"/>
  <c r="EI168" i="17"/>
  <c r="EJ168" i="17"/>
  <c r="EM168" i="17"/>
  <c r="EN168" i="17"/>
  <c r="EO168" i="17"/>
  <c r="EP168" i="17"/>
  <c r="FJ168" i="17"/>
  <c r="FK168" i="17"/>
  <c r="FL168" i="17"/>
  <c r="FM168" i="17"/>
  <c r="FN168" i="17"/>
  <c r="FO168" i="17"/>
  <c r="FP168" i="17"/>
  <c r="FS168" i="17"/>
  <c r="FT168" i="17"/>
  <c r="FU168" i="17"/>
  <c r="FV168" i="17"/>
  <c r="FX168" i="17"/>
  <c r="GP168" i="17"/>
  <c r="GQ168" i="17"/>
  <c r="GR168" i="17"/>
  <c r="GS168" i="17"/>
  <c r="GT168" i="17"/>
  <c r="GU168" i="17"/>
  <c r="GV168" i="17"/>
  <c r="GY168" i="17"/>
  <c r="GZ168" i="17"/>
  <c r="HA168" i="17"/>
  <c r="HB168" i="17"/>
  <c r="S169" i="17"/>
  <c r="W169" i="17"/>
  <c r="AA169" i="17" s="1"/>
  <c r="AB169" i="17"/>
  <c r="AI169" i="17"/>
  <c r="AS169" i="17"/>
  <c r="AT169" i="17"/>
  <c r="AY169" i="17"/>
  <c r="AZ169" i="17"/>
  <c r="BC169" i="17"/>
  <c r="CI169" i="17" s="1"/>
  <c r="DO169" i="17" s="1"/>
  <c r="EU169" i="17" s="1"/>
  <c r="GA169" i="17" s="1"/>
  <c r="HG169" i="17" s="1"/>
  <c r="BD169" i="17"/>
  <c r="CJ169" i="17" s="1"/>
  <c r="DP169" i="17" s="1"/>
  <c r="EV169" i="17" s="1"/>
  <c r="GB169" i="17" s="1"/>
  <c r="HH169" i="17" s="1"/>
  <c r="BE169" i="17"/>
  <c r="CK169" i="17" s="1"/>
  <c r="DQ169" i="17" s="1"/>
  <c r="EW169" i="17" s="1"/>
  <c r="GC169" i="17" s="1"/>
  <c r="HI169" i="17" s="1"/>
  <c r="BF169" i="17"/>
  <c r="CL169" i="17" s="1"/>
  <c r="DR169" i="17" s="1"/>
  <c r="EX169" i="17" s="1"/>
  <c r="GD169" i="17" s="1"/>
  <c r="HJ169" i="17" s="1"/>
  <c r="BG169" i="17"/>
  <c r="BK169" i="17"/>
  <c r="CQ169" i="17" s="1"/>
  <c r="DW169" i="17" s="1"/>
  <c r="FC169" i="17" s="1"/>
  <c r="GI169" i="17" s="1"/>
  <c r="HO169" i="17" s="1"/>
  <c r="BL169" i="17"/>
  <c r="CR169" i="17" s="1"/>
  <c r="DX169" i="17" s="1"/>
  <c r="FD169" i="17" s="1"/>
  <c r="GJ169" i="17" s="1"/>
  <c r="HP169" i="17" s="1"/>
  <c r="BM169" i="17"/>
  <c r="CS169" i="17" s="1"/>
  <c r="DY169" i="17" s="1"/>
  <c r="FE169" i="17" s="1"/>
  <c r="GK169" i="17" s="1"/>
  <c r="HQ169" i="17" s="1"/>
  <c r="BY169" i="17"/>
  <c r="BZ169" i="17"/>
  <c r="CE169" i="17"/>
  <c r="CF169" i="17"/>
  <c r="DE169" i="17"/>
  <c r="DF169" i="17"/>
  <c r="DK169" i="17"/>
  <c r="DL169" i="17"/>
  <c r="EK169" i="17"/>
  <c r="EL169" i="17"/>
  <c r="EQ169" i="17"/>
  <c r="ER169" i="17"/>
  <c r="FQ169" i="17"/>
  <c r="FR169" i="17"/>
  <c r="FW169" i="17"/>
  <c r="FX169" i="17"/>
  <c r="GW169" i="17"/>
  <c r="GX169" i="17"/>
  <c r="HC169" i="17"/>
  <c r="HD169" i="17"/>
  <c r="S170" i="17"/>
  <c r="W170" i="17"/>
  <c r="X170" i="17"/>
  <c r="AA170" i="17"/>
  <c r="AB170" i="17"/>
  <c r="AD170" i="17"/>
  <c r="AI170" i="17"/>
  <c r="AS170" i="17"/>
  <c r="AT170" i="17"/>
  <c r="AY170" i="17"/>
  <c r="AZ170" i="17"/>
  <c r="BC170" i="17"/>
  <c r="CI170" i="17" s="1"/>
  <c r="DO170" i="17" s="1"/>
  <c r="EU170" i="17" s="1"/>
  <c r="GA170" i="17" s="1"/>
  <c r="HG170" i="17" s="1"/>
  <c r="BE170" i="17"/>
  <c r="CK170" i="17" s="1"/>
  <c r="DQ170" i="17" s="1"/>
  <c r="EW170" i="17" s="1"/>
  <c r="GC170" i="17" s="1"/>
  <c r="HI170" i="17" s="1"/>
  <c r="BF170" i="17"/>
  <c r="BK170" i="17"/>
  <c r="CQ170" i="17" s="1"/>
  <c r="DW170" i="17" s="1"/>
  <c r="FC170" i="17" s="1"/>
  <c r="GI170" i="17" s="1"/>
  <c r="HO170" i="17" s="1"/>
  <c r="BL170" i="17"/>
  <c r="CR170" i="17" s="1"/>
  <c r="DX170" i="17" s="1"/>
  <c r="FD170" i="17" s="1"/>
  <c r="GJ170" i="17" s="1"/>
  <c r="HP170" i="17" s="1"/>
  <c r="BM170" i="17"/>
  <c r="CS170" i="17" s="1"/>
  <c r="DY170" i="17" s="1"/>
  <c r="FE170" i="17" s="1"/>
  <c r="GK170" i="17" s="1"/>
  <c r="HQ170" i="17" s="1"/>
  <c r="BY170" i="17"/>
  <c r="BZ170" i="17"/>
  <c r="CE170" i="17"/>
  <c r="CF170" i="17"/>
  <c r="CL170" i="17"/>
  <c r="DR170" i="17" s="1"/>
  <c r="EX170" i="17" s="1"/>
  <c r="GD170" i="17" s="1"/>
  <c r="HJ170" i="17" s="1"/>
  <c r="DE170" i="17"/>
  <c r="DF170" i="17"/>
  <c r="DK170" i="17"/>
  <c r="DL170" i="17"/>
  <c r="EK170" i="17"/>
  <c r="EL170" i="17"/>
  <c r="EQ170" i="17"/>
  <c r="ER170" i="17"/>
  <c r="FQ170" i="17"/>
  <c r="FR170" i="17"/>
  <c r="FW170" i="17"/>
  <c r="FX170" i="17"/>
  <c r="GW170" i="17"/>
  <c r="GX170" i="17"/>
  <c r="HC170" i="17"/>
  <c r="HD170" i="17"/>
  <c r="S171" i="17"/>
  <c r="AA171" i="17"/>
  <c r="AB171" i="17"/>
  <c r="AD171" i="17"/>
  <c r="AI171" i="17"/>
  <c r="AJ171" i="17" s="1"/>
  <c r="AS171" i="17"/>
  <c r="AT171" i="17"/>
  <c r="AY171" i="17"/>
  <c r="AZ171" i="17"/>
  <c r="BC171" i="17"/>
  <c r="CI171" i="17" s="1"/>
  <c r="DO171" i="17" s="1"/>
  <c r="EU171" i="17" s="1"/>
  <c r="GA171" i="17" s="1"/>
  <c r="HG171" i="17" s="1"/>
  <c r="BD171" i="17"/>
  <c r="CJ171" i="17" s="1"/>
  <c r="DP171" i="17" s="1"/>
  <c r="EV171" i="17" s="1"/>
  <c r="GB171" i="17" s="1"/>
  <c r="HH171" i="17" s="1"/>
  <c r="BE171" i="17"/>
  <c r="CK171" i="17" s="1"/>
  <c r="DQ171" i="17" s="1"/>
  <c r="EW171" i="17" s="1"/>
  <c r="GC171" i="17" s="1"/>
  <c r="HI171" i="17" s="1"/>
  <c r="BF171" i="17"/>
  <c r="CL171" i="17" s="1"/>
  <c r="DR171" i="17" s="1"/>
  <c r="EX171" i="17" s="1"/>
  <c r="GD171" i="17" s="1"/>
  <c r="HJ171" i="17" s="1"/>
  <c r="BG171" i="17"/>
  <c r="BK171" i="17"/>
  <c r="CQ171" i="17" s="1"/>
  <c r="DW171" i="17" s="1"/>
  <c r="FC171" i="17" s="1"/>
  <c r="GI171" i="17" s="1"/>
  <c r="HO171" i="17" s="1"/>
  <c r="BL171" i="17"/>
  <c r="CR171" i="17" s="1"/>
  <c r="DX171" i="17" s="1"/>
  <c r="FD171" i="17" s="1"/>
  <c r="GJ171" i="17" s="1"/>
  <c r="HP171" i="17" s="1"/>
  <c r="BM171" i="17"/>
  <c r="CS171" i="17" s="1"/>
  <c r="DY171" i="17" s="1"/>
  <c r="FE171" i="17" s="1"/>
  <c r="GK171" i="17" s="1"/>
  <c r="HQ171" i="17" s="1"/>
  <c r="BY171" i="17"/>
  <c r="BZ171" i="17"/>
  <c r="CE171" i="17"/>
  <c r="CF171" i="17"/>
  <c r="DE171" i="17"/>
  <c r="DF171" i="17"/>
  <c r="DK171" i="17"/>
  <c r="DL171" i="17"/>
  <c r="EK171" i="17"/>
  <c r="EL171" i="17"/>
  <c r="EQ171" i="17"/>
  <c r="ER171" i="17"/>
  <c r="FQ171" i="17"/>
  <c r="FR171" i="17"/>
  <c r="FW171" i="17"/>
  <c r="FX171" i="17"/>
  <c r="GW171" i="17"/>
  <c r="GX171" i="17"/>
  <c r="HC171" i="17"/>
  <c r="HD171" i="17"/>
  <c r="S172" i="17"/>
  <c r="AA172" i="17"/>
  <c r="AB172" i="17"/>
  <c r="AD172" i="17"/>
  <c r="AI172" i="17"/>
  <c r="AJ172" i="17" s="1"/>
  <c r="AS172" i="17"/>
  <c r="AT172" i="17"/>
  <c r="AY172" i="17"/>
  <c r="AZ172" i="17"/>
  <c r="BC172" i="17"/>
  <c r="BD172" i="17"/>
  <c r="CJ172" i="17" s="1"/>
  <c r="DP172" i="17" s="1"/>
  <c r="EV172" i="17" s="1"/>
  <c r="GB172" i="17" s="1"/>
  <c r="HH172" i="17" s="1"/>
  <c r="BE172" i="17"/>
  <c r="CK172" i="17" s="1"/>
  <c r="DQ172" i="17" s="1"/>
  <c r="EW172" i="17" s="1"/>
  <c r="GC172" i="17" s="1"/>
  <c r="HI172" i="17" s="1"/>
  <c r="BF172" i="17"/>
  <c r="CL172" i="17" s="1"/>
  <c r="DR172" i="17" s="1"/>
  <c r="EX172" i="17" s="1"/>
  <c r="GD172" i="17" s="1"/>
  <c r="HJ172" i="17" s="1"/>
  <c r="BG172" i="17"/>
  <c r="BK172" i="17"/>
  <c r="CQ172" i="17" s="1"/>
  <c r="DW172" i="17" s="1"/>
  <c r="FC172" i="17" s="1"/>
  <c r="GI172" i="17" s="1"/>
  <c r="HO172" i="17" s="1"/>
  <c r="BL172" i="17"/>
  <c r="CR172" i="17" s="1"/>
  <c r="DX172" i="17" s="1"/>
  <c r="FD172" i="17" s="1"/>
  <c r="GJ172" i="17" s="1"/>
  <c r="HP172" i="17" s="1"/>
  <c r="BM172" i="17"/>
  <c r="CS172" i="17" s="1"/>
  <c r="DY172" i="17" s="1"/>
  <c r="FE172" i="17" s="1"/>
  <c r="GK172" i="17" s="1"/>
  <c r="HQ172" i="17" s="1"/>
  <c r="BY172" i="17"/>
  <c r="BZ172" i="17"/>
  <c r="CE172" i="17"/>
  <c r="CF172" i="17"/>
  <c r="CI172" i="17"/>
  <c r="DO172" i="17" s="1"/>
  <c r="EU172" i="17" s="1"/>
  <c r="GA172" i="17" s="1"/>
  <c r="HG172" i="17" s="1"/>
  <c r="DE172" i="17"/>
  <c r="DF172" i="17"/>
  <c r="DK172" i="17"/>
  <c r="DL172" i="17"/>
  <c r="EK172" i="17"/>
  <c r="EL172" i="17"/>
  <c r="EQ172" i="17"/>
  <c r="ER172" i="17"/>
  <c r="FQ172" i="17"/>
  <c r="FR172" i="17"/>
  <c r="FW172" i="17"/>
  <c r="FX172" i="17"/>
  <c r="GW172" i="17"/>
  <c r="GX172" i="17"/>
  <c r="HC172" i="17"/>
  <c r="HD172" i="17"/>
  <c r="E173" i="17"/>
  <c r="F173" i="17"/>
  <c r="H173" i="17"/>
  <c r="I173" i="17"/>
  <c r="K173" i="17"/>
  <c r="L173" i="17"/>
  <c r="R173" i="17"/>
  <c r="S173" i="17" s="1"/>
  <c r="U173" i="17"/>
  <c r="V173" i="17"/>
  <c r="W173" i="17"/>
  <c r="X173" i="17"/>
  <c r="Y173" i="17"/>
  <c r="Z173" i="17"/>
  <c r="AD173" i="17"/>
  <c r="AE173" i="17"/>
  <c r="AF173" i="17"/>
  <c r="AL173" i="17"/>
  <c r="AO173" i="17"/>
  <c r="AQ173" i="17"/>
  <c r="AR173" i="17"/>
  <c r="AU173" i="17"/>
  <c r="AV173" i="17"/>
  <c r="BR173" i="17"/>
  <c r="BU173" i="17"/>
  <c r="BW173" i="17"/>
  <c r="BX173" i="17"/>
  <c r="CA173" i="17"/>
  <c r="CB173" i="17"/>
  <c r="CX173" i="17"/>
  <c r="DB173" i="17"/>
  <c r="DC173" i="17"/>
  <c r="DD173" i="17"/>
  <c r="DG173" i="17"/>
  <c r="DH173" i="17"/>
  <c r="ED173" i="17"/>
  <c r="EE173" i="17"/>
  <c r="EG173" i="17"/>
  <c r="EH173" i="17"/>
  <c r="EI173" i="17"/>
  <c r="EJ173" i="17"/>
  <c r="EM173" i="17"/>
  <c r="EN173" i="17"/>
  <c r="FO173" i="17"/>
  <c r="FP173" i="17"/>
  <c r="FS173" i="17"/>
  <c r="FT173" i="17"/>
  <c r="GU173" i="17"/>
  <c r="GV173" i="17"/>
  <c r="GY173" i="17"/>
  <c r="GZ173" i="17"/>
  <c r="G174" i="17"/>
  <c r="N174" i="17"/>
  <c r="S174" i="17"/>
  <c r="AA174" i="17"/>
  <c r="AB174" i="17"/>
  <c r="AC174" i="17" s="1"/>
  <c r="AH174" i="17"/>
  <c r="AI174" i="17"/>
  <c r="AK174" i="17"/>
  <c r="AS174" i="17"/>
  <c r="AT174" i="17"/>
  <c r="AW174" i="17"/>
  <c r="BL174" i="17" s="1"/>
  <c r="AX174" i="17"/>
  <c r="BM174" i="17" s="1"/>
  <c r="AY174" i="17"/>
  <c r="BA174" i="17"/>
  <c r="BQ174" i="17" s="1"/>
  <c r="BC174" i="17"/>
  <c r="CI174" i="17" s="1"/>
  <c r="BD174" i="17"/>
  <c r="CJ174" i="17" s="1"/>
  <c r="DP174" i="17" s="1"/>
  <c r="BE174" i="17"/>
  <c r="CK174" i="17" s="1"/>
  <c r="DQ174" i="17" s="1"/>
  <c r="BF174" i="17"/>
  <c r="CL174" i="17" s="1"/>
  <c r="DR174" i="17" s="1"/>
  <c r="EX174" i="17" s="1"/>
  <c r="GD174" i="17" s="1"/>
  <c r="BJ174" i="17"/>
  <c r="CP174" i="17" s="1"/>
  <c r="DV174" i="17" s="1"/>
  <c r="FB174" i="17" s="1"/>
  <c r="GH174" i="17" s="1"/>
  <c r="BK174" i="17"/>
  <c r="BS174" i="17"/>
  <c r="BY174" i="17"/>
  <c r="BZ174" i="17"/>
  <c r="CC174" i="17"/>
  <c r="CD174" i="17"/>
  <c r="BT174" i="17" s="1"/>
  <c r="CE174" i="17"/>
  <c r="CQ174" i="17"/>
  <c r="DW174" i="17" s="1"/>
  <c r="DA174" i="17"/>
  <c r="DE174" i="17" s="1"/>
  <c r="DF174" i="17"/>
  <c r="DJ174" i="17"/>
  <c r="DL174" i="17" s="1"/>
  <c r="EK174" i="17"/>
  <c r="EL174" i="17"/>
  <c r="EO174" i="17"/>
  <c r="EQ174" i="17" s="1"/>
  <c r="EP174" i="17"/>
  <c r="ER174" i="17" s="1"/>
  <c r="EV174" i="17"/>
  <c r="GB174" i="17" s="1"/>
  <c r="FL174" i="17"/>
  <c r="FQ174" i="17"/>
  <c r="FR174" i="17"/>
  <c r="FU174" i="17"/>
  <c r="FW174" i="17" s="1"/>
  <c r="FV174" i="17"/>
  <c r="FX174" i="17"/>
  <c r="GR174" i="17"/>
  <c r="GW174" i="17"/>
  <c r="GX174" i="17"/>
  <c r="HA174" i="17"/>
  <c r="HC174" i="17" s="1"/>
  <c r="HB174" i="17"/>
  <c r="HD174" i="17" s="1"/>
  <c r="G175" i="17"/>
  <c r="N175" i="17"/>
  <c r="S175" i="17"/>
  <c r="AA175" i="17"/>
  <c r="AB175" i="17"/>
  <c r="AC175" i="17" s="1"/>
  <c r="AG175" i="17"/>
  <c r="AI175" i="17" s="1"/>
  <c r="AH175" i="17"/>
  <c r="AK175" i="17"/>
  <c r="AM175" i="17"/>
  <c r="BA175" i="17" s="1"/>
  <c r="BQ175" i="17" s="1"/>
  <c r="AS175" i="17"/>
  <c r="AT175" i="17"/>
  <c r="AW175" i="17"/>
  <c r="BL175" i="17" s="1"/>
  <c r="AX175" i="17"/>
  <c r="AN175" i="17" s="1"/>
  <c r="BB175" i="17" s="1"/>
  <c r="BC175" i="17"/>
  <c r="CI175" i="17" s="1"/>
  <c r="BD175" i="17"/>
  <c r="CJ175" i="17" s="1"/>
  <c r="DP175" i="17" s="1"/>
  <c r="EV175" i="17" s="1"/>
  <c r="GB175" i="17" s="1"/>
  <c r="HH175" i="17" s="1"/>
  <c r="BE175" i="17"/>
  <c r="CK175" i="17" s="1"/>
  <c r="DQ175" i="17" s="1"/>
  <c r="EW175" i="17" s="1"/>
  <c r="GC175" i="17" s="1"/>
  <c r="HI175" i="17" s="1"/>
  <c r="BF175" i="17"/>
  <c r="CL175" i="17" s="1"/>
  <c r="DR175" i="17" s="1"/>
  <c r="EX175" i="17" s="1"/>
  <c r="GD175" i="17" s="1"/>
  <c r="HJ175" i="17" s="1"/>
  <c r="BJ175" i="17"/>
  <c r="CP175" i="17" s="1"/>
  <c r="DV175" i="17" s="1"/>
  <c r="FB175" i="17" s="1"/>
  <c r="GH175" i="17" s="1"/>
  <c r="HN175" i="17" s="1"/>
  <c r="BK175" i="17"/>
  <c r="CQ175" i="17" s="1"/>
  <c r="DW175" i="17" s="1"/>
  <c r="FC175" i="17" s="1"/>
  <c r="GI175" i="17" s="1"/>
  <c r="HO175" i="17" s="1"/>
  <c r="BS175" i="17"/>
  <c r="BY175" i="17"/>
  <c r="BZ175" i="17"/>
  <c r="CC175" i="17"/>
  <c r="CE175" i="17" s="1"/>
  <c r="CD175" i="17"/>
  <c r="BT175" i="17" s="1"/>
  <c r="CF175" i="17"/>
  <c r="DA175" i="17"/>
  <c r="DE175" i="17" s="1"/>
  <c r="DF175" i="17"/>
  <c r="DJ175" i="17"/>
  <c r="DL175" i="17" s="1"/>
  <c r="EK175" i="17"/>
  <c r="EL175" i="17"/>
  <c r="EO175" i="17"/>
  <c r="EQ175" i="17" s="1"/>
  <c r="EP175" i="17"/>
  <c r="ER175" i="17"/>
  <c r="FL175" i="17"/>
  <c r="FQ175" i="17"/>
  <c r="FR175" i="17"/>
  <c r="FU175" i="17"/>
  <c r="FW175" i="17" s="1"/>
  <c r="FV175" i="17"/>
  <c r="FX175" i="17" s="1"/>
  <c r="GR175" i="17"/>
  <c r="GW175" i="17"/>
  <c r="GX175" i="17"/>
  <c r="HA175" i="17"/>
  <c r="HC175" i="17" s="1"/>
  <c r="HB175" i="17"/>
  <c r="HD175" i="17" s="1"/>
  <c r="G176" i="17"/>
  <c r="N176" i="17"/>
  <c r="S176" i="17"/>
  <c r="T176" i="17"/>
  <c r="AK176" i="17" s="1"/>
  <c r="AA176" i="17"/>
  <c r="AB176" i="17"/>
  <c r="AC176" i="17" s="1"/>
  <c r="AH176" i="17"/>
  <c r="AI176" i="17"/>
  <c r="AS176" i="17"/>
  <c r="BG176" i="17" s="1"/>
  <c r="AT176" i="17"/>
  <c r="AW176" i="17"/>
  <c r="AY176" i="17" s="1"/>
  <c r="BN176" i="17" s="1"/>
  <c r="AZ176" i="17"/>
  <c r="BA176" i="17"/>
  <c r="BB176" i="17"/>
  <c r="BC176" i="17"/>
  <c r="CI176" i="17" s="1"/>
  <c r="BD176" i="17"/>
  <c r="CJ176" i="17" s="1"/>
  <c r="DP176" i="17" s="1"/>
  <c r="EV176" i="17" s="1"/>
  <c r="BE176" i="17"/>
  <c r="CK176" i="17" s="1"/>
  <c r="DQ176" i="17" s="1"/>
  <c r="EW176" i="17" s="1"/>
  <c r="GC176" i="17" s="1"/>
  <c r="HI176" i="17" s="1"/>
  <c r="BF176" i="17"/>
  <c r="CL176" i="17" s="1"/>
  <c r="DR176" i="17" s="1"/>
  <c r="EX176" i="17" s="1"/>
  <c r="GD176" i="17" s="1"/>
  <c r="HJ176" i="17" s="1"/>
  <c r="BJ176" i="17"/>
  <c r="CP176" i="17" s="1"/>
  <c r="DV176" i="17" s="1"/>
  <c r="FB176" i="17" s="1"/>
  <c r="GH176" i="17" s="1"/>
  <c r="HN176" i="17" s="1"/>
  <c r="BK176" i="17"/>
  <c r="CQ176" i="17" s="1"/>
  <c r="DW176" i="17" s="1"/>
  <c r="FC176" i="17" s="1"/>
  <c r="GI176" i="17" s="1"/>
  <c r="HO176" i="17" s="1"/>
  <c r="BM176" i="17"/>
  <c r="BS176" i="17"/>
  <c r="BY176" i="17"/>
  <c r="BZ176" i="17"/>
  <c r="CC176" i="17"/>
  <c r="CD176" i="17"/>
  <c r="BT176" i="17" s="1"/>
  <c r="CE176" i="17"/>
  <c r="DA176" i="17"/>
  <c r="DF176" i="17"/>
  <c r="DJ176" i="17"/>
  <c r="DL176" i="17" s="1"/>
  <c r="EK176" i="17"/>
  <c r="EL176" i="17"/>
  <c r="EO176" i="17"/>
  <c r="EQ176" i="17" s="1"/>
  <c r="EP176" i="17"/>
  <c r="ER176" i="17" s="1"/>
  <c r="FJ176" i="17"/>
  <c r="FM176" i="17" s="1"/>
  <c r="FN176" i="17"/>
  <c r="FL176" i="17" s="1"/>
  <c r="FK176" i="17" s="1"/>
  <c r="GP176" i="17"/>
  <c r="GR176" i="17"/>
  <c r="GQ176" i="17" s="1"/>
  <c r="GS176" i="17"/>
  <c r="GX176" i="17"/>
  <c r="HB176" i="17"/>
  <c r="HD176" i="17" s="1"/>
  <c r="G177" i="17"/>
  <c r="N177" i="17"/>
  <c r="S177" i="17"/>
  <c r="T177" i="17"/>
  <c r="AK177" i="17" s="1"/>
  <c r="AA177" i="17"/>
  <c r="AB177" i="17"/>
  <c r="AC177" i="17" s="1"/>
  <c r="AH177" i="17"/>
  <c r="AI177" i="17"/>
  <c r="AS177" i="17"/>
  <c r="AT177" i="17"/>
  <c r="AY177" i="17"/>
  <c r="AZ177" i="17"/>
  <c r="BA177" i="17"/>
  <c r="BB177" i="17"/>
  <c r="CH177" i="17" s="1"/>
  <c r="DN177" i="17" s="1"/>
  <c r="ET177" i="17" s="1"/>
  <c r="BC177" i="17"/>
  <c r="CI177" i="17" s="1"/>
  <c r="BD177" i="17"/>
  <c r="CJ177" i="17" s="1"/>
  <c r="DP177" i="17" s="1"/>
  <c r="EV177" i="17" s="1"/>
  <c r="GB177" i="17" s="1"/>
  <c r="HH177" i="17" s="1"/>
  <c r="BE177" i="17"/>
  <c r="CK177" i="17" s="1"/>
  <c r="DQ177" i="17" s="1"/>
  <c r="EW177" i="17" s="1"/>
  <c r="GC177" i="17" s="1"/>
  <c r="HI177" i="17" s="1"/>
  <c r="BF177" i="17"/>
  <c r="CL177" i="17" s="1"/>
  <c r="DR177" i="17" s="1"/>
  <c r="EX177" i="17" s="1"/>
  <c r="GD177" i="17" s="1"/>
  <c r="HJ177" i="17" s="1"/>
  <c r="BJ177" i="17"/>
  <c r="CP177" i="17" s="1"/>
  <c r="DV177" i="17" s="1"/>
  <c r="FB177" i="17" s="1"/>
  <c r="GH177" i="17" s="1"/>
  <c r="HN177" i="17" s="1"/>
  <c r="BK177" i="17"/>
  <c r="CQ177" i="17" s="1"/>
  <c r="DW177" i="17" s="1"/>
  <c r="FC177" i="17" s="1"/>
  <c r="GI177" i="17" s="1"/>
  <c r="HO177" i="17" s="1"/>
  <c r="BL177" i="17"/>
  <c r="CR177" i="17" s="1"/>
  <c r="DX177" i="17" s="1"/>
  <c r="BM177" i="17"/>
  <c r="CS177" i="17" s="1"/>
  <c r="DY177" i="17" s="1"/>
  <c r="BY177" i="17"/>
  <c r="BZ177" i="17"/>
  <c r="CE177" i="17"/>
  <c r="CF177" i="17"/>
  <c r="DA177" i="17"/>
  <c r="DE177" i="17" s="1"/>
  <c r="DF177" i="17"/>
  <c r="DK177" i="17"/>
  <c r="DL177" i="17"/>
  <c r="EK177" i="17"/>
  <c r="EL177" i="17"/>
  <c r="EO177" i="17"/>
  <c r="EQ177" i="17" s="1"/>
  <c r="EP177" i="17"/>
  <c r="ER177" i="17"/>
  <c r="FL177" i="17"/>
  <c r="FQ177" i="17"/>
  <c r="FR177" i="17"/>
  <c r="FU177" i="17"/>
  <c r="FW177" i="17" s="1"/>
  <c r="FV177" i="17"/>
  <c r="FX177" i="17" s="1"/>
  <c r="GR177" i="17"/>
  <c r="GW177" i="17"/>
  <c r="GX177" i="17"/>
  <c r="HA177" i="17"/>
  <c r="HC177" i="17" s="1"/>
  <c r="HB177" i="17"/>
  <c r="HD177" i="17" s="1"/>
  <c r="G178" i="17"/>
  <c r="N178" i="17"/>
  <c r="S178" i="17"/>
  <c r="T178" i="17"/>
  <c r="EC178" i="17" s="1"/>
  <c r="AA178" i="17"/>
  <c r="AB178" i="17"/>
  <c r="AC178" i="17" s="1"/>
  <c r="AH178" i="17"/>
  <c r="AI178" i="17"/>
  <c r="AS178" i="17"/>
  <c r="AT178" i="17"/>
  <c r="AY178" i="17"/>
  <c r="AZ178" i="17"/>
  <c r="BY178" i="17"/>
  <c r="BZ178" i="17"/>
  <c r="CE178" i="17"/>
  <c r="CT178" i="17" s="1"/>
  <c r="CF178" i="17"/>
  <c r="DE178" i="17"/>
  <c r="DF178" i="17"/>
  <c r="DK178" i="17"/>
  <c r="DL178" i="17"/>
  <c r="EK178" i="17"/>
  <c r="EL178" i="17"/>
  <c r="EO178" i="17"/>
  <c r="EP178" i="17"/>
  <c r="FE178" i="17" s="1"/>
  <c r="ES178" i="17"/>
  <c r="ET178" i="17"/>
  <c r="EU178" i="17"/>
  <c r="GA178" i="17" s="1"/>
  <c r="HG178" i="17" s="1"/>
  <c r="EV178" i="17"/>
  <c r="GB178" i="17" s="1"/>
  <c r="HH178" i="17" s="1"/>
  <c r="EW178" i="17"/>
  <c r="GC178" i="17" s="1"/>
  <c r="HI178" i="17" s="1"/>
  <c r="EX178" i="17"/>
  <c r="GD178" i="17" s="1"/>
  <c r="HJ178" i="17" s="1"/>
  <c r="FB178" i="17"/>
  <c r="GH178" i="17" s="1"/>
  <c r="HN178" i="17" s="1"/>
  <c r="FC178" i="17"/>
  <c r="GI178" i="17" s="1"/>
  <c r="HO178" i="17" s="1"/>
  <c r="FL178" i="17"/>
  <c r="FQ178" i="17"/>
  <c r="FR178" i="17"/>
  <c r="FU178" i="17"/>
  <c r="FV178" i="17"/>
  <c r="FX178" i="17" s="1"/>
  <c r="FW178" i="17"/>
  <c r="GR178" i="17"/>
  <c r="GW178" i="17"/>
  <c r="GX178" i="17"/>
  <c r="HA178" i="17"/>
  <c r="HC178" i="17" s="1"/>
  <c r="HB178" i="17"/>
  <c r="HD178" i="17"/>
  <c r="G179" i="17"/>
  <c r="N179" i="17"/>
  <c r="S179" i="17"/>
  <c r="T179" i="17" s="1"/>
  <c r="CW179" i="17" s="1"/>
  <c r="AA179" i="17"/>
  <c r="AB179" i="17"/>
  <c r="AC179" i="17" s="1"/>
  <c r="AH179" i="17"/>
  <c r="AI179" i="17"/>
  <c r="AS179" i="17"/>
  <c r="AT179" i="17"/>
  <c r="AY179" i="17"/>
  <c r="AZ179" i="17"/>
  <c r="BY179" i="17"/>
  <c r="BZ179" i="17"/>
  <c r="CE179" i="17"/>
  <c r="CF179" i="17"/>
  <c r="CT179" i="17"/>
  <c r="DE179" i="17"/>
  <c r="DF179" i="17"/>
  <c r="DK179" i="17"/>
  <c r="DL179" i="17"/>
  <c r="EK179" i="17"/>
  <c r="EL179" i="17"/>
  <c r="EO179" i="17"/>
  <c r="EQ179" i="17" s="1"/>
  <c r="ER179" i="17"/>
  <c r="ES179" i="17"/>
  <c r="ET179" i="17"/>
  <c r="EU179" i="17"/>
  <c r="GA179" i="17" s="1"/>
  <c r="HG179" i="17" s="1"/>
  <c r="FB179" i="17"/>
  <c r="GH179" i="17" s="1"/>
  <c r="HN179" i="17" s="1"/>
  <c r="FC179" i="17"/>
  <c r="FE179" i="17"/>
  <c r="FL179" i="17"/>
  <c r="FQ179" i="17"/>
  <c r="FR179" i="17"/>
  <c r="FU179" i="17"/>
  <c r="FV179" i="17"/>
  <c r="FX179" i="17" s="1"/>
  <c r="FW179" i="17"/>
  <c r="GB179" i="17"/>
  <c r="HH179" i="17" s="1"/>
  <c r="GC179" i="17"/>
  <c r="HI179" i="17" s="1"/>
  <c r="GD179" i="17"/>
  <c r="HJ179" i="17" s="1"/>
  <c r="GI179" i="17"/>
  <c r="HO179" i="17" s="1"/>
  <c r="GR179" i="17"/>
  <c r="GQ179" i="17" s="1"/>
  <c r="GW179" i="17"/>
  <c r="GX179" i="17"/>
  <c r="HA179" i="17"/>
  <c r="HC179" i="17" s="1"/>
  <c r="HB179" i="17"/>
  <c r="HD179" i="17" s="1"/>
  <c r="G180" i="17"/>
  <c r="N180" i="17"/>
  <c r="S180" i="17"/>
  <c r="T180" i="17"/>
  <c r="AK180" i="17" s="1"/>
  <c r="AA180" i="17"/>
  <c r="AB180" i="17"/>
  <c r="AH180" i="17"/>
  <c r="AI180" i="17"/>
  <c r="AM180" i="17"/>
  <c r="BA180" i="17" s="1"/>
  <c r="AS180" i="17"/>
  <c r="AT180" i="17"/>
  <c r="AW180" i="17"/>
  <c r="BL180" i="17" s="1"/>
  <c r="AX180" i="17"/>
  <c r="AN180" i="17" s="1"/>
  <c r="BB180" i="17" s="1"/>
  <c r="BC180" i="17"/>
  <c r="CI180" i="17" s="1"/>
  <c r="BD180" i="17"/>
  <c r="CJ180" i="17" s="1"/>
  <c r="DP180" i="17" s="1"/>
  <c r="EV180" i="17" s="1"/>
  <c r="GB180" i="17" s="1"/>
  <c r="HH180" i="17" s="1"/>
  <c r="BE180" i="17"/>
  <c r="CK180" i="17" s="1"/>
  <c r="DQ180" i="17" s="1"/>
  <c r="EW180" i="17" s="1"/>
  <c r="GC180" i="17" s="1"/>
  <c r="HI180" i="17" s="1"/>
  <c r="BF180" i="17"/>
  <c r="CL180" i="17" s="1"/>
  <c r="DR180" i="17" s="1"/>
  <c r="EX180" i="17" s="1"/>
  <c r="GD180" i="17" s="1"/>
  <c r="HJ180" i="17" s="1"/>
  <c r="BJ180" i="17"/>
  <c r="CP180" i="17" s="1"/>
  <c r="DV180" i="17" s="1"/>
  <c r="FB180" i="17" s="1"/>
  <c r="GH180" i="17" s="1"/>
  <c r="HN180" i="17" s="1"/>
  <c r="BK180" i="17"/>
  <c r="CQ180" i="17" s="1"/>
  <c r="DW180" i="17" s="1"/>
  <c r="FC180" i="17" s="1"/>
  <c r="GI180" i="17" s="1"/>
  <c r="HO180" i="17" s="1"/>
  <c r="BS180" i="17"/>
  <c r="BY180" i="17"/>
  <c r="BZ180" i="17"/>
  <c r="CC180" i="17"/>
  <c r="CE180" i="17" s="1"/>
  <c r="CD180" i="17"/>
  <c r="BT180" i="17" s="1"/>
  <c r="DA180" i="17"/>
  <c r="DF180" i="17"/>
  <c r="DJ180" i="17"/>
  <c r="DL180" i="17" s="1"/>
  <c r="EK180" i="17"/>
  <c r="EL180" i="17"/>
  <c r="EO180" i="17"/>
  <c r="EQ180" i="17" s="1"/>
  <c r="EP180" i="17"/>
  <c r="ER180" i="17" s="1"/>
  <c r="FL180" i="17"/>
  <c r="FQ180" i="17"/>
  <c r="FR180" i="17"/>
  <c r="FU180" i="17"/>
  <c r="FW180" i="17" s="1"/>
  <c r="FV180" i="17"/>
  <c r="FX180" i="17" s="1"/>
  <c r="GR180" i="17"/>
  <c r="GW180" i="17"/>
  <c r="GX180" i="17"/>
  <c r="HA180" i="17"/>
  <c r="HC180" i="17" s="1"/>
  <c r="HB180" i="17"/>
  <c r="HD180" i="17" s="1"/>
  <c r="G181" i="17"/>
  <c r="N181" i="17"/>
  <c r="S181" i="17"/>
  <c r="T181" i="17"/>
  <c r="AK181" i="17" s="1"/>
  <c r="AA181" i="17"/>
  <c r="AB181" i="17"/>
  <c r="AH181" i="17"/>
  <c r="AI181" i="17"/>
  <c r="AM181" i="17"/>
  <c r="BA181" i="17" s="1"/>
  <c r="AS181" i="17"/>
  <c r="AT181" i="17"/>
  <c r="AW181" i="17"/>
  <c r="AX181" i="17"/>
  <c r="AN181" i="17" s="1"/>
  <c r="BB181" i="17" s="1"/>
  <c r="BC181" i="17"/>
  <c r="CI181" i="17" s="1"/>
  <c r="BD181" i="17"/>
  <c r="CJ181" i="17" s="1"/>
  <c r="DP181" i="17" s="1"/>
  <c r="EV181" i="17" s="1"/>
  <c r="GB181" i="17" s="1"/>
  <c r="HH181" i="17" s="1"/>
  <c r="BE181" i="17"/>
  <c r="CK181" i="17" s="1"/>
  <c r="DQ181" i="17" s="1"/>
  <c r="EW181" i="17" s="1"/>
  <c r="GC181" i="17" s="1"/>
  <c r="HI181" i="17" s="1"/>
  <c r="BF181" i="17"/>
  <c r="CL181" i="17" s="1"/>
  <c r="DR181" i="17" s="1"/>
  <c r="EX181" i="17" s="1"/>
  <c r="GD181" i="17" s="1"/>
  <c r="HJ181" i="17" s="1"/>
  <c r="BJ181" i="17"/>
  <c r="CP181" i="17" s="1"/>
  <c r="DV181" i="17" s="1"/>
  <c r="FB181" i="17" s="1"/>
  <c r="GH181" i="17" s="1"/>
  <c r="HN181" i="17" s="1"/>
  <c r="BK181" i="17"/>
  <c r="CQ181" i="17" s="1"/>
  <c r="DW181" i="17" s="1"/>
  <c r="FC181" i="17" s="1"/>
  <c r="GI181" i="17" s="1"/>
  <c r="HO181" i="17" s="1"/>
  <c r="BS181" i="17"/>
  <c r="BY181" i="17"/>
  <c r="BZ181" i="17"/>
  <c r="CC181" i="17"/>
  <c r="CE181" i="17" s="1"/>
  <c r="CD181" i="17"/>
  <c r="CF181" i="17" s="1"/>
  <c r="CY181" i="17"/>
  <c r="CY173" i="17" s="1"/>
  <c r="DA181" i="17"/>
  <c r="DE181" i="17" s="1"/>
  <c r="DF181" i="17"/>
  <c r="DJ181" i="17"/>
  <c r="D20" i="48" s="1"/>
  <c r="EK181" i="17"/>
  <c r="EL181" i="17"/>
  <c r="EO181" i="17"/>
  <c r="EQ181" i="17" s="1"/>
  <c r="EP181" i="17"/>
  <c r="ER181" i="17" s="1"/>
  <c r="FJ181" i="17"/>
  <c r="FM181" i="17" s="1"/>
  <c r="FQ181" i="17" s="1"/>
  <c r="FL181" i="17"/>
  <c r="FK181" i="17" s="1"/>
  <c r="FR181" i="17"/>
  <c r="FV181" i="17"/>
  <c r="FX181" i="17"/>
  <c r="GP181" i="17"/>
  <c r="GR181" i="17"/>
  <c r="GW181" i="17"/>
  <c r="GX181" i="17"/>
  <c r="HA181" i="17"/>
  <c r="HC181" i="17" s="1"/>
  <c r="HB181" i="17"/>
  <c r="HD181" i="17" s="1"/>
  <c r="G182" i="17"/>
  <c r="N182" i="17"/>
  <c r="S182" i="17"/>
  <c r="T182" i="17"/>
  <c r="AK182" i="17" s="1"/>
  <c r="AA182" i="17"/>
  <c r="AB182" i="17"/>
  <c r="AC182" i="17" s="1"/>
  <c r="AH182" i="17"/>
  <c r="AI182" i="17"/>
  <c r="AS182" i="17"/>
  <c r="AT182" i="17"/>
  <c r="AY182" i="17"/>
  <c r="AZ182" i="17"/>
  <c r="BY182" i="17"/>
  <c r="BZ182" i="17"/>
  <c r="CE182" i="17"/>
  <c r="CF182" i="17"/>
  <c r="DE182" i="17"/>
  <c r="DF182" i="17"/>
  <c r="DK182" i="17"/>
  <c r="DL182" i="17"/>
  <c r="EK182" i="17"/>
  <c r="EL182" i="17"/>
  <c r="EO182" i="17"/>
  <c r="FD182" i="17" s="1"/>
  <c r="EP182" i="17"/>
  <c r="FE182" i="17" s="1"/>
  <c r="ES182" i="17"/>
  <c r="FY182" i="17" s="1"/>
  <c r="ET182" i="17"/>
  <c r="EU182" i="17"/>
  <c r="GA182" i="17" s="1"/>
  <c r="EV182" i="17"/>
  <c r="EW182" i="17"/>
  <c r="GC182" i="17" s="1"/>
  <c r="HI182" i="17" s="1"/>
  <c r="EX182" i="17"/>
  <c r="GD182" i="17" s="1"/>
  <c r="HJ182" i="17" s="1"/>
  <c r="FB182" i="17"/>
  <c r="GH182" i="17" s="1"/>
  <c r="HN182" i="17" s="1"/>
  <c r="FC182" i="17"/>
  <c r="GI182" i="17" s="1"/>
  <c r="HO182" i="17" s="1"/>
  <c r="FL182" i="17"/>
  <c r="FQ182" i="17"/>
  <c r="FR182" i="17"/>
  <c r="FU182" i="17"/>
  <c r="FW182" i="17" s="1"/>
  <c r="FV182" i="17"/>
  <c r="FX182" i="17" s="1"/>
  <c r="GB182" i="17"/>
  <c r="GS182" i="17"/>
  <c r="GW182" i="17" s="1"/>
  <c r="GT182" i="17"/>
  <c r="GT173" i="17" s="1"/>
  <c r="GX182" i="17"/>
  <c r="HA182" i="17"/>
  <c r="HC182" i="17" s="1"/>
  <c r="G183" i="17"/>
  <c r="N183" i="17"/>
  <c r="T183" i="17"/>
  <c r="BQ183" i="17" s="1"/>
  <c r="AA183" i="17"/>
  <c r="AB183" i="17"/>
  <c r="AH183" i="17"/>
  <c r="AI183" i="17"/>
  <c r="AJ183" i="17" s="1"/>
  <c r="AS183" i="17"/>
  <c r="AT183" i="17"/>
  <c r="AY183" i="17"/>
  <c r="AZ183" i="17"/>
  <c r="BY183" i="17"/>
  <c r="BZ183" i="17"/>
  <c r="CE183" i="17"/>
  <c r="CF183" i="17"/>
  <c r="DE183" i="17"/>
  <c r="DF183" i="17"/>
  <c r="DK183" i="17"/>
  <c r="DL183" i="17"/>
  <c r="EK183" i="17"/>
  <c r="EL183" i="17"/>
  <c r="EO183" i="17"/>
  <c r="EQ183" i="17" s="1"/>
  <c r="ER183" i="17"/>
  <c r="ES183" i="17"/>
  <c r="ET183" i="17"/>
  <c r="EU183" i="17"/>
  <c r="GA183" i="17" s="1"/>
  <c r="HG183" i="17" s="1"/>
  <c r="EV183" i="17"/>
  <c r="GB183" i="17" s="1"/>
  <c r="HH183" i="17" s="1"/>
  <c r="EW183" i="17"/>
  <c r="GC183" i="17" s="1"/>
  <c r="HI183" i="17" s="1"/>
  <c r="EX183" i="17"/>
  <c r="GD183" i="17" s="1"/>
  <c r="HJ183" i="17" s="1"/>
  <c r="FB183" i="17"/>
  <c r="GH183" i="17" s="1"/>
  <c r="HN183" i="17" s="1"/>
  <c r="FC183" i="17"/>
  <c r="GI183" i="17" s="1"/>
  <c r="HO183" i="17" s="1"/>
  <c r="FE183" i="17"/>
  <c r="GK183" i="17" s="1"/>
  <c r="HQ183" i="17" s="1"/>
  <c r="FL183" i="17"/>
  <c r="FQ183" i="17"/>
  <c r="FR183" i="17"/>
  <c r="FW183" i="17"/>
  <c r="FX183" i="17"/>
  <c r="GR183" i="17"/>
  <c r="GW183" i="17"/>
  <c r="GX183" i="17"/>
  <c r="HC183" i="17"/>
  <c r="HD183" i="17"/>
  <c r="G184" i="17"/>
  <c r="N184" i="17"/>
  <c r="S184" i="17"/>
  <c r="T184" i="17"/>
  <c r="AA184" i="17"/>
  <c r="AB184" i="17"/>
  <c r="AC184" i="17" s="1"/>
  <c r="AH184" i="17"/>
  <c r="AI184" i="17"/>
  <c r="AS184" i="17"/>
  <c r="AT184" i="17"/>
  <c r="AW184" i="17"/>
  <c r="AY184" i="17" s="1"/>
  <c r="AZ184" i="17"/>
  <c r="BA184" i="17"/>
  <c r="CG184" i="17" s="1"/>
  <c r="DM184" i="17" s="1"/>
  <c r="ES184" i="17" s="1"/>
  <c r="FY184" i="17" s="1"/>
  <c r="HE184" i="17" s="1"/>
  <c r="BB184" i="17"/>
  <c r="CH184" i="17" s="1"/>
  <c r="DN184" i="17" s="1"/>
  <c r="ET184" i="17" s="1"/>
  <c r="BC184" i="17"/>
  <c r="CI184" i="17" s="1"/>
  <c r="DO184" i="17" s="1"/>
  <c r="EU184" i="17" s="1"/>
  <c r="GA184" i="17" s="1"/>
  <c r="HG184" i="17" s="1"/>
  <c r="BD184" i="17"/>
  <c r="CJ184" i="17" s="1"/>
  <c r="DP184" i="17" s="1"/>
  <c r="EV184" i="17" s="1"/>
  <c r="GB184" i="17" s="1"/>
  <c r="HH184" i="17" s="1"/>
  <c r="BE184" i="17"/>
  <c r="CK184" i="17" s="1"/>
  <c r="DQ184" i="17" s="1"/>
  <c r="EW184" i="17" s="1"/>
  <c r="GC184" i="17" s="1"/>
  <c r="HI184" i="17" s="1"/>
  <c r="BF184" i="17"/>
  <c r="CL184" i="17" s="1"/>
  <c r="DR184" i="17" s="1"/>
  <c r="EX184" i="17" s="1"/>
  <c r="GD184" i="17" s="1"/>
  <c r="HJ184" i="17" s="1"/>
  <c r="BJ184" i="17"/>
  <c r="CP184" i="17" s="1"/>
  <c r="DV184" i="17" s="1"/>
  <c r="FB184" i="17" s="1"/>
  <c r="GH184" i="17" s="1"/>
  <c r="HN184" i="17" s="1"/>
  <c r="BK184" i="17"/>
  <c r="CQ184" i="17" s="1"/>
  <c r="DW184" i="17" s="1"/>
  <c r="FC184" i="17" s="1"/>
  <c r="GI184" i="17" s="1"/>
  <c r="HO184" i="17" s="1"/>
  <c r="BM184" i="17"/>
  <c r="CS184" i="17" s="1"/>
  <c r="DY184" i="17" s="1"/>
  <c r="BY184" i="17"/>
  <c r="BZ184" i="17"/>
  <c r="CC184" i="17"/>
  <c r="CE184" i="17" s="1"/>
  <c r="CF184" i="17"/>
  <c r="DE184" i="17"/>
  <c r="DF184" i="17"/>
  <c r="DI184" i="17"/>
  <c r="DK184" i="17" s="1"/>
  <c r="DL184" i="17"/>
  <c r="EK184" i="17"/>
  <c r="EL184" i="17"/>
  <c r="EO184" i="17"/>
  <c r="EQ184" i="17" s="1"/>
  <c r="EP184" i="17"/>
  <c r="ER184" i="17"/>
  <c r="FL184" i="17"/>
  <c r="FQ184" i="17"/>
  <c r="FR184" i="17"/>
  <c r="FU184" i="17"/>
  <c r="FW184" i="17" s="1"/>
  <c r="FV184" i="17"/>
  <c r="FX184" i="17" s="1"/>
  <c r="GR184" i="17"/>
  <c r="GW184" i="17"/>
  <c r="GX184" i="17"/>
  <c r="HA184" i="17"/>
  <c r="HC184" i="17" s="1"/>
  <c r="HB184" i="17"/>
  <c r="HD184" i="17" s="1"/>
  <c r="G185" i="17"/>
  <c r="N185" i="17"/>
  <c r="S185" i="17"/>
  <c r="T185" i="17"/>
  <c r="AA185" i="17"/>
  <c r="AB185" i="17"/>
  <c r="AC185" i="17" s="1"/>
  <c r="AG185" i="17"/>
  <c r="AH185" i="17"/>
  <c r="AI185" i="17"/>
  <c r="AJ185" i="17" s="1"/>
  <c r="AK185" i="17"/>
  <c r="AP185" i="17"/>
  <c r="AS185" i="17"/>
  <c r="AT185" i="17"/>
  <c r="AW185" i="17"/>
  <c r="BL185" i="17" s="1"/>
  <c r="AX185" i="17"/>
  <c r="AN185" i="17" s="1"/>
  <c r="BB185" i="17" s="1"/>
  <c r="AZ185" i="17"/>
  <c r="BC185" i="17"/>
  <c r="CI185" i="17" s="1"/>
  <c r="BD185" i="17"/>
  <c r="CJ185" i="17" s="1"/>
  <c r="DP185" i="17" s="1"/>
  <c r="EV185" i="17" s="1"/>
  <c r="GB185" i="17" s="1"/>
  <c r="HH185" i="17" s="1"/>
  <c r="BE185" i="17"/>
  <c r="CK185" i="17" s="1"/>
  <c r="DQ185" i="17" s="1"/>
  <c r="EW185" i="17" s="1"/>
  <c r="GC185" i="17" s="1"/>
  <c r="HI185" i="17" s="1"/>
  <c r="BF185" i="17"/>
  <c r="CL185" i="17" s="1"/>
  <c r="DR185" i="17" s="1"/>
  <c r="EX185" i="17" s="1"/>
  <c r="GD185" i="17" s="1"/>
  <c r="HJ185" i="17" s="1"/>
  <c r="BJ185" i="17"/>
  <c r="CP185" i="17" s="1"/>
  <c r="DV185" i="17" s="1"/>
  <c r="FB185" i="17" s="1"/>
  <c r="GH185" i="17" s="1"/>
  <c r="HN185" i="17" s="1"/>
  <c r="BK185" i="17"/>
  <c r="CQ185" i="17" s="1"/>
  <c r="DW185" i="17" s="1"/>
  <c r="FC185" i="17" s="1"/>
  <c r="GI185" i="17" s="1"/>
  <c r="HO185" i="17" s="1"/>
  <c r="BS185" i="17"/>
  <c r="BY185" i="17"/>
  <c r="BZ185" i="17"/>
  <c r="CC185" i="17"/>
  <c r="CE185" i="17" s="1"/>
  <c r="CD185" i="17"/>
  <c r="BT185" i="17" s="1"/>
  <c r="CF185" i="17"/>
  <c r="DA185" i="17"/>
  <c r="DE185" i="17" s="1"/>
  <c r="DF185" i="17"/>
  <c r="DJ185" i="17"/>
  <c r="DL185" i="17" s="1"/>
  <c r="EK185" i="17"/>
  <c r="EL185" i="17"/>
  <c r="EO185" i="17"/>
  <c r="EQ185" i="17" s="1"/>
  <c r="EP185" i="17"/>
  <c r="ER185" i="17" s="1"/>
  <c r="FL185" i="17"/>
  <c r="FK185" i="17" s="1"/>
  <c r="FM185" i="17"/>
  <c r="FQ185" i="17" s="1"/>
  <c r="FR185" i="17"/>
  <c r="FV185" i="17"/>
  <c r="FX185" i="17" s="1"/>
  <c r="GR185" i="17"/>
  <c r="GW185" i="17"/>
  <c r="GX185" i="17"/>
  <c r="HA185" i="17"/>
  <c r="HC185" i="17" s="1"/>
  <c r="HB185" i="17"/>
  <c r="HD185" i="17" s="1"/>
  <c r="G186" i="17"/>
  <c r="N186" i="17"/>
  <c r="S186" i="17"/>
  <c r="T186" i="17"/>
  <c r="AK186" i="17" s="1"/>
  <c r="AA186" i="17"/>
  <c r="AB186" i="17"/>
  <c r="AC186" i="17" s="1"/>
  <c r="AG186" i="17"/>
  <c r="AI186" i="17" s="1"/>
  <c r="AJ186" i="17" s="1"/>
  <c r="AH186" i="17"/>
  <c r="AM186" i="17"/>
  <c r="BA186" i="17" s="1"/>
  <c r="AS186" i="17"/>
  <c r="AT186" i="17"/>
  <c r="AW186" i="17"/>
  <c r="AX186" i="17"/>
  <c r="AN186" i="17" s="1"/>
  <c r="BB186" i="17" s="1"/>
  <c r="BC186" i="17"/>
  <c r="CI186" i="17" s="1"/>
  <c r="BD186" i="17"/>
  <c r="BE186" i="17"/>
  <c r="CK186" i="17" s="1"/>
  <c r="DQ186" i="17" s="1"/>
  <c r="EW186" i="17" s="1"/>
  <c r="GC186" i="17" s="1"/>
  <c r="HI186" i="17" s="1"/>
  <c r="BF186" i="17"/>
  <c r="CL186" i="17" s="1"/>
  <c r="DR186" i="17" s="1"/>
  <c r="EX186" i="17" s="1"/>
  <c r="GD186" i="17" s="1"/>
  <c r="HJ186" i="17" s="1"/>
  <c r="BJ186" i="17"/>
  <c r="CP186" i="17" s="1"/>
  <c r="DV186" i="17" s="1"/>
  <c r="FB186" i="17" s="1"/>
  <c r="GH186" i="17" s="1"/>
  <c r="HN186" i="17" s="1"/>
  <c r="BK186" i="17"/>
  <c r="CQ186" i="17" s="1"/>
  <c r="DW186" i="17" s="1"/>
  <c r="FC186" i="17" s="1"/>
  <c r="GI186" i="17" s="1"/>
  <c r="HO186" i="17" s="1"/>
  <c r="BV186" i="17"/>
  <c r="BY186" i="17"/>
  <c r="BZ186" i="17"/>
  <c r="CC186" i="17"/>
  <c r="CE186" i="17" s="1"/>
  <c r="CD186" i="17"/>
  <c r="BT186" i="17" s="1"/>
  <c r="CF186" i="17"/>
  <c r="DA186" i="17"/>
  <c r="DE186" i="17" s="1"/>
  <c r="DF186" i="17"/>
  <c r="DJ186" i="17"/>
  <c r="DL186" i="17" s="1"/>
  <c r="EK186" i="17"/>
  <c r="EL186" i="17"/>
  <c r="EO186" i="17"/>
  <c r="EQ186" i="17" s="1"/>
  <c r="EP186" i="17"/>
  <c r="ER186" i="17" s="1"/>
  <c r="FJ186" i="17"/>
  <c r="FM186" i="17" s="1"/>
  <c r="FN186" i="17"/>
  <c r="FV186" i="17" s="1"/>
  <c r="FX186" i="17" s="1"/>
  <c r="GP186" i="17"/>
  <c r="GR186" i="17"/>
  <c r="GW186" i="17"/>
  <c r="GX186" i="17"/>
  <c r="HA186" i="17"/>
  <c r="HC186" i="17" s="1"/>
  <c r="HB186" i="17"/>
  <c r="HD186" i="17"/>
  <c r="G187" i="17"/>
  <c r="N187" i="17"/>
  <c r="S187" i="17"/>
  <c r="AJ187" i="17" s="1"/>
  <c r="T187" i="17"/>
  <c r="AK187" i="17" s="1"/>
  <c r="AA187" i="17"/>
  <c r="AB187" i="17"/>
  <c r="AC187" i="17" s="1"/>
  <c r="AH187" i="17"/>
  <c r="AS187" i="17"/>
  <c r="AT187" i="17"/>
  <c r="AX187" i="17"/>
  <c r="BM187" i="17" s="1"/>
  <c r="AY187" i="17"/>
  <c r="BA187" i="17"/>
  <c r="BB187" i="17"/>
  <c r="CH187" i="17" s="1"/>
  <c r="DN187" i="17" s="1"/>
  <c r="ET187" i="17" s="1"/>
  <c r="FZ187" i="17" s="1"/>
  <c r="HF187" i="17" s="1"/>
  <c r="BC187" i="17"/>
  <c r="CI187" i="17" s="1"/>
  <c r="DO187" i="17" s="1"/>
  <c r="EU187" i="17" s="1"/>
  <c r="GA187" i="17" s="1"/>
  <c r="HG187" i="17" s="1"/>
  <c r="BD187" i="17"/>
  <c r="CJ187" i="17" s="1"/>
  <c r="DP187" i="17" s="1"/>
  <c r="EV187" i="17" s="1"/>
  <c r="GB187" i="17" s="1"/>
  <c r="HH187" i="17" s="1"/>
  <c r="BE187" i="17"/>
  <c r="CK187" i="17" s="1"/>
  <c r="DQ187" i="17" s="1"/>
  <c r="EW187" i="17" s="1"/>
  <c r="GC187" i="17" s="1"/>
  <c r="HI187" i="17" s="1"/>
  <c r="BF187" i="17"/>
  <c r="CL187" i="17" s="1"/>
  <c r="DR187" i="17" s="1"/>
  <c r="EX187" i="17" s="1"/>
  <c r="GD187" i="17" s="1"/>
  <c r="HJ187" i="17" s="1"/>
  <c r="BJ187" i="17"/>
  <c r="CP187" i="17" s="1"/>
  <c r="DV187" i="17" s="1"/>
  <c r="FB187" i="17" s="1"/>
  <c r="GH187" i="17" s="1"/>
  <c r="HN187" i="17" s="1"/>
  <c r="BK187" i="17"/>
  <c r="CQ187" i="17" s="1"/>
  <c r="DW187" i="17" s="1"/>
  <c r="FC187" i="17" s="1"/>
  <c r="GI187" i="17" s="1"/>
  <c r="HO187" i="17" s="1"/>
  <c r="BL187" i="17"/>
  <c r="CR187" i="17" s="1"/>
  <c r="DX187" i="17" s="1"/>
  <c r="FD187" i="17" s="1"/>
  <c r="GJ187" i="17" s="1"/>
  <c r="BY187" i="17"/>
  <c r="BZ187" i="17"/>
  <c r="CD187" i="17"/>
  <c r="CF187" i="17" s="1"/>
  <c r="CE187" i="17"/>
  <c r="DE187" i="17"/>
  <c r="DF187" i="17"/>
  <c r="DJ187" i="17"/>
  <c r="DL187" i="17" s="1"/>
  <c r="DK187" i="17"/>
  <c r="EK187" i="17"/>
  <c r="EL187" i="17"/>
  <c r="EP187" i="17"/>
  <c r="ER187" i="17" s="1"/>
  <c r="EQ187" i="17"/>
  <c r="FQ187" i="17"/>
  <c r="FR187" i="17"/>
  <c r="FV187" i="17"/>
  <c r="FX187" i="17" s="1"/>
  <c r="FW187" i="17"/>
  <c r="GW187" i="17"/>
  <c r="GX187" i="17"/>
  <c r="HA187" i="17"/>
  <c r="HC187" i="17" s="1"/>
  <c r="HB187" i="17"/>
  <c r="HD187" i="17" s="1"/>
  <c r="G188" i="17"/>
  <c r="N188" i="17"/>
  <c r="S188" i="17"/>
  <c r="T188" i="17"/>
  <c r="AK188" i="17" s="1"/>
  <c r="AA188" i="17"/>
  <c r="AB188" i="17"/>
  <c r="AC188" i="17" s="1"/>
  <c r="AH188" i="17"/>
  <c r="AI188" i="17"/>
  <c r="AM188" i="17"/>
  <c r="BA188" i="17" s="1"/>
  <c r="AS188" i="17"/>
  <c r="AT188" i="17"/>
  <c r="AW188" i="17"/>
  <c r="BL188" i="17" s="1"/>
  <c r="AX188" i="17"/>
  <c r="AN188" i="17" s="1"/>
  <c r="BB188" i="17" s="1"/>
  <c r="AY188" i="17"/>
  <c r="AZ188" i="17"/>
  <c r="BC188" i="17"/>
  <c r="CI188" i="17" s="1"/>
  <c r="BD188" i="17"/>
  <c r="CJ188" i="17" s="1"/>
  <c r="DP188" i="17" s="1"/>
  <c r="EV188" i="17" s="1"/>
  <c r="GB188" i="17" s="1"/>
  <c r="HH188" i="17" s="1"/>
  <c r="BE188" i="17"/>
  <c r="CK188" i="17" s="1"/>
  <c r="DQ188" i="17" s="1"/>
  <c r="EW188" i="17" s="1"/>
  <c r="GC188" i="17" s="1"/>
  <c r="HI188" i="17" s="1"/>
  <c r="BF188" i="17"/>
  <c r="CL188" i="17" s="1"/>
  <c r="DR188" i="17" s="1"/>
  <c r="EX188" i="17" s="1"/>
  <c r="GD188" i="17" s="1"/>
  <c r="HJ188" i="17" s="1"/>
  <c r="BJ188" i="17"/>
  <c r="CP188" i="17" s="1"/>
  <c r="DV188" i="17" s="1"/>
  <c r="FB188" i="17" s="1"/>
  <c r="GH188" i="17" s="1"/>
  <c r="HN188" i="17" s="1"/>
  <c r="BK188" i="17"/>
  <c r="CQ188" i="17" s="1"/>
  <c r="DW188" i="17" s="1"/>
  <c r="FC188" i="17" s="1"/>
  <c r="GI188" i="17" s="1"/>
  <c r="HO188" i="17" s="1"/>
  <c r="BS188" i="17"/>
  <c r="BY188" i="17"/>
  <c r="BZ188" i="17"/>
  <c r="CC188" i="17"/>
  <c r="CD188" i="17"/>
  <c r="BT188" i="17" s="1"/>
  <c r="CE188" i="17"/>
  <c r="DA188" i="17"/>
  <c r="DE188" i="17" s="1"/>
  <c r="DF188" i="17"/>
  <c r="DJ188" i="17"/>
  <c r="DL188" i="17" s="1"/>
  <c r="EK188" i="17"/>
  <c r="EL188" i="17"/>
  <c r="EO188" i="17"/>
  <c r="EP188" i="17"/>
  <c r="ER188" i="17" s="1"/>
  <c r="EQ188" i="17"/>
  <c r="FL188" i="17"/>
  <c r="FQ188" i="17"/>
  <c r="FR188" i="17"/>
  <c r="FU188" i="17"/>
  <c r="FW188" i="17" s="1"/>
  <c r="FV188" i="17"/>
  <c r="FX188" i="17" s="1"/>
  <c r="GR188" i="17"/>
  <c r="GW188" i="17"/>
  <c r="GX188" i="17"/>
  <c r="HA188" i="17"/>
  <c r="HC188" i="17" s="1"/>
  <c r="HB188" i="17"/>
  <c r="HD188" i="17" s="1"/>
  <c r="G189" i="17"/>
  <c r="N189" i="17"/>
  <c r="S189" i="17"/>
  <c r="T189" i="17"/>
  <c r="AK189" i="17" s="1"/>
  <c r="AA189" i="17"/>
  <c r="AB189" i="17"/>
  <c r="AC189" i="17" s="1"/>
  <c r="AH189" i="17"/>
  <c r="AI189" i="17"/>
  <c r="AP189" i="17"/>
  <c r="AM189" i="17" s="1"/>
  <c r="BA189" i="17" s="1"/>
  <c r="AS189" i="17"/>
  <c r="AW189" i="17"/>
  <c r="AY189" i="17" s="1"/>
  <c r="AX189" i="17"/>
  <c r="BC189" i="17"/>
  <c r="CI189" i="17" s="1"/>
  <c r="BE189" i="17"/>
  <c r="CK189" i="17" s="1"/>
  <c r="DQ189" i="17" s="1"/>
  <c r="EW189" i="17" s="1"/>
  <c r="GC189" i="17" s="1"/>
  <c r="HI189" i="17" s="1"/>
  <c r="BF189" i="17"/>
  <c r="CL189" i="17" s="1"/>
  <c r="DR189" i="17" s="1"/>
  <c r="EX189" i="17" s="1"/>
  <c r="GD189" i="17" s="1"/>
  <c r="HJ189" i="17" s="1"/>
  <c r="BJ189" i="17"/>
  <c r="CP189" i="17" s="1"/>
  <c r="DV189" i="17" s="1"/>
  <c r="FB189" i="17" s="1"/>
  <c r="GH189" i="17" s="1"/>
  <c r="HN189" i="17" s="1"/>
  <c r="BK189" i="17"/>
  <c r="CQ189" i="17" s="1"/>
  <c r="DW189" i="17" s="1"/>
  <c r="FC189" i="17" s="1"/>
  <c r="GI189" i="17" s="1"/>
  <c r="HO189" i="17" s="1"/>
  <c r="BV189" i="17"/>
  <c r="BS189" i="17" s="1"/>
  <c r="BY189" i="17"/>
  <c r="CC189" i="17"/>
  <c r="CE189" i="17"/>
  <c r="DA189" i="17"/>
  <c r="DE189" i="17" s="1"/>
  <c r="DF189" i="17"/>
  <c r="DJ189" i="17"/>
  <c r="DL189" i="17" s="1"/>
  <c r="EK189" i="17"/>
  <c r="EL189" i="17"/>
  <c r="EO189" i="17"/>
  <c r="EP189" i="17"/>
  <c r="ER189" i="17" s="1"/>
  <c r="EQ189" i="17"/>
  <c r="FL189" i="17"/>
  <c r="FQ189" i="17"/>
  <c r="FR189" i="17"/>
  <c r="FU189" i="17"/>
  <c r="FW189" i="17" s="1"/>
  <c r="FV189" i="17"/>
  <c r="FX189" i="17"/>
  <c r="GR189" i="17"/>
  <c r="GQ189" i="17" s="1"/>
  <c r="GW189" i="17"/>
  <c r="GX189" i="17"/>
  <c r="HA189" i="17"/>
  <c r="HC189" i="17" s="1"/>
  <c r="HB189" i="17"/>
  <c r="HD189" i="17" s="1"/>
  <c r="N190" i="17"/>
  <c r="S190" i="17"/>
  <c r="T190" i="17"/>
  <c r="AK190" i="17" s="1"/>
  <c r="AA190" i="17"/>
  <c r="AB190" i="17"/>
  <c r="AC190" i="17" s="1"/>
  <c r="AH190" i="17"/>
  <c r="AI190" i="17"/>
  <c r="AS190" i="17"/>
  <c r="AT190" i="17"/>
  <c r="AY190" i="17"/>
  <c r="AZ190" i="17"/>
  <c r="BJ190" i="17"/>
  <c r="BK190" i="17"/>
  <c r="BL190" i="17"/>
  <c r="BY190" i="17"/>
  <c r="BZ190" i="17"/>
  <c r="CE190" i="17"/>
  <c r="CF190" i="17"/>
  <c r="CW190" i="17"/>
  <c r="DE190" i="17"/>
  <c r="DF190" i="17"/>
  <c r="DK190" i="17"/>
  <c r="DL190" i="17"/>
  <c r="EK190" i="17"/>
  <c r="EL190" i="17"/>
  <c r="EO190" i="17"/>
  <c r="FD190" i="17" s="1"/>
  <c r="EP190" i="17"/>
  <c r="FE190" i="17" s="1"/>
  <c r="EU190" i="17"/>
  <c r="GA190" i="17" s="1"/>
  <c r="HG190" i="17" s="1"/>
  <c r="EV190" i="17"/>
  <c r="GB190" i="17" s="1"/>
  <c r="HH190" i="17" s="1"/>
  <c r="EW190" i="17"/>
  <c r="GC190" i="17" s="1"/>
  <c r="HI190" i="17" s="1"/>
  <c r="EX190" i="17"/>
  <c r="GD190" i="17" s="1"/>
  <c r="HJ190" i="17" s="1"/>
  <c r="FB190" i="17"/>
  <c r="GH190" i="17" s="1"/>
  <c r="HN190" i="17" s="1"/>
  <c r="FC190" i="17"/>
  <c r="GI190" i="17" s="1"/>
  <c r="HO190" i="17" s="1"/>
  <c r="FL190" i="17"/>
  <c r="FZ190" i="17" s="1"/>
  <c r="FQ190" i="17"/>
  <c r="FU190" i="17"/>
  <c r="FW190" i="17" s="1"/>
  <c r="FV190" i="17"/>
  <c r="FX190" i="17" s="1"/>
  <c r="FY190" i="17"/>
  <c r="HE190" i="17" s="1"/>
  <c r="GR190" i="17"/>
  <c r="GW190" i="17"/>
  <c r="HA190" i="17"/>
  <c r="HC190" i="17" s="1"/>
  <c r="HB190" i="17"/>
  <c r="HD190" i="17" s="1"/>
  <c r="R191" i="17"/>
  <c r="Y191" i="17"/>
  <c r="Z191" i="17"/>
  <c r="AE191" i="17"/>
  <c r="AF191" i="17"/>
  <c r="AG191" i="17"/>
  <c r="AO191" i="17"/>
  <c r="AP191" i="17"/>
  <c r="AQ191" i="17"/>
  <c r="AR191" i="17"/>
  <c r="AU191" i="17"/>
  <c r="AV191" i="17"/>
  <c r="AW191" i="17"/>
  <c r="AX191" i="17"/>
  <c r="BU191" i="17"/>
  <c r="BU210" i="17" s="1"/>
  <c r="BY210" i="17" s="1"/>
  <c r="BV191" i="17"/>
  <c r="BW191" i="17"/>
  <c r="BX191" i="17"/>
  <c r="CA191" i="17"/>
  <c r="CB191" i="17"/>
  <c r="CC191" i="17"/>
  <c r="CD191" i="17"/>
  <c r="DA191" i="17"/>
  <c r="DB191" i="17"/>
  <c r="DC191" i="17"/>
  <c r="DD191" i="17"/>
  <c r="DG191" i="17"/>
  <c r="DH191" i="17"/>
  <c r="DI191" i="17"/>
  <c r="DJ191" i="17"/>
  <c r="ED191" i="17"/>
  <c r="EE191" i="17"/>
  <c r="EF191" i="17"/>
  <c r="EH191" i="17"/>
  <c r="EI191" i="17"/>
  <c r="EJ191" i="17"/>
  <c r="EN191" i="17"/>
  <c r="EO191" i="17"/>
  <c r="EP191" i="17"/>
  <c r="FJ191" i="17"/>
  <c r="FK191" i="17"/>
  <c r="FL191" i="17"/>
  <c r="FO191" i="17"/>
  <c r="FP191" i="17"/>
  <c r="FT191" i="17"/>
  <c r="FU191" i="17"/>
  <c r="FV191" i="17"/>
  <c r="GP191" i="17"/>
  <c r="GQ191" i="17"/>
  <c r="GR191" i="17"/>
  <c r="GS191" i="17"/>
  <c r="GT191" i="17"/>
  <c r="GU191" i="17"/>
  <c r="GV191" i="17"/>
  <c r="GY191" i="17"/>
  <c r="GZ191" i="17"/>
  <c r="HA191" i="17"/>
  <c r="HB191" i="17"/>
  <c r="S192" i="17"/>
  <c r="W192" i="17"/>
  <c r="AA192" i="17" s="1"/>
  <c r="AB192" i="17"/>
  <c r="AC192" i="17" s="1"/>
  <c r="AD192" i="17"/>
  <c r="AH192" i="17" s="1"/>
  <c r="AI192" i="17"/>
  <c r="AJ192" i="17" s="1"/>
  <c r="AS192" i="17"/>
  <c r="AT192" i="17"/>
  <c r="AY192" i="17"/>
  <c r="AZ192" i="17"/>
  <c r="BC192" i="17"/>
  <c r="CI192" i="17" s="1"/>
  <c r="DO192" i="17" s="1"/>
  <c r="BD192" i="17"/>
  <c r="CJ192" i="17" s="1"/>
  <c r="DP192" i="17" s="1"/>
  <c r="EV192" i="17" s="1"/>
  <c r="GB192" i="17" s="1"/>
  <c r="HH192" i="17" s="1"/>
  <c r="BE192" i="17"/>
  <c r="CK192" i="17" s="1"/>
  <c r="DQ192" i="17" s="1"/>
  <c r="EW192" i="17" s="1"/>
  <c r="GC192" i="17" s="1"/>
  <c r="BF192" i="17"/>
  <c r="CL192" i="17" s="1"/>
  <c r="DR192" i="17" s="1"/>
  <c r="BK192" i="17"/>
  <c r="CQ192" i="17" s="1"/>
  <c r="DW192" i="17" s="1"/>
  <c r="FC192" i="17" s="1"/>
  <c r="GI192" i="17" s="1"/>
  <c r="BL192" i="17"/>
  <c r="CR192" i="17" s="1"/>
  <c r="DX192" i="17" s="1"/>
  <c r="BM192" i="17"/>
  <c r="CS192" i="17" s="1"/>
  <c r="DY192" i="17" s="1"/>
  <c r="FE192" i="17" s="1"/>
  <c r="GK192" i="17" s="1"/>
  <c r="BY192" i="17"/>
  <c r="BZ192" i="17"/>
  <c r="CE192" i="17"/>
  <c r="CF192" i="17"/>
  <c r="DE192" i="17"/>
  <c r="DF192" i="17"/>
  <c r="DK192" i="17"/>
  <c r="DL192" i="17"/>
  <c r="EG192" i="17"/>
  <c r="EK192" i="17" s="1"/>
  <c r="EL192" i="17"/>
  <c r="ER192" i="17"/>
  <c r="FM192" i="17"/>
  <c r="FQ192" i="17" s="1"/>
  <c r="FR192" i="17"/>
  <c r="FX192" i="17"/>
  <c r="GW192" i="17"/>
  <c r="GX192" i="17"/>
  <c r="HC192" i="17"/>
  <c r="HD192" i="17"/>
  <c r="S193" i="17"/>
  <c r="W193" i="17"/>
  <c r="AA193" i="17" s="1"/>
  <c r="AB193" i="17"/>
  <c r="AC193" i="17" s="1"/>
  <c r="AI193" i="17"/>
  <c r="AS193" i="17"/>
  <c r="AT193" i="17"/>
  <c r="AY193" i="17"/>
  <c r="AZ193" i="17"/>
  <c r="BD193" i="17"/>
  <c r="CJ193" i="17" s="1"/>
  <c r="DP193" i="17" s="1"/>
  <c r="EV193" i="17" s="1"/>
  <c r="GB193" i="17" s="1"/>
  <c r="HH193" i="17" s="1"/>
  <c r="BE193" i="17"/>
  <c r="CK193" i="17" s="1"/>
  <c r="DQ193" i="17" s="1"/>
  <c r="EW193" i="17" s="1"/>
  <c r="BF193" i="17"/>
  <c r="CL193" i="17" s="1"/>
  <c r="DR193" i="17" s="1"/>
  <c r="EX193" i="17" s="1"/>
  <c r="GD193" i="17" s="1"/>
  <c r="HJ193" i="17" s="1"/>
  <c r="BK193" i="17"/>
  <c r="CQ193" i="17" s="1"/>
  <c r="DW193" i="17" s="1"/>
  <c r="FC193" i="17" s="1"/>
  <c r="BL193" i="17"/>
  <c r="CR193" i="17" s="1"/>
  <c r="DX193" i="17" s="1"/>
  <c r="FD193" i="17" s="1"/>
  <c r="GJ193" i="17" s="1"/>
  <c r="HP193" i="17" s="1"/>
  <c r="BM193" i="17"/>
  <c r="CS193" i="17" s="1"/>
  <c r="DY193" i="17" s="1"/>
  <c r="FE193" i="17" s="1"/>
  <c r="BY193" i="17"/>
  <c r="BZ193" i="17"/>
  <c r="CE193" i="17"/>
  <c r="CF193" i="17"/>
  <c r="DE193" i="17"/>
  <c r="DF193" i="17"/>
  <c r="DK193" i="17"/>
  <c r="DL193" i="17"/>
  <c r="EG193" i="17"/>
  <c r="EK193" i="17" s="1"/>
  <c r="EL193" i="17"/>
  <c r="ER193" i="17"/>
  <c r="FM193" i="17"/>
  <c r="FQ193" i="17" s="1"/>
  <c r="FR193" i="17"/>
  <c r="FX193" i="17"/>
  <c r="GW193" i="17"/>
  <c r="GX193" i="17"/>
  <c r="HC193" i="17"/>
  <c r="HD193" i="17"/>
  <c r="S194" i="17"/>
  <c r="W194" i="17"/>
  <c r="AA194" i="17" s="1"/>
  <c r="AB194" i="17"/>
  <c r="AC194" i="17" s="1"/>
  <c r="AD194" i="17"/>
  <c r="AH194" i="17" s="1"/>
  <c r="AI194" i="17"/>
  <c r="AJ194" i="17" s="1"/>
  <c r="AS194" i="17"/>
  <c r="AT194" i="17"/>
  <c r="AY194" i="17"/>
  <c r="AZ194" i="17"/>
  <c r="BC194" i="17"/>
  <c r="CI194" i="17" s="1"/>
  <c r="DO194" i="17" s="1"/>
  <c r="BD194" i="17"/>
  <c r="CJ194" i="17" s="1"/>
  <c r="DP194" i="17" s="1"/>
  <c r="EV194" i="17" s="1"/>
  <c r="GB194" i="17" s="1"/>
  <c r="HH194" i="17" s="1"/>
  <c r="BE194" i="17"/>
  <c r="CK194" i="17" s="1"/>
  <c r="DQ194" i="17" s="1"/>
  <c r="EW194" i="17" s="1"/>
  <c r="GC194" i="17" s="1"/>
  <c r="HI194" i="17" s="1"/>
  <c r="BF194" i="17"/>
  <c r="CL194" i="17" s="1"/>
  <c r="DR194" i="17" s="1"/>
  <c r="EX194" i="17" s="1"/>
  <c r="GD194" i="17" s="1"/>
  <c r="HJ194" i="17" s="1"/>
  <c r="BK194" i="17"/>
  <c r="CQ194" i="17" s="1"/>
  <c r="DW194" i="17" s="1"/>
  <c r="FC194" i="17" s="1"/>
  <c r="GI194" i="17" s="1"/>
  <c r="HO194" i="17" s="1"/>
  <c r="BL194" i="17"/>
  <c r="CR194" i="17" s="1"/>
  <c r="DX194" i="17" s="1"/>
  <c r="FD194" i="17" s="1"/>
  <c r="GJ194" i="17" s="1"/>
  <c r="HP194" i="17" s="1"/>
  <c r="BM194" i="17"/>
  <c r="CS194" i="17" s="1"/>
  <c r="DY194" i="17" s="1"/>
  <c r="FE194" i="17" s="1"/>
  <c r="GK194" i="17" s="1"/>
  <c r="HQ194" i="17" s="1"/>
  <c r="BY194" i="17"/>
  <c r="BZ194" i="17"/>
  <c r="CE194" i="17"/>
  <c r="CF194" i="17"/>
  <c r="DE194" i="17"/>
  <c r="DF194" i="17"/>
  <c r="DK194" i="17"/>
  <c r="DL194" i="17"/>
  <c r="EG194" i="17"/>
  <c r="EK194" i="17" s="1"/>
  <c r="EL194" i="17"/>
  <c r="ER194" i="17"/>
  <c r="FM194" i="17"/>
  <c r="FQ194" i="17" s="1"/>
  <c r="FR194" i="17"/>
  <c r="FX194" i="17"/>
  <c r="GW194" i="17"/>
  <c r="GX194" i="17"/>
  <c r="HC194" i="17"/>
  <c r="HD194" i="17"/>
  <c r="S195" i="17"/>
  <c r="AA195" i="17"/>
  <c r="AB195" i="17"/>
  <c r="AC195" i="17" s="1"/>
  <c r="AH195" i="17"/>
  <c r="AI195" i="17"/>
  <c r="AS195" i="17"/>
  <c r="AT195" i="17"/>
  <c r="AY195" i="17"/>
  <c r="AZ195" i="17"/>
  <c r="BC195" i="17"/>
  <c r="BD195" i="17"/>
  <c r="BE195" i="17"/>
  <c r="BF195" i="17"/>
  <c r="BJ195" i="17"/>
  <c r="CP195" i="17" s="1"/>
  <c r="DV195" i="17" s="1"/>
  <c r="BK195" i="17"/>
  <c r="CQ195" i="17" s="1"/>
  <c r="DW195" i="17" s="1"/>
  <c r="FC195" i="17" s="1"/>
  <c r="GI195" i="17" s="1"/>
  <c r="HO195" i="17" s="1"/>
  <c r="BL195" i="17"/>
  <c r="CR195" i="17" s="1"/>
  <c r="DX195" i="17" s="1"/>
  <c r="FD195" i="17" s="1"/>
  <c r="GJ195" i="17" s="1"/>
  <c r="HP195" i="17" s="1"/>
  <c r="BM195" i="17"/>
  <c r="CS195" i="17" s="1"/>
  <c r="DY195" i="17" s="1"/>
  <c r="FE195" i="17" s="1"/>
  <c r="GK195" i="17" s="1"/>
  <c r="HQ195" i="17" s="1"/>
  <c r="BY195" i="17"/>
  <c r="BZ195" i="17"/>
  <c r="CE195" i="17"/>
  <c r="CF195" i="17"/>
  <c r="DE195" i="17"/>
  <c r="DF195" i="17"/>
  <c r="DK195" i="17"/>
  <c r="DL195" i="17"/>
  <c r="DO195" i="17"/>
  <c r="DP195" i="17"/>
  <c r="EV195" i="17" s="1"/>
  <c r="GB195" i="17" s="1"/>
  <c r="HH195" i="17" s="1"/>
  <c r="DQ195" i="17"/>
  <c r="EW195" i="17" s="1"/>
  <c r="GC195" i="17" s="1"/>
  <c r="HI195" i="17" s="1"/>
  <c r="DR195" i="17"/>
  <c r="EX195" i="17" s="1"/>
  <c r="GD195" i="17" s="1"/>
  <c r="HJ195" i="17" s="1"/>
  <c r="EG195" i="17"/>
  <c r="EK195" i="17" s="1"/>
  <c r="EL195" i="17"/>
  <c r="ER195" i="17"/>
  <c r="FM195" i="17"/>
  <c r="FQ195" i="17" s="1"/>
  <c r="FR195" i="17"/>
  <c r="FX195" i="17"/>
  <c r="GW195" i="17"/>
  <c r="GX195" i="17"/>
  <c r="HC195" i="17"/>
  <c r="HD195" i="17"/>
  <c r="S196" i="17"/>
  <c r="AA196" i="17"/>
  <c r="AB196" i="17"/>
  <c r="AC196" i="17" s="1"/>
  <c r="AH196" i="17"/>
  <c r="AI196" i="17"/>
  <c r="AJ196" i="17" s="1"/>
  <c r="AS196" i="17"/>
  <c r="AT196" i="17"/>
  <c r="AY196" i="17"/>
  <c r="AZ196" i="17"/>
  <c r="BC196" i="17"/>
  <c r="BD196" i="17"/>
  <c r="BE196" i="17"/>
  <c r="BF196" i="17"/>
  <c r="BJ196" i="17"/>
  <c r="BK196" i="17"/>
  <c r="CQ196" i="17" s="1"/>
  <c r="DW196" i="17" s="1"/>
  <c r="FC196" i="17" s="1"/>
  <c r="GI196" i="17" s="1"/>
  <c r="HO196" i="17" s="1"/>
  <c r="BL196" i="17"/>
  <c r="CR196" i="17" s="1"/>
  <c r="DX196" i="17" s="1"/>
  <c r="FD196" i="17" s="1"/>
  <c r="GJ196" i="17" s="1"/>
  <c r="HP196" i="17" s="1"/>
  <c r="BM196" i="17"/>
  <c r="CS196" i="17" s="1"/>
  <c r="DY196" i="17" s="1"/>
  <c r="FE196" i="17" s="1"/>
  <c r="GK196" i="17" s="1"/>
  <c r="HQ196" i="17" s="1"/>
  <c r="BY196" i="17"/>
  <c r="BZ196" i="17"/>
  <c r="CE196" i="17"/>
  <c r="CF196" i="17"/>
  <c r="CP196" i="17"/>
  <c r="DV196" i="17" s="1"/>
  <c r="DE196" i="17"/>
  <c r="DF196" i="17"/>
  <c r="DK196" i="17"/>
  <c r="DL196" i="17"/>
  <c r="EG196" i="17"/>
  <c r="EK196" i="17" s="1"/>
  <c r="EL196" i="17"/>
  <c r="ER196" i="17"/>
  <c r="EV196" i="17"/>
  <c r="FM196" i="17"/>
  <c r="FS196" i="17" s="1"/>
  <c r="FW196" i="17" s="1"/>
  <c r="FN196" i="17"/>
  <c r="FX196" i="17"/>
  <c r="GC196" i="17"/>
  <c r="HI196" i="17" s="1"/>
  <c r="GD196" i="17"/>
  <c r="HJ196" i="17" s="1"/>
  <c r="GW196" i="17"/>
  <c r="GX196" i="17"/>
  <c r="HC196" i="17"/>
  <c r="HD196" i="17"/>
  <c r="AA197" i="17"/>
  <c r="AB197" i="17"/>
  <c r="AC197" i="17" s="1"/>
  <c r="AH197" i="17"/>
  <c r="AI197" i="17"/>
  <c r="AJ197" i="17" s="1"/>
  <c r="AS197" i="17"/>
  <c r="AT197" i="17"/>
  <c r="AY197" i="17"/>
  <c r="AZ197" i="17"/>
  <c r="BC197" i="17"/>
  <c r="BD197" i="17"/>
  <c r="BE197" i="17"/>
  <c r="BF197" i="17"/>
  <c r="BJ197" i="17"/>
  <c r="BK197" i="17"/>
  <c r="CQ197" i="17" s="1"/>
  <c r="DW197" i="17" s="1"/>
  <c r="FC197" i="17" s="1"/>
  <c r="GI197" i="17" s="1"/>
  <c r="HO197" i="17" s="1"/>
  <c r="BL197" i="17"/>
  <c r="CR197" i="17" s="1"/>
  <c r="DX197" i="17" s="1"/>
  <c r="FD197" i="17" s="1"/>
  <c r="GJ197" i="17" s="1"/>
  <c r="HP197" i="17" s="1"/>
  <c r="BM197" i="17"/>
  <c r="CS197" i="17" s="1"/>
  <c r="DY197" i="17" s="1"/>
  <c r="FE197" i="17" s="1"/>
  <c r="GK197" i="17" s="1"/>
  <c r="HQ197" i="17" s="1"/>
  <c r="BY197" i="17"/>
  <c r="BZ197" i="17"/>
  <c r="CE197" i="17"/>
  <c r="CF197" i="17"/>
  <c r="CP197" i="17"/>
  <c r="DV197" i="17" s="1"/>
  <c r="DE197" i="17"/>
  <c r="DF197" i="17"/>
  <c r="DK197" i="17"/>
  <c r="DL197" i="17"/>
  <c r="EK197" i="17"/>
  <c r="EL197" i="17"/>
  <c r="EM197" i="17"/>
  <c r="EQ197" i="17" s="1"/>
  <c r="ER197" i="17"/>
  <c r="EU197" i="17"/>
  <c r="EV197" i="17"/>
  <c r="GB197" i="17" s="1"/>
  <c r="HH197" i="17" s="1"/>
  <c r="FQ197" i="17"/>
  <c r="FR197" i="17"/>
  <c r="FS197" i="17"/>
  <c r="FW197" i="17" s="1"/>
  <c r="FX197" i="17"/>
  <c r="GA197" i="17"/>
  <c r="GC197" i="17"/>
  <c r="HI197" i="17" s="1"/>
  <c r="GD197" i="17"/>
  <c r="HJ197" i="17" s="1"/>
  <c r="GW197" i="17"/>
  <c r="GX197" i="17"/>
  <c r="HC197" i="17"/>
  <c r="HD197" i="17"/>
  <c r="HG197" i="17"/>
  <c r="S198" i="17"/>
  <c r="W198" i="17"/>
  <c r="AA198" i="17" s="1"/>
  <c r="AB198" i="17"/>
  <c r="AC198" i="17" s="1"/>
  <c r="AI198" i="17"/>
  <c r="AS198" i="17"/>
  <c r="AT198" i="17"/>
  <c r="AY198" i="17"/>
  <c r="AZ198" i="17"/>
  <c r="BD198" i="17"/>
  <c r="CJ198" i="17" s="1"/>
  <c r="DP198" i="17" s="1"/>
  <c r="EV198" i="17" s="1"/>
  <c r="GB198" i="17" s="1"/>
  <c r="HH198" i="17" s="1"/>
  <c r="BE198" i="17"/>
  <c r="CK198" i="17" s="1"/>
  <c r="DQ198" i="17" s="1"/>
  <c r="EW198" i="17" s="1"/>
  <c r="GC198" i="17" s="1"/>
  <c r="HI198" i="17" s="1"/>
  <c r="BF198" i="17"/>
  <c r="CL198" i="17" s="1"/>
  <c r="DR198" i="17" s="1"/>
  <c r="EX198" i="17" s="1"/>
  <c r="GD198" i="17" s="1"/>
  <c r="HJ198" i="17" s="1"/>
  <c r="BK198" i="17"/>
  <c r="CQ198" i="17" s="1"/>
  <c r="DW198" i="17" s="1"/>
  <c r="FC198" i="17" s="1"/>
  <c r="GI198" i="17" s="1"/>
  <c r="HO198" i="17" s="1"/>
  <c r="BL198" i="17"/>
  <c r="CR198" i="17" s="1"/>
  <c r="DX198" i="17" s="1"/>
  <c r="FD198" i="17" s="1"/>
  <c r="GJ198" i="17" s="1"/>
  <c r="HP198" i="17" s="1"/>
  <c r="BM198" i="17"/>
  <c r="CS198" i="17" s="1"/>
  <c r="DY198" i="17" s="1"/>
  <c r="FE198" i="17" s="1"/>
  <c r="GK198" i="17" s="1"/>
  <c r="HQ198" i="17" s="1"/>
  <c r="BY198" i="17"/>
  <c r="BZ198" i="17"/>
  <c r="CE198" i="17"/>
  <c r="CF198" i="17"/>
  <c r="DE198" i="17"/>
  <c r="DF198" i="17"/>
  <c r="DK198" i="17"/>
  <c r="DL198" i="17"/>
  <c r="EG198" i="17"/>
  <c r="EK198" i="17" s="1"/>
  <c r="EL198" i="17"/>
  <c r="ER198" i="17"/>
  <c r="FM198" i="17"/>
  <c r="FQ198" i="17" s="1"/>
  <c r="FR198" i="17"/>
  <c r="FX198" i="17"/>
  <c r="GW198" i="17"/>
  <c r="GX198" i="17"/>
  <c r="HC198" i="17"/>
  <c r="HD198" i="17"/>
  <c r="S199" i="17"/>
  <c r="W199" i="17"/>
  <c r="AD199" i="17" s="1"/>
  <c r="X199" i="17"/>
  <c r="AB199" i="17" s="1"/>
  <c r="AC199" i="17" s="1"/>
  <c r="AI199" i="17"/>
  <c r="AS199" i="17"/>
  <c r="AT199" i="17"/>
  <c r="AY199" i="17"/>
  <c r="AZ199" i="17"/>
  <c r="BE199" i="17"/>
  <c r="CK199" i="17" s="1"/>
  <c r="DQ199" i="17" s="1"/>
  <c r="EW199" i="17" s="1"/>
  <c r="GC199" i="17" s="1"/>
  <c r="HI199" i="17" s="1"/>
  <c r="BF199" i="17"/>
  <c r="BK199" i="17"/>
  <c r="CQ199" i="17" s="1"/>
  <c r="DW199" i="17" s="1"/>
  <c r="FC199" i="17" s="1"/>
  <c r="GI199" i="17" s="1"/>
  <c r="HO199" i="17" s="1"/>
  <c r="BL199" i="17"/>
  <c r="CR199" i="17" s="1"/>
  <c r="DX199" i="17" s="1"/>
  <c r="FD199" i="17" s="1"/>
  <c r="GJ199" i="17" s="1"/>
  <c r="HP199" i="17" s="1"/>
  <c r="BM199" i="17"/>
  <c r="CS199" i="17" s="1"/>
  <c r="DY199" i="17" s="1"/>
  <c r="FE199" i="17" s="1"/>
  <c r="GK199" i="17" s="1"/>
  <c r="HQ199" i="17" s="1"/>
  <c r="BY199" i="17"/>
  <c r="BZ199" i="17"/>
  <c r="CE199" i="17"/>
  <c r="CF199" i="17"/>
  <c r="CL199" i="17"/>
  <c r="DR199" i="17" s="1"/>
  <c r="EX199" i="17" s="1"/>
  <c r="GD199" i="17" s="1"/>
  <c r="HJ199" i="17" s="1"/>
  <c r="DE199" i="17"/>
  <c r="DF199" i="17"/>
  <c r="DK199" i="17"/>
  <c r="DL199" i="17"/>
  <c r="EG199" i="17"/>
  <c r="EK199" i="17" s="1"/>
  <c r="EL199" i="17"/>
  <c r="ER199" i="17"/>
  <c r="FM199" i="17"/>
  <c r="FQ199" i="17" s="1"/>
  <c r="FR199" i="17"/>
  <c r="FX199" i="17"/>
  <c r="GW199" i="17"/>
  <c r="GX199" i="17"/>
  <c r="HC199" i="17"/>
  <c r="HD199" i="17"/>
  <c r="S200" i="17"/>
  <c r="AA200" i="17"/>
  <c r="AB200" i="17"/>
  <c r="AC200" i="17" s="1"/>
  <c r="AH200" i="17"/>
  <c r="AI200" i="17"/>
  <c r="AS200" i="17"/>
  <c r="AT200" i="17"/>
  <c r="AY200" i="17"/>
  <c r="BN200" i="17" s="1"/>
  <c r="AZ200" i="17"/>
  <c r="BC200" i="17"/>
  <c r="BD200" i="17"/>
  <c r="CJ200" i="17" s="1"/>
  <c r="BE200" i="17"/>
  <c r="CK200" i="17" s="1"/>
  <c r="BF200" i="17"/>
  <c r="CL200" i="17" s="1"/>
  <c r="BJ200" i="17"/>
  <c r="CP200" i="17" s="1"/>
  <c r="DV200" i="17" s="1"/>
  <c r="BK200" i="17"/>
  <c r="CQ200" i="17" s="1"/>
  <c r="DW200" i="17" s="1"/>
  <c r="FC200" i="17" s="1"/>
  <c r="GI200" i="17" s="1"/>
  <c r="HO200" i="17" s="1"/>
  <c r="BL200" i="17"/>
  <c r="CR200" i="17" s="1"/>
  <c r="DX200" i="17" s="1"/>
  <c r="FD200" i="17" s="1"/>
  <c r="GJ200" i="17" s="1"/>
  <c r="HP200" i="17" s="1"/>
  <c r="BM200" i="17"/>
  <c r="CS200" i="17" s="1"/>
  <c r="DY200" i="17" s="1"/>
  <c r="FE200" i="17" s="1"/>
  <c r="GK200" i="17" s="1"/>
  <c r="HQ200" i="17" s="1"/>
  <c r="BY200" i="17"/>
  <c r="BZ200" i="17"/>
  <c r="CE200" i="17"/>
  <c r="CF200" i="17"/>
  <c r="CI200" i="17"/>
  <c r="DE200" i="17"/>
  <c r="DF200" i="17"/>
  <c r="DK200" i="17"/>
  <c r="DL200" i="17"/>
  <c r="EG200" i="17"/>
  <c r="EL200" i="17"/>
  <c r="ER200" i="17"/>
  <c r="EV200" i="17"/>
  <c r="FM200" i="17"/>
  <c r="FQ200" i="17" s="1"/>
  <c r="FN200" i="17"/>
  <c r="FR200" i="17" s="1"/>
  <c r="FX200" i="17"/>
  <c r="GC200" i="17"/>
  <c r="HI200" i="17" s="1"/>
  <c r="GD200" i="17"/>
  <c r="HJ200" i="17" s="1"/>
  <c r="GW200" i="17"/>
  <c r="GX200" i="17"/>
  <c r="HC200" i="17"/>
  <c r="HD200" i="17"/>
  <c r="S201" i="17"/>
  <c r="AA201" i="17"/>
  <c r="AB201" i="17"/>
  <c r="AC201" i="17" s="1"/>
  <c r="AH201" i="17"/>
  <c r="AI201" i="17"/>
  <c r="AJ201" i="17" s="1"/>
  <c r="AS201" i="17"/>
  <c r="AT201" i="17"/>
  <c r="AY201" i="17"/>
  <c r="AZ201" i="17"/>
  <c r="BC201" i="17"/>
  <c r="BD201" i="17"/>
  <c r="CJ201" i="17" s="1"/>
  <c r="BE201" i="17"/>
  <c r="CK201" i="17" s="1"/>
  <c r="BF201" i="17"/>
  <c r="CL201" i="17" s="1"/>
  <c r="BJ201" i="17"/>
  <c r="CP201" i="17" s="1"/>
  <c r="DV201" i="17" s="1"/>
  <c r="FB201" i="17" s="1"/>
  <c r="BK201" i="17"/>
  <c r="CQ201" i="17" s="1"/>
  <c r="DW201" i="17" s="1"/>
  <c r="FC201" i="17" s="1"/>
  <c r="GI201" i="17" s="1"/>
  <c r="HO201" i="17" s="1"/>
  <c r="BL201" i="17"/>
  <c r="CR201" i="17" s="1"/>
  <c r="DX201" i="17" s="1"/>
  <c r="FD201" i="17" s="1"/>
  <c r="GJ201" i="17" s="1"/>
  <c r="HP201" i="17" s="1"/>
  <c r="BM201" i="17"/>
  <c r="CS201" i="17" s="1"/>
  <c r="DY201" i="17" s="1"/>
  <c r="FE201" i="17" s="1"/>
  <c r="GK201" i="17" s="1"/>
  <c r="HQ201" i="17" s="1"/>
  <c r="BY201" i="17"/>
  <c r="BZ201" i="17"/>
  <c r="CE201" i="17"/>
  <c r="CF201" i="17"/>
  <c r="CI201" i="17"/>
  <c r="DE201" i="17"/>
  <c r="DF201" i="17"/>
  <c r="DK201" i="17"/>
  <c r="DL201" i="17"/>
  <c r="EK201" i="17"/>
  <c r="EL201" i="17"/>
  <c r="EQ201" i="17"/>
  <c r="ER201" i="17"/>
  <c r="EU201" i="17"/>
  <c r="EV201" i="17"/>
  <c r="GB201" i="17" s="1"/>
  <c r="HH201" i="17" s="1"/>
  <c r="FM201" i="17"/>
  <c r="FQ201" i="17" s="1"/>
  <c r="FR201" i="17"/>
  <c r="FX201" i="17"/>
  <c r="GC201" i="17"/>
  <c r="HI201" i="17" s="1"/>
  <c r="GD201" i="17"/>
  <c r="HJ201" i="17" s="1"/>
  <c r="GW201" i="17"/>
  <c r="GX201" i="17"/>
  <c r="HC201" i="17"/>
  <c r="HD201" i="17"/>
  <c r="S202" i="17"/>
  <c r="AA202" i="17"/>
  <c r="AB202" i="17"/>
  <c r="AC202" i="17" s="1"/>
  <c r="AH202" i="17"/>
  <c r="AI202" i="17"/>
  <c r="AJ202" i="17" s="1"/>
  <c r="AS202" i="17"/>
  <c r="AT202" i="17"/>
  <c r="AY202" i="17"/>
  <c r="AZ202" i="17"/>
  <c r="BC202" i="17"/>
  <c r="CI202" i="17" s="1"/>
  <c r="DO202" i="17" s="1"/>
  <c r="BD202" i="17"/>
  <c r="BE202" i="17"/>
  <c r="CK202" i="17" s="1"/>
  <c r="DQ202" i="17" s="1"/>
  <c r="EW202" i="17" s="1"/>
  <c r="GC202" i="17" s="1"/>
  <c r="HI202" i="17" s="1"/>
  <c r="BF202" i="17"/>
  <c r="CL202" i="17" s="1"/>
  <c r="DR202" i="17" s="1"/>
  <c r="EX202" i="17" s="1"/>
  <c r="GD202" i="17" s="1"/>
  <c r="HJ202" i="17" s="1"/>
  <c r="BG202" i="17"/>
  <c r="BJ202" i="17"/>
  <c r="CP202" i="17" s="1"/>
  <c r="DV202" i="17" s="1"/>
  <c r="BK202" i="17"/>
  <c r="CQ202" i="17" s="1"/>
  <c r="DW202" i="17" s="1"/>
  <c r="FC202" i="17" s="1"/>
  <c r="GI202" i="17" s="1"/>
  <c r="HO202" i="17" s="1"/>
  <c r="BL202" i="17"/>
  <c r="CR202" i="17" s="1"/>
  <c r="DX202" i="17" s="1"/>
  <c r="FD202" i="17" s="1"/>
  <c r="GJ202" i="17" s="1"/>
  <c r="HP202" i="17" s="1"/>
  <c r="BM202" i="17"/>
  <c r="CS202" i="17" s="1"/>
  <c r="DY202" i="17" s="1"/>
  <c r="FE202" i="17" s="1"/>
  <c r="GK202" i="17" s="1"/>
  <c r="HQ202" i="17" s="1"/>
  <c r="BY202" i="17"/>
  <c r="BZ202" i="17"/>
  <c r="CE202" i="17"/>
  <c r="CF202" i="17"/>
  <c r="CJ202" i="17"/>
  <c r="DP202" i="17" s="1"/>
  <c r="EV202" i="17" s="1"/>
  <c r="DE202" i="17"/>
  <c r="DF202" i="17"/>
  <c r="DK202" i="17"/>
  <c r="DL202" i="17"/>
  <c r="EG202" i="17"/>
  <c r="EK202" i="17" s="1"/>
  <c r="EL202" i="17"/>
  <c r="ER202" i="17"/>
  <c r="FM202" i="17"/>
  <c r="FS202" i="17" s="1"/>
  <c r="FW202" i="17" s="1"/>
  <c r="FN202" i="17"/>
  <c r="FR202" i="17" s="1"/>
  <c r="FX202" i="17"/>
  <c r="GW202" i="17"/>
  <c r="GX202" i="17"/>
  <c r="HC202" i="17"/>
  <c r="HD202" i="17"/>
  <c r="S203" i="17"/>
  <c r="W203" i="17"/>
  <c r="AA203" i="17" s="1"/>
  <c r="X203" i="17"/>
  <c r="BD203" i="17" s="1"/>
  <c r="CJ203" i="17" s="1"/>
  <c r="DP203" i="17" s="1"/>
  <c r="EV203" i="17" s="1"/>
  <c r="GB203" i="17" s="1"/>
  <c r="HH203" i="17" s="1"/>
  <c r="AI203" i="17"/>
  <c r="AS203" i="17"/>
  <c r="AT203" i="17"/>
  <c r="AY203" i="17"/>
  <c r="AZ203" i="17"/>
  <c r="BE203" i="17"/>
  <c r="CK203" i="17" s="1"/>
  <c r="DQ203" i="17" s="1"/>
  <c r="EW203" i="17" s="1"/>
  <c r="GC203" i="17" s="1"/>
  <c r="HI203" i="17" s="1"/>
  <c r="BF203" i="17"/>
  <c r="CL203" i="17" s="1"/>
  <c r="DR203" i="17" s="1"/>
  <c r="EX203" i="17" s="1"/>
  <c r="GD203" i="17" s="1"/>
  <c r="HJ203" i="17" s="1"/>
  <c r="BK203" i="17"/>
  <c r="CQ203" i="17" s="1"/>
  <c r="DW203" i="17" s="1"/>
  <c r="FC203" i="17" s="1"/>
  <c r="GI203" i="17" s="1"/>
  <c r="HO203" i="17" s="1"/>
  <c r="BL203" i="17"/>
  <c r="CR203" i="17" s="1"/>
  <c r="DX203" i="17" s="1"/>
  <c r="FD203" i="17" s="1"/>
  <c r="GJ203" i="17" s="1"/>
  <c r="HP203" i="17" s="1"/>
  <c r="BM203" i="17"/>
  <c r="CS203" i="17" s="1"/>
  <c r="DY203" i="17" s="1"/>
  <c r="FE203" i="17" s="1"/>
  <c r="GK203" i="17" s="1"/>
  <c r="HQ203" i="17" s="1"/>
  <c r="BY203" i="17"/>
  <c r="BZ203" i="17"/>
  <c r="CE203" i="17"/>
  <c r="CF203" i="17"/>
  <c r="DE203" i="17"/>
  <c r="DF203" i="17"/>
  <c r="DK203" i="17"/>
  <c r="DL203" i="17"/>
  <c r="EG203" i="17"/>
  <c r="EK203" i="17" s="1"/>
  <c r="EL203" i="17"/>
  <c r="ER203" i="17"/>
  <c r="FM203" i="17"/>
  <c r="FQ203" i="17" s="1"/>
  <c r="FR203" i="17"/>
  <c r="FX203" i="17"/>
  <c r="GW203" i="17"/>
  <c r="GX203" i="17"/>
  <c r="HC203" i="17"/>
  <c r="HD203" i="17"/>
  <c r="S204" i="17"/>
  <c r="W204" i="17"/>
  <c r="AD204" i="17" s="1"/>
  <c r="AH204" i="17" s="1"/>
  <c r="X204" i="17"/>
  <c r="BD204" i="17" s="1"/>
  <c r="CJ204" i="17" s="1"/>
  <c r="DP204" i="17" s="1"/>
  <c r="EV204" i="17" s="1"/>
  <c r="GB204" i="17" s="1"/>
  <c r="HH204" i="17" s="1"/>
  <c r="AI204" i="17"/>
  <c r="AS204" i="17"/>
  <c r="AT204" i="17"/>
  <c r="AY204" i="17"/>
  <c r="AZ204" i="17"/>
  <c r="BE204" i="17"/>
  <c r="CK204" i="17" s="1"/>
  <c r="DQ204" i="17" s="1"/>
  <c r="EW204" i="17" s="1"/>
  <c r="GC204" i="17" s="1"/>
  <c r="HI204" i="17" s="1"/>
  <c r="BF204" i="17"/>
  <c r="CL204" i="17" s="1"/>
  <c r="DR204" i="17" s="1"/>
  <c r="EX204" i="17" s="1"/>
  <c r="GD204" i="17" s="1"/>
  <c r="HJ204" i="17" s="1"/>
  <c r="BK204" i="17"/>
  <c r="CQ204" i="17" s="1"/>
  <c r="DW204" i="17" s="1"/>
  <c r="FC204" i="17" s="1"/>
  <c r="GI204" i="17" s="1"/>
  <c r="HO204" i="17" s="1"/>
  <c r="BL204" i="17"/>
  <c r="CR204" i="17" s="1"/>
  <c r="DX204" i="17" s="1"/>
  <c r="FD204" i="17" s="1"/>
  <c r="GJ204" i="17" s="1"/>
  <c r="HP204" i="17" s="1"/>
  <c r="BM204" i="17"/>
  <c r="CS204" i="17" s="1"/>
  <c r="DY204" i="17" s="1"/>
  <c r="FE204" i="17" s="1"/>
  <c r="GK204" i="17" s="1"/>
  <c r="HQ204" i="17" s="1"/>
  <c r="BY204" i="17"/>
  <c r="BZ204" i="17"/>
  <c r="CE204" i="17"/>
  <c r="CF204" i="17"/>
  <c r="DE204" i="17"/>
  <c r="DF204" i="17"/>
  <c r="DK204" i="17"/>
  <c r="DL204" i="17"/>
  <c r="EG204" i="17"/>
  <c r="EK204" i="17" s="1"/>
  <c r="EL204" i="17"/>
  <c r="ER204" i="17"/>
  <c r="FM204" i="17"/>
  <c r="FQ204" i="17" s="1"/>
  <c r="FR204" i="17"/>
  <c r="FX204" i="17"/>
  <c r="GW204" i="17"/>
  <c r="GX204" i="17"/>
  <c r="HC204" i="17"/>
  <c r="HD204" i="17"/>
  <c r="S205" i="17"/>
  <c r="AA205" i="17"/>
  <c r="AB205" i="17"/>
  <c r="AC205" i="17" s="1"/>
  <c r="AH205" i="17"/>
  <c r="AI205" i="17"/>
  <c r="AJ205" i="17" s="1"/>
  <c r="AS205" i="17"/>
  <c r="AT205" i="17"/>
  <c r="AY205" i="17"/>
  <c r="AZ205" i="17"/>
  <c r="BC205" i="17"/>
  <c r="CI205" i="17" s="1"/>
  <c r="DO205" i="17" s="1"/>
  <c r="EU205" i="17" s="1"/>
  <c r="GA205" i="17" s="1"/>
  <c r="HG205" i="17" s="1"/>
  <c r="BD205" i="17"/>
  <c r="CJ205" i="17" s="1"/>
  <c r="DP205" i="17" s="1"/>
  <c r="EV205" i="17" s="1"/>
  <c r="GB205" i="17" s="1"/>
  <c r="HH205" i="17" s="1"/>
  <c r="BE205" i="17"/>
  <c r="CK205" i="17" s="1"/>
  <c r="DQ205" i="17" s="1"/>
  <c r="EW205" i="17" s="1"/>
  <c r="GC205" i="17" s="1"/>
  <c r="HI205" i="17" s="1"/>
  <c r="BF205" i="17"/>
  <c r="CL205" i="17" s="1"/>
  <c r="DR205" i="17" s="1"/>
  <c r="EX205" i="17" s="1"/>
  <c r="GD205" i="17" s="1"/>
  <c r="HJ205" i="17" s="1"/>
  <c r="BG205" i="17"/>
  <c r="BJ205" i="17"/>
  <c r="CP205" i="17" s="1"/>
  <c r="DV205" i="17" s="1"/>
  <c r="FB205" i="17" s="1"/>
  <c r="GH205" i="17" s="1"/>
  <c r="HN205" i="17" s="1"/>
  <c r="BK205" i="17"/>
  <c r="CQ205" i="17" s="1"/>
  <c r="DW205" i="17" s="1"/>
  <c r="FC205" i="17" s="1"/>
  <c r="GI205" i="17" s="1"/>
  <c r="HO205" i="17" s="1"/>
  <c r="BL205" i="17"/>
  <c r="CR205" i="17" s="1"/>
  <c r="DX205" i="17" s="1"/>
  <c r="FD205" i="17" s="1"/>
  <c r="GJ205" i="17" s="1"/>
  <c r="HP205" i="17" s="1"/>
  <c r="BM205" i="17"/>
  <c r="CS205" i="17" s="1"/>
  <c r="DY205" i="17" s="1"/>
  <c r="FE205" i="17" s="1"/>
  <c r="GK205" i="17" s="1"/>
  <c r="HQ205" i="17" s="1"/>
  <c r="BY205" i="17"/>
  <c r="BZ205" i="17"/>
  <c r="CE205" i="17"/>
  <c r="CF205" i="17"/>
  <c r="DE205" i="17"/>
  <c r="DF205" i="17"/>
  <c r="DK205" i="17"/>
  <c r="DL205" i="17"/>
  <c r="EK205" i="17"/>
  <c r="EL205" i="17"/>
  <c r="EQ205" i="17"/>
  <c r="ER205" i="17"/>
  <c r="FQ205" i="17"/>
  <c r="FR205" i="17"/>
  <c r="FW205" i="17"/>
  <c r="FX205" i="17"/>
  <c r="GW205" i="17"/>
  <c r="GX205" i="17"/>
  <c r="HC205" i="17"/>
  <c r="HD205" i="17"/>
  <c r="S206" i="17"/>
  <c r="W206" i="17"/>
  <c r="AD206" i="17" s="1"/>
  <c r="X206" i="17"/>
  <c r="AB206" i="17" s="1"/>
  <c r="AC206" i="17" s="1"/>
  <c r="AI206" i="17"/>
  <c r="AS206" i="17"/>
  <c r="AT206" i="17"/>
  <c r="AY206" i="17"/>
  <c r="AZ206" i="17"/>
  <c r="BE206" i="17"/>
  <c r="CK206" i="17" s="1"/>
  <c r="DQ206" i="17" s="1"/>
  <c r="EW206" i="17" s="1"/>
  <c r="GC206" i="17" s="1"/>
  <c r="HI206" i="17" s="1"/>
  <c r="BF206" i="17"/>
  <c r="CL206" i="17" s="1"/>
  <c r="DR206" i="17" s="1"/>
  <c r="EX206" i="17" s="1"/>
  <c r="GD206" i="17" s="1"/>
  <c r="HJ206" i="17" s="1"/>
  <c r="BK206" i="17"/>
  <c r="CQ206" i="17" s="1"/>
  <c r="DW206" i="17" s="1"/>
  <c r="FC206" i="17" s="1"/>
  <c r="GI206" i="17" s="1"/>
  <c r="HO206" i="17" s="1"/>
  <c r="BL206" i="17"/>
  <c r="BM206" i="17"/>
  <c r="CS206" i="17" s="1"/>
  <c r="DY206" i="17" s="1"/>
  <c r="FE206" i="17" s="1"/>
  <c r="GK206" i="17" s="1"/>
  <c r="HQ206" i="17" s="1"/>
  <c r="BY206" i="17"/>
  <c r="BZ206" i="17"/>
  <c r="CE206" i="17"/>
  <c r="CF206" i="17"/>
  <c r="CR206" i="17"/>
  <c r="DX206" i="17" s="1"/>
  <c r="FD206" i="17" s="1"/>
  <c r="GJ206" i="17" s="1"/>
  <c r="HP206" i="17" s="1"/>
  <c r="DE206" i="17"/>
  <c r="DF206" i="17"/>
  <c r="DK206" i="17"/>
  <c r="DL206" i="17"/>
  <c r="EG206" i="17"/>
  <c r="EL206" i="17"/>
  <c r="ER206" i="17"/>
  <c r="FM206" i="17"/>
  <c r="FQ206" i="17" s="1"/>
  <c r="FR206" i="17"/>
  <c r="FX206" i="17"/>
  <c r="GW206" i="17"/>
  <c r="GX206" i="17"/>
  <c r="HC206" i="17"/>
  <c r="HD206" i="17"/>
  <c r="S207" i="17"/>
  <c r="W207" i="17"/>
  <c r="AA207" i="17" s="1"/>
  <c r="AB207" i="17"/>
  <c r="AC207" i="17" s="1"/>
  <c r="AI207" i="17"/>
  <c r="AS207" i="17"/>
  <c r="AT207" i="17"/>
  <c r="AY207" i="17"/>
  <c r="AZ207" i="17"/>
  <c r="BC207" i="17"/>
  <c r="BD207" i="17"/>
  <c r="BE207" i="17"/>
  <c r="BF207" i="17"/>
  <c r="BK207" i="17"/>
  <c r="BL207" i="17"/>
  <c r="BM207" i="17"/>
  <c r="BO207" i="17"/>
  <c r="BY207" i="17"/>
  <c r="BZ207" i="17"/>
  <c r="CE207" i="17"/>
  <c r="CF207" i="17"/>
  <c r="CI207" i="17"/>
  <c r="CJ207" i="17"/>
  <c r="CK207" i="17"/>
  <c r="CL207" i="17"/>
  <c r="CQ207" i="17"/>
  <c r="DW207" i="17" s="1"/>
  <c r="FC207" i="17" s="1"/>
  <c r="GI207" i="17" s="1"/>
  <c r="HO207" i="17" s="1"/>
  <c r="CR207" i="17"/>
  <c r="CS207" i="17"/>
  <c r="CU207" i="17"/>
  <c r="DE207" i="17"/>
  <c r="DF207" i="17"/>
  <c r="DK207" i="17"/>
  <c r="DL207" i="17"/>
  <c r="DO207" i="17"/>
  <c r="DP207" i="17"/>
  <c r="EV207" i="17" s="1"/>
  <c r="GB207" i="17" s="1"/>
  <c r="HH207" i="17" s="1"/>
  <c r="DQ207" i="17"/>
  <c r="EW207" i="17" s="1"/>
  <c r="GC207" i="17" s="1"/>
  <c r="HI207" i="17" s="1"/>
  <c r="DR207" i="17"/>
  <c r="EX207" i="17" s="1"/>
  <c r="GD207" i="17" s="1"/>
  <c r="HJ207" i="17" s="1"/>
  <c r="DX207" i="17"/>
  <c r="FD207" i="17" s="1"/>
  <c r="GJ207" i="17" s="1"/>
  <c r="HP207" i="17" s="1"/>
  <c r="DY207" i="17"/>
  <c r="FE207" i="17" s="1"/>
  <c r="GK207" i="17" s="1"/>
  <c r="HQ207" i="17" s="1"/>
  <c r="EA207" i="17"/>
  <c r="EG207" i="17"/>
  <c r="EK207" i="17" s="1"/>
  <c r="EL207" i="17"/>
  <c r="ER207" i="17"/>
  <c r="FM207" i="17"/>
  <c r="FQ207" i="17" s="1"/>
  <c r="FR207" i="17"/>
  <c r="FX207" i="17"/>
  <c r="GW207" i="17"/>
  <c r="GX207" i="17"/>
  <c r="HC207" i="17"/>
  <c r="HD207" i="17"/>
  <c r="S208" i="17"/>
  <c r="AA208" i="17"/>
  <c r="AB208" i="17"/>
  <c r="AC208" i="17" s="1"/>
  <c r="AH208" i="17"/>
  <c r="AI208" i="17"/>
  <c r="AJ208" i="17" s="1"/>
  <c r="AS208" i="17"/>
  <c r="AT208" i="17"/>
  <c r="AY208" i="17"/>
  <c r="AZ208" i="17"/>
  <c r="BC208" i="17"/>
  <c r="BD208" i="17"/>
  <c r="BE208" i="17"/>
  <c r="BF208" i="17"/>
  <c r="BJ208" i="17"/>
  <c r="BK208" i="17"/>
  <c r="CQ208" i="17" s="1"/>
  <c r="DW208" i="17" s="1"/>
  <c r="FC208" i="17" s="1"/>
  <c r="GI208" i="17" s="1"/>
  <c r="HO208" i="17" s="1"/>
  <c r="BL208" i="17"/>
  <c r="CR208" i="17" s="1"/>
  <c r="DX208" i="17" s="1"/>
  <c r="FD208" i="17" s="1"/>
  <c r="GJ208" i="17" s="1"/>
  <c r="HP208" i="17" s="1"/>
  <c r="BM208" i="17"/>
  <c r="CS208" i="17" s="1"/>
  <c r="DY208" i="17" s="1"/>
  <c r="FE208" i="17" s="1"/>
  <c r="GK208" i="17" s="1"/>
  <c r="HQ208" i="17" s="1"/>
  <c r="BY208" i="17"/>
  <c r="BZ208" i="17"/>
  <c r="CE208" i="17"/>
  <c r="CF208" i="17"/>
  <c r="CP208" i="17"/>
  <c r="DV208" i="17" s="1"/>
  <c r="DE208" i="17"/>
  <c r="DF208" i="17"/>
  <c r="DK208" i="17"/>
  <c r="DL208" i="17"/>
  <c r="EG208" i="17"/>
  <c r="EK208" i="17" s="1"/>
  <c r="EL208" i="17"/>
  <c r="ER208" i="17"/>
  <c r="EV208" i="17"/>
  <c r="FM208" i="17"/>
  <c r="FQ208" i="17" s="1"/>
  <c r="FN208" i="17"/>
  <c r="FX208" i="17"/>
  <c r="GC208" i="17"/>
  <c r="HI208" i="17" s="1"/>
  <c r="GD208" i="17"/>
  <c r="HJ208" i="17" s="1"/>
  <c r="GW208" i="17"/>
  <c r="GX208" i="17"/>
  <c r="HC208" i="17"/>
  <c r="HD208" i="17"/>
  <c r="AA209" i="17"/>
  <c r="AB209" i="17"/>
  <c r="AH209" i="17"/>
  <c r="AI209" i="17"/>
  <c r="AL209" i="17"/>
  <c r="AO209" i="17" s="1"/>
  <c r="AS209" i="17" s="1"/>
  <c r="BG209" i="17" s="1"/>
  <c r="AN209" i="17"/>
  <c r="BB209" i="17" s="1"/>
  <c r="CH209" i="17" s="1"/>
  <c r="DN209" i="17" s="1"/>
  <c r="ET209" i="17" s="1"/>
  <c r="FZ209" i="17" s="1"/>
  <c r="HF209" i="17" s="1"/>
  <c r="AT209" i="17"/>
  <c r="AZ209" i="17"/>
  <c r="BA209" i="17"/>
  <c r="CG209" i="17" s="1"/>
  <c r="DM209" i="17" s="1"/>
  <c r="BD209" i="17"/>
  <c r="CJ209" i="17" s="1"/>
  <c r="DP209" i="17" s="1"/>
  <c r="EV209" i="17" s="1"/>
  <c r="GB209" i="17" s="1"/>
  <c r="HH209" i="17" s="1"/>
  <c r="BE209" i="17"/>
  <c r="CK209" i="17" s="1"/>
  <c r="DQ209" i="17" s="1"/>
  <c r="EW209" i="17" s="1"/>
  <c r="GC209" i="17" s="1"/>
  <c r="HI209" i="17" s="1"/>
  <c r="BF209" i="17"/>
  <c r="CL209" i="17" s="1"/>
  <c r="DR209" i="17" s="1"/>
  <c r="EX209" i="17" s="1"/>
  <c r="GD209" i="17" s="1"/>
  <c r="HJ209" i="17" s="1"/>
  <c r="BJ209" i="17"/>
  <c r="CP209" i="17" s="1"/>
  <c r="DV209" i="17" s="1"/>
  <c r="FB209" i="17" s="1"/>
  <c r="GH209" i="17" s="1"/>
  <c r="HN209" i="17" s="1"/>
  <c r="BK209" i="17"/>
  <c r="CQ209" i="17" s="1"/>
  <c r="DW209" i="17" s="1"/>
  <c r="FC209" i="17" s="1"/>
  <c r="GI209" i="17" s="1"/>
  <c r="HO209" i="17" s="1"/>
  <c r="BM209" i="17"/>
  <c r="CS209" i="17" s="1"/>
  <c r="DY209" i="17" s="1"/>
  <c r="FE209" i="17" s="1"/>
  <c r="GK209" i="17" s="1"/>
  <c r="HQ209" i="17" s="1"/>
  <c r="BY209" i="17"/>
  <c r="BZ209" i="17"/>
  <c r="CC209" i="17"/>
  <c r="CE209" i="17" s="1"/>
  <c r="CF209" i="17"/>
  <c r="DA209" i="17"/>
  <c r="DE209" i="17" s="1"/>
  <c r="DF209" i="17"/>
  <c r="DL209" i="17"/>
  <c r="ED209" i="17"/>
  <c r="EG209" i="17" s="1"/>
  <c r="EL209" i="17"/>
  <c r="EQ209" i="17"/>
  <c r="ER209" i="17"/>
  <c r="FR209" i="17"/>
  <c r="FW209" i="17"/>
  <c r="FX209" i="17"/>
  <c r="GX209" i="17"/>
  <c r="HD209" i="17"/>
  <c r="AA210" i="17"/>
  <c r="AB210" i="17"/>
  <c r="AH210" i="17"/>
  <c r="AI210" i="17"/>
  <c r="AS210" i="17"/>
  <c r="AT210" i="17"/>
  <c r="AY210" i="17"/>
  <c r="AZ210" i="17"/>
  <c r="BC210" i="17"/>
  <c r="BD210" i="17"/>
  <c r="CJ210" i="17" s="1"/>
  <c r="DP210" i="17" s="1"/>
  <c r="EV210" i="17" s="1"/>
  <c r="GB210" i="17" s="1"/>
  <c r="HH210" i="17" s="1"/>
  <c r="BE210" i="17"/>
  <c r="BF210" i="17"/>
  <c r="CL210" i="17" s="1"/>
  <c r="DR210" i="17" s="1"/>
  <c r="EX210" i="17" s="1"/>
  <c r="GD210" i="17" s="1"/>
  <c r="HJ210" i="17" s="1"/>
  <c r="BJ210" i="17"/>
  <c r="BK210" i="17"/>
  <c r="CQ210" i="17" s="1"/>
  <c r="DW210" i="17" s="1"/>
  <c r="FC210" i="17" s="1"/>
  <c r="GI210" i="17" s="1"/>
  <c r="HO210" i="17" s="1"/>
  <c r="BL210" i="17"/>
  <c r="CR210" i="17" s="1"/>
  <c r="DX210" i="17" s="1"/>
  <c r="FD210" i="17" s="1"/>
  <c r="GJ210" i="17" s="1"/>
  <c r="HP210" i="17" s="1"/>
  <c r="BM210" i="17"/>
  <c r="CS210" i="17" s="1"/>
  <c r="DY210" i="17" s="1"/>
  <c r="FE210" i="17" s="1"/>
  <c r="GK210" i="17" s="1"/>
  <c r="HQ210" i="17" s="1"/>
  <c r="BZ210" i="17"/>
  <c r="CF210" i="17"/>
  <c r="CK210" i="17"/>
  <c r="DQ210" i="17" s="1"/>
  <c r="EW210" i="17" s="1"/>
  <c r="GC210" i="17" s="1"/>
  <c r="HI210" i="17" s="1"/>
  <c r="DE210" i="17"/>
  <c r="DF210" i="17"/>
  <c r="DG210" i="17"/>
  <c r="DK210" i="17" s="1"/>
  <c r="DL210" i="17"/>
  <c r="EK210" i="17"/>
  <c r="EL210" i="17"/>
  <c r="EQ210" i="17"/>
  <c r="ER210" i="17"/>
  <c r="FQ210" i="17"/>
  <c r="FR210" i="17"/>
  <c r="FW210" i="17"/>
  <c r="FX210" i="17"/>
  <c r="GW210" i="17"/>
  <c r="GX210" i="17"/>
  <c r="GY210" i="17"/>
  <c r="HC210" i="17" s="1"/>
  <c r="HD210" i="17"/>
  <c r="D211" i="17"/>
  <c r="CX211" i="17"/>
  <c r="T213" i="17"/>
  <c r="AA213" i="17"/>
  <c r="AB213" i="17"/>
  <c r="AS213" i="17"/>
  <c r="AT213" i="17"/>
  <c r="BC213" i="17"/>
  <c r="CI213" i="17" s="1"/>
  <c r="BD213" i="17"/>
  <c r="CJ213" i="17" s="1"/>
  <c r="DP213" i="17" s="1"/>
  <c r="BE213" i="17"/>
  <c r="CK213" i="17" s="1"/>
  <c r="BF213" i="17"/>
  <c r="CL213" i="17" s="1"/>
  <c r="BY213" i="17"/>
  <c r="BZ213" i="17"/>
  <c r="DE213" i="17"/>
  <c r="DF213" i="17"/>
  <c r="EK213" i="17"/>
  <c r="EL213" i="17"/>
  <c r="FQ213" i="17"/>
  <c r="FR213" i="17"/>
  <c r="GW213" i="17"/>
  <c r="GX213" i="17"/>
  <c r="T214" i="17"/>
  <c r="AA214" i="17"/>
  <c r="AB214" i="17"/>
  <c r="AS214" i="17"/>
  <c r="AT214" i="17"/>
  <c r="BC214" i="17"/>
  <c r="CI214" i="17" s="1"/>
  <c r="DO214" i="17" s="1"/>
  <c r="EU214" i="17" s="1"/>
  <c r="GA214" i="17" s="1"/>
  <c r="HG214" i="17" s="1"/>
  <c r="BD214" i="17"/>
  <c r="CJ214" i="17" s="1"/>
  <c r="BE214" i="17"/>
  <c r="CK214" i="17" s="1"/>
  <c r="DQ214" i="17" s="1"/>
  <c r="EW214" i="17" s="1"/>
  <c r="GC214" i="17" s="1"/>
  <c r="HI214" i="17" s="1"/>
  <c r="BF214" i="17"/>
  <c r="CL214" i="17" s="1"/>
  <c r="DR214" i="17" s="1"/>
  <c r="EX214" i="17" s="1"/>
  <c r="GD214" i="17" s="1"/>
  <c r="HJ214" i="17" s="1"/>
  <c r="BY214" i="17"/>
  <c r="BZ214" i="17"/>
  <c r="DE214" i="17"/>
  <c r="DF214" i="17"/>
  <c r="EK214" i="17"/>
  <c r="EL214" i="17"/>
  <c r="FQ214" i="17"/>
  <c r="FR214" i="17"/>
  <c r="GW214" i="17"/>
  <c r="GX214" i="17"/>
  <c r="W215" i="17"/>
  <c r="X215" i="17"/>
  <c r="Y215" i="17"/>
  <c r="Z215" i="17"/>
  <c r="AO215" i="17"/>
  <c r="BC215" i="17" s="1"/>
  <c r="AP215" i="17"/>
  <c r="AQ215" i="17"/>
  <c r="AR215" i="17"/>
  <c r="BU215" i="17"/>
  <c r="BV215" i="17"/>
  <c r="BW215" i="17"/>
  <c r="BX215" i="17"/>
  <c r="DA215" i="17"/>
  <c r="DB215" i="17"/>
  <c r="DC215" i="17"/>
  <c r="DD215" i="17"/>
  <c r="X216" i="17"/>
  <c r="AB216" i="17" s="1"/>
  <c r="U216" i="17" s="1"/>
  <c r="BA216" i="17" s="1"/>
  <c r="CG216" i="17" s="1"/>
  <c r="DM216" i="17" s="1"/>
  <c r="ES216" i="17" s="1"/>
  <c r="FY216" i="17" s="1"/>
  <c r="HE216" i="17" s="1"/>
  <c r="AA216" i="17"/>
  <c r="AH216" i="17"/>
  <c r="AI216" i="17"/>
  <c r="AP216" i="17"/>
  <c r="AS216" i="17"/>
  <c r="C40" i="35" s="1"/>
  <c r="AY216" i="17"/>
  <c r="AZ216" i="17"/>
  <c r="BC216" i="17"/>
  <c r="CI216" i="17" s="1"/>
  <c r="DO216" i="17" s="1"/>
  <c r="EU216" i="17" s="1"/>
  <c r="GA216" i="17" s="1"/>
  <c r="HG216" i="17" s="1"/>
  <c r="BE216" i="17"/>
  <c r="CK216" i="17" s="1"/>
  <c r="DQ216" i="17" s="1"/>
  <c r="EW216" i="17" s="1"/>
  <c r="GC216" i="17" s="1"/>
  <c r="HI216" i="17" s="1"/>
  <c r="BF216" i="17"/>
  <c r="CL216" i="17" s="1"/>
  <c r="DR216" i="17" s="1"/>
  <c r="EX216" i="17" s="1"/>
  <c r="GD216" i="17" s="1"/>
  <c r="HJ216" i="17" s="1"/>
  <c r="BJ216" i="17"/>
  <c r="CP216" i="17" s="1"/>
  <c r="BK216" i="17"/>
  <c r="CQ216" i="17" s="1"/>
  <c r="BL216" i="17"/>
  <c r="CR216" i="17" s="1"/>
  <c r="BM216" i="17"/>
  <c r="CS216" i="17" s="1"/>
  <c r="BV216" i="17"/>
  <c r="BZ216" i="17" s="1"/>
  <c r="D42" i="41" s="1"/>
  <c r="BY216" i="17"/>
  <c r="C42" i="41" s="1"/>
  <c r="CE216" i="17"/>
  <c r="CF216" i="17"/>
  <c r="DB216" i="17"/>
  <c r="DF216" i="17" s="1"/>
  <c r="D42" i="48" s="1"/>
  <c r="DE216" i="17"/>
  <c r="C42" i="48" s="1"/>
  <c r="DK216" i="17"/>
  <c r="DL216" i="17"/>
  <c r="EH216" i="17"/>
  <c r="EK216" i="17"/>
  <c r="C39" i="53" s="1"/>
  <c r="EQ216" i="17"/>
  <c r="ER216" i="17"/>
  <c r="FN216" i="17"/>
  <c r="FR216" i="17" s="1"/>
  <c r="D39" i="56" s="1"/>
  <c r="FQ216" i="17"/>
  <c r="C39" i="56" s="1"/>
  <c r="FW216" i="17"/>
  <c r="FX216" i="17"/>
  <c r="GT216" i="17"/>
  <c r="GX216" i="17" s="1"/>
  <c r="D39" i="60" s="1"/>
  <c r="GW216" i="17"/>
  <c r="C39" i="60" s="1"/>
  <c r="AA217" i="17"/>
  <c r="AB217" i="17"/>
  <c r="AS217" i="17"/>
  <c r="AT217" i="17"/>
  <c r="BC217" i="17"/>
  <c r="CI217" i="17" s="1"/>
  <c r="DO217" i="17" s="1"/>
  <c r="EU217" i="17" s="1"/>
  <c r="GA217" i="17" s="1"/>
  <c r="HG217" i="17" s="1"/>
  <c r="BD217" i="17"/>
  <c r="CJ217" i="17" s="1"/>
  <c r="DP217" i="17" s="1"/>
  <c r="EV217" i="17" s="1"/>
  <c r="GB217" i="17" s="1"/>
  <c r="HH217" i="17" s="1"/>
  <c r="BE217" i="17"/>
  <c r="CK217" i="17" s="1"/>
  <c r="DQ217" i="17" s="1"/>
  <c r="EW217" i="17" s="1"/>
  <c r="GC217" i="17" s="1"/>
  <c r="HI217" i="17" s="1"/>
  <c r="BF217" i="17"/>
  <c r="CL217" i="17" s="1"/>
  <c r="DR217" i="17" s="1"/>
  <c r="EX217" i="17" s="1"/>
  <c r="GD217" i="17" s="1"/>
  <c r="HJ217" i="17" s="1"/>
  <c r="BY217" i="17"/>
  <c r="BZ217" i="17"/>
  <c r="DE217" i="17"/>
  <c r="DF217" i="17"/>
  <c r="EK217" i="17"/>
  <c r="EL217" i="17"/>
  <c r="FQ217" i="17"/>
  <c r="FR217" i="17"/>
  <c r="GW217" i="17"/>
  <c r="GX217" i="17"/>
  <c r="AA218" i="17"/>
  <c r="AB218" i="17"/>
  <c r="AH218" i="17"/>
  <c r="AI218" i="17"/>
  <c r="AS218" i="17"/>
  <c r="C47" i="35" s="1"/>
  <c r="E47" i="35" s="1"/>
  <c r="AT218" i="17"/>
  <c r="D47" i="35" s="1"/>
  <c r="AY218" i="17"/>
  <c r="AZ218" i="17"/>
  <c r="BC218" i="17"/>
  <c r="BD218" i="17"/>
  <c r="CJ218" i="17" s="1"/>
  <c r="DP218" i="17" s="1"/>
  <c r="EV218" i="17" s="1"/>
  <c r="GB218" i="17" s="1"/>
  <c r="HH218" i="17" s="1"/>
  <c r="BE218" i="17"/>
  <c r="CK218" i="17" s="1"/>
  <c r="DQ218" i="17" s="1"/>
  <c r="EW218" i="17" s="1"/>
  <c r="GC218" i="17" s="1"/>
  <c r="HI218" i="17" s="1"/>
  <c r="BF218" i="17"/>
  <c r="CL218" i="17" s="1"/>
  <c r="DR218" i="17" s="1"/>
  <c r="EX218" i="17" s="1"/>
  <c r="GD218" i="17" s="1"/>
  <c r="HJ218" i="17" s="1"/>
  <c r="BJ218" i="17"/>
  <c r="CP218" i="17" s="1"/>
  <c r="DV218" i="17" s="1"/>
  <c r="FB218" i="17" s="1"/>
  <c r="BK218" i="17"/>
  <c r="CQ218" i="17" s="1"/>
  <c r="DW218" i="17" s="1"/>
  <c r="FC218" i="17" s="1"/>
  <c r="BL218" i="17"/>
  <c r="CR218" i="17" s="1"/>
  <c r="DX218" i="17" s="1"/>
  <c r="FD218" i="17" s="1"/>
  <c r="GJ218" i="17" s="1"/>
  <c r="HP218" i="17" s="1"/>
  <c r="BM218" i="17"/>
  <c r="CS218" i="17" s="1"/>
  <c r="DY218" i="17" s="1"/>
  <c r="FE218" i="17" s="1"/>
  <c r="GK218" i="17" s="1"/>
  <c r="HQ218" i="17" s="1"/>
  <c r="BY218" i="17"/>
  <c r="BZ218" i="17"/>
  <c r="CE218" i="17"/>
  <c r="CF218" i="17"/>
  <c r="CI218" i="17"/>
  <c r="DO218" i="17" s="1"/>
  <c r="EU218" i="17" s="1"/>
  <c r="GA218" i="17" s="1"/>
  <c r="HG218" i="17" s="1"/>
  <c r="DE218" i="17"/>
  <c r="DF218" i="17"/>
  <c r="DK218" i="17"/>
  <c r="DL218" i="17"/>
  <c r="EK218" i="17"/>
  <c r="EL218" i="17"/>
  <c r="EQ218" i="17"/>
  <c r="C19" i="53" s="1"/>
  <c r="ER218" i="17"/>
  <c r="D19" i="53" s="1"/>
  <c r="FQ218" i="17"/>
  <c r="FR218" i="17"/>
  <c r="D40" i="56" s="1"/>
  <c r="FS218" i="17"/>
  <c r="FW218" i="17" s="1"/>
  <c r="C19" i="56" s="1"/>
  <c r="FT218" i="17"/>
  <c r="FX218" i="17" s="1"/>
  <c r="D19" i="56" s="1"/>
  <c r="GW218" i="17"/>
  <c r="C40" i="60" s="1"/>
  <c r="E40" i="60" s="1"/>
  <c r="GX218" i="17"/>
  <c r="D40" i="60" s="1"/>
  <c r="HC218" i="17"/>
  <c r="C19" i="60" s="1"/>
  <c r="HD218" i="17"/>
  <c r="D19" i="60" s="1"/>
  <c r="AA219" i="17"/>
  <c r="AB219" i="17"/>
  <c r="U219" i="17" s="1"/>
  <c r="BA219" i="17" s="1"/>
  <c r="CG219" i="17" s="1"/>
  <c r="DM219" i="17" s="1"/>
  <c r="ES219" i="17" s="1"/>
  <c r="FY219" i="17" s="1"/>
  <c r="HE219" i="17" s="1"/>
  <c r="AH219" i="17"/>
  <c r="AI219" i="17"/>
  <c r="AP219" i="17"/>
  <c r="AT219" i="17" s="1"/>
  <c r="AS219" i="17"/>
  <c r="AY219" i="17"/>
  <c r="AZ219" i="17"/>
  <c r="BC219" i="17"/>
  <c r="CI219" i="17" s="1"/>
  <c r="DO219" i="17" s="1"/>
  <c r="EU219" i="17" s="1"/>
  <c r="GA219" i="17" s="1"/>
  <c r="HG219" i="17" s="1"/>
  <c r="BE219" i="17"/>
  <c r="CK219" i="17" s="1"/>
  <c r="DQ219" i="17" s="1"/>
  <c r="EW219" i="17" s="1"/>
  <c r="GC219" i="17" s="1"/>
  <c r="HI219" i="17" s="1"/>
  <c r="BF219" i="17"/>
  <c r="CL219" i="17" s="1"/>
  <c r="DR219" i="17" s="1"/>
  <c r="EX219" i="17" s="1"/>
  <c r="GD219" i="17" s="1"/>
  <c r="HJ219" i="17" s="1"/>
  <c r="BJ219" i="17"/>
  <c r="CP219" i="17" s="1"/>
  <c r="DV219" i="17" s="1"/>
  <c r="FB219" i="17" s="1"/>
  <c r="GH219" i="17" s="1"/>
  <c r="HN219" i="17" s="1"/>
  <c r="BK219" i="17"/>
  <c r="CQ219" i="17" s="1"/>
  <c r="DW219" i="17" s="1"/>
  <c r="FC219" i="17" s="1"/>
  <c r="GI219" i="17" s="1"/>
  <c r="HO219" i="17" s="1"/>
  <c r="BL219" i="17"/>
  <c r="CR219" i="17" s="1"/>
  <c r="DX219" i="17" s="1"/>
  <c r="FD219" i="17" s="1"/>
  <c r="GJ219" i="17" s="1"/>
  <c r="HP219" i="17" s="1"/>
  <c r="BM219" i="17"/>
  <c r="CS219" i="17" s="1"/>
  <c r="DY219" i="17" s="1"/>
  <c r="FE219" i="17" s="1"/>
  <c r="GK219" i="17" s="1"/>
  <c r="HQ219" i="17" s="1"/>
  <c r="BY219" i="17"/>
  <c r="BZ219" i="17"/>
  <c r="CE219" i="17"/>
  <c r="CF219" i="17"/>
  <c r="DE219" i="17"/>
  <c r="DF219" i="17"/>
  <c r="DK219" i="17"/>
  <c r="DL219" i="17"/>
  <c r="EK219" i="17"/>
  <c r="EL219" i="17"/>
  <c r="EQ219" i="17"/>
  <c r="ER219" i="17"/>
  <c r="FQ219" i="17"/>
  <c r="FR219" i="17"/>
  <c r="FW219" i="17"/>
  <c r="FX219" i="17"/>
  <c r="GW219" i="17"/>
  <c r="GX219" i="17"/>
  <c r="HC219" i="17"/>
  <c r="HD219" i="17"/>
  <c r="AA220" i="17"/>
  <c r="AB220" i="17"/>
  <c r="AH220" i="17"/>
  <c r="AI220" i="17"/>
  <c r="AS220" i="17"/>
  <c r="C46" i="35" s="1"/>
  <c r="AT220" i="17"/>
  <c r="D46" i="35" s="1"/>
  <c r="AU220" i="17"/>
  <c r="BJ220" i="17" s="1"/>
  <c r="CP220" i="17" s="1"/>
  <c r="DV220" i="17" s="1"/>
  <c r="FB220" i="17" s="1"/>
  <c r="GH220" i="17" s="1"/>
  <c r="HN220" i="17" s="1"/>
  <c r="AV220" i="17"/>
  <c r="BK220" i="17" s="1"/>
  <c r="CQ220" i="17" s="1"/>
  <c r="DW220" i="17" s="1"/>
  <c r="BC220" i="17"/>
  <c r="CI220" i="17" s="1"/>
  <c r="DO220" i="17" s="1"/>
  <c r="EU220" i="17" s="1"/>
  <c r="GA220" i="17" s="1"/>
  <c r="HG220" i="17" s="1"/>
  <c r="BD220" i="17"/>
  <c r="CJ220" i="17" s="1"/>
  <c r="DP220" i="17" s="1"/>
  <c r="EV220" i="17" s="1"/>
  <c r="GB220" i="17" s="1"/>
  <c r="HH220" i="17" s="1"/>
  <c r="BE220" i="17"/>
  <c r="CK220" i="17" s="1"/>
  <c r="DQ220" i="17" s="1"/>
  <c r="EW220" i="17" s="1"/>
  <c r="GC220" i="17" s="1"/>
  <c r="HI220" i="17" s="1"/>
  <c r="BF220" i="17"/>
  <c r="CL220" i="17" s="1"/>
  <c r="DR220" i="17" s="1"/>
  <c r="EX220" i="17" s="1"/>
  <c r="GD220" i="17" s="1"/>
  <c r="HJ220" i="17" s="1"/>
  <c r="BL220" i="17"/>
  <c r="CR220" i="17" s="1"/>
  <c r="DX220" i="17" s="1"/>
  <c r="FD220" i="17" s="1"/>
  <c r="GJ220" i="17" s="1"/>
  <c r="HP220" i="17" s="1"/>
  <c r="BM220" i="17"/>
  <c r="CS220" i="17" s="1"/>
  <c r="DY220" i="17" s="1"/>
  <c r="FE220" i="17" s="1"/>
  <c r="GK220" i="17" s="1"/>
  <c r="HQ220" i="17" s="1"/>
  <c r="BY220" i="17"/>
  <c r="C48" i="41" s="1"/>
  <c r="E48" i="41" s="1"/>
  <c r="BZ220" i="17"/>
  <c r="D48" i="41" s="1"/>
  <c r="CE220" i="17"/>
  <c r="C26" i="41" s="1"/>
  <c r="E26" i="41" s="1"/>
  <c r="CF220" i="17"/>
  <c r="D26" i="41" s="1"/>
  <c r="DE220" i="17"/>
  <c r="C48" i="48" s="1"/>
  <c r="E48" i="48" s="1"/>
  <c r="DF220" i="17"/>
  <c r="D48" i="48" s="1"/>
  <c r="DK220" i="17"/>
  <c r="C26" i="48" s="1"/>
  <c r="E26" i="48" s="1"/>
  <c r="DL220" i="17"/>
  <c r="D26" i="48" s="1"/>
  <c r="EK220" i="17"/>
  <c r="C45" i="53" s="1"/>
  <c r="EL220" i="17"/>
  <c r="D45" i="53" s="1"/>
  <c r="EN220" i="17"/>
  <c r="ER220" i="17" s="1"/>
  <c r="D25" i="53" s="1"/>
  <c r="EQ220" i="17"/>
  <c r="C25" i="53" s="1"/>
  <c r="E25" i="53" s="1"/>
  <c r="FQ220" i="17"/>
  <c r="C46" i="56" s="1"/>
  <c r="E46" i="56" s="1"/>
  <c r="FR220" i="17"/>
  <c r="D46" i="56" s="1"/>
  <c r="FW220" i="17"/>
  <c r="C25" i="56" s="1"/>
  <c r="E25" i="56" s="1"/>
  <c r="FX220" i="17"/>
  <c r="D25" i="56" s="1"/>
  <c r="GW220" i="17"/>
  <c r="C46" i="60" s="1"/>
  <c r="E46" i="60" s="1"/>
  <c r="GX220" i="17"/>
  <c r="D46" i="60" s="1"/>
  <c r="HC220" i="17"/>
  <c r="C25" i="60" s="1"/>
  <c r="E25" i="60" s="1"/>
  <c r="HD220" i="17"/>
  <c r="D25" i="60" s="1"/>
  <c r="AA221" i="17"/>
  <c r="AB221" i="17"/>
  <c r="AH221" i="17"/>
  <c r="AI221" i="17"/>
  <c r="AS221" i="17"/>
  <c r="AT221" i="17"/>
  <c r="AU221" i="17"/>
  <c r="BJ221" i="17" s="1"/>
  <c r="CP221" i="17" s="1"/>
  <c r="DV221" i="17" s="1"/>
  <c r="FB221" i="17" s="1"/>
  <c r="GH221" i="17" s="1"/>
  <c r="HN221" i="17" s="1"/>
  <c r="AV221" i="17"/>
  <c r="BK221" i="17" s="1"/>
  <c r="CQ221" i="17" s="1"/>
  <c r="DW221" i="17" s="1"/>
  <c r="BC221" i="17"/>
  <c r="CI221" i="17" s="1"/>
  <c r="DO221" i="17" s="1"/>
  <c r="EU221" i="17" s="1"/>
  <c r="GA221" i="17" s="1"/>
  <c r="HG221" i="17" s="1"/>
  <c r="BD221" i="17"/>
  <c r="CJ221" i="17" s="1"/>
  <c r="DP221" i="17" s="1"/>
  <c r="EV221" i="17" s="1"/>
  <c r="GB221" i="17" s="1"/>
  <c r="HH221" i="17" s="1"/>
  <c r="BE221" i="17"/>
  <c r="CK221" i="17" s="1"/>
  <c r="DQ221" i="17" s="1"/>
  <c r="EW221" i="17" s="1"/>
  <c r="GC221" i="17" s="1"/>
  <c r="HI221" i="17" s="1"/>
  <c r="BF221" i="17"/>
  <c r="CL221" i="17" s="1"/>
  <c r="DR221" i="17" s="1"/>
  <c r="EX221" i="17" s="1"/>
  <c r="GD221" i="17" s="1"/>
  <c r="HJ221" i="17" s="1"/>
  <c r="BL221" i="17"/>
  <c r="CR221" i="17" s="1"/>
  <c r="DX221" i="17" s="1"/>
  <c r="FD221" i="17" s="1"/>
  <c r="GJ221" i="17" s="1"/>
  <c r="HP221" i="17" s="1"/>
  <c r="BM221" i="17"/>
  <c r="CS221" i="17" s="1"/>
  <c r="DY221" i="17" s="1"/>
  <c r="FE221" i="17" s="1"/>
  <c r="GK221" i="17" s="1"/>
  <c r="HQ221" i="17" s="1"/>
  <c r="BY221" i="17"/>
  <c r="C49" i="41" s="1"/>
  <c r="BZ221" i="17"/>
  <c r="D49" i="41" s="1"/>
  <c r="CE221" i="17"/>
  <c r="C27" i="41" s="1"/>
  <c r="CF221" i="17"/>
  <c r="D27" i="41" s="1"/>
  <c r="DE221" i="17"/>
  <c r="C49" i="48" s="1"/>
  <c r="E49" i="48" s="1"/>
  <c r="DF221" i="17"/>
  <c r="D49" i="48" s="1"/>
  <c r="DK221" i="17"/>
  <c r="C27" i="48" s="1"/>
  <c r="DL221" i="17"/>
  <c r="D27" i="48" s="1"/>
  <c r="EK221" i="17"/>
  <c r="C46" i="53" s="1"/>
  <c r="E46" i="53" s="1"/>
  <c r="EL221" i="17"/>
  <c r="D46" i="53" s="1"/>
  <c r="EN221" i="17"/>
  <c r="ER221" i="17" s="1"/>
  <c r="D26" i="53" s="1"/>
  <c r="EQ221" i="17"/>
  <c r="C26" i="53" s="1"/>
  <c r="FQ221" i="17"/>
  <c r="C47" i="56" s="1"/>
  <c r="E47" i="56" s="1"/>
  <c r="FR221" i="17"/>
  <c r="D47" i="56" s="1"/>
  <c r="FW221" i="17"/>
  <c r="C26" i="56" s="1"/>
  <c r="FX221" i="17"/>
  <c r="D26" i="56" s="1"/>
  <c r="GW221" i="17"/>
  <c r="C47" i="60" s="1"/>
  <c r="E47" i="60" s="1"/>
  <c r="GX221" i="17"/>
  <c r="D47" i="60" s="1"/>
  <c r="HC221" i="17"/>
  <c r="C26" i="60" s="1"/>
  <c r="HD221" i="17"/>
  <c r="D26" i="60" s="1"/>
  <c r="AE222" i="17"/>
  <c r="G12" i="31" s="1"/>
  <c r="AH222" i="17"/>
  <c r="AV222" i="17"/>
  <c r="AY222" i="17"/>
  <c r="BJ222" i="17"/>
  <c r="G11" i="34" s="1"/>
  <c r="BL222" i="17"/>
  <c r="BM222" i="17"/>
  <c r="CS222" i="17" s="1"/>
  <c r="DY222" i="17" s="1"/>
  <c r="FE222" i="17" s="1"/>
  <c r="GK222" i="17" s="1"/>
  <c r="HQ222" i="17" s="1"/>
  <c r="CB222" i="17"/>
  <c r="D12" i="41" s="1"/>
  <c r="CE222" i="17"/>
  <c r="CR222" i="17"/>
  <c r="DX222" i="17" s="1"/>
  <c r="FD222" i="17" s="1"/>
  <c r="GJ222" i="17" s="1"/>
  <c r="HP222" i="17" s="1"/>
  <c r="DH222" i="17"/>
  <c r="D12" i="48" s="1"/>
  <c r="DK222" i="17"/>
  <c r="EN222" i="17"/>
  <c r="EQ222" i="17"/>
  <c r="FT222" i="17"/>
  <c r="D11" i="56" s="1"/>
  <c r="FW222" i="17"/>
  <c r="GZ222" i="17"/>
  <c r="HC222" i="17"/>
  <c r="C11" i="60" s="1"/>
  <c r="AH224" i="17"/>
  <c r="AI224" i="17"/>
  <c r="U224" i="17" s="1"/>
  <c r="AV224" i="17"/>
  <c r="AY224" i="17"/>
  <c r="BJ224" i="17"/>
  <c r="CP224" i="17" s="1"/>
  <c r="DV224" i="17" s="1"/>
  <c r="FB224" i="17" s="1"/>
  <c r="GH224" i="17" s="1"/>
  <c r="BL224" i="17"/>
  <c r="CR224" i="17" s="1"/>
  <c r="DX224" i="17" s="1"/>
  <c r="FD224" i="17" s="1"/>
  <c r="GJ224" i="17" s="1"/>
  <c r="BM224" i="17"/>
  <c r="CS224" i="17" s="1"/>
  <c r="CE224" i="17"/>
  <c r="C16" i="41" s="1"/>
  <c r="CF224" i="17"/>
  <c r="D16" i="41" s="1"/>
  <c r="DH224" i="17"/>
  <c r="DL224" i="17" s="1"/>
  <c r="D16" i="48" s="1"/>
  <c r="DK224" i="17"/>
  <c r="C16" i="48" s="1"/>
  <c r="EN224" i="17"/>
  <c r="ER224" i="17" s="1"/>
  <c r="D14" i="53" s="1"/>
  <c r="EQ224" i="17"/>
  <c r="C14" i="53" s="1"/>
  <c r="FT224" i="17"/>
  <c r="FX224" i="17" s="1"/>
  <c r="D14" i="56" s="1"/>
  <c r="FW224" i="17"/>
  <c r="C14" i="56" s="1"/>
  <c r="HC224" i="17"/>
  <c r="C14" i="60" s="1"/>
  <c r="HD224" i="17"/>
  <c r="D14" i="60" s="1"/>
  <c r="AH225" i="17"/>
  <c r="AI225" i="17"/>
  <c r="U225" i="17" s="1"/>
  <c r="BA225" i="17" s="1"/>
  <c r="CG225" i="17" s="1"/>
  <c r="DM225" i="17" s="1"/>
  <c r="ES225" i="17" s="1"/>
  <c r="AV225" i="17"/>
  <c r="BK225" i="17" s="1"/>
  <c r="CQ225" i="17" s="1"/>
  <c r="AY225" i="17"/>
  <c r="C7" i="35" s="1"/>
  <c r="BJ225" i="17"/>
  <c r="CP225" i="17" s="1"/>
  <c r="DV225" i="17" s="1"/>
  <c r="BL225" i="17"/>
  <c r="CR225" i="17" s="1"/>
  <c r="DX225" i="17" s="1"/>
  <c r="BM225" i="17"/>
  <c r="CS225" i="17" s="1"/>
  <c r="DY225" i="17" s="1"/>
  <c r="FE225" i="17" s="1"/>
  <c r="GK225" i="17" s="1"/>
  <c r="HQ225" i="17" s="1"/>
  <c r="CE225" i="17"/>
  <c r="C9" i="41" s="1"/>
  <c r="CF225" i="17"/>
  <c r="D9" i="41" s="1"/>
  <c r="DH225" i="17"/>
  <c r="DL225" i="17" s="1"/>
  <c r="D9" i="48" s="1"/>
  <c r="DK225" i="17"/>
  <c r="C9" i="48" s="1"/>
  <c r="EN225" i="17"/>
  <c r="ER225" i="17" s="1"/>
  <c r="D9" i="53" s="1"/>
  <c r="EQ225" i="17"/>
  <c r="C9" i="53" s="1"/>
  <c r="FT225" i="17"/>
  <c r="FX225" i="17" s="1"/>
  <c r="D9" i="56" s="1"/>
  <c r="FW225" i="17"/>
  <c r="C9" i="56" s="1"/>
  <c r="HC225" i="17"/>
  <c r="C9" i="60" s="1"/>
  <c r="HD225" i="17"/>
  <c r="D9" i="60" s="1"/>
  <c r="AD226" i="17"/>
  <c r="AE226" i="17"/>
  <c r="AF226" i="17"/>
  <c r="AG226" i="17"/>
  <c r="AL226" i="17"/>
  <c r="AM226" i="17"/>
  <c r="AU226" i="17"/>
  <c r="AW226" i="17"/>
  <c r="AX226" i="17"/>
  <c r="BR226" i="17"/>
  <c r="BS226" i="17"/>
  <c r="CA226" i="17"/>
  <c r="CB226" i="17"/>
  <c r="CC226" i="17"/>
  <c r="CD226" i="17"/>
  <c r="CX226" i="17"/>
  <c r="CY226" i="17"/>
  <c r="DG226" i="17"/>
  <c r="DI226" i="17"/>
  <c r="DJ226" i="17"/>
  <c r="ED226" i="17"/>
  <c r="EE226" i="17"/>
  <c r="EM226" i="17"/>
  <c r="EO226" i="17"/>
  <c r="EP226" i="17"/>
  <c r="FJ226" i="17"/>
  <c r="FK226" i="17"/>
  <c r="FS226" i="17"/>
  <c r="FU226" i="17"/>
  <c r="FV226" i="17"/>
  <c r="GY226" i="17"/>
  <c r="GZ226" i="17"/>
  <c r="HA226" i="17"/>
  <c r="HB226" i="17"/>
  <c r="X228" i="17"/>
  <c r="AB228" i="17" s="1"/>
  <c r="D36" i="31" s="1"/>
  <c r="AA228" i="17"/>
  <c r="C36" i="31" s="1"/>
  <c r="AE228" i="17"/>
  <c r="AI228" i="17" s="1"/>
  <c r="D15" i="31" s="1"/>
  <c r="E15" i="31" s="1"/>
  <c r="AH228" i="17"/>
  <c r="AP228" i="17"/>
  <c r="AS228" i="17"/>
  <c r="C36" i="35" s="1"/>
  <c r="AT228" i="17"/>
  <c r="D36" i="35" s="1"/>
  <c r="AV228" i="17"/>
  <c r="AZ228" i="17" s="1"/>
  <c r="D15" i="35" s="1"/>
  <c r="AY228" i="17"/>
  <c r="C15" i="35" s="1"/>
  <c r="BC228" i="17"/>
  <c r="CI228" i="17" s="1"/>
  <c r="DO228" i="17" s="1"/>
  <c r="EU228" i="17" s="1"/>
  <c r="GA228" i="17" s="1"/>
  <c r="HG228" i="17" s="1"/>
  <c r="BE228" i="17"/>
  <c r="CK228" i="17" s="1"/>
  <c r="DQ228" i="17" s="1"/>
  <c r="EW228" i="17" s="1"/>
  <c r="GC228" i="17" s="1"/>
  <c r="HI228" i="17" s="1"/>
  <c r="BF228" i="17"/>
  <c r="CL228" i="17" s="1"/>
  <c r="DR228" i="17" s="1"/>
  <c r="EX228" i="17" s="1"/>
  <c r="GD228" i="17" s="1"/>
  <c r="HJ228" i="17" s="1"/>
  <c r="BJ228" i="17"/>
  <c r="BL228" i="17"/>
  <c r="BM228" i="17"/>
  <c r="CS228" i="17" s="1"/>
  <c r="DY228" i="17" s="1"/>
  <c r="FE228" i="17" s="1"/>
  <c r="GK228" i="17" s="1"/>
  <c r="HQ228" i="17" s="1"/>
  <c r="BY228" i="17"/>
  <c r="C38" i="41" s="1"/>
  <c r="BZ228" i="17"/>
  <c r="D38" i="41" s="1"/>
  <c r="CE228" i="17"/>
  <c r="C17" i="41" s="1"/>
  <c r="CF228" i="17"/>
  <c r="D17" i="41" s="1"/>
  <c r="CP228" i="17"/>
  <c r="DV228" i="17" s="1"/>
  <c r="FB228" i="17" s="1"/>
  <c r="GH228" i="17" s="1"/>
  <c r="CR228" i="17"/>
  <c r="DX228" i="17" s="1"/>
  <c r="FD228" i="17" s="1"/>
  <c r="GJ228" i="17" s="1"/>
  <c r="HP228" i="17" s="1"/>
  <c r="DB228" i="17"/>
  <c r="DF228" i="17" s="1"/>
  <c r="D38" i="48" s="1"/>
  <c r="DE228" i="17"/>
  <c r="C38" i="48" s="1"/>
  <c r="DK228" i="17"/>
  <c r="C17" i="48" s="1"/>
  <c r="DL228" i="17"/>
  <c r="D17" i="48" s="1"/>
  <c r="EH228" i="17"/>
  <c r="EK228" i="17"/>
  <c r="C35" i="53" s="1"/>
  <c r="EQ228" i="17"/>
  <c r="C15" i="53" s="1"/>
  <c r="ER228" i="17"/>
  <c r="D15" i="53" s="1"/>
  <c r="FN228" i="17"/>
  <c r="FR228" i="17" s="1"/>
  <c r="D35" i="56" s="1"/>
  <c r="FQ228" i="17"/>
  <c r="C35" i="56" s="1"/>
  <c r="FW228" i="17"/>
  <c r="C15" i="56" s="1"/>
  <c r="FX228" i="17"/>
  <c r="D15" i="56" s="1"/>
  <c r="GT228" i="17"/>
  <c r="GX228" i="17" s="1"/>
  <c r="D35" i="60" s="1"/>
  <c r="GW228" i="17"/>
  <c r="C35" i="60" s="1"/>
  <c r="GY228" i="17"/>
  <c r="HC228" i="17" s="1"/>
  <c r="C15" i="60" s="1"/>
  <c r="HD228" i="17"/>
  <c r="D15" i="60" s="1"/>
  <c r="AA230" i="17"/>
  <c r="C33" i="31" s="1"/>
  <c r="E33" i="31" s="1"/>
  <c r="AB230" i="17"/>
  <c r="AH230" i="17"/>
  <c r="AI230" i="17"/>
  <c r="AP230" i="17"/>
  <c r="D33" i="35" s="1"/>
  <c r="AS230" i="17"/>
  <c r="C33" i="35" s="1"/>
  <c r="AY230" i="17"/>
  <c r="C9" i="35" s="1"/>
  <c r="AZ230" i="17"/>
  <c r="D9" i="35" s="1"/>
  <c r="BC230" i="17"/>
  <c r="BE230" i="17"/>
  <c r="CK230" i="17" s="1"/>
  <c r="DQ230" i="17" s="1"/>
  <c r="EW230" i="17" s="1"/>
  <c r="GC230" i="17" s="1"/>
  <c r="HI230" i="17" s="1"/>
  <c r="BF230" i="17"/>
  <c r="CL230" i="17" s="1"/>
  <c r="DR230" i="17" s="1"/>
  <c r="EX230" i="17" s="1"/>
  <c r="GD230" i="17" s="1"/>
  <c r="HJ230" i="17" s="1"/>
  <c r="BJ230" i="17"/>
  <c r="CP230" i="17" s="1"/>
  <c r="DV230" i="17" s="1"/>
  <c r="FB230" i="17" s="1"/>
  <c r="GH230" i="17" s="1"/>
  <c r="BK230" i="17"/>
  <c r="CQ230" i="17" s="1"/>
  <c r="DW230" i="17" s="1"/>
  <c r="BL230" i="17"/>
  <c r="CR230" i="17" s="1"/>
  <c r="DX230" i="17" s="1"/>
  <c r="FD230" i="17" s="1"/>
  <c r="GJ230" i="17" s="1"/>
  <c r="HP230" i="17" s="1"/>
  <c r="BM230" i="17"/>
  <c r="CS230" i="17" s="1"/>
  <c r="DY230" i="17" s="1"/>
  <c r="FE230" i="17" s="1"/>
  <c r="GK230" i="17" s="1"/>
  <c r="HQ230" i="17" s="1"/>
  <c r="BY230" i="17"/>
  <c r="C35" i="41" s="1"/>
  <c r="BZ230" i="17"/>
  <c r="D35" i="41" s="1"/>
  <c r="CE230" i="17"/>
  <c r="C11" i="41" s="1"/>
  <c r="CF230" i="17"/>
  <c r="D11" i="41" s="1"/>
  <c r="CI230" i="17"/>
  <c r="DO230" i="17" s="1"/>
  <c r="EU230" i="17" s="1"/>
  <c r="GA230" i="17" s="1"/>
  <c r="HG230" i="17" s="1"/>
  <c r="DE230" i="17"/>
  <c r="C35" i="48" s="1"/>
  <c r="DF230" i="17"/>
  <c r="D35" i="48" s="1"/>
  <c r="DK230" i="17"/>
  <c r="C11" i="48" s="1"/>
  <c r="DL230" i="17"/>
  <c r="D11" i="48" s="1"/>
  <c r="EK230" i="17"/>
  <c r="C34" i="53" s="1"/>
  <c r="EL230" i="17"/>
  <c r="D34" i="53" s="1"/>
  <c r="EN230" i="17"/>
  <c r="EH231" i="17" s="1"/>
  <c r="EQ230" i="17"/>
  <c r="C10" i="53" s="1"/>
  <c r="ER230" i="17"/>
  <c r="D10" i="53" s="1"/>
  <c r="FQ230" i="17"/>
  <c r="C34" i="56" s="1"/>
  <c r="FR230" i="17"/>
  <c r="D34" i="56" s="1"/>
  <c r="FT230" i="17"/>
  <c r="FX230" i="17" s="1"/>
  <c r="FW230" i="17"/>
  <c r="C10" i="56" s="1"/>
  <c r="GW230" i="17"/>
  <c r="C34" i="60" s="1"/>
  <c r="E34" i="60" s="1"/>
  <c r="GX230" i="17"/>
  <c r="D34" i="60" s="1"/>
  <c r="GY230" i="17"/>
  <c r="GY231" i="17" s="1"/>
  <c r="GZ230" i="17"/>
  <c r="GZ231" i="17" s="1"/>
  <c r="AO231" i="17"/>
  <c r="BC231" i="17" s="1"/>
  <c r="AQ231" i="17"/>
  <c r="BE231" i="17" s="1"/>
  <c r="AR231" i="17"/>
  <c r="BF231" i="17" s="1"/>
  <c r="AU231" i="17"/>
  <c r="BJ231" i="17" s="1"/>
  <c r="AW231" i="17"/>
  <c r="BL231" i="17" s="1"/>
  <c r="AX231" i="17"/>
  <c r="BM231" i="17" s="1"/>
  <c r="BU231" i="17"/>
  <c r="BV231" i="17"/>
  <c r="BW231" i="17"/>
  <c r="BX231" i="17"/>
  <c r="CA231" i="17"/>
  <c r="CB231" i="17"/>
  <c r="CC231" i="17"/>
  <c r="CD231" i="17"/>
  <c r="DA231" i="17"/>
  <c r="DB231" i="17"/>
  <c r="DC231" i="17"/>
  <c r="DD231" i="17"/>
  <c r="DG231" i="17"/>
  <c r="DH231" i="17"/>
  <c r="DI231" i="17"/>
  <c r="DJ231" i="17"/>
  <c r="EG231" i="17"/>
  <c r="EI231" i="17"/>
  <c r="EJ231" i="17"/>
  <c r="EM231" i="17"/>
  <c r="EO231" i="17"/>
  <c r="EP231" i="17"/>
  <c r="FM231" i="17"/>
  <c r="FO231" i="17"/>
  <c r="FP231" i="17"/>
  <c r="FS231" i="17"/>
  <c r="FU231" i="17"/>
  <c r="FV231" i="17"/>
  <c r="GU231" i="17"/>
  <c r="GV231" i="17"/>
  <c r="HA231" i="17"/>
  <c r="HB231" i="17"/>
  <c r="AA233" i="17"/>
  <c r="C32" i="31" s="1"/>
  <c r="E32" i="31" s="1"/>
  <c r="AB233" i="17"/>
  <c r="AP233" i="17"/>
  <c r="AT233" i="17" s="1"/>
  <c r="D32" i="35" s="1"/>
  <c r="AS233" i="17"/>
  <c r="C32" i="35" s="1"/>
  <c r="BC233" i="17"/>
  <c r="CI233" i="17" s="1"/>
  <c r="DO233" i="17" s="1"/>
  <c r="EU233" i="17" s="1"/>
  <c r="GA233" i="17" s="1"/>
  <c r="HG233" i="17" s="1"/>
  <c r="BE233" i="17"/>
  <c r="CK233" i="17" s="1"/>
  <c r="DQ233" i="17" s="1"/>
  <c r="EW233" i="17" s="1"/>
  <c r="GC233" i="17" s="1"/>
  <c r="HI233" i="17" s="1"/>
  <c r="BF233" i="17"/>
  <c r="BV233" i="17"/>
  <c r="BY233" i="17"/>
  <c r="C34" i="41" s="1"/>
  <c r="E34" i="41" s="1"/>
  <c r="BZ233" i="17"/>
  <c r="D34" i="41" s="1"/>
  <c r="CL233" i="17"/>
  <c r="DR233" i="17" s="1"/>
  <c r="EX233" i="17" s="1"/>
  <c r="GD233" i="17" s="1"/>
  <c r="HJ233" i="17" s="1"/>
  <c r="DE233" i="17"/>
  <c r="C34" i="48" s="1"/>
  <c r="E34" i="48" s="1"/>
  <c r="DF233" i="17"/>
  <c r="D34" i="48" s="1"/>
  <c r="EK233" i="17"/>
  <c r="C33" i="53" s="1"/>
  <c r="EL233" i="17"/>
  <c r="D33" i="53" s="1"/>
  <c r="FQ233" i="17"/>
  <c r="C33" i="56" s="1"/>
  <c r="E33" i="56" s="1"/>
  <c r="FR233" i="17"/>
  <c r="D33" i="56" s="1"/>
  <c r="GT233" i="17"/>
  <c r="GX233" i="17" s="1"/>
  <c r="D33" i="60" s="1"/>
  <c r="GW233" i="17"/>
  <c r="C33" i="60" s="1"/>
  <c r="E33" i="60" s="1"/>
  <c r="AA235" i="17"/>
  <c r="AE235" i="17"/>
  <c r="D19" i="31" s="1"/>
  <c r="E19" i="31" s="1"/>
  <c r="AH235" i="17"/>
  <c r="AP235" i="17"/>
  <c r="AT235" i="17" s="1"/>
  <c r="D41" i="35" s="1"/>
  <c r="AS235" i="17"/>
  <c r="C41" i="35" s="1"/>
  <c r="AV235" i="17"/>
  <c r="AZ235" i="17" s="1"/>
  <c r="D19" i="35" s="1"/>
  <c r="AY235" i="17"/>
  <c r="C19" i="35" s="1"/>
  <c r="BC235" i="17"/>
  <c r="CI235" i="17" s="1"/>
  <c r="DO235" i="17" s="1"/>
  <c r="EU235" i="17" s="1"/>
  <c r="GA235" i="17" s="1"/>
  <c r="HG235" i="17" s="1"/>
  <c r="BE235" i="17"/>
  <c r="CK235" i="17" s="1"/>
  <c r="DQ235" i="17" s="1"/>
  <c r="EW235" i="17" s="1"/>
  <c r="GC235" i="17" s="1"/>
  <c r="HI235" i="17" s="1"/>
  <c r="BF235" i="17"/>
  <c r="CL235" i="17" s="1"/>
  <c r="DR235" i="17" s="1"/>
  <c r="EX235" i="17" s="1"/>
  <c r="GD235" i="17" s="1"/>
  <c r="HJ235" i="17" s="1"/>
  <c r="BJ235" i="17"/>
  <c r="CP235" i="17" s="1"/>
  <c r="DV235" i="17" s="1"/>
  <c r="FB235" i="17" s="1"/>
  <c r="GH235" i="17" s="1"/>
  <c r="HN235" i="17" s="1"/>
  <c r="BL235" i="17"/>
  <c r="CR235" i="17" s="1"/>
  <c r="DX235" i="17" s="1"/>
  <c r="FD235" i="17" s="1"/>
  <c r="GJ235" i="17" s="1"/>
  <c r="HP235" i="17" s="1"/>
  <c r="BM235" i="17"/>
  <c r="CS235" i="17" s="1"/>
  <c r="DY235" i="17" s="1"/>
  <c r="FE235" i="17" s="1"/>
  <c r="GK235" i="17" s="1"/>
  <c r="HQ235" i="17" s="1"/>
  <c r="BV235" i="17"/>
  <c r="BZ235" i="17" s="1"/>
  <c r="D43" i="41" s="1"/>
  <c r="BY235" i="17"/>
  <c r="C43" i="41" s="1"/>
  <c r="CB235" i="17"/>
  <c r="CF235" i="17" s="1"/>
  <c r="D21" i="41" s="1"/>
  <c r="CE235" i="17"/>
  <c r="C21" i="41" s="1"/>
  <c r="DB235" i="17"/>
  <c r="DF235" i="17" s="1"/>
  <c r="D43" i="48" s="1"/>
  <c r="DE235" i="17"/>
  <c r="C43" i="48" s="1"/>
  <c r="DH235" i="17"/>
  <c r="DL235" i="17" s="1"/>
  <c r="D21" i="48" s="1"/>
  <c r="DK235" i="17"/>
  <c r="C21" i="48" s="1"/>
  <c r="EH235" i="17"/>
  <c r="EL235" i="17" s="1"/>
  <c r="D40" i="53" s="1"/>
  <c r="EK235" i="17"/>
  <c r="C40" i="53" s="1"/>
  <c r="EN235" i="17"/>
  <c r="EQ235" i="17"/>
  <c r="C20" i="53" s="1"/>
  <c r="ER235" i="17"/>
  <c r="D20" i="53" s="1"/>
  <c r="FN235" i="17"/>
  <c r="FR235" i="17" s="1"/>
  <c r="D41" i="56" s="1"/>
  <c r="FQ235" i="17"/>
  <c r="C41" i="56" s="1"/>
  <c r="FT235" i="17"/>
  <c r="FX235" i="17" s="1"/>
  <c r="D20" i="56" s="1"/>
  <c r="FW235" i="17"/>
  <c r="C20" i="56" s="1"/>
  <c r="E20" i="56" s="1"/>
  <c r="GT235" i="17"/>
  <c r="GX235" i="17" s="1"/>
  <c r="D41" i="60" s="1"/>
  <c r="GW235" i="17"/>
  <c r="C41" i="60" s="1"/>
  <c r="GZ235" i="17"/>
  <c r="HD235" i="17" s="1"/>
  <c r="D20" i="60" s="1"/>
  <c r="HC235" i="17"/>
  <c r="C20" i="60" s="1"/>
  <c r="E20" i="60" s="1"/>
  <c r="AA236" i="17"/>
  <c r="AB236" i="17"/>
  <c r="AH236" i="17"/>
  <c r="AI236" i="17"/>
  <c r="AP236" i="17"/>
  <c r="AT236" i="17" s="1"/>
  <c r="D42" i="35" s="1"/>
  <c r="AS236" i="17"/>
  <c r="C42" i="35" s="1"/>
  <c r="AY236" i="17"/>
  <c r="C20" i="35" s="1"/>
  <c r="AZ236" i="17"/>
  <c r="D20" i="35" s="1"/>
  <c r="BC236" i="17"/>
  <c r="BE236" i="17"/>
  <c r="CK236" i="17" s="1"/>
  <c r="DQ236" i="17" s="1"/>
  <c r="EW236" i="17" s="1"/>
  <c r="GC236" i="17" s="1"/>
  <c r="HI236" i="17" s="1"/>
  <c r="BF236" i="17"/>
  <c r="CL236" i="17" s="1"/>
  <c r="DR236" i="17" s="1"/>
  <c r="EX236" i="17" s="1"/>
  <c r="GD236" i="17" s="1"/>
  <c r="HJ236" i="17" s="1"/>
  <c r="BJ236" i="17"/>
  <c r="BK236" i="17"/>
  <c r="BL236" i="17"/>
  <c r="BM236" i="17"/>
  <c r="CS236" i="17" s="1"/>
  <c r="DY236" i="17" s="1"/>
  <c r="FE236" i="17" s="1"/>
  <c r="GK236" i="17" s="1"/>
  <c r="HQ236" i="17" s="1"/>
  <c r="BU236" i="17"/>
  <c r="BY236" i="17" s="1"/>
  <c r="C44" i="41" s="1"/>
  <c r="BV236" i="17"/>
  <c r="BZ236" i="17" s="1"/>
  <c r="D44" i="41" s="1"/>
  <c r="CA236" i="17"/>
  <c r="CB236" i="17"/>
  <c r="CE236" i="17"/>
  <c r="C22" i="41" s="1"/>
  <c r="CR236" i="17"/>
  <c r="DX236" i="17" s="1"/>
  <c r="FD236" i="17" s="1"/>
  <c r="GJ236" i="17" s="1"/>
  <c r="HP236" i="17" s="1"/>
  <c r="DB236" i="17"/>
  <c r="DF236" i="17" s="1"/>
  <c r="D44" i="48" s="1"/>
  <c r="DE236" i="17"/>
  <c r="C44" i="48" s="1"/>
  <c r="DH236" i="17"/>
  <c r="DL236" i="17" s="1"/>
  <c r="D22" i="48" s="1"/>
  <c r="DK236" i="17"/>
  <c r="C22" i="48" s="1"/>
  <c r="EK236" i="17"/>
  <c r="C41" i="53" s="1"/>
  <c r="EL236" i="17"/>
  <c r="D41" i="53" s="1"/>
  <c r="EQ236" i="17"/>
  <c r="C21" i="53" s="1"/>
  <c r="ER236" i="17"/>
  <c r="D21" i="53" s="1"/>
  <c r="FN236" i="17"/>
  <c r="FR236" i="17" s="1"/>
  <c r="D42" i="56" s="1"/>
  <c r="FQ236" i="17"/>
  <c r="C42" i="56" s="1"/>
  <c r="FT236" i="17"/>
  <c r="FX236" i="17" s="1"/>
  <c r="D21" i="56" s="1"/>
  <c r="FW236" i="17"/>
  <c r="C21" i="56" s="1"/>
  <c r="E21" i="56" s="1"/>
  <c r="GT236" i="17"/>
  <c r="GZ236" i="17" s="1"/>
  <c r="HD236" i="17" s="1"/>
  <c r="D21" i="60" s="1"/>
  <c r="GW236" i="17"/>
  <c r="C42" i="60" s="1"/>
  <c r="HC236" i="17"/>
  <c r="C21" i="60" s="1"/>
  <c r="E21" i="60" s="1"/>
  <c r="AA238" i="17"/>
  <c r="AB238" i="17"/>
  <c r="AH238" i="17"/>
  <c r="AI238" i="17"/>
  <c r="AS238" i="17"/>
  <c r="C43" i="35" s="1"/>
  <c r="E43" i="35" s="1"/>
  <c r="AT238" i="17"/>
  <c r="D43" i="35" s="1"/>
  <c r="AY238" i="17"/>
  <c r="C21" i="35" s="1"/>
  <c r="E21" i="35" s="1"/>
  <c r="AZ238" i="17"/>
  <c r="D21" i="35" s="1"/>
  <c r="BC238" i="17"/>
  <c r="BD238" i="17"/>
  <c r="BE238" i="17"/>
  <c r="BF238" i="17"/>
  <c r="BG238" i="17"/>
  <c r="BH238" i="17"/>
  <c r="BJ238" i="17"/>
  <c r="BK238" i="17"/>
  <c r="BL238" i="17"/>
  <c r="BM238" i="17"/>
  <c r="BN238" i="17"/>
  <c r="BO238" i="17"/>
  <c r="CU238" i="17" s="1"/>
  <c r="BY238" i="17"/>
  <c r="C45" i="41" s="1"/>
  <c r="E45" i="41" s="1"/>
  <c r="BZ238" i="17"/>
  <c r="D45" i="41" s="1"/>
  <c r="CE238" i="17"/>
  <c r="C23" i="41" s="1"/>
  <c r="E23" i="41" s="1"/>
  <c r="CF238" i="17"/>
  <c r="D23" i="41" s="1"/>
  <c r="CI238" i="17"/>
  <c r="CJ238" i="17"/>
  <c r="CK238" i="17"/>
  <c r="DQ238" i="17" s="1"/>
  <c r="EW238" i="17" s="1"/>
  <c r="GC238" i="17" s="1"/>
  <c r="HI238" i="17" s="1"/>
  <c r="CL238" i="17"/>
  <c r="DR238" i="17" s="1"/>
  <c r="EX238" i="17" s="1"/>
  <c r="GD238" i="17" s="1"/>
  <c r="HJ238" i="17" s="1"/>
  <c r="CM238" i="17"/>
  <c r="CN238" i="17"/>
  <c r="CP238" i="17"/>
  <c r="DV238" i="17" s="1"/>
  <c r="FB238" i="17" s="1"/>
  <c r="GH238" i="17" s="1"/>
  <c r="HN238" i="17" s="1"/>
  <c r="CQ238" i="17"/>
  <c r="DW238" i="17" s="1"/>
  <c r="FC238" i="17" s="1"/>
  <c r="GI238" i="17" s="1"/>
  <c r="HO238" i="17" s="1"/>
  <c r="CR238" i="17"/>
  <c r="CS238" i="17"/>
  <c r="DE238" i="17"/>
  <c r="C45" i="48" s="1"/>
  <c r="E45" i="48" s="1"/>
  <c r="DF238" i="17"/>
  <c r="D45" i="48" s="1"/>
  <c r="DK238" i="17"/>
  <c r="C23" i="48" s="1"/>
  <c r="E23" i="48" s="1"/>
  <c r="DL238" i="17"/>
  <c r="D23" i="48" s="1"/>
  <c r="DO238" i="17"/>
  <c r="EU238" i="17" s="1"/>
  <c r="GA238" i="17" s="1"/>
  <c r="HG238" i="17" s="1"/>
  <c r="DP238" i="17"/>
  <c r="EV238" i="17" s="1"/>
  <c r="GB238" i="17" s="1"/>
  <c r="HH238" i="17" s="1"/>
  <c r="DS238" i="17"/>
  <c r="C46" i="45" s="1"/>
  <c r="DT238" i="17"/>
  <c r="D46" i="45" s="1"/>
  <c r="DX238" i="17"/>
  <c r="FD238" i="17" s="1"/>
  <c r="GJ238" i="17" s="1"/>
  <c r="HP238" i="17" s="1"/>
  <c r="DY238" i="17"/>
  <c r="FE238" i="17" s="1"/>
  <c r="GK238" i="17" s="1"/>
  <c r="HQ238" i="17" s="1"/>
  <c r="EK238" i="17"/>
  <c r="C42" i="53" s="1"/>
  <c r="E42" i="53" s="1"/>
  <c r="EL238" i="17"/>
  <c r="D42" i="53" s="1"/>
  <c r="EQ238" i="17"/>
  <c r="C22" i="53" s="1"/>
  <c r="E22" i="53" s="1"/>
  <c r="ER238" i="17"/>
  <c r="D22" i="53" s="1"/>
  <c r="FQ238" i="17"/>
  <c r="C43" i="56" s="1"/>
  <c r="E43" i="56" s="1"/>
  <c r="FR238" i="17"/>
  <c r="D43" i="56" s="1"/>
  <c r="FW238" i="17"/>
  <c r="C22" i="56" s="1"/>
  <c r="E22" i="56" s="1"/>
  <c r="FX238" i="17"/>
  <c r="D22" i="56" s="1"/>
  <c r="GW238" i="17"/>
  <c r="C43" i="60" s="1"/>
  <c r="E43" i="60" s="1"/>
  <c r="GX238" i="17"/>
  <c r="D43" i="60" s="1"/>
  <c r="HC238" i="17"/>
  <c r="C22" i="60" s="1"/>
  <c r="E22" i="60" s="1"/>
  <c r="HD238" i="17"/>
  <c r="D22" i="60" s="1"/>
  <c r="AA239" i="17"/>
  <c r="AB239" i="17"/>
  <c r="AH239" i="17"/>
  <c r="AI239" i="17"/>
  <c r="AS239" i="17"/>
  <c r="C44" i="35" s="1"/>
  <c r="AT239" i="17"/>
  <c r="D44" i="35" s="1"/>
  <c r="AY239" i="17"/>
  <c r="C22" i="35" s="1"/>
  <c r="E22" i="35" s="1"/>
  <c r="AZ239" i="17"/>
  <c r="D22" i="35" s="1"/>
  <c r="BC239" i="17"/>
  <c r="CI239" i="17" s="1"/>
  <c r="DO239" i="17" s="1"/>
  <c r="EU239" i="17" s="1"/>
  <c r="BD239" i="17"/>
  <c r="BE239" i="17"/>
  <c r="CK239" i="17" s="1"/>
  <c r="DQ239" i="17" s="1"/>
  <c r="EW239" i="17" s="1"/>
  <c r="GC239" i="17" s="1"/>
  <c r="HI239" i="17" s="1"/>
  <c r="BF239" i="17"/>
  <c r="CL239" i="17" s="1"/>
  <c r="DR239" i="17" s="1"/>
  <c r="EX239" i="17" s="1"/>
  <c r="GD239" i="17" s="1"/>
  <c r="HJ239" i="17" s="1"/>
  <c r="BG239" i="17"/>
  <c r="BH239" i="17"/>
  <c r="CN239" i="17" s="1"/>
  <c r="BJ239" i="17"/>
  <c r="CP239" i="17" s="1"/>
  <c r="DV239" i="17" s="1"/>
  <c r="FB239" i="17" s="1"/>
  <c r="GH239" i="17" s="1"/>
  <c r="HN239" i="17" s="1"/>
  <c r="BK239" i="17"/>
  <c r="CQ239" i="17" s="1"/>
  <c r="DW239" i="17" s="1"/>
  <c r="FC239" i="17" s="1"/>
  <c r="GI239" i="17" s="1"/>
  <c r="HO239" i="17" s="1"/>
  <c r="BL239" i="17"/>
  <c r="CR239" i="17" s="1"/>
  <c r="DX239" i="17" s="1"/>
  <c r="FD239" i="17" s="1"/>
  <c r="GJ239" i="17" s="1"/>
  <c r="HP239" i="17" s="1"/>
  <c r="BM239" i="17"/>
  <c r="BN239" i="17"/>
  <c r="BY239" i="17"/>
  <c r="C46" i="41" s="1"/>
  <c r="BZ239" i="17"/>
  <c r="D46" i="41" s="1"/>
  <c r="CE239" i="17"/>
  <c r="C24" i="41" s="1"/>
  <c r="E24" i="41" s="1"/>
  <c r="CF239" i="17"/>
  <c r="D24" i="41" s="1"/>
  <c r="CJ239" i="17"/>
  <c r="DP239" i="17" s="1"/>
  <c r="EV239" i="17" s="1"/>
  <c r="GB239" i="17" s="1"/>
  <c r="HH239" i="17" s="1"/>
  <c r="CS239" i="17"/>
  <c r="DY239" i="17" s="1"/>
  <c r="FE239" i="17" s="1"/>
  <c r="GK239" i="17" s="1"/>
  <c r="HQ239" i="17" s="1"/>
  <c r="DE239" i="17"/>
  <c r="C46" i="48" s="1"/>
  <c r="DF239" i="17"/>
  <c r="D46" i="48" s="1"/>
  <c r="DK239" i="17"/>
  <c r="C24" i="48" s="1"/>
  <c r="E24" i="48" s="1"/>
  <c r="DL239" i="17"/>
  <c r="D24" i="48" s="1"/>
  <c r="EK239" i="17"/>
  <c r="C43" i="53" s="1"/>
  <c r="EL239" i="17"/>
  <c r="D43" i="53" s="1"/>
  <c r="EQ239" i="17"/>
  <c r="C23" i="53" s="1"/>
  <c r="E23" i="53" s="1"/>
  <c r="ER239" i="17"/>
  <c r="D23" i="53" s="1"/>
  <c r="FM239" i="17"/>
  <c r="FQ239" i="17" s="1"/>
  <c r="FR239" i="17"/>
  <c r="D44" i="56" s="1"/>
  <c r="FW239" i="17"/>
  <c r="C23" i="56" s="1"/>
  <c r="E23" i="56" s="1"/>
  <c r="FX239" i="17"/>
  <c r="D23" i="56" s="1"/>
  <c r="GW239" i="17"/>
  <c r="C44" i="60" s="1"/>
  <c r="GX239" i="17"/>
  <c r="D44" i="60" s="1"/>
  <c r="HC239" i="17"/>
  <c r="C23" i="60" s="1"/>
  <c r="E23" i="60" s="1"/>
  <c r="HD239" i="17"/>
  <c r="D23" i="60" s="1"/>
  <c r="AA240" i="17"/>
  <c r="AB240" i="17"/>
  <c r="AH240" i="17"/>
  <c r="AI240" i="17"/>
  <c r="AS240" i="17"/>
  <c r="C45" i="35" s="1"/>
  <c r="E45" i="35" s="1"/>
  <c r="AT240" i="17"/>
  <c r="D45" i="35" s="1"/>
  <c r="AY240" i="17"/>
  <c r="C23" i="35" s="1"/>
  <c r="E23" i="35" s="1"/>
  <c r="AZ240" i="17"/>
  <c r="D23" i="35" s="1"/>
  <c r="BC240" i="17"/>
  <c r="CI240" i="17" s="1"/>
  <c r="BD240" i="17"/>
  <c r="CJ240" i="17" s="1"/>
  <c r="BE240" i="17"/>
  <c r="CK240" i="17" s="1"/>
  <c r="BF240" i="17"/>
  <c r="CL240" i="17" s="1"/>
  <c r="DR240" i="17" s="1"/>
  <c r="EX240" i="17" s="1"/>
  <c r="GD240" i="17" s="1"/>
  <c r="HJ240" i="17" s="1"/>
  <c r="BG240" i="17"/>
  <c r="BH240" i="17"/>
  <c r="BJ240" i="17"/>
  <c r="CP240" i="17" s="1"/>
  <c r="BK240" i="17"/>
  <c r="BL240" i="17"/>
  <c r="CR240" i="17" s="1"/>
  <c r="BM240" i="17"/>
  <c r="CS240" i="17" s="1"/>
  <c r="BN240" i="17"/>
  <c r="BO240" i="17"/>
  <c r="BY240" i="17"/>
  <c r="C47" i="41" s="1"/>
  <c r="E47" i="41" s="1"/>
  <c r="BZ240" i="17"/>
  <c r="D47" i="41" s="1"/>
  <c r="CB240" i="17"/>
  <c r="CB241" i="17" s="1"/>
  <c r="CE240" i="17"/>
  <c r="C25" i="41" s="1"/>
  <c r="DE240" i="17"/>
  <c r="C47" i="48" s="1"/>
  <c r="E47" i="48" s="1"/>
  <c r="DF240" i="17"/>
  <c r="D47" i="48" s="1"/>
  <c r="DK240" i="17"/>
  <c r="C25" i="48" s="1"/>
  <c r="E25" i="48" s="1"/>
  <c r="DL240" i="17"/>
  <c r="D25" i="48" s="1"/>
  <c r="EK240" i="17"/>
  <c r="C44" i="53" s="1"/>
  <c r="E44" i="53" s="1"/>
  <c r="EL240" i="17"/>
  <c r="D44" i="53" s="1"/>
  <c r="EQ240" i="17"/>
  <c r="C24" i="53" s="1"/>
  <c r="ER240" i="17"/>
  <c r="D24" i="53" s="1"/>
  <c r="FQ240" i="17"/>
  <c r="C45" i="56" s="1"/>
  <c r="E45" i="56" s="1"/>
  <c r="FR240" i="17"/>
  <c r="D45" i="56" s="1"/>
  <c r="FW240" i="17"/>
  <c r="C24" i="56" s="1"/>
  <c r="FX240" i="17"/>
  <c r="D24" i="56" s="1"/>
  <c r="GW240" i="17"/>
  <c r="C45" i="60" s="1"/>
  <c r="E45" i="60" s="1"/>
  <c r="GX240" i="17"/>
  <c r="D45" i="60" s="1"/>
  <c r="HC240" i="17"/>
  <c r="C24" i="60" s="1"/>
  <c r="E24" i="60" s="1"/>
  <c r="HD240" i="17"/>
  <c r="D24" i="60" s="1"/>
  <c r="U241" i="17"/>
  <c r="V241" i="17"/>
  <c r="W241" i="17"/>
  <c r="X241" i="17"/>
  <c r="Y241" i="17"/>
  <c r="Z241" i="17"/>
  <c r="AD241" i="17"/>
  <c r="AE241" i="17"/>
  <c r="AF241" i="17"/>
  <c r="AG241" i="17"/>
  <c r="AL241" i="17"/>
  <c r="AM241" i="17"/>
  <c r="AN241" i="17"/>
  <c r="AO241" i="17"/>
  <c r="AP241" i="17"/>
  <c r="AQ241" i="17"/>
  <c r="AR241" i="17"/>
  <c r="AU241" i="17"/>
  <c r="AV241" i="17"/>
  <c r="AW241" i="17"/>
  <c r="AX241" i="17"/>
  <c r="BR241" i="17"/>
  <c r="BS241" i="17"/>
  <c r="BT241" i="17"/>
  <c r="BU241" i="17"/>
  <c r="BV241" i="17"/>
  <c r="BW241" i="17"/>
  <c r="BX241" i="17"/>
  <c r="CA241" i="17"/>
  <c r="CC241" i="17"/>
  <c r="CD241" i="17"/>
  <c r="CX241" i="17"/>
  <c r="CY241" i="17"/>
  <c r="CZ241" i="17"/>
  <c r="DA241" i="17"/>
  <c r="DB241" i="17"/>
  <c r="DC241" i="17"/>
  <c r="DD241" i="17"/>
  <c r="DG241" i="17"/>
  <c r="DH241" i="17"/>
  <c r="DI241" i="17"/>
  <c r="DJ241" i="17"/>
  <c r="ED241" i="17"/>
  <c r="EE241" i="17"/>
  <c r="EF241" i="17"/>
  <c r="EG241" i="17"/>
  <c r="EH241" i="17"/>
  <c r="EI241" i="17"/>
  <c r="EJ241" i="17"/>
  <c r="EM241" i="17"/>
  <c r="EN241" i="17"/>
  <c r="EO241" i="17"/>
  <c r="EP241" i="17"/>
  <c r="FJ241" i="17"/>
  <c r="FK241" i="17"/>
  <c r="FL241" i="17"/>
  <c r="FN241" i="17"/>
  <c r="FO241" i="17"/>
  <c r="FP241" i="17"/>
  <c r="FS241" i="17"/>
  <c r="FT241" i="17"/>
  <c r="FU241" i="17"/>
  <c r="FV241" i="17"/>
  <c r="GP241" i="17"/>
  <c r="GQ241" i="17"/>
  <c r="GR241" i="17"/>
  <c r="GS241" i="17"/>
  <c r="GT241" i="17"/>
  <c r="GU241" i="17"/>
  <c r="GV241" i="17"/>
  <c r="GY241" i="17"/>
  <c r="GZ241" i="17"/>
  <c r="HA241" i="17"/>
  <c r="HB241" i="17"/>
  <c r="HD246" i="17"/>
  <c r="E22" i="42"/>
  <c r="E44" i="42"/>
  <c r="CG66" i="17" l="1"/>
  <c r="BQ66" i="17"/>
  <c r="CY21" i="11"/>
  <c r="CX34" i="11"/>
  <c r="CX35" i="11" s="1"/>
  <c r="BD230" i="17"/>
  <c r="CJ230" i="17" s="1"/>
  <c r="DP230" i="17" s="1"/>
  <c r="EV230" i="17" s="1"/>
  <c r="GB230" i="17" s="1"/>
  <c r="HH230" i="17" s="1"/>
  <c r="AT230" i="17"/>
  <c r="D14" i="35"/>
  <c r="AZ224" i="17"/>
  <c r="CD189" i="17"/>
  <c r="BT189" i="17" s="1"/>
  <c r="BD189" i="17"/>
  <c r="AT189" i="17"/>
  <c r="AM158" i="17"/>
  <c r="AT158" i="17"/>
  <c r="DA128" i="17"/>
  <c r="DE127" i="17"/>
  <c r="CG72" i="17"/>
  <c r="BQ72" i="17"/>
  <c r="CG32" i="17"/>
  <c r="DM32" i="17" s="1"/>
  <c r="EC32" i="17" s="1"/>
  <c r="BQ32" i="17"/>
  <c r="DL10" i="11"/>
  <c r="DL12" i="11" s="1"/>
  <c r="T12" i="11"/>
  <c r="BG216" i="17"/>
  <c r="BL186" i="17"/>
  <c r="AY186" i="17"/>
  <c r="BN186" i="17" s="1"/>
  <c r="CT186" i="17" s="1"/>
  <c r="CG118" i="17"/>
  <c r="BQ118" i="17"/>
  <c r="BG74" i="17"/>
  <c r="BQ47" i="17"/>
  <c r="CG47" i="17"/>
  <c r="DM47" i="17" s="1"/>
  <c r="EC47" i="17" s="1"/>
  <c r="CG31" i="17"/>
  <c r="CW31" i="17" s="1"/>
  <c r="BQ31" i="17"/>
  <c r="AH84" i="11"/>
  <c r="Z84" i="11"/>
  <c r="AP84" i="11" s="1"/>
  <c r="BK224" i="17"/>
  <c r="CQ224" i="17" s="1"/>
  <c r="BG217" i="17"/>
  <c r="HU190" i="17"/>
  <c r="EQ178" i="17"/>
  <c r="FD178" i="17"/>
  <c r="BG92" i="17"/>
  <c r="CG63" i="17"/>
  <c r="BQ63" i="17"/>
  <c r="CG38" i="17"/>
  <c r="DM38" i="17" s="1"/>
  <c r="BQ38" i="17"/>
  <c r="CQ76" i="11"/>
  <c r="CQ78" i="11" s="1"/>
  <c r="EP130" i="17"/>
  <c r="EP131" i="17" s="1"/>
  <c r="EE157" i="17"/>
  <c r="EE160" i="17" s="1"/>
  <c r="EL157" i="17"/>
  <c r="BN216" i="17"/>
  <c r="CT216" i="17" s="1"/>
  <c r="AN189" i="17"/>
  <c r="BB189" i="17" s="1"/>
  <c r="AZ189" i="17"/>
  <c r="BL181" i="17"/>
  <c r="AY181" i="17"/>
  <c r="BQ117" i="17"/>
  <c r="CG117" i="17"/>
  <c r="CW117" i="17" s="1"/>
  <c r="CG39" i="17"/>
  <c r="BQ39" i="17"/>
  <c r="BQ29" i="17"/>
  <c r="CG29" i="17"/>
  <c r="DM29" i="17" s="1"/>
  <c r="EC29" i="17" s="1"/>
  <c r="AE34" i="11"/>
  <c r="DG17" i="11"/>
  <c r="HB135" i="17"/>
  <c r="BO185" i="17"/>
  <c r="BP185" i="17" s="1"/>
  <c r="EQ182" i="17"/>
  <c r="AY180" i="17"/>
  <c r="AJ169" i="17"/>
  <c r="AC159" i="17"/>
  <c r="GX158" i="17"/>
  <c r="AT144" i="17"/>
  <c r="BQ143" i="17"/>
  <c r="AT141" i="17"/>
  <c r="CG101" i="17"/>
  <c r="CW101" i="17" s="1"/>
  <c r="BG96" i="17"/>
  <c r="CM96" i="17" s="1"/>
  <c r="DS96" i="17" s="1"/>
  <c r="EY96" i="17" s="1"/>
  <c r="GE96" i="17" s="1"/>
  <c r="HK96" i="17" s="1"/>
  <c r="BQ73" i="17"/>
  <c r="AC68" i="17"/>
  <c r="CG53" i="17"/>
  <c r="DM53" i="17" s="1"/>
  <c r="AC12" i="17"/>
  <c r="AS37" i="11"/>
  <c r="D10" i="35"/>
  <c r="BO216" i="17"/>
  <c r="BG214" i="17"/>
  <c r="CM214" i="17" s="1"/>
  <c r="EB207" i="17"/>
  <c r="CV207" i="17"/>
  <c r="BP207" i="17"/>
  <c r="HB182" i="17"/>
  <c r="FU181" i="17"/>
  <c r="FW181" i="17" s="1"/>
  <c r="FW168" i="17"/>
  <c r="BO148" i="17"/>
  <c r="BH148" i="17"/>
  <c r="AC55" i="17"/>
  <c r="CP72" i="11"/>
  <c r="DA37" i="11"/>
  <c r="AZ37" i="11"/>
  <c r="S37" i="11"/>
  <c r="EE16" i="11"/>
  <c r="AC111" i="17"/>
  <c r="BG105" i="17"/>
  <c r="CM105" i="17" s="1"/>
  <c r="DS105" i="17" s="1"/>
  <c r="EY105" i="17" s="1"/>
  <c r="GE105" i="17" s="1"/>
  <c r="HK105" i="17" s="1"/>
  <c r="BG93" i="17"/>
  <c r="Z87" i="11"/>
  <c r="AP87" i="11" s="1"/>
  <c r="BF87" i="11" s="1"/>
  <c r="BN87" i="11" s="1"/>
  <c r="BV87" i="11" s="1"/>
  <c r="CD87" i="11" s="1"/>
  <c r="CL87" i="11" s="1"/>
  <c r="CT87" i="11" s="1"/>
  <c r="DB87" i="11" s="1"/>
  <c r="DI72" i="11"/>
  <c r="AL37" i="11"/>
  <c r="CS37" i="11"/>
  <c r="CK37" i="11"/>
  <c r="CC37" i="11"/>
  <c r="BU37" i="11"/>
  <c r="BU100" i="11" s="1"/>
  <c r="BM37" i="11"/>
  <c r="BG37" i="11"/>
  <c r="AA37" i="11"/>
  <c r="E14" i="35"/>
  <c r="D11" i="60"/>
  <c r="E11" i="60" s="1"/>
  <c r="D11" i="53"/>
  <c r="C19" i="45"/>
  <c r="C17" i="52" s="1"/>
  <c r="C17" i="57" s="1"/>
  <c r="CT238" i="17"/>
  <c r="AC14" i="17"/>
  <c r="BQ12" i="17"/>
  <c r="Z96" i="11"/>
  <c r="AP96" i="11" s="1"/>
  <c r="BF96" i="11" s="1"/>
  <c r="BN96" i="11" s="1"/>
  <c r="BV96" i="11" s="1"/>
  <c r="CD96" i="11" s="1"/>
  <c r="CL96" i="11" s="1"/>
  <c r="CT96" i="11" s="1"/>
  <c r="DB96" i="11" s="1"/>
  <c r="Z76" i="11"/>
  <c r="HC230" i="17"/>
  <c r="C10" i="60" s="1"/>
  <c r="BJ226" i="17"/>
  <c r="AY220" i="17"/>
  <c r="C24" i="35" s="1"/>
  <c r="BD219" i="17"/>
  <c r="CJ219" i="17" s="1"/>
  <c r="DP219" i="17" s="1"/>
  <c r="EV219" i="17" s="1"/>
  <c r="GB219" i="17" s="1"/>
  <c r="HH219" i="17" s="1"/>
  <c r="GB196" i="17"/>
  <c r="HH196" i="17" s="1"/>
  <c r="EQ190" i="17"/>
  <c r="BZ189" i="17"/>
  <c r="AZ186" i="17"/>
  <c r="BO186" i="17" s="1"/>
  <c r="AZ181" i="17"/>
  <c r="AZ180" i="17"/>
  <c r="ER178" i="17"/>
  <c r="CF176" i="17"/>
  <c r="BL176" i="17"/>
  <c r="AY175" i="17"/>
  <c r="BN175" i="17" s="1"/>
  <c r="CF174" i="17"/>
  <c r="HC168" i="17"/>
  <c r="EQ168" i="17"/>
  <c r="FX167" i="17"/>
  <c r="AC153" i="17"/>
  <c r="BG148" i="17"/>
  <c r="CM148" i="17" s="1"/>
  <c r="DS148" i="17" s="1"/>
  <c r="EY148" i="17" s="1"/>
  <c r="GE148" i="17" s="1"/>
  <c r="DF130" i="17"/>
  <c r="DF131" i="17" s="1"/>
  <c r="AZ130" i="17"/>
  <c r="AZ131" i="17" s="1"/>
  <c r="HD127" i="17"/>
  <c r="HD128" i="17" s="1"/>
  <c r="HD129" i="17" s="1"/>
  <c r="DF127" i="17"/>
  <c r="AI127" i="17"/>
  <c r="CG122" i="17"/>
  <c r="DM122" i="17" s="1"/>
  <c r="AC113" i="17"/>
  <c r="AC110" i="17"/>
  <c r="AB107" i="17"/>
  <c r="BQ102" i="17"/>
  <c r="BQ99" i="17"/>
  <c r="CG98" i="17"/>
  <c r="CW98" i="17" s="1"/>
  <c r="BQ82" i="17"/>
  <c r="AC77" i="17"/>
  <c r="BQ75" i="17"/>
  <c r="AC71" i="17"/>
  <c r="BQ58" i="17"/>
  <c r="BQ55" i="17"/>
  <c r="CG51" i="17"/>
  <c r="CW51" i="17" s="1"/>
  <c r="CG49" i="17"/>
  <c r="CG44" i="17"/>
  <c r="DM44" i="17" s="1"/>
  <c r="AC38" i="17"/>
  <c r="AC36" i="17"/>
  <c r="BQ34" i="17"/>
  <c r="AC26" i="17"/>
  <c r="AC20" i="17"/>
  <c r="AD207" i="17"/>
  <c r="AH207" i="17" s="1"/>
  <c r="BJ192" i="17"/>
  <c r="CP192" i="17" s="1"/>
  <c r="DV192" i="17" s="1"/>
  <c r="FB192" i="17" s="1"/>
  <c r="GH192" i="17" s="1"/>
  <c r="HN192" i="17" s="1"/>
  <c r="EL191" i="17"/>
  <c r="BL189" i="17"/>
  <c r="AY185" i="17"/>
  <c r="AZ175" i="17"/>
  <c r="AZ173" i="17" s="1"/>
  <c r="AJ170" i="17"/>
  <c r="AD169" i="17"/>
  <c r="BZ158" i="17"/>
  <c r="AC152" i="17"/>
  <c r="CG151" i="17"/>
  <c r="DM151" i="17" s="1"/>
  <c r="EC151" i="17" s="1"/>
  <c r="AC149" i="17"/>
  <c r="AZ146" i="17"/>
  <c r="BO146" i="17" s="1"/>
  <c r="BP146" i="17" s="1"/>
  <c r="GX140" i="17"/>
  <c r="GX147" i="17" s="1"/>
  <c r="DP140" i="17"/>
  <c r="EV140" i="17" s="1"/>
  <c r="FR127" i="17"/>
  <c r="AT125" i="17"/>
  <c r="BQ115" i="17"/>
  <c r="BQ111" i="17"/>
  <c r="BQ109" i="17"/>
  <c r="BQ106" i="17"/>
  <c r="CG87" i="17"/>
  <c r="DM87" i="17" s="1"/>
  <c r="BQ83" i="17"/>
  <c r="BQ76" i="17"/>
  <c r="AC73" i="17"/>
  <c r="BQ70" i="17"/>
  <c r="BQ67" i="17"/>
  <c r="AC63" i="17"/>
  <c r="BQ60" i="17"/>
  <c r="AC53" i="17"/>
  <c r="CG45" i="17"/>
  <c r="DM45" i="17" s="1"/>
  <c r="EC45" i="17" s="1"/>
  <c r="BQ43" i="17"/>
  <c r="BQ41" i="17"/>
  <c r="AC40" i="17"/>
  <c r="BQ37" i="17"/>
  <c r="BQ35" i="17"/>
  <c r="AC32" i="17"/>
  <c r="AC15" i="17"/>
  <c r="CG13" i="17"/>
  <c r="CW13" i="17" s="1"/>
  <c r="DU43" i="11"/>
  <c r="T134" i="17" s="1"/>
  <c r="EC134" i="17" s="1"/>
  <c r="BH210" i="17"/>
  <c r="DT239" i="17"/>
  <c r="BE215" i="17"/>
  <c r="BG213" i="17"/>
  <c r="CT239" i="17"/>
  <c r="DZ239" i="17" s="1"/>
  <c r="FF239" i="17" s="1"/>
  <c r="CM239" i="17"/>
  <c r="BG210" i="17"/>
  <c r="FS200" i="17"/>
  <c r="FW200" i="17" s="1"/>
  <c r="C25" i="45"/>
  <c r="E25" i="45" s="1"/>
  <c r="EY238" i="17"/>
  <c r="BD236" i="17"/>
  <c r="BO239" i="17"/>
  <c r="CU239" i="17" s="1"/>
  <c r="EA239" i="17" s="1"/>
  <c r="BN210" i="17"/>
  <c r="EZ238" i="17"/>
  <c r="AZ225" i="17"/>
  <c r="L211" i="17"/>
  <c r="M211" i="17" s="1"/>
  <c r="I211" i="17"/>
  <c r="J211" i="17" s="1"/>
  <c r="EA238" i="17"/>
  <c r="BR211" i="17"/>
  <c r="BQ146" i="17"/>
  <c r="FP129" i="17"/>
  <c r="DU12" i="11"/>
  <c r="HD230" i="17"/>
  <c r="FQ196" i="17"/>
  <c r="B100" i="11"/>
  <c r="AG37" i="11"/>
  <c r="AG100" i="11" s="1"/>
  <c r="CX12" i="11"/>
  <c r="BK12" i="11"/>
  <c r="CF189" i="17"/>
  <c r="EN211" i="17"/>
  <c r="BN146" i="17"/>
  <c r="CT146" i="17" s="1"/>
  <c r="DZ146" i="17" s="1"/>
  <c r="FF146" i="17" s="1"/>
  <c r="GL146" i="17" s="1"/>
  <c r="HR146" i="17" s="1"/>
  <c r="BH37" i="11"/>
  <c r="BJ37" i="11"/>
  <c r="BE37" i="11"/>
  <c r="BE100" i="11" s="1"/>
  <c r="Y37" i="11"/>
  <c r="Y100" i="11" s="1"/>
  <c r="T34" i="11"/>
  <c r="T35" i="11" s="1"/>
  <c r="T37" i="11" s="1"/>
  <c r="BB146" i="17"/>
  <c r="CH146" i="17" s="1"/>
  <c r="DN146" i="17" s="1"/>
  <c r="ET146" i="17" s="1"/>
  <c r="FZ146" i="17" s="1"/>
  <c r="HF146" i="17" s="1"/>
  <c r="CF188" i="17"/>
  <c r="AZ187" i="17"/>
  <c r="BO187" i="17" s="1"/>
  <c r="AZ174" i="17"/>
  <c r="GX153" i="17"/>
  <c r="GX154" i="17" s="1"/>
  <c r="AJ207" i="17"/>
  <c r="ER190" i="17"/>
  <c r="ER173" i="17" s="1"/>
  <c r="BD199" i="17"/>
  <c r="CJ199" i="17" s="1"/>
  <c r="DP199" i="17" s="1"/>
  <c r="EV199" i="17" s="1"/>
  <c r="GB199" i="17" s="1"/>
  <c r="HH199" i="17" s="1"/>
  <c r="AJ198" i="17"/>
  <c r="DH211" i="17"/>
  <c r="AR211" i="17"/>
  <c r="V211" i="17"/>
  <c r="E209" i="17"/>
  <c r="M11" i="11"/>
  <c r="GB208" i="17"/>
  <c r="HH208" i="17" s="1"/>
  <c r="FQ202" i="17"/>
  <c r="BD206" i="17"/>
  <c r="CJ206" i="17" s="1"/>
  <c r="DP206" i="17" s="1"/>
  <c r="EV206" i="17" s="1"/>
  <c r="GB206" i="17" s="1"/>
  <c r="HH206" i="17" s="1"/>
  <c r="BD233" i="17"/>
  <c r="CJ233" i="17" s="1"/>
  <c r="DP233" i="17" s="1"/>
  <c r="EV233" i="17" s="1"/>
  <c r="GB233" i="17" s="1"/>
  <c r="HH233" i="17" s="1"/>
  <c r="AA206" i="17"/>
  <c r="AA191" i="17" s="1"/>
  <c r="AA199" i="17"/>
  <c r="BO195" i="17"/>
  <c r="CU195" i="17" s="1"/>
  <c r="BC198" i="17"/>
  <c r="CI198" i="17" s="1"/>
  <c r="DO198" i="17" s="1"/>
  <c r="AD198" i="17"/>
  <c r="DE231" i="17"/>
  <c r="BN159" i="17"/>
  <c r="BN149" i="17"/>
  <c r="EH138" i="17"/>
  <c r="BB130" i="17"/>
  <c r="BB131" i="17" s="1"/>
  <c r="BN127" i="17"/>
  <c r="BO193" i="17"/>
  <c r="BP193" i="17" s="1"/>
  <c r="CF240" i="17"/>
  <c r="AY221" i="17"/>
  <c r="C25" i="35" s="1"/>
  <c r="AJ203" i="17"/>
  <c r="BG80" i="17"/>
  <c r="BO158" i="17"/>
  <c r="BE241" i="17"/>
  <c r="BG221" i="17"/>
  <c r="FR208" i="17"/>
  <c r="U211" i="17"/>
  <c r="HD168" i="17"/>
  <c r="BO104" i="17"/>
  <c r="BG103" i="17"/>
  <c r="BO102" i="17"/>
  <c r="CU102" i="17" s="1"/>
  <c r="BH102" i="17"/>
  <c r="CN102" i="17" s="1"/>
  <c r="BO101" i="17"/>
  <c r="BH101" i="17"/>
  <c r="BN100" i="17"/>
  <c r="CT100" i="17" s="1"/>
  <c r="DZ100" i="17" s="1"/>
  <c r="FF100" i="17" s="1"/>
  <c r="GL100" i="17" s="1"/>
  <c r="HR100" i="17" s="1"/>
  <c r="BG89" i="17"/>
  <c r="CM89" i="17" s="1"/>
  <c r="BH56" i="17"/>
  <c r="BO14" i="17"/>
  <c r="ER168" i="17"/>
  <c r="K211" i="17"/>
  <c r="H211" i="17"/>
  <c r="HD154" i="17"/>
  <c r="BG220" i="17"/>
  <c r="CM220" i="17" s="1"/>
  <c r="DS220" i="17" s="1"/>
  <c r="EY220" i="17" s="1"/>
  <c r="FS208" i="17"/>
  <c r="FW208" i="17" s="1"/>
  <c r="AA204" i="17"/>
  <c r="FR196" i="17"/>
  <c r="EN231" i="17"/>
  <c r="BC203" i="17"/>
  <c r="CI203" i="17" s="1"/>
  <c r="DO203" i="17" s="1"/>
  <c r="EU203" i="17" s="1"/>
  <c r="GA203" i="17" s="1"/>
  <c r="HG203" i="17" s="1"/>
  <c r="AJ193" i="17"/>
  <c r="BF173" i="17"/>
  <c r="BQ155" i="17"/>
  <c r="CW155" i="17"/>
  <c r="AM129" i="17"/>
  <c r="BQ127" i="17"/>
  <c r="BO121" i="17"/>
  <c r="BP121" i="17" s="1"/>
  <c r="BG112" i="17"/>
  <c r="BG79" i="17"/>
  <c r="BG48" i="17"/>
  <c r="CW47" i="17"/>
  <c r="BN32" i="17"/>
  <c r="E35" i="11"/>
  <c r="E58" i="11" s="1"/>
  <c r="GZ211" i="17"/>
  <c r="EE211" i="17"/>
  <c r="DB211" i="17"/>
  <c r="Y211" i="17"/>
  <c r="CJ241" i="17"/>
  <c r="CS241" i="17"/>
  <c r="BC204" i="17"/>
  <c r="CI204" i="17" s="1"/>
  <c r="DO204" i="17" s="1"/>
  <c r="BO203" i="17"/>
  <c r="BP203" i="17" s="1"/>
  <c r="AB203" i="17"/>
  <c r="AC203" i="17" s="1"/>
  <c r="BH195" i="17"/>
  <c r="BC193" i="17"/>
  <c r="CI193" i="17" s="1"/>
  <c r="DO193" i="17" s="1"/>
  <c r="BG189" i="17"/>
  <c r="EC182" i="17"/>
  <c r="FX163" i="17"/>
  <c r="EH160" i="17"/>
  <c r="AJ156" i="17"/>
  <c r="BH155" i="17"/>
  <c r="Q155" i="17"/>
  <c r="Q160" i="17" s="1"/>
  <c r="CC129" i="17"/>
  <c r="CC139" i="17" s="1"/>
  <c r="CC161" i="17" s="1"/>
  <c r="C8" i="41" s="1"/>
  <c r="AW129" i="17"/>
  <c r="AW139" i="17" s="1"/>
  <c r="AW161" i="17" s="1"/>
  <c r="C6" i="35" s="1"/>
  <c r="BN122" i="17"/>
  <c r="BO81" i="17"/>
  <c r="AJ80" i="17"/>
  <c r="AC80" i="17"/>
  <c r="BN79" i="17"/>
  <c r="BO76" i="17"/>
  <c r="CU76" i="17" s="1"/>
  <c r="BG76" i="17"/>
  <c r="G74" i="17"/>
  <c r="BO72" i="17"/>
  <c r="BG72" i="17"/>
  <c r="CM72" i="17" s="1"/>
  <c r="DS72" i="17" s="1"/>
  <c r="EY72" i="17" s="1"/>
  <c r="GE72" i="17" s="1"/>
  <c r="HK72" i="17" s="1"/>
  <c r="BN71" i="17"/>
  <c r="BO17" i="17"/>
  <c r="BG15" i="17"/>
  <c r="BO10" i="17"/>
  <c r="CU10" i="17" s="1"/>
  <c r="CC100" i="11"/>
  <c r="CQ85" i="11"/>
  <c r="AB204" i="17"/>
  <c r="AC204" i="17" s="1"/>
  <c r="CF180" i="17"/>
  <c r="CU180" i="17" s="1"/>
  <c r="DB94" i="11"/>
  <c r="DL34" i="11"/>
  <c r="AZ221" i="17"/>
  <c r="D25" i="35" s="1"/>
  <c r="AZ220" i="17"/>
  <c r="BG203" i="17"/>
  <c r="CM203" i="17" s="1"/>
  <c r="DS203" i="17" s="1"/>
  <c r="BN195" i="17"/>
  <c r="AD193" i="17"/>
  <c r="AH193" i="17" s="1"/>
  <c r="ER191" i="17"/>
  <c r="BN187" i="17"/>
  <c r="ER182" i="17"/>
  <c r="HD163" i="17"/>
  <c r="GX157" i="17"/>
  <c r="GX160" i="17" s="1"/>
  <c r="BO141" i="17"/>
  <c r="AT130" i="17"/>
  <c r="AT131" i="17" s="1"/>
  <c r="AS127" i="17"/>
  <c r="AA127" i="17"/>
  <c r="BZ231" i="17"/>
  <c r="BY215" i="17"/>
  <c r="C41" i="41" s="1"/>
  <c r="E41" i="41" s="1"/>
  <c r="AL211" i="17"/>
  <c r="CU203" i="17"/>
  <c r="BN192" i="17"/>
  <c r="CT192" i="17" s="1"/>
  <c r="DZ192" i="17" s="1"/>
  <c r="FP211" i="17"/>
  <c r="DD211" i="17"/>
  <c r="AV211" i="17"/>
  <c r="AE211" i="17"/>
  <c r="AJ190" i="17"/>
  <c r="FZ182" i="17"/>
  <c r="BQ182" i="17"/>
  <c r="BM181" i="17"/>
  <c r="CW178" i="17"/>
  <c r="BQ178" i="17"/>
  <c r="BZ154" i="17"/>
  <c r="AH154" i="17"/>
  <c r="BH134" i="17"/>
  <c r="G119" i="17"/>
  <c r="BG116" i="17"/>
  <c r="CM116" i="17" s="1"/>
  <c r="DS116" i="17" s="1"/>
  <c r="EY116" i="17" s="1"/>
  <c r="GE116" i="17" s="1"/>
  <c r="HK116" i="17" s="1"/>
  <c r="BN115" i="17"/>
  <c r="BO112" i="17"/>
  <c r="BN86" i="17"/>
  <c r="BG64" i="17"/>
  <c r="CM64" i="17" s="1"/>
  <c r="DS64" i="17" s="1"/>
  <c r="EY64" i="17" s="1"/>
  <c r="GE64" i="17" s="1"/>
  <c r="HK64" i="17" s="1"/>
  <c r="BN63" i="17"/>
  <c r="BN61" i="17"/>
  <c r="CT61" i="17" s="1"/>
  <c r="DZ61" i="17" s="1"/>
  <c r="FF61" i="17" s="1"/>
  <c r="GL61" i="17" s="1"/>
  <c r="HR61" i="17" s="1"/>
  <c r="BO54" i="17"/>
  <c r="BN53" i="17"/>
  <c r="CT53" i="17" s="1"/>
  <c r="DZ53" i="17" s="1"/>
  <c r="FF53" i="17" s="1"/>
  <c r="GL53" i="17" s="1"/>
  <c r="HR53" i="17" s="1"/>
  <c r="BG25" i="17"/>
  <c r="BG11" i="17"/>
  <c r="CM11" i="17" s="1"/>
  <c r="O71" i="11"/>
  <c r="FX222" i="17"/>
  <c r="AD203" i="17"/>
  <c r="AH203" i="17" s="1"/>
  <c r="G14" i="56"/>
  <c r="F12" i="56" s="1"/>
  <c r="C12" i="56" s="1"/>
  <c r="BC241" i="17"/>
  <c r="BA241" i="17"/>
  <c r="CG241" i="17" s="1"/>
  <c r="DM241" i="17" s="1"/>
  <c r="ES241" i="17" s="1"/>
  <c r="FY241" i="17" s="1"/>
  <c r="HE241" i="17" s="1"/>
  <c r="DY240" i="17"/>
  <c r="FE240" i="17" s="1"/>
  <c r="GK240" i="17" s="1"/>
  <c r="HQ240" i="17" s="1"/>
  <c r="CQ240" i="17"/>
  <c r="DW240" i="17" s="1"/>
  <c r="FC240" i="17" s="1"/>
  <c r="FC241" i="17" s="1"/>
  <c r="CN240" i="17"/>
  <c r="CN241" i="17" s="1"/>
  <c r="AI241" i="17"/>
  <c r="BG235" i="17"/>
  <c r="CM235" i="17" s="1"/>
  <c r="DK231" i="17"/>
  <c r="CS231" i="17"/>
  <c r="DY231" i="17" s="1"/>
  <c r="FE231" i="17" s="1"/>
  <c r="GK231" i="17" s="1"/>
  <c r="HQ231" i="17" s="1"/>
  <c r="CR231" i="17"/>
  <c r="DX231" i="17" s="1"/>
  <c r="FD231" i="17" s="1"/>
  <c r="GJ231" i="17" s="1"/>
  <c r="HP231" i="17" s="1"/>
  <c r="BO219" i="17"/>
  <c r="BO192" i="17"/>
  <c r="GU211" i="17"/>
  <c r="FT211" i="17"/>
  <c r="EI211" i="17"/>
  <c r="BW211" i="17"/>
  <c r="CM210" i="17"/>
  <c r="AQ211" i="17"/>
  <c r="Z211" i="17"/>
  <c r="FI190" i="17"/>
  <c r="BO190" i="17"/>
  <c r="BG185" i="17"/>
  <c r="FZ183" i="17"/>
  <c r="EC183" i="17"/>
  <c r="CH180" i="17"/>
  <c r="DN180" i="17" s="1"/>
  <c r="ET180" i="17" s="1"/>
  <c r="FZ180" i="17" s="1"/>
  <c r="HF180" i="17" s="1"/>
  <c r="FZ179" i="17"/>
  <c r="BN165" i="17"/>
  <c r="BL164" i="17"/>
  <c r="AS154" i="17"/>
  <c r="L154" i="17"/>
  <c r="J154" i="17"/>
  <c r="CU148" i="17"/>
  <c r="L147" i="17"/>
  <c r="AA147" i="17"/>
  <c r="AY147" i="17"/>
  <c r="N133" i="17"/>
  <c r="DE138" i="17"/>
  <c r="BE138" i="17"/>
  <c r="EG129" i="17"/>
  <c r="BW129" i="17"/>
  <c r="BU128" i="17"/>
  <c r="BU129" i="17" s="1"/>
  <c r="BU139" i="17" s="1"/>
  <c r="BU161" i="17" s="1"/>
  <c r="C32" i="41" s="1"/>
  <c r="BS129" i="17"/>
  <c r="BS139" i="17" s="1"/>
  <c r="FL129" i="17"/>
  <c r="DJ128" i="17"/>
  <c r="CZ128" i="17"/>
  <c r="CZ129" i="17" s="1"/>
  <c r="W129" i="17"/>
  <c r="BT129" i="17"/>
  <c r="X123" i="17"/>
  <c r="BO119" i="17"/>
  <c r="CU119" i="17" s="1"/>
  <c r="EA119" i="17" s="1"/>
  <c r="FG119" i="17" s="1"/>
  <c r="GM119" i="17" s="1"/>
  <c r="HS119" i="17" s="1"/>
  <c r="N119" i="17"/>
  <c r="BH110" i="17"/>
  <c r="BI110" i="17" s="1"/>
  <c r="BN110" i="17"/>
  <c r="AJ110" i="17"/>
  <c r="BO109" i="17"/>
  <c r="BG109" i="17"/>
  <c r="BQ107" i="17"/>
  <c r="G107" i="17"/>
  <c r="BQ97" i="17"/>
  <c r="BG94" i="17"/>
  <c r="BG83" i="17"/>
  <c r="BN82" i="17"/>
  <c r="CT82" i="17" s="1"/>
  <c r="DZ82" i="17" s="1"/>
  <c r="FF82" i="17" s="1"/>
  <c r="GL82" i="17" s="1"/>
  <c r="HR82" i="17" s="1"/>
  <c r="BO62" i="17"/>
  <c r="BO57" i="17"/>
  <c r="BN56" i="17"/>
  <c r="BN40" i="17"/>
  <c r="CT40" i="17" s="1"/>
  <c r="DZ40" i="17" s="1"/>
  <c r="FF40" i="17" s="1"/>
  <c r="GL40" i="17" s="1"/>
  <c r="HR40" i="17" s="1"/>
  <c r="BO37" i="17"/>
  <c r="BG37" i="17"/>
  <c r="BH21" i="17"/>
  <c r="BN21" i="17"/>
  <c r="CT21" i="17" s="1"/>
  <c r="DZ21" i="17" s="1"/>
  <c r="FF21" i="17" s="1"/>
  <c r="GL21" i="17" s="1"/>
  <c r="HR21" i="17" s="1"/>
  <c r="DM19" i="17"/>
  <c r="ES19" i="17" s="1"/>
  <c r="FI19" i="17" s="1"/>
  <c r="DM13" i="17"/>
  <c r="ES13" i="17" s="1"/>
  <c r="FI13" i="17" s="1"/>
  <c r="BN13" i="17"/>
  <c r="DL72" i="11"/>
  <c r="AZ160" i="17"/>
  <c r="BH136" i="17"/>
  <c r="GW138" i="17"/>
  <c r="FQ138" i="17"/>
  <c r="N95" i="17"/>
  <c r="CY94" i="11"/>
  <c r="AT78" i="11"/>
  <c r="BJ72" i="11"/>
  <c r="DN28" i="11"/>
  <c r="DO28" i="11" s="1"/>
  <c r="W25" i="11"/>
  <c r="BN220" i="17"/>
  <c r="C24" i="34" s="1"/>
  <c r="FL186" i="17"/>
  <c r="FK186" i="17" s="1"/>
  <c r="FK173" i="17" s="1"/>
  <c r="FK211" i="17" s="1"/>
  <c r="FR186" i="17"/>
  <c r="DP240" i="17"/>
  <c r="EV240" i="17" s="1"/>
  <c r="GB240" i="17" s="1"/>
  <c r="HH240" i="17" s="1"/>
  <c r="GW231" i="17"/>
  <c r="DL231" i="17"/>
  <c r="DF231" i="17"/>
  <c r="CP231" i="17"/>
  <c r="DV231" i="17" s="1"/>
  <c r="FB231" i="17" s="1"/>
  <c r="HN228" i="17"/>
  <c r="BK228" i="17"/>
  <c r="D15" i="34" s="1"/>
  <c r="E15" i="34" s="1"/>
  <c r="BM185" i="17"/>
  <c r="HF183" i="17"/>
  <c r="FZ178" i="17"/>
  <c r="FK160" i="17"/>
  <c r="FK161" i="17" s="1"/>
  <c r="DF160" i="17"/>
  <c r="BE154" i="17"/>
  <c r="EH147" i="17"/>
  <c r="BN130" i="17"/>
  <c r="CT130" i="17" s="1"/>
  <c r="AS128" i="17"/>
  <c r="AI128" i="17"/>
  <c r="BX129" i="17"/>
  <c r="BV129" i="17"/>
  <c r="BR129" i="17"/>
  <c r="CU14" i="17"/>
  <c r="CV14" i="17" s="1"/>
  <c r="ED51" i="11"/>
  <c r="DU51" i="11"/>
  <c r="T133" i="17" s="1"/>
  <c r="CW133" i="17" s="1"/>
  <c r="DA100" i="11"/>
  <c r="BO218" i="17"/>
  <c r="AJ189" i="17"/>
  <c r="BQ188" i="17"/>
  <c r="FI183" i="17"/>
  <c r="BO183" i="17"/>
  <c r="BG181" i="17"/>
  <c r="CM181" i="17" s="1"/>
  <c r="DS181" i="17" s="1"/>
  <c r="EY181" i="17" s="1"/>
  <c r="GE181" i="17" s="1"/>
  <c r="HK181" i="17" s="1"/>
  <c r="BM180" i="17"/>
  <c r="BG180" i="17"/>
  <c r="AJ180" i="17"/>
  <c r="FD179" i="17"/>
  <c r="GJ179" i="17" s="1"/>
  <c r="HP179" i="17" s="1"/>
  <c r="CM172" i="17"/>
  <c r="BO169" i="17"/>
  <c r="BP169" i="17" s="1"/>
  <c r="BO166" i="17"/>
  <c r="CU166" i="17" s="1"/>
  <c r="BM166" i="17"/>
  <c r="CS166" i="17" s="1"/>
  <c r="DY166" i="17" s="1"/>
  <c r="FE166" i="17" s="1"/>
  <c r="GK166" i="17" s="1"/>
  <c r="HQ166" i="17" s="1"/>
  <c r="BL166" i="17"/>
  <c r="CF160" i="17"/>
  <c r="CG157" i="17"/>
  <c r="DM157" i="17" s="1"/>
  <c r="EC157" i="17" s="1"/>
  <c r="BL154" i="17"/>
  <c r="BH150" i="17"/>
  <c r="BN150" i="17"/>
  <c r="CK149" i="17"/>
  <c r="DQ149" i="17" s="1"/>
  <c r="EW149" i="17" s="1"/>
  <c r="GC149" i="17" s="1"/>
  <c r="HI149" i="17" s="1"/>
  <c r="DH147" i="17"/>
  <c r="CZ147" i="17"/>
  <c r="BG146" i="17"/>
  <c r="CM146" i="17" s="1"/>
  <c r="DS146" i="17" s="1"/>
  <c r="EY146" i="17" s="1"/>
  <c r="GE146" i="17" s="1"/>
  <c r="HK146" i="17" s="1"/>
  <c r="BO142" i="17"/>
  <c r="CU142" i="17" s="1"/>
  <c r="EA142" i="17" s="1"/>
  <c r="FG142" i="17" s="1"/>
  <c r="BW139" i="17"/>
  <c r="BW161" i="17" s="1"/>
  <c r="C33" i="41" s="1"/>
  <c r="E33" i="41" s="1"/>
  <c r="F138" i="17"/>
  <c r="DA138" i="17"/>
  <c r="BD131" i="17"/>
  <c r="CL130" i="17"/>
  <c r="GV129" i="17"/>
  <c r="GT129" i="17"/>
  <c r="GP129" i="17"/>
  <c r="FU129" i="17"/>
  <c r="FU139" i="17" s="1"/>
  <c r="FU161" i="17" s="1"/>
  <c r="C8" i="56" s="1"/>
  <c r="FS129" i="17"/>
  <c r="FO129" i="17"/>
  <c r="FO139" i="17" s="1"/>
  <c r="FO161" i="17" s="1"/>
  <c r="C32" i="56" s="1"/>
  <c r="FM129" i="17"/>
  <c r="BE128" i="17"/>
  <c r="AQ129" i="17"/>
  <c r="T128" i="17"/>
  <c r="AD129" i="17"/>
  <c r="Y129" i="17"/>
  <c r="Y139" i="17" s="1"/>
  <c r="Y161" i="17" s="1"/>
  <c r="C31" i="31" s="1"/>
  <c r="E31" i="31" s="1"/>
  <c r="U129" i="17"/>
  <c r="F123" i="17"/>
  <c r="BG118" i="17"/>
  <c r="BO114" i="17"/>
  <c r="BP114" i="17" s="1"/>
  <c r="BO107" i="17"/>
  <c r="BH107" i="17"/>
  <c r="J107" i="17"/>
  <c r="BG106" i="17"/>
  <c r="CM106" i="17" s="1"/>
  <c r="BN105" i="17"/>
  <c r="BO95" i="17"/>
  <c r="DM91" i="17"/>
  <c r="ES91" i="17" s="1"/>
  <c r="FI91" i="17" s="1"/>
  <c r="BN91" i="17"/>
  <c r="CT91" i="17" s="1"/>
  <c r="DZ91" i="17" s="1"/>
  <c r="FF91" i="17" s="1"/>
  <c r="GL91" i="17" s="1"/>
  <c r="HR91" i="17" s="1"/>
  <c r="BQ88" i="17"/>
  <c r="EC88" i="17"/>
  <c r="J87" i="17"/>
  <c r="BG78" i="17"/>
  <c r="BO69" i="17"/>
  <c r="BH68" i="17"/>
  <c r="BI68" i="17" s="1"/>
  <c r="BN68" i="17"/>
  <c r="AJ68" i="17"/>
  <c r="BO67" i="17"/>
  <c r="BG67" i="17"/>
  <c r="BO66" i="17"/>
  <c r="BG66" i="17"/>
  <c r="CM66" i="17" s="1"/>
  <c r="DS66" i="17" s="1"/>
  <c r="EY66" i="17" s="1"/>
  <c r="GE66" i="17" s="1"/>
  <c r="HK66" i="17" s="1"/>
  <c r="BO60" i="17"/>
  <c r="BG60" i="17"/>
  <c r="BN59" i="17"/>
  <c r="BG52" i="17"/>
  <c r="CM52" i="17" s="1"/>
  <c r="DS52" i="17" s="1"/>
  <c r="EY52" i="17" s="1"/>
  <c r="GE52" i="17" s="1"/>
  <c r="HK52" i="17" s="1"/>
  <c r="BG39" i="17"/>
  <c r="BN36" i="17"/>
  <c r="BO33" i="17"/>
  <c r="BG30" i="17"/>
  <c r="CM30" i="17" s="1"/>
  <c r="DS30" i="17" s="1"/>
  <c r="EY30" i="17" s="1"/>
  <c r="GE30" i="17" s="1"/>
  <c r="HK30" i="17" s="1"/>
  <c r="CW29" i="17"/>
  <c r="BN26" i="17"/>
  <c r="BH24" i="17"/>
  <c r="BN24" i="17"/>
  <c r="BH20" i="17"/>
  <c r="BN20" i="17"/>
  <c r="BO19" i="17"/>
  <c r="CW15" i="17"/>
  <c r="CG14" i="17"/>
  <c r="DM14" i="17" s="1"/>
  <c r="EC14" i="17" s="1"/>
  <c r="BO12" i="17"/>
  <c r="CU12" i="17" s="1"/>
  <c r="CV12" i="17" s="1"/>
  <c r="BH12" i="17"/>
  <c r="BN12" i="17"/>
  <c r="CT12" i="17" s="1"/>
  <c r="DZ12" i="17" s="1"/>
  <c r="FF12" i="17" s="1"/>
  <c r="GL12" i="17" s="1"/>
  <c r="HR12" i="17" s="1"/>
  <c r="BG12" i="17"/>
  <c r="CM12" i="17" s="1"/>
  <c r="DS12" i="17" s="1"/>
  <c r="EY12" i="17" s="1"/>
  <c r="GE12" i="17" s="1"/>
  <c r="HK12" i="17" s="1"/>
  <c r="DF94" i="11"/>
  <c r="HB143" i="17" s="1"/>
  <c r="HQ143" i="17" s="1"/>
  <c r="DO93" i="11"/>
  <c r="BK85" i="11"/>
  <c r="M85" i="11"/>
  <c r="BR78" i="11"/>
  <c r="AD78" i="11"/>
  <c r="DN76" i="11"/>
  <c r="DO76" i="11" s="1"/>
  <c r="BB72" i="11"/>
  <c r="R72" i="11"/>
  <c r="L72" i="11"/>
  <c r="M72" i="11"/>
  <c r="I72" i="11"/>
  <c r="DL35" i="11"/>
  <c r="BR34" i="11"/>
  <c r="BB34" i="11"/>
  <c r="BB35" i="11" s="1"/>
  <c r="BB37" i="11" s="1"/>
  <c r="G117" i="17"/>
  <c r="N117" i="17"/>
  <c r="GX236" i="17"/>
  <c r="D42" i="60" s="1"/>
  <c r="CJ236" i="17"/>
  <c r="DP236" i="17" s="1"/>
  <c r="EV236" i="17" s="1"/>
  <c r="GB236" i="17" s="1"/>
  <c r="HH236" i="17" s="1"/>
  <c r="G14" i="60"/>
  <c r="F13" i="60" s="1"/>
  <c r="EQ241" i="17"/>
  <c r="DE241" i="17"/>
  <c r="AH241" i="17"/>
  <c r="AA241" i="17"/>
  <c r="HC231" i="17"/>
  <c r="AY231" i="17"/>
  <c r="BN231" i="17" s="1"/>
  <c r="AS231" i="17"/>
  <c r="BG231" i="17" s="1"/>
  <c r="BH230" i="17"/>
  <c r="BL226" i="17"/>
  <c r="BD215" i="17"/>
  <c r="GX215" i="17"/>
  <c r="D38" i="60" s="1"/>
  <c r="EL215" i="17"/>
  <c r="D38" i="53" s="1"/>
  <c r="AB215" i="17"/>
  <c r="BH215" i="17" s="1"/>
  <c r="T215" i="17"/>
  <c r="FQ215" i="17"/>
  <c r="C38" i="56" s="1"/>
  <c r="E38" i="56" s="1"/>
  <c r="DE215" i="17"/>
  <c r="C41" i="48" s="1"/>
  <c r="E41" i="48" s="1"/>
  <c r="BZ215" i="17"/>
  <c r="AS215" i="17"/>
  <c r="C39" i="35" s="1"/>
  <c r="E39" i="35" s="1"/>
  <c r="AA215" i="17"/>
  <c r="BH208" i="17"/>
  <c r="BI208" i="17" s="1"/>
  <c r="AJ206" i="17"/>
  <c r="BH200" i="17"/>
  <c r="AJ199" i="17"/>
  <c r="BH189" i="17"/>
  <c r="BI189" i="17" s="1"/>
  <c r="CJ189" i="17"/>
  <c r="BO189" i="17"/>
  <c r="BH187" i="17"/>
  <c r="BI187" i="17" s="1"/>
  <c r="BQ187" i="17"/>
  <c r="FY183" i="17"/>
  <c r="DL181" i="17"/>
  <c r="AJ181" i="17"/>
  <c r="BO180" i="17"/>
  <c r="EC179" i="17"/>
  <c r="BO179" i="17"/>
  <c r="BH179" i="17"/>
  <c r="AK179" i="17"/>
  <c r="FI178" i="17"/>
  <c r="AK178" i="17"/>
  <c r="BH177" i="17"/>
  <c r="BN177" i="17"/>
  <c r="AJ176" i="17"/>
  <c r="DO175" i="17"/>
  <c r="EU175" i="17" s="1"/>
  <c r="GA175" i="17" s="1"/>
  <c r="HG175" i="17" s="1"/>
  <c r="BP166" i="17"/>
  <c r="BH165" i="17"/>
  <c r="BL165" i="17"/>
  <c r="BL163" i="17" s="1"/>
  <c r="J160" i="17"/>
  <c r="FN160" i="17"/>
  <c r="BO156" i="17"/>
  <c r="CP154" i="17"/>
  <c r="BN151" i="17"/>
  <c r="CW150" i="17"/>
  <c r="CG149" i="17"/>
  <c r="DM149" i="17" s="1"/>
  <c r="EC149" i="17" s="1"/>
  <c r="FR154" i="17"/>
  <c r="BV147" i="17"/>
  <c r="BK147" i="17"/>
  <c r="EE147" i="17"/>
  <c r="BH145" i="17"/>
  <c r="DK147" i="17"/>
  <c r="BY147" i="17"/>
  <c r="BD141" i="17"/>
  <c r="CJ141" i="17" s="1"/>
  <c r="DP141" i="17" s="1"/>
  <c r="EV141" i="17" s="1"/>
  <c r="GW147" i="17"/>
  <c r="P140" i="17"/>
  <c r="AT138" i="17"/>
  <c r="AP138" i="17"/>
  <c r="AP131" i="17"/>
  <c r="AH131" i="17"/>
  <c r="CP130" i="17"/>
  <c r="DV130" i="17" s="1"/>
  <c r="CG130" i="17"/>
  <c r="CW130" i="17" s="1"/>
  <c r="BG130" i="17"/>
  <c r="GZ129" i="17"/>
  <c r="DL123" i="17"/>
  <c r="BZ123" i="17"/>
  <c r="CR125" i="17"/>
  <c r="DX125" i="17" s="1"/>
  <c r="FD125" i="17" s="1"/>
  <c r="GJ125" i="17" s="1"/>
  <c r="HP125" i="17" s="1"/>
  <c r="BL128" i="17"/>
  <c r="BQ125" i="17"/>
  <c r="CG125" i="17"/>
  <c r="DM125" i="17" s="1"/>
  <c r="ES125" i="17" s="1"/>
  <c r="DO174" i="17"/>
  <c r="ER154" i="17"/>
  <c r="R145" i="17"/>
  <c r="S145" i="17" s="1"/>
  <c r="AJ145" i="17" s="1"/>
  <c r="FW147" i="17"/>
  <c r="AB138" i="17"/>
  <c r="CW132" i="17"/>
  <c r="GR129" i="17"/>
  <c r="GR139" i="17" s="1"/>
  <c r="GR161" i="17" s="1"/>
  <c r="HB129" i="17"/>
  <c r="FK129" i="17"/>
  <c r="FK139" i="17" s="1"/>
  <c r="CA129" i="17"/>
  <c r="CA139" i="17" s="1"/>
  <c r="CA161" i="17" s="1"/>
  <c r="C7" i="41" s="1"/>
  <c r="DK128" i="17"/>
  <c r="Q128" i="17"/>
  <c r="BH126" i="17"/>
  <c r="O128" i="17"/>
  <c r="O129" i="17" s="1"/>
  <c r="FW128" i="17"/>
  <c r="FW129" i="17" s="1"/>
  <c r="BO125" i="17"/>
  <c r="BH125" i="17"/>
  <c r="CN125" i="17" s="1"/>
  <c r="DT125" i="17" s="1"/>
  <c r="FV129" i="17"/>
  <c r="FJ129" i="17"/>
  <c r="FJ139" i="17" s="1"/>
  <c r="FJ161" i="17" s="1"/>
  <c r="DC129" i="17"/>
  <c r="DC139" i="17" s="1"/>
  <c r="DC161" i="17" s="1"/>
  <c r="C33" i="48" s="1"/>
  <c r="CY129" i="17"/>
  <c r="BM123" i="17"/>
  <c r="BG117" i="17"/>
  <c r="CM117" i="17" s="1"/>
  <c r="DS117" i="17" s="1"/>
  <c r="EY117" i="17" s="1"/>
  <c r="GE117" i="17" s="1"/>
  <c r="HK117" i="17" s="1"/>
  <c r="BO116" i="17"/>
  <c r="BN113" i="17"/>
  <c r="BN111" i="17"/>
  <c r="BQ108" i="17"/>
  <c r="H123" i="17"/>
  <c r="H129" i="17" s="1"/>
  <c r="H139" i="17" s="1"/>
  <c r="H161" i="17" s="1"/>
  <c r="AJ103" i="17"/>
  <c r="AC103" i="17"/>
  <c r="CW102" i="17"/>
  <c r="BN98" i="17"/>
  <c r="CT98" i="17" s="1"/>
  <c r="DZ98" i="17" s="1"/>
  <c r="FF98" i="17" s="1"/>
  <c r="GL98" i="17" s="1"/>
  <c r="HR98" i="17" s="1"/>
  <c r="BG98" i="17"/>
  <c r="CM98" i="17" s="1"/>
  <c r="DS98" i="17" s="1"/>
  <c r="EY98" i="17" s="1"/>
  <c r="GE98" i="17" s="1"/>
  <c r="HK98" i="17" s="1"/>
  <c r="J96" i="17"/>
  <c r="CG95" i="17"/>
  <c r="DM95" i="17" s="1"/>
  <c r="EC95" i="17" s="1"/>
  <c r="BO94" i="17"/>
  <c r="BN93" i="17"/>
  <c r="BH89" i="17"/>
  <c r="J89" i="17"/>
  <c r="BO88" i="17"/>
  <c r="BH88" i="17"/>
  <c r="J88" i="17"/>
  <c r="BO87" i="17"/>
  <c r="CU87" i="17" s="1"/>
  <c r="EA87" i="17" s="1"/>
  <c r="FG87" i="17" s="1"/>
  <c r="GM87" i="17" s="1"/>
  <c r="HS87" i="17" s="1"/>
  <c r="N87" i="17"/>
  <c r="BG75" i="17"/>
  <c r="BG70" i="17"/>
  <c r="BG65" i="17"/>
  <c r="CM65" i="17" s="1"/>
  <c r="DS65" i="17" s="1"/>
  <c r="EY65" i="17" s="1"/>
  <c r="GE65" i="17" s="1"/>
  <c r="HK65" i="17" s="1"/>
  <c r="BO64" i="17"/>
  <c r="BG58" i="17"/>
  <c r="BN55" i="17"/>
  <c r="BO52" i="17"/>
  <c r="BO51" i="17"/>
  <c r="BH51" i="17"/>
  <c r="DM50" i="17"/>
  <c r="BG50" i="17"/>
  <c r="CM50" i="17" s="1"/>
  <c r="DS50" i="17" s="1"/>
  <c r="EY50" i="17" s="1"/>
  <c r="GE50" i="17" s="1"/>
  <c r="HK50" i="17" s="1"/>
  <c r="AJ48" i="17"/>
  <c r="BN47" i="17"/>
  <c r="DM46" i="17"/>
  <c r="BG46" i="17"/>
  <c r="CM46" i="17" s="1"/>
  <c r="DS46" i="17" s="1"/>
  <c r="EY46" i="17" s="1"/>
  <c r="GE46" i="17" s="1"/>
  <c r="HK46" i="17" s="1"/>
  <c r="BN44" i="17"/>
  <c r="BH42" i="17"/>
  <c r="BO41" i="17"/>
  <c r="BG41" i="17"/>
  <c r="CM41" i="17" s="1"/>
  <c r="DS41" i="17" s="1"/>
  <c r="EY41" i="17" s="1"/>
  <c r="GE41" i="17" s="1"/>
  <c r="HK41" i="17" s="1"/>
  <c r="DM31" i="17"/>
  <c r="ES31" i="17" s="1"/>
  <c r="FI31" i="17" s="1"/>
  <c r="BG31" i="17"/>
  <c r="BN29" i="17"/>
  <c r="BG22" i="17"/>
  <c r="CW21" i="17"/>
  <c r="DM16" i="17"/>
  <c r="BH15" i="17"/>
  <c r="BN15" i="17"/>
  <c r="CT15" i="17" s="1"/>
  <c r="DZ15" i="17" s="1"/>
  <c r="FF15" i="17" s="1"/>
  <c r="GL15" i="17" s="1"/>
  <c r="HR15" i="17" s="1"/>
  <c r="BN14" i="17"/>
  <c r="CT14" i="17" s="1"/>
  <c r="DZ14" i="17" s="1"/>
  <c r="FF14" i="17" s="1"/>
  <c r="GL14" i="17" s="1"/>
  <c r="HR14" i="17" s="1"/>
  <c r="BG14" i="17"/>
  <c r="CM14" i="17" s="1"/>
  <c r="BO13" i="17"/>
  <c r="CU13" i="17" s="1"/>
  <c r="BH13" i="17"/>
  <c r="BI13" i="17" s="1"/>
  <c r="BG13" i="17"/>
  <c r="BQ11" i="17"/>
  <c r="CG10" i="17"/>
  <c r="BG10" i="17"/>
  <c r="CM10" i="17" s="1"/>
  <c r="DS10" i="17" s="1"/>
  <c r="EY10" i="17" s="1"/>
  <c r="GE10" i="17" s="1"/>
  <c r="HK10" i="17" s="1"/>
  <c r="E100" i="11"/>
  <c r="BZ94" i="11"/>
  <c r="BB94" i="11"/>
  <c r="DK94" i="11"/>
  <c r="BV94" i="11"/>
  <c r="Z94" i="11"/>
  <c r="DN82" i="11"/>
  <c r="DO82" i="11" s="1"/>
  <c r="DN70" i="11"/>
  <c r="EC50" i="11"/>
  <c r="P79" i="17" s="1"/>
  <c r="R79" i="17" s="1"/>
  <c r="DN21" i="11"/>
  <c r="DO21" i="11" s="1"/>
  <c r="EP147" i="17"/>
  <c r="EF138" i="17"/>
  <c r="CS125" i="17"/>
  <c r="DY125" i="17" s="1"/>
  <c r="FE125" i="17" s="1"/>
  <c r="GK125" i="17" s="1"/>
  <c r="HQ125" i="17" s="1"/>
  <c r="C44" i="56"/>
  <c r="E44" i="56" s="1"/>
  <c r="U218" i="17"/>
  <c r="BA218" i="17" s="1"/>
  <c r="CG218" i="17" s="1"/>
  <c r="DM218" i="17" s="1"/>
  <c r="ES218" i="17" s="1"/>
  <c r="FY218" i="17" s="1"/>
  <c r="HE218" i="17" s="1"/>
  <c r="BH218" i="17"/>
  <c r="CN218" i="17" s="1"/>
  <c r="DT218" i="17" s="1"/>
  <c r="EZ218" i="17" s="1"/>
  <c r="GF218" i="17" s="1"/>
  <c r="F209" i="17"/>
  <c r="E211" i="17"/>
  <c r="EK200" i="17"/>
  <c r="EU200" i="17"/>
  <c r="GA200" i="17" s="1"/>
  <c r="HG200" i="17" s="1"/>
  <c r="AJ200" i="17"/>
  <c r="BO200" i="17"/>
  <c r="CW143" i="17"/>
  <c r="DM143" i="17"/>
  <c r="ES143" i="17" s="1"/>
  <c r="ES102" i="17"/>
  <c r="EC102" i="17"/>
  <c r="CN230" i="17"/>
  <c r="DT230" i="17" s="1"/>
  <c r="D36" i="45" s="1"/>
  <c r="FQ241" i="17"/>
  <c r="FM241" i="17"/>
  <c r="EV241" i="17"/>
  <c r="EK241" i="17"/>
  <c r="DK241" i="17"/>
  <c r="CE241" i="17"/>
  <c r="AS241" i="17"/>
  <c r="BG241" i="17" s="1"/>
  <c r="BL241" i="17"/>
  <c r="GA239" i="17"/>
  <c r="HG239" i="17" s="1"/>
  <c r="CQ241" i="17"/>
  <c r="CL241" i="17"/>
  <c r="AB241" i="17"/>
  <c r="CQ236" i="17"/>
  <c r="BO236" i="17"/>
  <c r="CP236" i="17"/>
  <c r="DV236" i="17" s="1"/>
  <c r="FB236" i="17" s="1"/>
  <c r="GH236" i="17" s="1"/>
  <c r="HN236" i="17" s="1"/>
  <c r="CI236" i="17"/>
  <c r="DO236" i="17" s="1"/>
  <c r="EU236" i="17" s="1"/>
  <c r="GA236" i="17" s="1"/>
  <c r="HG236" i="17" s="1"/>
  <c r="FT231" i="17"/>
  <c r="FN231" i="17"/>
  <c r="EL231" i="17"/>
  <c r="CF231" i="17"/>
  <c r="AZ231" i="17"/>
  <c r="BO231" i="17" s="1"/>
  <c r="AV231" i="17"/>
  <c r="BK231" i="17" s="1"/>
  <c r="CQ231" i="17" s="1"/>
  <c r="DW231" i="17" s="1"/>
  <c r="AT231" i="17"/>
  <c r="BH231" i="17" s="1"/>
  <c r="AP231" i="17"/>
  <c r="BD231" i="17" s="1"/>
  <c r="HD226" i="17"/>
  <c r="FT226" i="17"/>
  <c r="BN221" i="17"/>
  <c r="BN202" i="17"/>
  <c r="GB200" i="17"/>
  <c r="HH200" i="17" s="1"/>
  <c r="DP214" i="17"/>
  <c r="EV214" i="17" s="1"/>
  <c r="GB214" i="17" s="1"/>
  <c r="HH214" i="17" s="1"/>
  <c r="CJ215" i="17"/>
  <c r="EK206" i="17"/>
  <c r="EM206" i="17"/>
  <c r="EQ206" i="17" s="1"/>
  <c r="AJ204" i="17"/>
  <c r="BO204" i="17"/>
  <c r="FQ186" i="17"/>
  <c r="FU186" i="17"/>
  <c r="FW186" i="17" s="1"/>
  <c r="BN205" i="17"/>
  <c r="BQ71" i="17"/>
  <c r="CG71" i="17"/>
  <c r="DM71" i="17" s="1"/>
  <c r="CG69" i="17"/>
  <c r="BQ69" i="17"/>
  <c r="CG64" i="17"/>
  <c r="BQ64" i="17"/>
  <c r="CG62" i="17"/>
  <c r="BQ62" i="17"/>
  <c r="BQ61" i="17"/>
  <c r="CG61" i="17"/>
  <c r="DM11" i="17"/>
  <c r="CW11" i="17"/>
  <c r="AH226" i="17"/>
  <c r="BN224" i="17"/>
  <c r="CT224" i="17" s="1"/>
  <c r="DZ224" i="17" s="1"/>
  <c r="CU216" i="17"/>
  <c r="CM216" i="17"/>
  <c r="DS216" i="17" s="1"/>
  <c r="EY216" i="17" s="1"/>
  <c r="BO209" i="17"/>
  <c r="CU209" i="17" s="1"/>
  <c r="EA209" i="17" s="1"/>
  <c r="BG204" i="17"/>
  <c r="CM204" i="17" s="1"/>
  <c r="DS204" i="17" s="1"/>
  <c r="BO201" i="17"/>
  <c r="BH201" i="17"/>
  <c r="BI201" i="17" s="1"/>
  <c r="BH198" i="17"/>
  <c r="BH197" i="17"/>
  <c r="BI197" i="17" s="1"/>
  <c r="BH196" i="17"/>
  <c r="BI196" i="17" s="1"/>
  <c r="BH194" i="17"/>
  <c r="EU193" i="17"/>
  <c r="GA193" i="17" s="1"/>
  <c r="HG193" i="17" s="1"/>
  <c r="FS192" i="17"/>
  <c r="CN189" i="17"/>
  <c r="BM188" i="17"/>
  <c r="AJ188" i="17"/>
  <c r="CG187" i="17"/>
  <c r="CW187" i="17" s="1"/>
  <c r="CT187" i="17"/>
  <c r="CJ186" i="17"/>
  <c r="DP186" i="17" s="1"/>
  <c r="EV186" i="17" s="1"/>
  <c r="GB186" i="17" s="1"/>
  <c r="BH186" i="17"/>
  <c r="BI186" i="17" s="1"/>
  <c r="BG186" i="17"/>
  <c r="CM186" i="17" s="1"/>
  <c r="AJ184" i="17"/>
  <c r="FD183" i="17"/>
  <c r="GJ183" i="17" s="1"/>
  <c r="HP183" i="17" s="1"/>
  <c r="HH182" i="17"/>
  <c r="GK182" i="17"/>
  <c r="BO181" i="17"/>
  <c r="DO181" i="17"/>
  <c r="EU181" i="17" s="1"/>
  <c r="BQ177" i="17"/>
  <c r="FV176" i="17"/>
  <c r="FX176" i="17" s="1"/>
  <c r="BO176" i="17"/>
  <c r="CR176" i="17"/>
  <c r="BG175" i="17"/>
  <c r="CM175" i="17" s="1"/>
  <c r="DS175" i="17" s="1"/>
  <c r="EY175" i="17" s="1"/>
  <c r="GE175" i="17" s="1"/>
  <c r="HK175" i="17" s="1"/>
  <c r="DI174" i="17"/>
  <c r="DK174" i="17" s="1"/>
  <c r="BC173" i="17"/>
  <c r="G173" i="17"/>
  <c r="CN167" i="17"/>
  <c r="CO167" i="17" s="1"/>
  <c r="BC164" i="17"/>
  <c r="CI164" i="17" s="1"/>
  <c r="DO164" i="17" s="1"/>
  <c r="EU164" i="17" s="1"/>
  <c r="GA164" i="17" s="1"/>
  <c r="BN164" i="17"/>
  <c r="AP160" i="17"/>
  <c r="CG159" i="17"/>
  <c r="DM159" i="17" s="1"/>
  <c r="BD158" i="17"/>
  <c r="CJ158" i="17" s="1"/>
  <c r="BG158" i="17"/>
  <c r="BG157" i="17"/>
  <c r="CM157" i="17" s="1"/>
  <c r="N160" i="17"/>
  <c r="GT154" i="17"/>
  <c r="CH154" i="17"/>
  <c r="BJ154" i="17"/>
  <c r="BB154" i="17"/>
  <c r="BN153" i="17"/>
  <c r="BN154" i="17" s="1"/>
  <c r="ES150" i="17"/>
  <c r="FY150" i="17" s="1"/>
  <c r="GO150" i="17" s="1"/>
  <c r="BE147" i="17"/>
  <c r="EL147" i="17"/>
  <c r="BN145" i="17"/>
  <c r="BO144" i="17"/>
  <c r="BN143" i="17"/>
  <c r="BD142" i="17"/>
  <c r="CJ142" i="17" s="1"/>
  <c r="DP142" i="17" s="1"/>
  <c r="EV142" i="17" s="1"/>
  <c r="GB142" i="17" s="1"/>
  <c r="HH142" i="17" s="1"/>
  <c r="BG142" i="17"/>
  <c r="CM142" i="17" s="1"/>
  <c r="DS142" i="17" s="1"/>
  <c r="EY142" i="17" s="1"/>
  <c r="GE142" i="17" s="1"/>
  <c r="HK142" i="17" s="1"/>
  <c r="BG140" i="17"/>
  <c r="O147" i="17"/>
  <c r="BJ138" i="17"/>
  <c r="J136" i="17"/>
  <c r="BH135" i="17"/>
  <c r="CN135" i="17" s="1"/>
  <c r="AK132" i="17"/>
  <c r="G132" i="17"/>
  <c r="CP131" i="17"/>
  <c r="CG131" i="17"/>
  <c r="GY129" i="17"/>
  <c r="GY139" i="17" s="1"/>
  <c r="GY161" i="17" s="1"/>
  <c r="C7" i="60" s="1"/>
  <c r="FS139" i="17"/>
  <c r="AF129" i="17"/>
  <c r="K129" i="17"/>
  <c r="K139" i="17" s="1"/>
  <c r="K161" i="17" s="1"/>
  <c r="DA129" i="17"/>
  <c r="BY128" i="17"/>
  <c r="HC128" i="17"/>
  <c r="HC129" i="17" s="1"/>
  <c r="FQ128" i="17"/>
  <c r="FQ129" i="17" s="1"/>
  <c r="BN126" i="17"/>
  <c r="R126" i="17"/>
  <c r="DL125" i="17"/>
  <c r="BJ128" i="17"/>
  <c r="BB123" i="17"/>
  <c r="AU129" i="17"/>
  <c r="AU139" i="17" s="1"/>
  <c r="AU161" i="17" s="1"/>
  <c r="C5" i="35" s="1"/>
  <c r="T123" i="17"/>
  <c r="BQ121" i="17"/>
  <c r="BG121" i="17"/>
  <c r="BG120" i="17"/>
  <c r="CM120" i="17" s="1"/>
  <c r="DS120" i="17" s="1"/>
  <c r="EY120" i="17" s="1"/>
  <c r="GE120" i="17" s="1"/>
  <c r="HK120" i="17" s="1"/>
  <c r="CG119" i="17"/>
  <c r="DM119" i="17" s="1"/>
  <c r="BO118" i="17"/>
  <c r="DM117" i="17"/>
  <c r="BN117" i="17"/>
  <c r="CT117" i="17" s="1"/>
  <c r="DZ117" i="17" s="1"/>
  <c r="FF117" i="17" s="1"/>
  <c r="GL117" i="17" s="1"/>
  <c r="HR117" i="17" s="1"/>
  <c r="BQ116" i="17"/>
  <c r="BQ114" i="17"/>
  <c r="BG114" i="17"/>
  <c r="BQ112" i="17"/>
  <c r="AI123" i="17"/>
  <c r="BH108" i="17"/>
  <c r="BO106" i="17"/>
  <c r="BQ104" i="17"/>
  <c r="BG104" i="17"/>
  <c r="BQ103" i="17"/>
  <c r="CG100" i="17"/>
  <c r="DM100" i="17" s="1"/>
  <c r="DM98" i="17"/>
  <c r="J98" i="17"/>
  <c r="BH97" i="17"/>
  <c r="J97" i="17"/>
  <c r="CW92" i="17"/>
  <c r="BO90" i="17"/>
  <c r="CU90" i="17" s="1"/>
  <c r="EA90" i="17" s="1"/>
  <c r="FG90" i="17" s="1"/>
  <c r="GM90" i="17" s="1"/>
  <c r="HS90" i="17" s="1"/>
  <c r="CG89" i="17"/>
  <c r="DM85" i="17"/>
  <c r="BG85" i="17"/>
  <c r="CM85" i="17" s="1"/>
  <c r="DS85" i="17" s="1"/>
  <c r="EY85" i="17" s="1"/>
  <c r="GE85" i="17" s="1"/>
  <c r="HK85" i="17" s="1"/>
  <c r="BG84" i="17"/>
  <c r="BO83" i="17"/>
  <c r="BQ81" i="17"/>
  <c r="BG81" i="17"/>
  <c r="CM81" i="17" s="1"/>
  <c r="DS81" i="17" s="1"/>
  <c r="EY81" i="17" s="1"/>
  <c r="GE81" i="17" s="1"/>
  <c r="HK81" i="17" s="1"/>
  <c r="BQ80" i="17"/>
  <c r="BO78" i="17"/>
  <c r="BN77" i="17"/>
  <c r="AJ75" i="17"/>
  <c r="AC75" i="17"/>
  <c r="J74" i="17"/>
  <c r="GY211" i="17"/>
  <c r="BU211" i="17"/>
  <c r="BG170" i="17"/>
  <c r="BZ160" i="17"/>
  <c r="BL160" i="17"/>
  <c r="HD160" i="17"/>
  <c r="DF154" i="17"/>
  <c r="BK154" i="17"/>
  <c r="EL154" i="17"/>
  <c r="CF154" i="17"/>
  <c r="AY154" i="17"/>
  <c r="N154" i="17"/>
  <c r="CE147" i="17"/>
  <c r="DE147" i="17"/>
  <c r="AS147" i="17"/>
  <c r="BG141" i="17"/>
  <c r="HC147" i="17"/>
  <c r="G138" i="17"/>
  <c r="CN134" i="17"/>
  <c r="DT134" i="17" s="1"/>
  <c r="EZ134" i="17" s="1"/>
  <c r="GF134" i="17" s="1"/>
  <c r="HL134" i="17" s="1"/>
  <c r="DK138" i="17"/>
  <c r="HC138" i="17"/>
  <c r="AM139" i="17"/>
  <c r="FT129" i="17"/>
  <c r="FN129" i="17"/>
  <c r="EO129" i="17"/>
  <c r="DG129" i="17"/>
  <c r="DG139" i="17" s="1"/>
  <c r="DT102" i="17"/>
  <c r="EZ102" i="17" s="1"/>
  <c r="GF102" i="17" s="1"/>
  <c r="HL102" i="17" s="1"/>
  <c r="BG73" i="17"/>
  <c r="CM73" i="17" s="1"/>
  <c r="DS73" i="17" s="1"/>
  <c r="EY73" i="17" s="1"/>
  <c r="GE73" i="17" s="1"/>
  <c r="HK73" i="17" s="1"/>
  <c r="BO70" i="17"/>
  <c r="BP70" i="17" s="1"/>
  <c r="BG69" i="17"/>
  <c r="AJ65" i="17"/>
  <c r="AC65" i="17"/>
  <c r="BG62" i="17"/>
  <c r="BG61" i="17"/>
  <c r="CM61" i="17" s="1"/>
  <c r="DS61" i="17" s="1"/>
  <c r="EY61" i="17" s="1"/>
  <c r="GE61" i="17" s="1"/>
  <c r="HK61" i="17" s="1"/>
  <c r="CG59" i="17"/>
  <c r="DM59" i="17" s="1"/>
  <c r="BO58" i="17"/>
  <c r="BQ57" i="17"/>
  <c r="BG57" i="17"/>
  <c r="BQ54" i="17"/>
  <c r="BG54" i="17"/>
  <c r="CM54" i="17" s="1"/>
  <c r="DS54" i="17" s="1"/>
  <c r="EY54" i="17" s="1"/>
  <c r="GE54" i="17" s="1"/>
  <c r="HK54" i="17" s="1"/>
  <c r="BQ52" i="17"/>
  <c r="AJ50" i="17"/>
  <c r="BN49" i="17"/>
  <c r="DM48" i="17"/>
  <c r="AJ46" i="17"/>
  <c r="CW45" i="17"/>
  <c r="BN45" i="17"/>
  <c r="AC44" i="17"/>
  <c r="CG40" i="17"/>
  <c r="DM40" i="17" s="1"/>
  <c r="BO39" i="17"/>
  <c r="BN38" i="17"/>
  <c r="DM35" i="17"/>
  <c r="BG35" i="17"/>
  <c r="DM30" i="17"/>
  <c r="DM23" i="17"/>
  <c r="BO23" i="17"/>
  <c r="BP23" i="17" s="1"/>
  <c r="BO22" i="17"/>
  <c r="ES21" i="17"/>
  <c r="FY21" i="17" s="1"/>
  <c r="GO21" i="17" s="1"/>
  <c r="BN18" i="17"/>
  <c r="BO16" i="17"/>
  <c r="BG16" i="17"/>
  <c r="CM15" i="17"/>
  <c r="EA14" i="17"/>
  <c r="FG14" i="17" s="1"/>
  <c r="FH14" i="17" s="1"/>
  <c r="DM12" i="17"/>
  <c r="BH11" i="17"/>
  <c r="BI11" i="17" s="1"/>
  <c r="BO11" i="17"/>
  <c r="CU11" i="17" s="1"/>
  <c r="CV11" i="17" s="1"/>
  <c r="BN11" i="17"/>
  <c r="CT11" i="17" s="1"/>
  <c r="DZ11" i="17" s="1"/>
  <c r="FF11" i="17" s="1"/>
  <c r="GL11" i="17" s="1"/>
  <c r="HR11" i="17" s="1"/>
  <c r="BN10" i="17"/>
  <c r="CT10" i="17" s="1"/>
  <c r="DZ10" i="17" s="1"/>
  <c r="FF10" i="17" s="1"/>
  <c r="GL10" i="17" s="1"/>
  <c r="HR10" i="17" s="1"/>
  <c r="BH10" i="17"/>
  <c r="BI10" i="17" s="1"/>
  <c r="CP94" i="11"/>
  <c r="AL94" i="11"/>
  <c r="V94" i="11"/>
  <c r="CI94" i="11"/>
  <c r="BC94" i="11"/>
  <c r="DN89" i="11"/>
  <c r="DO89" i="11" s="1"/>
  <c r="DN84" i="11"/>
  <c r="DO84" i="11" s="1"/>
  <c r="CA85" i="11"/>
  <c r="AH82" i="11"/>
  <c r="O82" i="11"/>
  <c r="Q100" i="11"/>
  <c r="I78" i="11"/>
  <c r="C100" i="11"/>
  <c r="DN71" i="11"/>
  <c r="DO71" i="11" s="1"/>
  <c r="B58" i="11"/>
  <c r="CS100" i="11"/>
  <c r="CK100" i="11"/>
  <c r="CK102" i="11" s="1"/>
  <c r="DN27" i="11"/>
  <c r="DO27" i="11" s="1"/>
  <c r="DM25" i="11"/>
  <c r="DN25" i="11" s="1"/>
  <c r="DO25" i="11" s="1"/>
  <c r="DN22" i="11"/>
  <c r="DO22" i="11" s="1"/>
  <c r="AU34" i="11"/>
  <c r="AU35" i="11" s="1"/>
  <c r="DU34" i="11"/>
  <c r="T136" i="17" s="1"/>
  <c r="AK136" i="17" s="1"/>
  <c r="DI34" i="11"/>
  <c r="DI35" i="11" s="1"/>
  <c r="DI12" i="11"/>
  <c r="DI103" i="11" s="1"/>
  <c r="CT13" i="17"/>
  <c r="DZ13" i="17" s="1"/>
  <c r="FF13" i="17" s="1"/>
  <c r="GL13" i="17" s="1"/>
  <c r="HR13" i="17" s="1"/>
  <c r="CM13" i="17"/>
  <c r="DS13" i="17" s="1"/>
  <c r="DS11" i="17"/>
  <c r="EY11" i="17" s="1"/>
  <c r="GE11" i="17" s="1"/>
  <c r="HK11" i="17" s="1"/>
  <c r="BF94" i="11"/>
  <c r="AE85" i="11"/>
  <c r="I85" i="11"/>
  <c r="DG85" i="11"/>
  <c r="BM100" i="11"/>
  <c r="M10" i="11"/>
  <c r="EE12" i="11"/>
  <c r="O132" i="17" s="1"/>
  <c r="AU12" i="11"/>
  <c r="AM12" i="11"/>
  <c r="EN147" i="17"/>
  <c r="EF147" i="17"/>
  <c r="BO228" i="17"/>
  <c r="CU228" i="17" s="1"/>
  <c r="EA228" i="17" s="1"/>
  <c r="D17" i="45" s="1"/>
  <c r="GI240" i="17"/>
  <c r="HO240" i="17" s="1"/>
  <c r="D10" i="56"/>
  <c r="E10" i="56" s="1"/>
  <c r="FX231" i="17"/>
  <c r="FE241" i="17"/>
  <c r="EX241" i="17"/>
  <c r="BI200" i="17"/>
  <c r="CN200" i="17"/>
  <c r="DV157" i="17"/>
  <c r="FB157" i="17" s="1"/>
  <c r="CP160" i="17"/>
  <c r="ET150" i="17"/>
  <c r="FZ150" i="17" s="1"/>
  <c r="DN154" i="17"/>
  <c r="CG138" i="17"/>
  <c r="DM133" i="17"/>
  <c r="ES133" i="17" s="1"/>
  <c r="AJ30" i="17"/>
  <c r="BO30" i="17"/>
  <c r="AC28" i="17"/>
  <c r="BH28" i="17"/>
  <c r="DM18" i="17"/>
  <c r="EC18" i="17" s="1"/>
  <c r="CW18" i="17"/>
  <c r="AC18" i="17"/>
  <c r="BH18" i="17"/>
  <c r="CG17" i="17"/>
  <c r="BQ17" i="17"/>
  <c r="AO37" i="11"/>
  <c r="AO100" i="11" s="1"/>
  <c r="AO102" i="11"/>
  <c r="AE17" i="11"/>
  <c r="AD35" i="11"/>
  <c r="AD37" i="11" s="1"/>
  <c r="CF236" i="17"/>
  <c r="D10" i="31"/>
  <c r="G14" i="31" s="1"/>
  <c r="F13" i="31" s="1"/>
  <c r="HD241" i="17"/>
  <c r="FW241" i="17"/>
  <c r="ER241" i="17"/>
  <c r="EL241" i="17"/>
  <c r="BZ241" i="17"/>
  <c r="E24" i="53"/>
  <c r="E20" i="35"/>
  <c r="E41" i="60"/>
  <c r="BG233" i="17"/>
  <c r="HD231" i="17"/>
  <c r="CE231" i="17"/>
  <c r="CT231" i="17" s="1"/>
  <c r="DZ231" i="17" s="1"/>
  <c r="BY231" i="17"/>
  <c r="BG228" i="17"/>
  <c r="CM228" i="17" s="1"/>
  <c r="DS228" i="17" s="1"/>
  <c r="EQ226" i="17"/>
  <c r="DL226" i="17"/>
  <c r="CE226" i="17"/>
  <c r="DH226" i="17"/>
  <c r="BN225" i="17"/>
  <c r="CT225" i="17" s="1"/>
  <c r="CP222" i="17"/>
  <c r="DV222" i="17" s="1"/>
  <c r="BH219" i="17"/>
  <c r="CN219" i="17" s="1"/>
  <c r="DT219" i="17" s="1"/>
  <c r="EZ219" i="17" s="1"/>
  <c r="GF219" i="17" s="1"/>
  <c r="HL219" i="17" s="1"/>
  <c r="E39" i="60"/>
  <c r="BO208" i="17"/>
  <c r="EU207" i="17"/>
  <c r="FS206" i="17"/>
  <c r="FW206" i="17" s="1"/>
  <c r="EU204" i="17"/>
  <c r="GA204" i="17" s="1"/>
  <c r="HG204" i="17" s="1"/>
  <c r="EM202" i="17"/>
  <c r="EQ202" i="17" s="1"/>
  <c r="GA201" i="17"/>
  <c r="HG201" i="17" s="1"/>
  <c r="BH199" i="17"/>
  <c r="BI199" i="17" s="1"/>
  <c r="BO199" i="17"/>
  <c r="BO197" i="17"/>
  <c r="BO196" i="17"/>
  <c r="EU195" i="17"/>
  <c r="BP195" i="17"/>
  <c r="AJ195" i="17"/>
  <c r="EU192" i="17"/>
  <c r="GA192" i="17" s="1"/>
  <c r="HG192" i="17" s="1"/>
  <c r="EM192" i="17"/>
  <c r="EQ192" i="17" s="1"/>
  <c r="FF192" i="17" s="1"/>
  <c r="CB211" i="17"/>
  <c r="BO188" i="17"/>
  <c r="BH185" i="17"/>
  <c r="BI185" i="17" s="1"/>
  <c r="BO184" i="17"/>
  <c r="BP184" i="17" s="1"/>
  <c r="BH184" i="17"/>
  <c r="CW182" i="17"/>
  <c r="BH182" i="17"/>
  <c r="DI181" i="17"/>
  <c r="AJ178" i="17"/>
  <c r="CG177" i="17"/>
  <c r="FR176" i="17"/>
  <c r="CH176" i="17"/>
  <c r="DN176" i="17" s="1"/>
  <c r="ET176" i="17" s="1"/>
  <c r="BH176" i="17"/>
  <c r="BH175" i="17"/>
  <c r="BN174" i="17"/>
  <c r="BG174" i="17"/>
  <c r="BJ173" i="17"/>
  <c r="BE173" i="17"/>
  <c r="BO171" i="17"/>
  <c r="BP171" i="17" s="1"/>
  <c r="FL167" i="17"/>
  <c r="FL163" i="17" s="1"/>
  <c r="DT167" i="17"/>
  <c r="DU167" i="17" s="1"/>
  <c r="BC165" i="17"/>
  <c r="CI165" i="17" s="1"/>
  <c r="DO165" i="17" s="1"/>
  <c r="EU165" i="17" s="1"/>
  <c r="GA165" i="17" s="1"/>
  <c r="HG165" i="17" s="1"/>
  <c r="GT160" i="17"/>
  <c r="DB160" i="17"/>
  <c r="FX160" i="17"/>
  <c r="EL160" i="17"/>
  <c r="DR154" i="17"/>
  <c r="CR154" i="17"/>
  <c r="CL154" i="17"/>
  <c r="BM154" i="17"/>
  <c r="BF154" i="17"/>
  <c r="BC154" i="17"/>
  <c r="AB154" i="17"/>
  <c r="R154" i="17"/>
  <c r="DL154" i="17"/>
  <c r="ES151" i="17"/>
  <c r="FY151" i="17" s="1"/>
  <c r="GO151" i="17" s="1"/>
  <c r="CW151" i="17"/>
  <c r="BH151" i="17"/>
  <c r="FI150" i="17"/>
  <c r="ES149" i="17"/>
  <c r="CW149" i="17"/>
  <c r="BH149" i="17"/>
  <c r="BM147" i="17"/>
  <c r="BC147" i="17"/>
  <c r="AV147" i="17"/>
  <c r="AI147" i="17"/>
  <c r="J147" i="17"/>
  <c r="G147" i="17"/>
  <c r="FN147" i="17"/>
  <c r="FN161" i="17" s="1"/>
  <c r="D31" i="56" s="1"/>
  <c r="BH146" i="17"/>
  <c r="BI146" i="17" s="1"/>
  <c r="BD144" i="17"/>
  <c r="CJ144" i="17" s="1"/>
  <c r="DP144" i="17" s="1"/>
  <c r="EC143" i="17"/>
  <c r="GB141" i="17"/>
  <c r="HH141" i="17" s="1"/>
  <c r="Q140" i="17"/>
  <c r="EL138" i="17"/>
  <c r="BX139" i="17"/>
  <c r="BX161" i="17" s="1"/>
  <c r="D33" i="41" s="1"/>
  <c r="BV139" i="17"/>
  <c r="BV161" i="17" s="1"/>
  <c r="BT139" i="17"/>
  <c r="BT161" i="17" s="1"/>
  <c r="BR139" i="17"/>
  <c r="BR161" i="17" s="1"/>
  <c r="AQ139" i="17"/>
  <c r="M138" i="17"/>
  <c r="I138" i="17"/>
  <c r="J138" i="17" s="1"/>
  <c r="M137" i="17"/>
  <c r="DB138" i="17"/>
  <c r="BN136" i="17"/>
  <c r="CT136" i="17" s="1"/>
  <c r="DZ136" i="17" s="1"/>
  <c r="FF136" i="17" s="1"/>
  <c r="GL136" i="17" s="1"/>
  <c r="HR136" i="17" s="1"/>
  <c r="AO138" i="17"/>
  <c r="AO139" i="17" s="1"/>
  <c r="N134" i="17"/>
  <c r="AZ133" i="17"/>
  <c r="BO133" i="17" s="1"/>
  <c r="BP133" i="17" s="1"/>
  <c r="BH132" i="17"/>
  <c r="CN132" i="17" s="1"/>
  <c r="BD132" i="17"/>
  <c r="N132" i="17"/>
  <c r="N138" i="17" s="1"/>
  <c r="G131" i="17"/>
  <c r="DM130" i="17"/>
  <c r="HA129" i="17"/>
  <c r="HA139" i="17" s="1"/>
  <c r="DI129" i="17"/>
  <c r="DI139" i="17" s="1"/>
  <c r="DI161" i="17" s="1"/>
  <c r="C8" i="48" s="1"/>
  <c r="AY128" i="17"/>
  <c r="J127" i="17"/>
  <c r="G127" i="17"/>
  <c r="BQ126" i="17"/>
  <c r="BF123" i="17"/>
  <c r="AT123" i="17"/>
  <c r="AJ121" i="17"/>
  <c r="AC121" i="17"/>
  <c r="BN120" i="17"/>
  <c r="CT120" i="17" s="1"/>
  <c r="DZ120" i="17" s="1"/>
  <c r="FF120" i="17" s="1"/>
  <c r="GL120" i="17" s="1"/>
  <c r="HR120" i="17" s="1"/>
  <c r="BH119" i="17"/>
  <c r="CN119" i="17" s="1"/>
  <c r="DT119" i="17" s="1"/>
  <c r="EZ119" i="17" s="1"/>
  <c r="GF119" i="17" s="1"/>
  <c r="HL119" i="17" s="1"/>
  <c r="BQ110" i="17"/>
  <c r="AJ109" i="17"/>
  <c r="AC109" i="17"/>
  <c r="J108" i="17"/>
  <c r="J105" i="17"/>
  <c r="BO103" i="17"/>
  <c r="BP103" i="17" s="1"/>
  <c r="J101" i="17"/>
  <c r="BH99" i="17"/>
  <c r="BN99" i="17"/>
  <c r="CT99" i="17" s="1"/>
  <c r="DZ99" i="17" s="1"/>
  <c r="FF99" i="17" s="1"/>
  <c r="GL99" i="17" s="1"/>
  <c r="HR99" i="17" s="1"/>
  <c r="AJ99" i="17"/>
  <c r="BQ96" i="17"/>
  <c r="N96" i="17"/>
  <c r="BH95" i="17"/>
  <c r="CN95" i="17" s="1"/>
  <c r="DT95" i="17" s="1"/>
  <c r="EZ95" i="17" s="1"/>
  <c r="GF95" i="17" s="1"/>
  <c r="HL95" i="17" s="1"/>
  <c r="G95" i="17"/>
  <c r="EC93" i="17"/>
  <c r="DM92" i="17"/>
  <c r="FY91" i="17"/>
  <c r="HE91" i="17" s="1"/>
  <c r="HU91" i="17" s="1"/>
  <c r="EC91" i="17"/>
  <c r="BQ91" i="17"/>
  <c r="BQ90" i="17"/>
  <c r="N89" i="17"/>
  <c r="N88" i="17"/>
  <c r="BH87" i="17"/>
  <c r="AJ85" i="17"/>
  <c r="BO80" i="17"/>
  <c r="BP80" i="17" s="1"/>
  <c r="BQ79" i="17"/>
  <c r="BO75" i="17"/>
  <c r="BP75" i="17" s="1"/>
  <c r="BQ74" i="17"/>
  <c r="AJ69" i="17"/>
  <c r="AC69" i="17"/>
  <c r="BQ68" i="17"/>
  <c r="AJ67" i="17"/>
  <c r="AC67" i="17"/>
  <c r="BO65" i="17"/>
  <c r="BP65" i="17" s="1"/>
  <c r="AJ57" i="17"/>
  <c r="AC57" i="17"/>
  <c r="BQ56" i="17"/>
  <c r="BO50" i="17"/>
  <c r="BO48" i="17"/>
  <c r="BO46" i="17"/>
  <c r="BH43" i="17"/>
  <c r="BI43" i="17" s="1"/>
  <c r="BN43" i="17"/>
  <c r="AJ43" i="17"/>
  <c r="CG42" i="17"/>
  <c r="CW42" i="17" s="1"/>
  <c r="BO42" i="17"/>
  <c r="M42" i="17"/>
  <c r="BH34" i="17"/>
  <c r="BN34" i="17"/>
  <c r="CT34" i="17" s="1"/>
  <c r="DZ34" i="17" s="1"/>
  <c r="FF34" i="17" s="1"/>
  <c r="GL34" i="17" s="1"/>
  <c r="HR34" i="17" s="1"/>
  <c r="FY19" i="17"/>
  <c r="EC19" i="17"/>
  <c r="BQ15" i="17"/>
  <c r="ES14" i="17"/>
  <c r="CW14" i="17"/>
  <c r="BH14" i="17"/>
  <c r="FY13" i="17"/>
  <c r="EC13" i="17"/>
  <c r="CG33" i="17"/>
  <c r="BQ33" i="17"/>
  <c r="DM27" i="17"/>
  <c r="CW27" i="17"/>
  <c r="CG25" i="17"/>
  <c r="BQ25" i="17"/>
  <c r="CG24" i="17"/>
  <c r="BQ24" i="17"/>
  <c r="CW22" i="17"/>
  <c r="DM22" i="17"/>
  <c r="EC15" i="17"/>
  <c r="ES15" i="17"/>
  <c r="CV13" i="17"/>
  <c r="EA13" i="17"/>
  <c r="FG13" i="17" s="1"/>
  <c r="EA12" i="17"/>
  <c r="BI12" i="17"/>
  <c r="CN12" i="17"/>
  <c r="CN10" i="17"/>
  <c r="AW37" i="11"/>
  <c r="AW100" i="11" s="1"/>
  <c r="AW102" i="11"/>
  <c r="Z12" i="11"/>
  <c r="AH10" i="11"/>
  <c r="AP10" i="11" s="1"/>
  <c r="AX10" i="11" s="1"/>
  <c r="BF10" i="11" s="1"/>
  <c r="FQ139" i="17"/>
  <c r="CY139" i="17"/>
  <c r="BP109" i="17"/>
  <c r="BP69" i="17"/>
  <c r="BP67" i="17"/>
  <c r="BP57" i="17"/>
  <c r="DM12" i="11"/>
  <c r="BN28" i="17"/>
  <c r="CT28" i="17" s="1"/>
  <c r="DZ28" i="17" s="1"/>
  <c r="FF28" i="17" s="1"/>
  <c r="GL28" i="17" s="1"/>
  <c r="HR28" i="17" s="1"/>
  <c r="BH27" i="17"/>
  <c r="AJ16" i="17"/>
  <c r="BO15" i="17"/>
  <c r="AJ14" i="17"/>
  <c r="Q102" i="11"/>
  <c r="CX94" i="11"/>
  <c r="CH94" i="11"/>
  <c r="BJ94" i="11"/>
  <c r="AT94" i="11"/>
  <c r="E94" i="11"/>
  <c r="D94" i="11" s="1"/>
  <c r="DN87" i="11"/>
  <c r="AL85" i="11"/>
  <c r="AX85" i="11"/>
  <c r="O84" i="11"/>
  <c r="AH83" i="11"/>
  <c r="O83" i="11"/>
  <c r="O85" i="11" s="1"/>
  <c r="BS82" i="11"/>
  <c r="CX78" i="11"/>
  <c r="BB78" i="11"/>
  <c r="DN77" i="11"/>
  <c r="DK78" i="11"/>
  <c r="M78" i="11"/>
  <c r="O76" i="11"/>
  <c r="CH72" i="11"/>
  <c r="AX72" i="11"/>
  <c r="O70" i="11"/>
  <c r="ED43" i="11"/>
  <c r="ED34" i="11"/>
  <c r="Q136" i="17" s="1"/>
  <c r="Q138" i="17" s="1"/>
  <c r="CH34" i="11"/>
  <c r="U34" i="11"/>
  <c r="U35" i="11" s="1"/>
  <c r="D34" i="11"/>
  <c r="DN32" i="11"/>
  <c r="DO32" i="11" s="1"/>
  <c r="DN29" i="11"/>
  <c r="DO29" i="11" s="1"/>
  <c r="DN26" i="11"/>
  <c r="DO26" i="11" s="1"/>
  <c r="DN23" i="11"/>
  <c r="DO23" i="11" s="1"/>
  <c r="DN20" i="11"/>
  <c r="CH12" i="11"/>
  <c r="DJ132" i="17" s="1"/>
  <c r="DL132" i="17" s="1"/>
  <c r="BR12" i="11"/>
  <c r="AX132" i="17" s="1"/>
  <c r="BM132" i="17" s="1"/>
  <c r="U12" i="11"/>
  <c r="C58" i="11"/>
  <c r="L12" i="11"/>
  <c r="HD135" i="17"/>
  <c r="AV138" i="17"/>
  <c r="AN138" i="17"/>
  <c r="BK133" i="17"/>
  <c r="CQ133" i="17" s="1"/>
  <c r="DW133" i="17" s="1"/>
  <c r="FC133" i="17" s="1"/>
  <c r="GI133" i="17" s="1"/>
  <c r="HO133" i="17" s="1"/>
  <c r="D13" i="45"/>
  <c r="E35" i="60"/>
  <c r="E35" i="56"/>
  <c r="E38" i="48"/>
  <c r="E42" i="48"/>
  <c r="DN125" i="17"/>
  <c r="ET125" i="17" s="1"/>
  <c r="E19" i="45"/>
  <c r="AI222" i="17"/>
  <c r="U222" i="17" s="1"/>
  <c r="BA222" i="17" s="1"/>
  <c r="CG222" i="17" s="1"/>
  <c r="DM222" i="17" s="1"/>
  <c r="ES222" i="17" s="1"/>
  <c r="FY222" i="17" s="1"/>
  <c r="HE222" i="17" s="1"/>
  <c r="AK135" i="17"/>
  <c r="E21" i="48"/>
  <c r="E38" i="41"/>
  <c r="E15" i="35"/>
  <c r="BD216" i="17"/>
  <c r="CJ216" i="17" s="1"/>
  <c r="DP216" i="17" s="1"/>
  <c r="EV216" i="17" s="1"/>
  <c r="CW135" i="17"/>
  <c r="AT216" i="17"/>
  <c r="D40" i="35" s="1"/>
  <c r="E40" i="35" s="1"/>
  <c r="CG145" i="17"/>
  <c r="CW145" i="17" s="1"/>
  <c r="BS147" i="17"/>
  <c r="BJ241" i="17"/>
  <c r="BF241" i="17"/>
  <c r="BD241" i="17"/>
  <c r="BB241" i="17"/>
  <c r="CH241" i="17" s="1"/>
  <c r="DN241" i="17" s="1"/>
  <c r="ET241" i="17" s="1"/>
  <c r="FZ241" i="17" s="1"/>
  <c r="HF241" i="17" s="1"/>
  <c r="CT240" i="17"/>
  <c r="E44" i="60"/>
  <c r="HQ241" i="17"/>
  <c r="HH241" i="17"/>
  <c r="DW236" i="17"/>
  <c r="FC236" i="17" s="1"/>
  <c r="GI236" i="17" s="1"/>
  <c r="HO236" i="17" s="1"/>
  <c r="BN236" i="17"/>
  <c r="CT236" i="17" s="1"/>
  <c r="DZ236" i="17" s="1"/>
  <c r="BG236" i="17"/>
  <c r="CM236" i="17" s="1"/>
  <c r="DS236" i="17" s="1"/>
  <c r="E41" i="56"/>
  <c r="DS235" i="17"/>
  <c r="C44" i="45" s="1"/>
  <c r="E32" i="35"/>
  <c r="BH233" i="17"/>
  <c r="CN233" i="17" s="1"/>
  <c r="DT233" i="17" s="1"/>
  <c r="GH231" i="17"/>
  <c r="HN231" i="17" s="1"/>
  <c r="BO230" i="17"/>
  <c r="CU230" i="17" s="1"/>
  <c r="EA230" i="17" s="1"/>
  <c r="D11" i="45" s="1"/>
  <c r="BM226" i="17"/>
  <c r="BN222" i="17"/>
  <c r="CT222" i="17" s="1"/>
  <c r="DZ222" i="17" s="1"/>
  <c r="FF222" i="17" s="1"/>
  <c r="GL222" i="17" s="1"/>
  <c r="HR222" i="17" s="1"/>
  <c r="CM221" i="17"/>
  <c r="FC220" i="17"/>
  <c r="GI220" i="17" s="1"/>
  <c r="HO220" i="17" s="1"/>
  <c r="GI218" i="17"/>
  <c r="HO218" i="17" s="1"/>
  <c r="BF215" i="17"/>
  <c r="DS210" i="17"/>
  <c r="EY210" i="17" s="1"/>
  <c r="GE210" i="17" s="1"/>
  <c r="HK210" i="17" s="1"/>
  <c r="BO210" i="17"/>
  <c r="CU210" i="17" s="1"/>
  <c r="CM209" i="17"/>
  <c r="BN208" i="17"/>
  <c r="CT208" i="17" s="1"/>
  <c r="DZ208" i="17" s="1"/>
  <c r="BG208" i="17"/>
  <c r="CM208" i="17" s="1"/>
  <c r="DS208" i="17" s="1"/>
  <c r="EY208" i="17" s="1"/>
  <c r="GE208" i="17" s="1"/>
  <c r="HK208" i="17" s="1"/>
  <c r="CT205" i="17"/>
  <c r="DZ205" i="17" s="1"/>
  <c r="FF205" i="17" s="1"/>
  <c r="GL205" i="17" s="1"/>
  <c r="HR205" i="17" s="1"/>
  <c r="CM205" i="17"/>
  <c r="DS205" i="17" s="1"/>
  <c r="EY205" i="17" s="1"/>
  <c r="GE205" i="17" s="1"/>
  <c r="HK205" i="17" s="1"/>
  <c r="CT202" i="17"/>
  <c r="DZ202" i="17" s="1"/>
  <c r="FF202" i="17" s="1"/>
  <c r="GL202" i="17" s="1"/>
  <c r="HR202" i="17" s="1"/>
  <c r="FB202" i="17"/>
  <c r="GH202" i="17" s="1"/>
  <c r="HN202" i="17" s="1"/>
  <c r="CM202" i="17"/>
  <c r="DS202" i="17" s="1"/>
  <c r="EY202" i="17" s="1"/>
  <c r="GE202" i="17" s="1"/>
  <c r="HK202" i="17" s="1"/>
  <c r="EU202" i="17"/>
  <c r="GA202" i="17" s="1"/>
  <c r="HG202" i="17" s="1"/>
  <c r="BN201" i="17"/>
  <c r="CT201" i="17" s="1"/>
  <c r="DZ201" i="17" s="1"/>
  <c r="FF201" i="17" s="1"/>
  <c r="BG201" i="17"/>
  <c r="CM201" i="17" s="1"/>
  <c r="DS201" i="17" s="1"/>
  <c r="EY201" i="17" s="1"/>
  <c r="BG200" i="17"/>
  <c r="CM200" i="17" s="1"/>
  <c r="DS200" i="17" s="1"/>
  <c r="BG199" i="17"/>
  <c r="CM199" i="17" s="1"/>
  <c r="DS199" i="17" s="1"/>
  <c r="EY199" i="17" s="1"/>
  <c r="GE199" i="17" s="1"/>
  <c r="HK199" i="17" s="1"/>
  <c r="BG198" i="17"/>
  <c r="CM198" i="17" s="1"/>
  <c r="DS198" i="17" s="1"/>
  <c r="EY198" i="17" s="1"/>
  <c r="GE198" i="17" s="1"/>
  <c r="HK198" i="17" s="1"/>
  <c r="FB197" i="17"/>
  <c r="GH197" i="17" s="1"/>
  <c r="HN197" i="17" s="1"/>
  <c r="BN197" i="17"/>
  <c r="CT197" i="17" s="1"/>
  <c r="DZ197" i="17" s="1"/>
  <c r="BG197" i="17"/>
  <c r="CM197" i="17" s="1"/>
  <c r="DS197" i="17" s="1"/>
  <c r="EY197" i="17" s="1"/>
  <c r="GE197" i="17" s="1"/>
  <c r="HK197" i="17" s="1"/>
  <c r="BN196" i="17"/>
  <c r="CT196" i="17" s="1"/>
  <c r="DZ196" i="17" s="1"/>
  <c r="BG196" i="17"/>
  <c r="CM196" i="17" s="1"/>
  <c r="DS196" i="17" s="1"/>
  <c r="EY196" i="17" s="1"/>
  <c r="GE196" i="17" s="1"/>
  <c r="HK196" i="17" s="1"/>
  <c r="BG195" i="17"/>
  <c r="CM195" i="17" s="1"/>
  <c r="DS195" i="17" s="1"/>
  <c r="BN194" i="17"/>
  <c r="CT194" i="17" s="1"/>
  <c r="DZ194" i="17" s="1"/>
  <c r="BG194" i="17"/>
  <c r="CM194" i="17" s="1"/>
  <c r="DS194" i="17" s="1"/>
  <c r="EY194" i="17" s="1"/>
  <c r="GE194" i="17" s="1"/>
  <c r="HK194" i="17" s="1"/>
  <c r="HD191" i="17"/>
  <c r="FX191" i="17"/>
  <c r="GK190" i="17"/>
  <c r="HQ190" i="17" s="1"/>
  <c r="BN190" i="17"/>
  <c r="CT190" i="17" s="1"/>
  <c r="DZ190" i="17" s="1"/>
  <c r="FF190" i="17" s="1"/>
  <c r="GL190" i="17" s="1"/>
  <c r="HR190" i="17" s="1"/>
  <c r="BG190" i="17"/>
  <c r="CM190" i="17" s="1"/>
  <c r="DS190" i="17" s="1"/>
  <c r="EY190" i="17" s="1"/>
  <c r="CR189" i="17"/>
  <c r="CM189" i="17"/>
  <c r="BN189" i="17"/>
  <c r="CT189" i="17" s="1"/>
  <c r="CS188" i="17"/>
  <c r="DY188" i="17" s="1"/>
  <c r="FE188" i="17" s="1"/>
  <c r="CG188" i="17"/>
  <c r="DM188" i="17" s="1"/>
  <c r="BG188" i="17"/>
  <c r="CM188" i="17" s="1"/>
  <c r="DZ187" i="17"/>
  <c r="FF187" i="17" s="1"/>
  <c r="GL187" i="17" s="1"/>
  <c r="HR187" i="17" s="1"/>
  <c r="HP187" i="17"/>
  <c r="CS187" i="17"/>
  <c r="DY187" i="17" s="1"/>
  <c r="FE187" i="17" s="1"/>
  <c r="GK187" i="17" s="1"/>
  <c r="HQ187" i="17" s="1"/>
  <c r="CR186" i="17"/>
  <c r="CH185" i="17"/>
  <c r="DN185" i="17" s="1"/>
  <c r="ET185" i="17" s="1"/>
  <c r="FZ185" i="17" s="1"/>
  <c r="HF185" i="17" s="1"/>
  <c r="FE184" i="17"/>
  <c r="GK184" i="17" s="1"/>
  <c r="HQ184" i="17" s="1"/>
  <c r="FZ184" i="17"/>
  <c r="HF184" i="17" s="1"/>
  <c r="BN183" i="17"/>
  <c r="CT183" i="17" s="1"/>
  <c r="BG183" i="17"/>
  <c r="CM183" i="17" s="1"/>
  <c r="DS183" i="17" s="1"/>
  <c r="EY183" i="17" s="1"/>
  <c r="GE183" i="17" s="1"/>
  <c r="HK183" i="17" s="1"/>
  <c r="BN182" i="17"/>
  <c r="CT182" i="17" s="1"/>
  <c r="DZ182" i="17" s="1"/>
  <c r="FF182" i="17" s="1"/>
  <c r="GL182" i="17" s="1"/>
  <c r="HR182" i="17" s="1"/>
  <c r="FI182" i="17"/>
  <c r="CR181" i="17"/>
  <c r="DX181" i="17" s="1"/>
  <c r="FD181" i="17" s="1"/>
  <c r="GJ181" i="17" s="1"/>
  <c r="HP181" i="17" s="1"/>
  <c r="CG180" i="17"/>
  <c r="HF178" i="17"/>
  <c r="GJ178" i="17"/>
  <c r="HP178" i="17" s="1"/>
  <c r="FD177" i="17"/>
  <c r="GJ177" i="17" s="1"/>
  <c r="HP177" i="17" s="1"/>
  <c r="DO177" i="17"/>
  <c r="EU177" i="17" s="1"/>
  <c r="GA177" i="17" s="1"/>
  <c r="HG177" i="17" s="1"/>
  <c r="GP173" i="17"/>
  <c r="GP209" i="17" s="1"/>
  <c r="GP211" i="17" s="1"/>
  <c r="CM176" i="17"/>
  <c r="CT176" i="17"/>
  <c r="CR174" i="17"/>
  <c r="CM174" i="17"/>
  <c r="DS174" i="17" s="1"/>
  <c r="DS172" i="17"/>
  <c r="EY172" i="17" s="1"/>
  <c r="GE172" i="17" s="1"/>
  <c r="HK172" i="17" s="1"/>
  <c r="CM171" i="17"/>
  <c r="DS171" i="17" s="1"/>
  <c r="EY171" i="17" s="1"/>
  <c r="GE171" i="17" s="1"/>
  <c r="HK171" i="17" s="1"/>
  <c r="CM169" i="17"/>
  <c r="DS169" i="17" s="1"/>
  <c r="EY169" i="17" s="1"/>
  <c r="GE169" i="17" s="1"/>
  <c r="HK169" i="17" s="1"/>
  <c r="CT167" i="17"/>
  <c r="DZ167" i="17" s="1"/>
  <c r="BN166" i="17"/>
  <c r="FQ163" i="17"/>
  <c r="BK163" i="17"/>
  <c r="BG165" i="17"/>
  <c r="CM165" i="17" s="1"/>
  <c r="DS165" i="17" s="1"/>
  <c r="EY165" i="17" s="1"/>
  <c r="GE165" i="17" s="1"/>
  <c r="HK165" i="17" s="1"/>
  <c r="W163" i="17"/>
  <c r="DK163" i="17"/>
  <c r="DI163" i="17"/>
  <c r="BE163" i="17"/>
  <c r="AW163" i="17"/>
  <c r="AG163" i="17"/>
  <c r="BG164" i="17"/>
  <c r="CM164" i="17" s="1"/>
  <c r="DS164" i="17" s="1"/>
  <c r="S163" i="17"/>
  <c r="AJ158" i="17"/>
  <c r="BO157" i="17"/>
  <c r="CU157" i="17" s="1"/>
  <c r="BG156" i="17"/>
  <c r="CM156" i="17" s="1"/>
  <c r="DS156" i="17" s="1"/>
  <c r="EY156" i="17" s="1"/>
  <c r="GE156" i="17" s="1"/>
  <c r="HK156" i="17" s="1"/>
  <c r="BN155" i="17"/>
  <c r="CT155" i="17" s="1"/>
  <c r="DZ155" i="17" s="1"/>
  <c r="HH153" i="17"/>
  <c r="BG152" i="17"/>
  <c r="CM152" i="17" s="1"/>
  <c r="DS152" i="17" s="1"/>
  <c r="EY152" i="17" s="1"/>
  <c r="GE152" i="17" s="1"/>
  <c r="HK152" i="17" s="1"/>
  <c r="EA148" i="17"/>
  <c r="BP148" i="17"/>
  <c r="ER144" i="17"/>
  <c r="CG144" i="17"/>
  <c r="CW144" i="17" s="1"/>
  <c r="GB140" i="17"/>
  <c r="HH140" i="17" s="1"/>
  <c r="CM140" i="17"/>
  <c r="BO140" i="17"/>
  <c r="CU140" i="17" s="1"/>
  <c r="DL137" i="17"/>
  <c r="CF137" i="17"/>
  <c r="AZ137" i="17"/>
  <c r="BO137" i="17" s="1"/>
  <c r="CN136" i="17"/>
  <c r="BD136" i="17"/>
  <c r="CJ136" i="17" s="1"/>
  <c r="DP136" i="17" s="1"/>
  <c r="EV136" i="17" s="1"/>
  <c r="GB136" i="17" s="1"/>
  <c r="HH136" i="17" s="1"/>
  <c r="BZ138" i="17"/>
  <c r="CT135" i="17"/>
  <c r="DZ135" i="17" s="1"/>
  <c r="FF135" i="17" s="1"/>
  <c r="GL135" i="17" s="1"/>
  <c r="HR135" i="17" s="1"/>
  <c r="BA138" i="17"/>
  <c r="BN134" i="17"/>
  <c r="BG134" i="17"/>
  <c r="CM134" i="17" s="1"/>
  <c r="DS134" i="17" s="1"/>
  <c r="EY134" i="17" s="1"/>
  <c r="GE134" i="17" s="1"/>
  <c r="CF133" i="17"/>
  <c r="CU133" i="17" s="1"/>
  <c r="CV133" i="17" s="1"/>
  <c r="BN133" i="17"/>
  <c r="CT133" i="17" s="1"/>
  <c r="DZ133" i="17" s="1"/>
  <c r="FF133" i="17" s="1"/>
  <c r="GL133" i="17" s="1"/>
  <c r="HR133" i="17" s="1"/>
  <c r="BG133" i="17"/>
  <c r="BG132" i="17"/>
  <c r="CM132" i="17" s="1"/>
  <c r="DS132" i="17" s="1"/>
  <c r="BC132" i="17"/>
  <c r="CI132" i="17" s="1"/>
  <c r="AK131" i="17"/>
  <c r="FM139" i="17"/>
  <c r="FM161" i="17" s="1"/>
  <c r="C31" i="56" s="1"/>
  <c r="AK128" i="17"/>
  <c r="DL127" i="17"/>
  <c r="BC127" i="17"/>
  <c r="CI127" i="17" s="1"/>
  <c r="DO127" i="17" s="1"/>
  <c r="EU127" i="17" s="1"/>
  <c r="GA127" i="17" s="1"/>
  <c r="HG127" i="17" s="1"/>
  <c r="EL128" i="17"/>
  <c r="DF128" i="17"/>
  <c r="CT126" i="17"/>
  <c r="DZ126" i="17" s="1"/>
  <c r="FF126" i="17" s="1"/>
  <c r="GL126" i="17" s="1"/>
  <c r="HR126" i="17" s="1"/>
  <c r="GW128" i="17"/>
  <c r="GW129" i="17" s="1"/>
  <c r="GW139" i="17" s="1"/>
  <c r="FX128" i="17"/>
  <c r="FX129" i="17" s="1"/>
  <c r="FR128" i="17"/>
  <c r="FR129" i="17" s="1"/>
  <c r="BZ128" i="17"/>
  <c r="AH128" i="17"/>
  <c r="EM129" i="17"/>
  <c r="EM139" i="17" s="1"/>
  <c r="EM161" i="17" s="1"/>
  <c r="C7" i="53" s="1"/>
  <c r="EI129" i="17"/>
  <c r="EE129" i="17"/>
  <c r="EE139" i="17" s="1"/>
  <c r="EE161" i="17" s="1"/>
  <c r="CX129" i="17"/>
  <c r="DF123" i="17"/>
  <c r="CF123" i="17"/>
  <c r="BK123" i="17"/>
  <c r="BO120" i="17"/>
  <c r="CU120" i="17" s="1"/>
  <c r="EA120" i="17" s="1"/>
  <c r="FG120" i="17" s="1"/>
  <c r="GM120" i="17" s="1"/>
  <c r="HS120" i="17" s="1"/>
  <c r="BH120" i="17"/>
  <c r="AZ123" i="17"/>
  <c r="BN119" i="17"/>
  <c r="BG119" i="17"/>
  <c r="CM118" i="17"/>
  <c r="AJ118" i="17"/>
  <c r="BH117" i="17"/>
  <c r="AJ116" i="17"/>
  <c r="CM114" i="17"/>
  <c r="DS114" i="17" s="1"/>
  <c r="EY114" i="17" s="1"/>
  <c r="GE114" i="17" s="1"/>
  <c r="HK114" i="17" s="1"/>
  <c r="AJ114" i="17"/>
  <c r="CM112" i="17"/>
  <c r="DS112" i="17" s="1"/>
  <c r="EY112" i="17" s="1"/>
  <c r="GE112" i="17" s="1"/>
  <c r="HK112" i="17" s="1"/>
  <c r="AJ112" i="17"/>
  <c r="CT110" i="17"/>
  <c r="DZ110" i="17" s="1"/>
  <c r="FF110" i="17" s="1"/>
  <c r="GL110" i="17" s="1"/>
  <c r="HR110" i="17" s="1"/>
  <c r="BO108" i="17"/>
  <c r="CU107" i="17"/>
  <c r="EA107" i="17" s="1"/>
  <c r="FG107" i="17" s="1"/>
  <c r="GM107" i="17" s="1"/>
  <c r="HS107" i="17" s="1"/>
  <c r="CN107" i="17"/>
  <c r="DT107" i="17" s="1"/>
  <c r="EZ107" i="17" s="1"/>
  <c r="GF107" i="17" s="1"/>
  <c r="HL107" i="17" s="1"/>
  <c r="BN107" i="17"/>
  <c r="CT107" i="17" s="1"/>
  <c r="DZ107" i="17" s="1"/>
  <c r="FF107" i="17" s="1"/>
  <c r="GL107" i="17" s="1"/>
  <c r="HR107" i="17" s="1"/>
  <c r="BG107" i="17"/>
  <c r="AJ106" i="17"/>
  <c r="CM104" i="17"/>
  <c r="DS104" i="17" s="1"/>
  <c r="EY104" i="17" s="1"/>
  <c r="GE104" i="17" s="1"/>
  <c r="HK104" i="17" s="1"/>
  <c r="AJ104" i="17"/>
  <c r="BN102" i="17"/>
  <c r="CT102" i="17" s="1"/>
  <c r="DZ102" i="17" s="1"/>
  <c r="FF102" i="17" s="1"/>
  <c r="GL102" i="17" s="1"/>
  <c r="HR102" i="17" s="1"/>
  <c r="BG102" i="17"/>
  <c r="CM102" i="17" s="1"/>
  <c r="DS102" i="17" s="1"/>
  <c r="EY102" i="17" s="1"/>
  <c r="GE102" i="17" s="1"/>
  <c r="HK102" i="17" s="1"/>
  <c r="CN101" i="17"/>
  <c r="DT101" i="17" s="1"/>
  <c r="EZ101" i="17" s="1"/>
  <c r="GF101" i="17" s="1"/>
  <c r="HL101" i="17" s="1"/>
  <c r="CU101" i="17"/>
  <c r="EA101" i="17" s="1"/>
  <c r="FG101" i="17" s="1"/>
  <c r="GM101" i="17" s="1"/>
  <c r="HS101" i="17" s="1"/>
  <c r="BG101" i="17"/>
  <c r="CM101" i="17" s="1"/>
  <c r="DS101" i="17" s="1"/>
  <c r="EY101" i="17" s="1"/>
  <c r="GE101" i="17" s="1"/>
  <c r="HK101" i="17" s="1"/>
  <c r="BH98" i="17"/>
  <c r="CN98" i="17" s="1"/>
  <c r="BO97" i="17"/>
  <c r="CU97" i="17" s="1"/>
  <c r="EA97" i="17" s="1"/>
  <c r="FG97" i="17" s="1"/>
  <c r="GM97" i="17" s="1"/>
  <c r="HS97" i="17" s="1"/>
  <c r="BN96" i="17"/>
  <c r="CT96" i="17" s="1"/>
  <c r="DZ96" i="17" s="1"/>
  <c r="FF96" i="17" s="1"/>
  <c r="GL96" i="17" s="1"/>
  <c r="HR96" i="17" s="1"/>
  <c r="CU95" i="17"/>
  <c r="EA95" i="17" s="1"/>
  <c r="FG95" i="17" s="1"/>
  <c r="GM95" i="17" s="1"/>
  <c r="HS95" i="17" s="1"/>
  <c r="BN95" i="17"/>
  <c r="CT95" i="17" s="1"/>
  <c r="DZ95" i="17" s="1"/>
  <c r="FF95" i="17" s="1"/>
  <c r="GL95" i="17" s="1"/>
  <c r="HR95" i="17" s="1"/>
  <c r="BG95" i="17"/>
  <c r="AJ94" i="17"/>
  <c r="CT93" i="17"/>
  <c r="DZ93" i="17" s="1"/>
  <c r="FF93" i="17" s="1"/>
  <c r="GL93" i="17" s="1"/>
  <c r="HR93" i="17" s="1"/>
  <c r="BG91" i="17"/>
  <c r="CM91" i="17" s="1"/>
  <c r="DS91" i="17" s="1"/>
  <c r="EY91" i="17" s="1"/>
  <c r="GE91" i="17" s="1"/>
  <c r="HK91" i="17" s="1"/>
  <c r="DS89" i="17"/>
  <c r="EY89" i="17" s="1"/>
  <c r="GE89" i="17" s="1"/>
  <c r="HK89" i="17" s="1"/>
  <c r="CU88" i="17"/>
  <c r="EA88" i="17" s="1"/>
  <c r="FG88" i="17" s="1"/>
  <c r="GM88" i="17" s="1"/>
  <c r="HS88" i="17" s="1"/>
  <c r="CN88" i="17"/>
  <c r="DT88" i="17" s="1"/>
  <c r="EZ88" i="17" s="1"/>
  <c r="GF88" i="17" s="1"/>
  <c r="HL88" i="17" s="1"/>
  <c r="BN88" i="17"/>
  <c r="CT88" i="17" s="1"/>
  <c r="DZ88" i="17" s="1"/>
  <c r="FF88" i="17" s="1"/>
  <c r="GL88" i="17" s="1"/>
  <c r="HR88" i="17" s="1"/>
  <c r="BG88" i="17"/>
  <c r="CM88" i="17" s="1"/>
  <c r="DS88" i="17" s="1"/>
  <c r="EY88" i="17" s="1"/>
  <c r="GE88" i="17" s="1"/>
  <c r="HK88" i="17" s="1"/>
  <c r="CN87" i="17"/>
  <c r="DT87" i="17" s="1"/>
  <c r="EZ87" i="17" s="1"/>
  <c r="GF87" i="17" s="1"/>
  <c r="HL87" i="17" s="1"/>
  <c r="BN87" i="17"/>
  <c r="CT87" i="17" s="1"/>
  <c r="DZ87" i="17" s="1"/>
  <c r="FF87" i="17" s="1"/>
  <c r="GL87" i="17" s="1"/>
  <c r="HR87" i="17" s="1"/>
  <c r="BG87" i="17"/>
  <c r="CT86" i="17"/>
  <c r="DZ86" i="17" s="1"/>
  <c r="FF86" i="17" s="1"/>
  <c r="GL86" i="17" s="1"/>
  <c r="HR86" i="17" s="1"/>
  <c r="CM84" i="17"/>
  <c r="DS84" i="17" s="1"/>
  <c r="EY84" i="17" s="1"/>
  <c r="GE84" i="17" s="1"/>
  <c r="HK84" i="17" s="1"/>
  <c r="BO84" i="17"/>
  <c r="CU84" i="17" s="1"/>
  <c r="CM83" i="17"/>
  <c r="AJ81" i="17"/>
  <c r="CM79" i="17"/>
  <c r="DS79" i="17" s="1"/>
  <c r="EY79" i="17" s="1"/>
  <c r="GE79" i="17" s="1"/>
  <c r="HK79" i="17" s="1"/>
  <c r="CT79" i="17"/>
  <c r="DZ79" i="17" s="1"/>
  <c r="FF79" i="17" s="1"/>
  <c r="GL79" i="17" s="1"/>
  <c r="HR79" i="17" s="1"/>
  <c r="BO79" i="17"/>
  <c r="BH79" i="17"/>
  <c r="CN79" i="17" s="1"/>
  <c r="DT79" i="17" s="1"/>
  <c r="CM78" i="17"/>
  <c r="DS78" i="17" s="1"/>
  <c r="EY78" i="17" s="1"/>
  <c r="GE78" i="17" s="1"/>
  <c r="HK78" i="17" s="1"/>
  <c r="AJ78" i="17"/>
  <c r="CM76" i="17"/>
  <c r="AJ76" i="17"/>
  <c r="CM74" i="17"/>
  <c r="DS74" i="17" s="1"/>
  <c r="EY74" i="17" s="1"/>
  <c r="GE74" i="17" s="1"/>
  <c r="HK74" i="17" s="1"/>
  <c r="BN74" i="17"/>
  <c r="CT74" i="17" s="1"/>
  <c r="DZ74" i="17" s="1"/>
  <c r="FF74" i="17" s="1"/>
  <c r="GL74" i="17" s="1"/>
  <c r="HR74" i="17" s="1"/>
  <c r="BO73" i="17"/>
  <c r="AJ72" i="17"/>
  <c r="CM70" i="17"/>
  <c r="AJ70" i="17"/>
  <c r="CT68" i="17"/>
  <c r="DZ68" i="17" s="1"/>
  <c r="FF68" i="17" s="1"/>
  <c r="GL68" i="17" s="1"/>
  <c r="HR68" i="17" s="1"/>
  <c r="AJ66" i="17"/>
  <c r="AJ64" i="17"/>
  <c r="CM62" i="17"/>
  <c r="DS62" i="17" s="1"/>
  <c r="EY62" i="17" s="1"/>
  <c r="GE62" i="17" s="1"/>
  <c r="HK62" i="17" s="1"/>
  <c r="AJ62" i="17"/>
  <c r="CM60" i="17"/>
  <c r="DS60" i="17" s="1"/>
  <c r="EY60" i="17" s="1"/>
  <c r="GE60" i="17" s="1"/>
  <c r="HK60" i="17" s="1"/>
  <c r="AJ60" i="17"/>
  <c r="CM58" i="17"/>
  <c r="AJ58" i="17"/>
  <c r="CT56" i="17"/>
  <c r="DZ56" i="17" s="1"/>
  <c r="FF56" i="17" s="1"/>
  <c r="GL56" i="17" s="1"/>
  <c r="HR56" i="17" s="1"/>
  <c r="AJ54" i="17"/>
  <c r="AJ52" i="17"/>
  <c r="CN51" i="17"/>
  <c r="DT51" i="17" s="1"/>
  <c r="EZ51" i="17" s="1"/>
  <c r="GF51" i="17" s="1"/>
  <c r="HL51" i="17" s="1"/>
  <c r="CU51" i="17"/>
  <c r="EA51" i="17" s="1"/>
  <c r="FG51" i="17" s="1"/>
  <c r="GM51" i="17" s="1"/>
  <c r="HS51" i="17" s="1"/>
  <c r="BG51" i="17"/>
  <c r="CM51" i="17" s="1"/>
  <c r="DS51" i="17" s="1"/>
  <c r="EY51" i="17" s="1"/>
  <c r="GE51" i="17" s="1"/>
  <c r="HK51" i="17" s="1"/>
  <c r="CT43" i="17"/>
  <c r="DZ43" i="17" s="1"/>
  <c r="FF43" i="17" s="1"/>
  <c r="GL43" i="17" s="1"/>
  <c r="HR43" i="17" s="1"/>
  <c r="CN42" i="17"/>
  <c r="DT42" i="17" s="1"/>
  <c r="EZ42" i="17" s="1"/>
  <c r="GF42" i="17" s="1"/>
  <c r="HL42" i="17" s="1"/>
  <c r="CU42" i="17"/>
  <c r="EA42" i="17" s="1"/>
  <c r="FG42" i="17" s="1"/>
  <c r="GM42" i="17" s="1"/>
  <c r="HS42" i="17" s="1"/>
  <c r="BG42" i="17"/>
  <c r="CM42" i="17" s="1"/>
  <c r="DS42" i="17" s="1"/>
  <c r="EY42" i="17" s="1"/>
  <c r="GE42" i="17" s="1"/>
  <c r="HK42" i="17" s="1"/>
  <c r="AJ41" i="17"/>
  <c r="CM39" i="17"/>
  <c r="AJ39" i="17"/>
  <c r="CM37" i="17"/>
  <c r="DS37" i="17" s="1"/>
  <c r="EY37" i="17" s="1"/>
  <c r="GE37" i="17" s="1"/>
  <c r="HK37" i="17" s="1"/>
  <c r="AJ37" i="17"/>
  <c r="CM35" i="17"/>
  <c r="DS35" i="17" s="1"/>
  <c r="EY35" i="17" s="1"/>
  <c r="GE35" i="17" s="1"/>
  <c r="HK35" i="17" s="1"/>
  <c r="BO35" i="17"/>
  <c r="BG33" i="17"/>
  <c r="CM33" i="17" s="1"/>
  <c r="DS33" i="17" s="1"/>
  <c r="EY33" i="17" s="1"/>
  <c r="GE33" i="17" s="1"/>
  <c r="HK33" i="17" s="1"/>
  <c r="AJ33" i="17"/>
  <c r="CM31" i="17"/>
  <c r="DS31" i="17" s="1"/>
  <c r="EY31" i="17" s="1"/>
  <c r="GE31" i="17" s="1"/>
  <c r="HK31" i="17" s="1"/>
  <c r="BO31" i="17"/>
  <c r="BN27" i="17"/>
  <c r="CT27" i="17" s="1"/>
  <c r="DZ27" i="17" s="1"/>
  <c r="FF27" i="17" s="1"/>
  <c r="GL27" i="17" s="1"/>
  <c r="HR27" i="17" s="1"/>
  <c r="BG27" i="17"/>
  <c r="CM27" i="17" s="1"/>
  <c r="CM25" i="17"/>
  <c r="DS25" i="17" s="1"/>
  <c r="EY25" i="17" s="1"/>
  <c r="GE25" i="17" s="1"/>
  <c r="HK25" i="17" s="1"/>
  <c r="BO25" i="17"/>
  <c r="BG23" i="17"/>
  <c r="CM23" i="17" s="1"/>
  <c r="DS23" i="17" s="1"/>
  <c r="EY23" i="17" s="1"/>
  <c r="GE23" i="17" s="1"/>
  <c r="HK23" i="17" s="1"/>
  <c r="AJ23" i="17"/>
  <c r="AJ22" i="17"/>
  <c r="BG21" i="17"/>
  <c r="CM21" i="17" s="1"/>
  <c r="DS21" i="17" s="1"/>
  <c r="EY21" i="17" s="1"/>
  <c r="GE21" i="17" s="1"/>
  <c r="HK21" i="17" s="1"/>
  <c r="BG19" i="17"/>
  <c r="CM19" i="17" s="1"/>
  <c r="DS19" i="17" s="1"/>
  <c r="EY19" i="17" s="1"/>
  <c r="GE19" i="17" s="1"/>
  <c r="HK19" i="17" s="1"/>
  <c r="AJ19" i="17"/>
  <c r="BG17" i="17"/>
  <c r="CM17" i="17" s="1"/>
  <c r="DS17" i="17" s="1"/>
  <c r="EY17" i="17" s="1"/>
  <c r="GE17" i="17" s="1"/>
  <c r="HK17" i="17" s="1"/>
  <c r="AJ17" i="17"/>
  <c r="AJ13" i="17"/>
  <c r="AJ10" i="17"/>
  <c r="E19" i="42"/>
  <c r="DJ96" i="11"/>
  <c r="DJ87" i="11"/>
  <c r="DL85" i="11"/>
  <c r="DJ77" i="11"/>
  <c r="DL78" i="11"/>
  <c r="AX78" i="11"/>
  <c r="AU78" i="11"/>
  <c r="AM78" i="11"/>
  <c r="AE78" i="11"/>
  <c r="AH78" i="11"/>
  <c r="DK72" i="11"/>
  <c r="CI72" i="11"/>
  <c r="BC72" i="11"/>
  <c r="AM72" i="11"/>
  <c r="W72" i="11"/>
  <c r="N72" i="11"/>
  <c r="EE51" i="11"/>
  <c r="EE43" i="11"/>
  <c r="O134" i="17" s="1"/>
  <c r="EC33" i="11"/>
  <c r="EE34" i="11"/>
  <c r="O136" i="17" s="1"/>
  <c r="DK34" i="11"/>
  <c r="DK35" i="11" s="1"/>
  <c r="DK37" i="11" s="1"/>
  <c r="EC31" i="11"/>
  <c r="BK34" i="11"/>
  <c r="BK35" i="11" s="1"/>
  <c r="BK37" i="11" s="1"/>
  <c r="BC34" i="11"/>
  <c r="BC35" i="11" s="1"/>
  <c r="BC37" i="11" s="1"/>
  <c r="AM34" i="11"/>
  <c r="AM35" i="11" s="1"/>
  <c r="AM37" i="11" s="1"/>
  <c r="EC30" i="11"/>
  <c r="DJ29" i="11"/>
  <c r="R34" i="11"/>
  <c r="R35" i="11" s="1"/>
  <c r="R37" i="11" s="1"/>
  <c r="DJ27" i="11"/>
  <c r="DJ26" i="11"/>
  <c r="EC24" i="11"/>
  <c r="DJ23" i="11"/>
  <c r="DJ22" i="11"/>
  <c r="DJ21" i="11"/>
  <c r="DJ20" i="11"/>
  <c r="EC19" i="11"/>
  <c r="EC18" i="11"/>
  <c r="EC17" i="11"/>
  <c r="EC11" i="11"/>
  <c r="DJ11" i="11"/>
  <c r="EC10" i="11"/>
  <c r="CY12" i="11"/>
  <c r="EC9" i="11"/>
  <c r="ER135" i="17"/>
  <c r="DN133" i="17"/>
  <c r="ET133" i="17" s="1"/>
  <c r="FZ133" i="17" s="1"/>
  <c r="HF133" i="17" s="1"/>
  <c r="ER145" i="17"/>
  <c r="ER147" i="17" s="1"/>
  <c r="CQ132" i="17"/>
  <c r="DW132" i="17" s="1"/>
  <c r="FC132" i="17" s="1"/>
  <c r="X235" i="17"/>
  <c r="D41" i="31" s="1"/>
  <c r="E41" i="31" s="1"/>
  <c r="D12" i="57"/>
  <c r="E42" i="60"/>
  <c r="E42" i="56"/>
  <c r="E44" i="48"/>
  <c r="E40" i="53"/>
  <c r="CS133" i="17"/>
  <c r="DY133" i="17" s="1"/>
  <c r="FE133" i="17" s="1"/>
  <c r="GK133" i="17" s="1"/>
  <c r="HQ133" i="17" s="1"/>
  <c r="BK136" i="17"/>
  <c r="CQ136" i="17" s="1"/>
  <c r="DW136" i="17" s="1"/>
  <c r="FC136" i="17" s="1"/>
  <c r="GI136" i="17" s="1"/>
  <c r="HO136" i="17" s="1"/>
  <c r="DN135" i="17"/>
  <c r="ET135" i="17" s="1"/>
  <c r="FZ135" i="17" s="1"/>
  <c r="HF135" i="17" s="1"/>
  <c r="AZ134" i="17"/>
  <c r="BO134" i="17" s="1"/>
  <c r="BP134" i="17" s="1"/>
  <c r="DH128" i="17"/>
  <c r="DM165" i="17"/>
  <c r="CW165" i="17"/>
  <c r="BQ142" i="17"/>
  <c r="CG142" i="17"/>
  <c r="BA141" i="17"/>
  <c r="AM147" i="17"/>
  <c r="DR213" i="17"/>
  <c r="CL215" i="17"/>
  <c r="N209" i="17"/>
  <c r="F211" i="17"/>
  <c r="FQ176" i="17"/>
  <c r="FU176" i="17"/>
  <c r="BA163" i="17"/>
  <c r="CG164" i="17"/>
  <c r="FB159" i="17"/>
  <c r="GH159" i="17" s="1"/>
  <c r="HN159" i="17" s="1"/>
  <c r="DV160" i="17"/>
  <c r="DR156" i="17"/>
  <c r="CL160" i="17"/>
  <c r="DN156" i="17"/>
  <c r="ET156" i="17" s="1"/>
  <c r="CH160" i="17"/>
  <c r="ET155" i="17"/>
  <c r="FZ155" i="17" s="1"/>
  <c r="FB153" i="17"/>
  <c r="GH153" i="17" s="1"/>
  <c r="HN153" i="17" s="1"/>
  <c r="DV154" i="17"/>
  <c r="FF197" i="17"/>
  <c r="GL197" i="17" s="1"/>
  <c r="HR197" i="17" s="1"/>
  <c r="BQ140" i="17"/>
  <c r="CG140" i="17"/>
  <c r="CW140" i="17" s="1"/>
  <c r="DV131" i="17"/>
  <c r="FB130" i="17"/>
  <c r="DM126" i="17"/>
  <c r="CW126" i="17"/>
  <c r="DM108" i="17"/>
  <c r="CW108" i="17"/>
  <c r="CM240" i="17"/>
  <c r="HO241" i="17"/>
  <c r="HJ241" i="17"/>
  <c r="DY241" i="17"/>
  <c r="DW241" i="17"/>
  <c r="DR241" i="17"/>
  <c r="DP241" i="17"/>
  <c r="CM233" i="17"/>
  <c r="DS233" i="17" s="1"/>
  <c r="FC230" i="17"/>
  <c r="GI230" i="17" s="1"/>
  <c r="HO230" i="17" s="1"/>
  <c r="DW225" i="17"/>
  <c r="FC225" i="17" s="1"/>
  <c r="GI225" i="17" s="1"/>
  <c r="HO225" i="17" s="1"/>
  <c r="EN226" i="17"/>
  <c r="DS221" i="17"/>
  <c r="BH220" i="17"/>
  <c r="CN220" i="17" s="1"/>
  <c r="DT220" i="17" s="1"/>
  <c r="CU219" i="17"/>
  <c r="EA219" i="17" s="1"/>
  <c r="FG219" i="17" s="1"/>
  <c r="GM219" i="17" s="1"/>
  <c r="HS219" i="17" s="1"/>
  <c r="GH218" i="17"/>
  <c r="HN218" i="17" s="1"/>
  <c r="BN218" i="17"/>
  <c r="CT218" i="17" s="1"/>
  <c r="DZ218" i="17" s="1"/>
  <c r="BG218" i="17"/>
  <c r="CM218" i="17" s="1"/>
  <c r="DS218" i="17" s="1"/>
  <c r="EY218" i="17" s="1"/>
  <c r="GE218" i="17" s="1"/>
  <c r="BH217" i="17"/>
  <c r="CN217" i="17" s="1"/>
  <c r="DT217" i="17" s="1"/>
  <c r="EZ217" i="17" s="1"/>
  <c r="BH214" i="17"/>
  <c r="CN214" i="17" s="1"/>
  <c r="AT215" i="17"/>
  <c r="BH213" i="17"/>
  <c r="CN213" i="17" s="1"/>
  <c r="DS209" i="17"/>
  <c r="GB202" i="17"/>
  <c r="HH202" i="17" s="1"/>
  <c r="FE191" i="17"/>
  <c r="FC191" i="17"/>
  <c r="EW191" i="17"/>
  <c r="GX191" i="17"/>
  <c r="DX191" i="17"/>
  <c r="DR191" i="17"/>
  <c r="DL191" i="17"/>
  <c r="DF191" i="17"/>
  <c r="CR191" i="17"/>
  <c r="CL191" i="17"/>
  <c r="CF191" i="17"/>
  <c r="BZ191" i="17"/>
  <c r="BL191" i="17"/>
  <c r="BF191" i="17"/>
  <c r="AT191" i="17"/>
  <c r="S191" i="17"/>
  <c r="HF190" i="17"/>
  <c r="GE190" i="17"/>
  <c r="HK190" i="17" s="1"/>
  <c r="GK188" i="17"/>
  <c r="HQ188" i="17" s="1"/>
  <c r="CR188" i="17"/>
  <c r="BN188" i="17"/>
  <c r="CT188" i="17" s="1"/>
  <c r="BG187" i="17"/>
  <c r="CM187" i="17" s="1"/>
  <c r="DS187" i="17" s="1"/>
  <c r="EY187" i="17" s="1"/>
  <c r="GE187" i="17" s="1"/>
  <c r="HK187" i="17" s="1"/>
  <c r="BV173" i="17"/>
  <c r="BV211" i="17" s="1"/>
  <c r="BM186" i="17"/>
  <c r="CS186" i="17" s="1"/>
  <c r="DY186" i="17" s="1"/>
  <c r="FE186" i="17" s="1"/>
  <c r="GK186" i="17" s="1"/>
  <c r="HQ186" i="17" s="1"/>
  <c r="CS185" i="17"/>
  <c r="DY185" i="17" s="1"/>
  <c r="FE185" i="17" s="1"/>
  <c r="GK185" i="17" s="1"/>
  <c r="HQ185" i="17" s="1"/>
  <c r="AP173" i="17"/>
  <c r="AP211" i="17" s="1"/>
  <c r="CR180" i="17"/>
  <c r="CM180" i="17"/>
  <c r="CT177" i="17"/>
  <c r="DZ177" i="17" s="1"/>
  <c r="FF177" i="17" s="1"/>
  <c r="GL177" i="17" s="1"/>
  <c r="HR177" i="17" s="1"/>
  <c r="BG177" i="17"/>
  <c r="CM177" i="17" s="1"/>
  <c r="DS177" i="17" s="1"/>
  <c r="EY177" i="17" s="1"/>
  <c r="GE177" i="17" s="1"/>
  <c r="HK177" i="17" s="1"/>
  <c r="FZ176" i="17"/>
  <c r="HF176" i="17" s="1"/>
  <c r="BZ173" i="17"/>
  <c r="CG176" i="17"/>
  <c r="DX174" i="17"/>
  <c r="AJ174" i="17"/>
  <c r="FN173" i="17"/>
  <c r="ED211" i="17"/>
  <c r="GX168" i="17"/>
  <c r="EL168" i="17"/>
  <c r="C36" i="60"/>
  <c r="E36" i="60" s="1"/>
  <c r="FO211" i="17"/>
  <c r="EH211" i="17"/>
  <c r="DG211" i="17"/>
  <c r="C16" i="35"/>
  <c r="CE163" i="17"/>
  <c r="BY163" i="17"/>
  <c r="CR165" i="17"/>
  <c r="DX165" i="17" s="1"/>
  <c r="FD165" i="17" s="1"/>
  <c r="GJ165" i="17" s="1"/>
  <c r="HP165" i="17" s="1"/>
  <c r="BQ165" i="17"/>
  <c r="EK163" i="17"/>
  <c r="CC163" i="17"/>
  <c r="AM163" i="17"/>
  <c r="CM158" i="17"/>
  <c r="DS158" i="17" s="1"/>
  <c r="EY158" i="17" s="1"/>
  <c r="GE158" i="17" s="1"/>
  <c r="HK158" i="17" s="1"/>
  <c r="DS157" i="17"/>
  <c r="EY157" i="17" s="1"/>
  <c r="GE157" i="17" s="1"/>
  <c r="HK157" i="17" s="1"/>
  <c r="AJ157" i="17"/>
  <c r="FW160" i="17"/>
  <c r="FQ160" i="17"/>
  <c r="FR160" i="17"/>
  <c r="AZ154" i="17"/>
  <c r="AT154" i="17"/>
  <c r="BG150" i="17"/>
  <c r="CM150" i="17" s="1"/>
  <c r="DS150" i="17" s="1"/>
  <c r="EY150" i="17" s="1"/>
  <c r="GE150" i="17" s="1"/>
  <c r="HK150" i="17" s="1"/>
  <c r="FW154" i="17"/>
  <c r="FQ154" i="17"/>
  <c r="AC148" i="17"/>
  <c r="HA161" i="17"/>
  <c r="C8" i="60" s="1"/>
  <c r="E8" i="60" s="1"/>
  <c r="AO161" i="17"/>
  <c r="C30" i="35" s="1"/>
  <c r="CQ146" i="17"/>
  <c r="DW146" i="17" s="1"/>
  <c r="FC146" i="17" s="1"/>
  <c r="GI146" i="17" s="1"/>
  <c r="HO146" i="17" s="1"/>
  <c r="CN146" i="17"/>
  <c r="ET145" i="17"/>
  <c r="FZ145" i="17" s="1"/>
  <c r="HF145" i="17" s="1"/>
  <c r="FC145" i="17"/>
  <c r="GI145" i="17" s="1"/>
  <c r="HO145" i="17" s="1"/>
  <c r="BG145" i="17"/>
  <c r="HD144" i="17"/>
  <c r="CT143" i="17"/>
  <c r="DZ143" i="17" s="1"/>
  <c r="FF143" i="17" s="1"/>
  <c r="GL143" i="17" s="1"/>
  <c r="HR143" i="17" s="1"/>
  <c r="BN137" i="17"/>
  <c r="CT137" i="17" s="1"/>
  <c r="DZ137" i="17" s="1"/>
  <c r="FF137" i="17" s="1"/>
  <c r="GL137" i="17" s="1"/>
  <c r="HR137" i="17" s="1"/>
  <c r="FW138" i="17"/>
  <c r="FL139" i="17"/>
  <c r="FL161" i="17" s="1"/>
  <c r="BH137" i="17"/>
  <c r="CN137" i="17" s="1"/>
  <c r="DT137" i="17" s="1"/>
  <c r="ES136" i="17"/>
  <c r="DR132" i="17"/>
  <c r="EX132" i="17" s="1"/>
  <c r="GD132" i="17" s="1"/>
  <c r="CL138" i="17"/>
  <c r="CN117" i="17"/>
  <c r="DM110" i="17"/>
  <c r="CW110" i="17"/>
  <c r="DM99" i="17"/>
  <c r="ES99" i="17" s="1"/>
  <c r="CW99" i="17"/>
  <c r="DM97" i="17"/>
  <c r="CW97" i="17"/>
  <c r="GX241" i="17"/>
  <c r="AY241" i="17"/>
  <c r="BM241" i="17"/>
  <c r="BK241" i="17"/>
  <c r="DT240" i="17"/>
  <c r="D48" i="45" s="1"/>
  <c r="BH236" i="17"/>
  <c r="CN236" i="17" s="1"/>
  <c r="DT236" i="17" s="1"/>
  <c r="D45" i="45" s="1"/>
  <c r="E43" i="48"/>
  <c r="E43" i="41"/>
  <c r="E41" i="35"/>
  <c r="BN235" i="17"/>
  <c r="CT235" i="17" s="1"/>
  <c r="DZ235" i="17" s="1"/>
  <c r="C22" i="45" s="1"/>
  <c r="E33" i="53"/>
  <c r="FR231" i="17"/>
  <c r="ER231" i="17"/>
  <c r="E34" i="56"/>
  <c r="HN230" i="17"/>
  <c r="BN230" i="17"/>
  <c r="CT230" i="17" s="1"/>
  <c r="DZ230" i="17" s="1"/>
  <c r="C11" i="45" s="1"/>
  <c r="E11" i="45" s="1"/>
  <c r="FX226" i="17"/>
  <c r="AV226" i="17"/>
  <c r="BK226" i="17" s="1"/>
  <c r="AI226" i="17"/>
  <c r="E9" i="56"/>
  <c r="E9" i="53"/>
  <c r="E9" i="48"/>
  <c r="E9" i="41"/>
  <c r="E26" i="56"/>
  <c r="E27" i="48"/>
  <c r="E27" i="41"/>
  <c r="FC221" i="17"/>
  <c r="GI221" i="17" s="1"/>
  <c r="HO221" i="17" s="1"/>
  <c r="BO221" i="17"/>
  <c r="BH221" i="17"/>
  <c r="CN221" i="17" s="1"/>
  <c r="DT221" i="17" s="1"/>
  <c r="E45" i="53"/>
  <c r="BN219" i="17"/>
  <c r="CT219" i="17" s="1"/>
  <c r="DZ219" i="17" s="1"/>
  <c r="FF219" i="17" s="1"/>
  <c r="GL219" i="17" s="1"/>
  <c r="HR219" i="17" s="1"/>
  <c r="BG219" i="17"/>
  <c r="CM219" i="17" s="1"/>
  <c r="DS219" i="17" s="1"/>
  <c r="EY219" i="17" s="1"/>
  <c r="GE219" i="17" s="1"/>
  <c r="HK219" i="17" s="1"/>
  <c r="E19" i="60"/>
  <c r="CU218" i="17"/>
  <c r="EA218" i="17" s="1"/>
  <c r="CM217" i="17"/>
  <c r="DS217" i="17" s="1"/>
  <c r="EY217" i="17" s="1"/>
  <c r="GE217" i="17" s="1"/>
  <c r="HK217" i="17" s="1"/>
  <c r="DF215" i="17"/>
  <c r="CY215" i="17" s="1"/>
  <c r="CM213" i="17"/>
  <c r="CI210" i="17"/>
  <c r="DO210" i="17" s="1"/>
  <c r="EU210" i="17" s="1"/>
  <c r="GA210" i="17" s="1"/>
  <c r="HG210" i="17" s="1"/>
  <c r="CN210" i="17"/>
  <c r="DI209" i="17"/>
  <c r="DK209" i="17" s="1"/>
  <c r="BC209" i="17"/>
  <c r="CI209" i="17" s="1"/>
  <c r="DO209" i="17" s="1"/>
  <c r="EU208" i="17"/>
  <c r="GA208" i="17" s="1"/>
  <c r="HG208" i="17" s="1"/>
  <c r="EM208" i="17"/>
  <c r="EQ208" i="17" s="1"/>
  <c r="CN208" i="17"/>
  <c r="GA207" i="17"/>
  <c r="HG207" i="17" s="1"/>
  <c r="FG207" i="17"/>
  <c r="BN207" i="17"/>
  <c r="CT207" i="17" s="1"/>
  <c r="DZ207" i="17" s="1"/>
  <c r="BG207" i="17"/>
  <c r="CM207" i="17" s="1"/>
  <c r="DS207" i="17" s="1"/>
  <c r="EY207" i="17" s="1"/>
  <c r="GE207" i="17" s="1"/>
  <c r="HK207" i="17" s="1"/>
  <c r="BH206" i="17"/>
  <c r="BO206" i="17"/>
  <c r="CU206" i="17" s="1"/>
  <c r="BG206" i="17"/>
  <c r="CM206" i="17" s="1"/>
  <c r="DS206" i="17" s="1"/>
  <c r="EY206" i="17" s="1"/>
  <c r="GE206" i="17" s="1"/>
  <c r="HK206" i="17" s="1"/>
  <c r="BH205" i="17"/>
  <c r="BO205" i="17"/>
  <c r="EY204" i="17"/>
  <c r="GE204" i="17" s="1"/>
  <c r="HK204" i="17" s="1"/>
  <c r="BN204" i="17"/>
  <c r="CT204" i="17" s="1"/>
  <c r="DZ204" i="17" s="1"/>
  <c r="EY203" i="17"/>
  <c r="GE203" i="17" s="1"/>
  <c r="HK203" i="17" s="1"/>
  <c r="BN203" i="17"/>
  <c r="CT203" i="17" s="1"/>
  <c r="DZ203" i="17" s="1"/>
  <c r="BH202" i="17"/>
  <c r="BO202" i="17"/>
  <c r="GE201" i="17"/>
  <c r="HK201" i="17" s="1"/>
  <c r="CN201" i="17"/>
  <c r="EY200" i="17"/>
  <c r="GE200" i="17" s="1"/>
  <c r="HK200" i="17" s="1"/>
  <c r="CT200" i="17"/>
  <c r="DZ200" i="17" s="1"/>
  <c r="FS199" i="17"/>
  <c r="FW199" i="17" s="1"/>
  <c r="EM199" i="17"/>
  <c r="EQ199" i="17" s="1"/>
  <c r="CN199" i="17"/>
  <c r="FS198" i="17"/>
  <c r="FW198" i="17" s="1"/>
  <c r="EU198" i="17"/>
  <c r="GA198" i="17" s="1"/>
  <c r="HG198" i="17" s="1"/>
  <c r="EM198" i="17"/>
  <c r="EQ198" i="17" s="1"/>
  <c r="BO198" i="17"/>
  <c r="BP198" i="17" s="1"/>
  <c r="CN197" i="17"/>
  <c r="EU196" i="17"/>
  <c r="GA196" i="17" s="1"/>
  <c r="HG196" i="17" s="1"/>
  <c r="EM196" i="17"/>
  <c r="EQ196" i="17" s="1"/>
  <c r="FF196" i="17" s="1"/>
  <c r="GL196" i="17" s="1"/>
  <c r="HR196" i="17" s="1"/>
  <c r="CN196" i="17"/>
  <c r="GA195" i="17"/>
  <c r="HG195" i="17" s="1"/>
  <c r="EY195" i="17"/>
  <c r="GE195" i="17" s="1"/>
  <c r="HK195" i="17" s="1"/>
  <c r="CT195" i="17"/>
  <c r="DZ195" i="17" s="1"/>
  <c r="FS194" i="17"/>
  <c r="FW194" i="17" s="1"/>
  <c r="EU194" i="17"/>
  <c r="GA194" i="17" s="1"/>
  <c r="HG194" i="17" s="1"/>
  <c r="EM194" i="17"/>
  <c r="EQ194" i="17" s="1"/>
  <c r="BJ194" i="17"/>
  <c r="CP194" i="17" s="1"/>
  <c r="DV194" i="17" s="1"/>
  <c r="BO194" i="17"/>
  <c r="HC191" i="17"/>
  <c r="GW191" i="17"/>
  <c r="GK193" i="17"/>
  <c r="HQ193" i="17" s="1"/>
  <c r="GI193" i="17"/>
  <c r="HO193" i="17" s="1"/>
  <c r="GC193" i="17"/>
  <c r="HI193" i="17" s="1"/>
  <c r="BN193" i="17"/>
  <c r="CT193" i="17" s="1"/>
  <c r="DZ193" i="17" s="1"/>
  <c r="BG193" i="17"/>
  <c r="CM193" i="17" s="1"/>
  <c r="DS193" i="17" s="1"/>
  <c r="EY193" i="17" s="1"/>
  <c r="GE193" i="17" s="1"/>
  <c r="HK193" i="17" s="1"/>
  <c r="HQ192" i="17"/>
  <c r="HO192" i="17"/>
  <c r="HI192" i="17"/>
  <c r="FM191" i="17"/>
  <c r="FD192" i="17"/>
  <c r="GJ192" i="17" s="1"/>
  <c r="HP192" i="17" s="1"/>
  <c r="HP191" i="17" s="1"/>
  <c r="EX192" i="17"/>
  <c r="DY191" i="17"/>
  <c r="DW191" i="17"/>
  <c r="DQ191" i="17"/>
  <c r="DK191" i="17"/>
  <c r="DE191" i="17"/>
  <c r="CS191" i="17"/>
  <c r="CQ191" i="17"/>
  <c r="CK191" i="17"/>
  <c r="CE191" i="17"/>
  <c r="BY191" i="17"/>
  <c r="BM191" i="17"/>
  <c r="BK191" i="17"/>
  <c r="BH192" i="17"/>
  <c r="BE191" i="17"/>
  <c r="AY191" i="17"/>
  <c r="AS191" i="17"/>
  <c r="AI191" i="17"/>
  <c r="AJ191" i="17" s="1"/>
  <c r="W191" i="17"/>
  <c r="GJ190" i="17"/>
  <c r="HP190" i="17" s="1"/>
  <c r="DS189" i="17"/>
  <c r="EY189" i="17" s="1"/>
  <c r="GE189" i="17" s="1"/>
  <c r="HK189" i="17" s="1"/>
  <c r="CH189" i="17"/>
  <c r="DN189" i="17" s="1"/>
  <c r="ET189" i="17" s="1"/>
  <c r="FZ189" i="17" s="1"/>
  <c r="HF189" i="17" s="1"/>
  <c r="BP188" i="17"/>
  <c r="DO188" i="17"/>
  <c r="EU188" i="17" s="1"/>
  <c r="GA188" i="17" s="1"/>
  <c r="HG188" i="17" s="1"/>
  <c r="DM187" i="17"/>
  <c r="BQ186" i="17"/>
  <c r="FU185" i="17"/>
  <c r="FW185" i="17" s="1"/>
  <c r="CN185" i="17"/>
  <c r="CM185" i="17"/>
  <c r="DO185" i="17"/>
  <c r="EU185" i="17" s="1"/>
  <c r="GA185" i="17" s="1"/>
  <c r="HG185" i="17" s="1"/>
  <c r="BN185" i="17"/>
  <c r="CT185" i="17" s="1"/>
  <c r="CR185" i="17"/>
  <c r="BN184" i="17"/>
  <c r="CT184" i="17" s="1"/>
  <c r="DZ184" i="17" s="1"/>
  <c r="FF184" i="17" s="1"/>
  <c r="GL184" i="17" s="1"/>
  <c r="HR184" i="17" s="1"/>
  <c r="BG184" i="17"/>
  <c r="CM184" i="17" s="1"/>
  <c r="GO182" i="17"/>
  <c r="HG182" i="17"/>
  <c r="BG182" i="17"/>
  <c r="CM182" i="17" s="1"/>
  <c r="DS182" i="17" s="1"/>
  <c r="EY182" i="17" s="1"/>
  <c r="GE182" i="17" s="1"/>
  <c r="HK182" i="17" s="1"/>
  <c r="GA181" i="17"/>
  <c r="HG181" i="17" s="1"/>
  <c r="CD173" i="17"/>
  <c r="BT173" i="17" s="1"/>
  <c r="BT211" i="17" s="1"/>
  <c r="GK179" i="17"/>
  <c r="HQ179" i="17" s="1"/>
  <c r="HF179" i="17"/>
  <c r="BG179" i="17"/>
  <c r="CM179" i="17" s="1"/>
  <c r="DS179" i="17" s="1"/>
  <c r="EY179" i="17" s="1"/>
  <c r="GE179" i="17" s="1"/>
  <c r="HK179" i="17" s="1"/>
  <c r="FY178" i="17"/>
  <c r="DZ178" i="17"/>
  <c r="FF178" i="17" s="1"/>
  <c r="GL178" i="17" s="1"/>
  <c r="HR178" i="17" s="1"/>
  <c r="BH178" i="17"/>
  <c r="BG178" i="17"/>
  <c r="CM178" i="17" s="1"/>
  <c r="DS178" i="17" s="1"/>
  <c r="EY178" i="17" s="1"/>
  <c r="GE178" i="17" s="1"/>
  <c r="HK178" i="17" s="1"/>
  <c r="FZ177" i="17"/>
  <c r="HF177" i="17" s="1"/>
  <c r="GB176" i="17"/>
  <c r="HH176" i="17" s="1"/>
  <c r="DF173" i="17"/>
  <c r="EP173" i="17"/>
  <c r="DI175" i="17"/>
  <c r="DK175" i="17" s="1"/>
  <c r="CG175" i="17"/>
  <c r="CH175" i="17"/>
  <c r="DN175" i="17" s="1"/>
  <c r="ET175" i="17" s="1"/>
  <c r="FZ175" i="17" s="1"/>
  <c r="HF175" i="17" s="1"/>
  <c r="AT173" i="17"/>
  <c r="GX173" i="17"/>
  <c r="FX173" i="17"/>
  <c r="FV173" i="17"/>
  <c r="FR173" i="17"/>
  <c r="EL173" i="17"/>
  <c r="CS174" i="17"/>
  <c r="DY174" i="17" s="1"/>
  <c r="BO174" i="17"/>
  <c r="BX211" i="17"/>
  <c r="BK173" i="17"/>
  <c r="BO172" i="17"/>
  <c r="CU171" i="17"/>
  <c r="CU169" i="17"/>
  <c r="DY167" i="17"/>
  <c r="FE167" i="17" s="1"/>
  <c r="GK167" i="17" s="1"/>
  <c r="HQ167" i="17" s="1"/>
  <c r="DE163" i="17"/>
  <c r="CM167" i="17"/>
  <c r="DS167" i="17" s="1"/>
  <c r="EY167" i="17" s="1"/>
  <c r="GE167" i="17" s="1"/>
  <c r="HK167" i="17" s="1"/>
  <c r="AY163" i="17"/>
  <c r="AS163" i="17"/>
  <c r="CW166" i="17"/>
  <c r="AK165" i="17"/>
  <c r="EL163" i="17"/>
  <c r="CF163" i="17"/>
  <c r="CD163" i="17"/>
  <c r="BZ163" i="17"/>
  <c r="AH163" i="17"/>
  <c r="AF163" i="17"/>
  <c r="AF211" i="17" s="1"/>
  <c r="FW163" i="17"/>
  <c r="G163" i="17"/>
  <c r="BD160" i="17"/>
  <c r="AB160" i="17"/>
  <c r="DL160" i="17"/>
  <c r="CW159" i="17"/>
  <c r="BH159" i="17"/>
  <c r="BG159" i="17"/>
  <c r="CM159" i="17" s="1"/>
  <c r="DS159" i="17" s="1"/>
  <c r="EY159" i="17" s="1"/>
  <c r="GE159" i="17" s="1"/>
  <c r="HK159" i="17" s="1"/>
  <c r="DP158" i="17"/>
  <c r="EV158" i="17" s="1"/>
  <c r="GB158" i="17" s="1"/>
  <c r="HH158" i="17" s="1"/>
  <c r="ES157" i="17"/>
  <c r="EV157" i="17"/>
  <c r="GB157" i="17" s="1"/>
  <c r="HH157" i="17" s="1"/>
  <c r="ER160" i="17"/>
  <c r="AK154" i="17"/>
  <c r="G154" i="17"/>
  <c r="CW153" i="17"/>
  <c r="BH153" i="17"/>
  <c r="BG153" i="17"/>
  <c r="CM153" i="17" s="1"/>
  <c r="DS153" i="17" s="1"/>
  <c r="EY153" i="17" s="1"/>
  <c r="GE153" i="17" s="1"/>
  <c r="HK153" i="17" s="1"/>
  <c r="BH152" i="17"/>
  <c r="FX154" i="17"/>
  <c r="FI151" i="17"/>
  <c r="CT151" i="17"/>
  <c r="DZ151" i="17" s="1"/>
  <c r="BG151" i="17"/>
  <c r="CM151" i="17" s="1"/>
  <c r="DS151" i="17" s="1"/>
  <c r="EY151" i="17" s="1"/>
  <c r="GE151" i="17" s="1"/>
  <c r="HK151" i="17" s="1"/>
  <c r="CT150" i="17"/>
  <c r="DZ150" i="17" s="1"/>
  <c r="DK154" i="17"/>
  <c r="DE154" i="17"/>
  <c r="FS161" i="17"/>
  <c r="C7" i="56" s="1"/>
  <c r="DG161" i="17"/>
  <c r="C7" i="48" s="1"/>
  <c r="AQ161" i="17"/>
  <c r="C31" i="35" s="1"/>
  <c r="AK147" i="17"/>
  <c r="CM145" i="17"/>
  <c r="DS145" i="17" s="1"/>
  <c r="EY145" i="17" s="1"/>
  <c r="GE145" i="17" s="1"/>
  <c r="HK145" i="17" s="1"/>
  <c r="CJ145" i="17"/>
  <c r="DP145" i="17" s="1"/>
  <c r="EV145" i="17" s="1"/>
  <c r="GB145" i="17" s="1"/>
  <c r="HH145" i="17" s="1"/>
  <c r="CM144" i="17"/>
  <c r="DS144" i="17" s="1"/>
  <c r="EY144" i="17" s="1"/>
  <c r="GE144" i="17" s="1"/>
  <c r="HK144" i="17" s="1"/>
  <c r="BG143" i="17"/>
  <c r="BZ147" i="17"/>
  <c r="CM141" i="17"/>
  <c r="DS141" i="17" s="1"/>
  <c r="EY141" i="17" s="1"/>
  <c r="GE141" i="17" s="1"/>
  <c r="HK141" i="17" s="1"/>
  <c r="Q141" i="17"/>
  <c r="Q147" i="17" s="1"/>
  <c r="CS137" i="17"/>
  <c r="DY137" i="17" s="1"/>
  <c r="FE137" i="17" s="1"/>
  <c r="GK137" i="17" s="1"/>
  <c r="HQ137" i="17" s="1"/>
  <c r="J91" i="17"/>
  <c r="N91" i="17"/>
  <c r="CW89" i="17"/>
  <c r="DM89" i="17"/>
  <c r="DM43" i="17"/>
  <c r="CW43" i="17"/>
  <c r="DM34" i="17"/>
  <c r="EC34" i="17" s="1"/>
  <c r="CW34" i="17"/>
  <c r="DM28" i="17"/>
  <c r="EC28" i="17" s="1"/>
  <c r="CW28" i="17"/>
  <c r="EN138" i="17"/>
  <c r="CB138" i="17"/>
  <c r="X138" i="17"/>
  <c r="HD137" i="17"/>
  <c r="AJ137" i="17"/>
  <c r="BG137" i="17"/>
  <c r="CM137" i="17" s="1"/>
  <c r="DS137" i="17" s="1"/>
  <c r="EY137" i="17" s="1"/>
  <c r="GE137" i="17" s="1"/>
  <c r="HK137" i="17" s="1"/>
  <c r="DL135" i="17"/>
  <c r="CF135" i="17"/>
  <c r="AZ135" i="17"/>
  <c r="BG135" i="17"/>
  <c r="CM135" i="17" s="1"/>
  <c r="DS135" i="17" s="1"/>
  <c r="EY135" i="17" s="1"/>
  <c r="GE135" i="17" s="1"/>
  <c r="HK135" i="17" s="1"/>
  <c r="BQ135" i="17"/>
  <c r="HD134" i="17"/>
  <c r="ER134" i="17"/>
  <c r="BQ132" i="17"/>
  <c r="GV139" i="17"/>
  <c r="GV161" i="17" s="1"/>
  <c r="D32" i="60" s="1"/>
  <c r="GT139" i="17"/>
  <c r="GP139" i="17"/>
  <c r="GP161" i="17" s="1"/>
  <c r="EO139" i="17"/>
  <c r="EO161" i="17" s="1"/>
  <c r="C8" i="53" s="1"/>
  <c r="CZ131" i="17"/>
  <c r="CW131" i="17"/>
  <c r="AV131" i="17"/>
  <c r="R131" i="17"/>
  <c r="AC131" i="17" s="1"/>
  <c r="CK130" i="17"/>
  <c r="CS130" i="17"/>
  <c r="BH130" i="17"/>
  <c r="U139" i="17"/>
  <c r="U161" i="17" s="1"/>
  <c r="GU129" i="17"/>
  <c r="GU139" i="17" s="1"/>
  <c r="GU161" i="17" s="1"/>
  <c r="C32" i="60" s="1"/>
  <c r="E32" i="60" s="1"/>
  <c r="GS129" i="17"/>
  <c r="GS139" i="17" s="1"/>
  <c r="GS161" i="17" s="1"/>
  <c r="C31" i="60" s="1"/>
  <c r="GQ129" i="17"/>
  <c r="GQ139" i="17" s="1"/>
  <c r="BC128" i="17"/>
  <c r="AP128" i="17"/>
  <c r="AP129" i="17" s="1"/>
  <c r="AP139" i="17" s="1"/>
  <c r="CG127" i="17"/>
  <c r="BD127" i="17"/>
  <c r="CJ127" i="17" s="1"/>
  <c r="DP127" i="17" s="1"/>
  <c r="EV127" i="17" s="1"/>
  <c r="GB127" i="17" s="1"/>
  <c r="HH127" i="17" s="1"/>
  <c r="BB127" i="17"/>
  <c r="R127" i="17"/>
  <c r="S127" i="17" s="1"/>
  <c r="AJ127" i="17" s="1"/>
  <c r="N127" i="17"/>
  <c r="N128" i="17" s="1"/>
  <c r="EQ128" i="17"/>
  <c r="EQ129" i="17" s="1"/>
  <c r="EK128" i="17"/>
  <c r="EK129" i="17" s="1"/>
  <c r="AT128" i="17"/>
  <c r="AT129" i="17" s="1"/>
  <c r="AT139" i="17" s="1"/>
  <c r="BG126" i="17"/>
  <c r="CM126" i="17" s="1"/>
  <c r="DS126" i="17" s="1"/>
  <c r="EY126" i="17" s="1"/>
  <c r="GE126" i="17" s="1"/>
  <c r="HK126" i="17" s="1"/>
  <c r="CE128" i="17"/>
  <c r="CF125" i="17"/>
  <c r="CU125" i="17" s="1"/>
  <c r="BN125" i="17"/>
  <c r="BF128" i="17"/>
  <c r="BF129" i="17" s="1"/>
  <c r="BG125" i="17"/>
  <c r="R125" i="17"/>
  <c r="S125" i="17" s="1"/>
  <c r="EN129" i="17"/>
  <c r="EL129" i="17"/>
  <c r="EL139" i="17" s="1"/>
  <c r="EJ129" i="17"/>
  <c r="EJ139" i="17" s="1"/>
  <c r="EJ161" i="17" s="1"/>
  <c r="D32" i="53" s="1"/>
  <c r="EH129" i="17"/>
  <c r="EF129" i="17"/>
  <c r="ED129" i="17"/>
  <c r="ED139" i="17" s="1"/>
  <c r="ED161" i="17" s="1"/>
  <c r="DJ129" i="17"/>
  <c r="DH129" i="17"/>
  <c r="BD123" i="17"/>
  <c r="AR129" i="17"/>
  <c r="AR139" i="17" s="1"/>
  <c r="AR161" i="17" s="1"/>
  <c r="D31" i="35" s="1"/>
  <c r="AL129" i="17"/>
  <c r="AL139" i="17" s="1"/>
  <c r="AL161" i="17" s="1"/>
  <c r="AG129" i="17"/>
  <c r="AE129" i="17"/>
  <c r="AE139" i="17" s="1"/>
  <c r="AE161" i="17" s="1"/>
  <c r="AB123" i="17"/>
  <c r="M123" i="17"/>
  <c r="CW122" i="17"/>
  <c r="BH122" i="17"/>
  <c r="AJ122" i="17"/>
  <c r="BG122" i="17"/>
  <c r="CM122" i="17" s="1"/>
  <c r="DS122" i="17" s="1"/>
  <c r="EY122" i="17" s="1"/>
  <c r="GE122" i="17" s="1"/>
  <c r="HK122" i="17" s="1"/>
  <c r="CM121" i="17"/>
  <c r="DS121" i="17" s="1"/>
  <c r="EY121" i="17" s="1"/>
  <c r="GE121" i="17" s="1"/>
  <c r="HK121" i="17" s="1"/>
  <c r="BN121" i="17"/>
  <c r="CT121" i="17" s="1"/>
  <c r="DZ121" i="17" s="1"/>
  <c r="FF121" i="17" s="1"/>
  <c r="GL121" i="17" s="1"/>
  <c r="HR121" i="17" s="1"/>
  <c r="G120" i="17"/>
  <c r="CW119" i="17"/>
  <c r="BP118" i="17"/>
  <c r="AC118" i="17"/>
  <c r="BO117" i="17"/>
  <c r="BP116" i="17"/>
  <c r="AC116" i="17"/>
  <c r="CW115" i="17"/>
  <c r="BH115" i="17"/>
  <c r="BI115" i="17" s="1"/>
  <c r="BG115" i="17"/>
  <c r="CM115" i="17" s="1"/>
  <c r="DS115" i="17" s="1"/>
  <c r="EY115" i="17" s="1"/>
  <c r="GE115" i="17" s="1"/>
  <c r="HK115" i="17" s="1"/>
  <c r="AC114" i="17"/>
  <c r="CW113" i="17"/>
  <c r="BH113" i="17"/>
  <c r="BI113" i="17" s="1"/>
  <c r="BG113" i="17"/>
  <c r="CM113" i="17" s="1"/>
  <c r="DS113" i="17" s="1"/>
  <c r="EY113" i="17" s="1"/>
  <c r="GE113" i="17" s="1"/>
  <c r="HK113" i="17" s="1"/>
  <c r="BP112" i="17"/>
  <c r="AC112" i="17"/>
  <c r="CW111" i="17"/>
  <c r="BH111" i="17"/>
  <c r="BI111" i="17" s="1"/>
  <c r="AJ111" i="17"/>
  <c r="BG111" i="17"/>
  <c r="CM111" i="17" s="1"/>
  <c r="DS111" i="17" s="1"/>
  <c r="EY111" i="17" s="1"/>
  <c r="GE111" i="17" s="1"/>
  <c r="HK111" i="17" s="1"/>
  <c r="CM109" i="17"/>
  <c r="DS109" i="17" s="1"/>
  <c r="EY109" i="17" s="1"/>
  <c r="GE109" i="17" s="1"/>
  <c r="HK109" i="17" s="1"/>
  <c r="BN109" i="17"/>
  <c r="CT109" i="17" s="1"/>
  <c r="DZ109" i="17" s="1"/>
  <c r="FF109" i="17" s="1"/>
  <c r="GL109" i="17" s="1"/>
  <c r="HR109" i="17" s="1"/>
  <c r="BN108" i="17"/>
  <c r="CT108" i="17" s="1"/>
  <c r="DZ108" i="17" s="1"/>
  <c r="FF108" i="17" s="1"/>
  <c r="GL108" i="17" s="1"/>
  <c r="HR108" i="17" s="1"/>
  <c r="BG108" i="17"/>
  <c r="CM108" i="17" s="1"/>
  <c r="DS108" i="17" s="1"/>
  <c r="EY108" i="17" s="1"/>
  <c r="GE108" i="17" s="1"/>
  <c r="HK108" i="17" s="1"/>
  <c r="CW107" i="17"/>
  <c r="BP106" i="17"/>
  <c r="AC106" i="17"/>
  <c r="BQ105" i="17"/>
  <c r="BP104" i="17"/>
  <c r="AC104" i="17"/>
  <c r="CM103" i="17"/>
  <c r="DS103" i="17" s="1"/>
  <c r="EY103" i="17" s="1"/>
  <c r="GE103" i="17" s="1"/>
  <c r="HK103" i="17" s="1"/>
  <c r="BN103" i="17"/>
  <c r="CT103" i="17" s="1"/>
  <c r="DZ103" i="17" s="1"/>
  <c r="FF103" i="17" s="1"/>
  <c r="GL103" i="17" s="1"/>
  <c r="HR103" i="17" s="1"/>
  <c r="J102" i="17"/>
  <c r="DM101" i="17"/>
  <c r="BN101" i="17"/>
  <c r="CT101" i="17" s="1"/>
  <c r="DZ101" i="17" s="1"/>
  <c r="FF101" i="17" s="1"/>
  <c r="GL101" i="17" s="1"/>
  <c r="HR101" i="17" s="1"/>
  <c r="N101" i="17"/>
  <c r="CW100" i="17"/>
  <c r="BH100" i="17"/>
  <c r="BG100" i="17"/>
  <c r="CM100" i="17" s="1"/>
  <c r="DS100" i="17" s="1"/>
  <c r="EY100" i="17" s="1"/>
  <c r="GE100" i="17" s="1"/>
  <c r="HK100" i="17" s="1"/>
  <c r="BO98" i="17"/>
  <c r="BN97" i="17"/>
  <c r="CT97" i="17" s="1"/>
  <c r="DZ97" i="17" s="1"/>
  <c r="FF97" i="17" s="1"/>
  <c r="GL97" i="17" s="1"/>
  <c r="HR97" i="17" s="1"/>
  <c r="BG97" i="17"/>
  <c r="CM97" i="17" s="1"/>
  <c r="DS97" i="17" s="1"/>
  <c r="EY97" i="17" s="1"/>
  <c r="GE97" i="17" s="1"/>
  <c r="HK97" i="17" s="1"/>
  <c r="N97" i="17"/>
  <c r="BO96" i="17"/>
  <c r="CU96" i="17" s="1"/>
  <c r="EA96" i="17" s="1"/>
  <c r="FG96" i="17" s="1"/>
  <c r="GM96" i="17" s="1"/>
  <c r="HS96" i="17" s="1"/>
  <c r="BH96" i="17"/>
  <c r="CN96" i="17" s="1"/>
  <c r="DT96" i="17" s="1"/>
  <c r="EZ96" i="17" s="1"/>
  <c r="GF96" i="17" s="1"/>
  <c r="HL96" i="17" s="1"/>
  <c r="CW95" i="17"/>
  <c r="J95" i="17"/>
  <c r="E123" i="17"/>
  <c r="E129" i="17" s="1"/>
  <c r="E139" i="17" s="1"/>
  <c r="E161" i="17" s="1"/>
  <c r="DM94" i="17"/>
  <c r="HU93" i="17"/>
  <c r="CM93" i="17"/>
  <c r="DS93" i="17" s="1"/>
  <c r="EY93" i="17" s="1"/>
  <c r="GE93" i="17" s="1"/>
  <c r="HK93" i="17" s="1"/>
  <c r="BQ92" i="17"/>
  <c r="BO92" i="17"/>
  <c r="BH92" i="17"/>
  <c r="CN92" i="17" s="1"/>
  <c r="DT92" i="17" s="1"/>
  <c r="EZ92" i="17" s="1"/>
  <c r="GF92" i="17" s="1"/>
  <c r="HL92" i="17" s="1"/>
  <c r="CG90" i="17"/>
  <c r="DM90" i="17" s="1"/>
  <c r="EC90" i="17" s="1"/>
  <c r="CM87" i="17"/>
  <c r="DS87" i="17" s="1"/>
  <c r="EY87" i="17" s="1"/>
  <c r="GE87" i="17" s="1"/>
  <c r="HK87" i="17" s="1"/>
  <c r="CG86" i="17"/>
  <c r="BO85" i="17"/>
  <c r="DM84" i="17"/>
  <c r="BQ84" i="17"/>
  <c r="J92" i="17"/>
  <c r="N92" i="17"/>
  <c r="CN89" i="17"/>
  <c r="CW87" i="17"/>
  <c r="ES83" i="17"/>
  <c r="FI83" i="17" s="1"/>
  <c r="EC83" i="17"/>
  <c r="DM82" i="17"/>
  <c r="CW82" i="17"/>
  <c r="AC82" i="17"/>
  <c r="BH82" i="17"/>
  <c r="BI82" i="17" s="1"/>
  <c r="DM68" i="17"/>
  <c r="CW68" i="17"/>
  <c r="DM56" i="17"/>
  <c r="CW56" i="17"/>
  <c r="S56" i="17"/>
  <c r="AJ56" i="17" s="1"/>
  <c r="AC56" i="17"/>
  <c r="DN136" i="17"/>
  <c r="ET136" i="17" s="1"/>
  <c r="FZ136" i="17" s="1"/>
  <c r="HF136" i="17" s="1"/>
  <c r="DT135" i="17"/>
  <c r="EZ135" i="17" s="1"/>
  <c r="GF135" i="17" s="1"/>
  <c r="HL135" i="17" s="1"/>
  <c r="CS134" i="17"/>
  <c r="DY134" i="17" s="1"/>
  <c r="FE134" i="17" s="1"/>
  <c r="GK134" i="17" s="1"/>
  <c r="HQ134" i="17" s="1"/>
  <c r="FN138" i="17"/>
  <c r="FN139" i="17" s="1"/>
  <c r="EI139" i="17"/>
  <c r="EI161" i="17" s="1"/>
  <c r="C32" i="53" s="1"/>
  <c r="EG139" i="17"/>
  <c r="AF139" i="17"/>
  <c r="AF161" i="17" s="1"/>
  <c r="AD139" i="17"/>
  <c r="AD161" i="17" s="1"/>
  <c r="FV139" i="17"/>
  <c r="FV161" i="17" s="1"/>
  <c r="D8" i="56" s="1"/>
  <c r="FP139" i="17"/>
  <c r="FP161" i="17" s="1"/>
  <c r="D32" i="56" s="1"/>
  <c r="DE128" i="17"/>
  <c r="DD129" i="17"/>
  <c r="DD139" i="17" s="1"/>
  <c r="DD161" i="17" s="1"/>
  <c r="D33" i="48" s="1"/>
  <c r="DB129" i="17"/>
  <c r="DB139" i="17" s="1"/>
  <c r="CX139" i="17"/>
  <c r="CX161" i="17" s="1"/>
  <c r="AI129" i="17"/>
  <c r="Z129" i="17"/>
  <c r="Z139" i="17" s="1"/>
  <c r="Z161" i="17" s="1"/>
  <c r="CT122" i="17"/>
  <c r="DZ122" i="17" s="1"/>
  <c r="FF122" i="17" s="1"/>
  <c r="GL122" i="17" s="1"/>
  <c r="HR122" i="17" s="1"/>
  <c r="CN120" i="17"/>
  <c r="DT120" i="17" s="1"/>
  <c r="EZ120" i="17" s="1"/>
  <c r="GF120" i="17" s="1"/>
  <c r="HL120" i="17" s="1"/>
  <c r="CT119" i="17"/>
  <c r="DZ119" i="17" s="1"/>
  <c r="FF119" i="17" s="1"/>
  <c r="GL119" i="17" s="1"/>
  <c r="HR119" i="17" s="1"/>
  <c r="CM119" i="17"/>
  <c r="DS119" i="17" s="1"/>
  <c r="EY119" i="17" s="1"/>
  <c r="GE119" i="17" s="1"/>
  <c r="HK119" i="17" s="1"/>
  <c r="DS118" i="17"/>
  <c r="EY118" i="17" s="1"/>
  <c r="GE118" i="17" s="1"/>
  <c r="HK118" i="17" s="1"/>
  <c r="BN118" i="17"/>
  <c r="CT118" i="17" s="1"/>
  <c r="DZ118" i="17" s="1"/>
  <c r="FF118" i="17" s="1"/>
  <c r="GL118" i="17" s="1"/>
  <c r="HR118" i="17" s="1"/>
  <c r="BN116" i="17"/>
  <c r="CT116" i="17" s="1"/>
  <c r="DZ116" i="17" s="1"/>
  <c r="FF116" i="17" s="1"/>
  <c r="GL116" i="17" s="1"/>
  <c r="HR116" i="17" s="1"/>
  <c r="CT115" i="17"/>
  <c r="DZ115" i="17" s="1"/>
  <c r="FF115" i="17" s="1"/>
  <c r="GL115" i="17" s="1"/>
  <c r="HR115" i="17" s="1"/>
  <c r="BN114" i="17"/>
  <c r="CT114" i="17" s="1"/>
  <c r="DZ114" i="17" s="1"/>
  <c r="FF114" i="17" s="1"/>
  <c r="GL114" i="17" s="1"/>
  <c r="HR114" i="17" s="1"/>
  <c r="CT113" i="17"/>
  <c r="DZ113" i="17" s="1"/>
  <c r="FF113" i="17" s="1"/>
  <c r="GL113" i="17" s="1"/>
  <c r="HR113" i="17" s="1"/>
  <c r="BN112" i="17"/>
  <c r="CT112" i="17" s="1"/>
  <c r="DZ112" i="17" s="1"/>
  <c r="FF112" i="17" s="1"/>
  <c r="GL112" i="17" s="1"/>
  <c r="HR112" i="17" s="1"/>
  <c r="CT111" i="17"/>
  <c r="DZ111" i="17" s="1"/>
  <c r="FF111" i="17" s="1"/>
  <c r="GL111" i="17" s="1"/>
  <c r="HR111" i="17" s="1"/>
  <c r="BG110" i="17"/>
  <c r="CM110" i="17" s="1"/>
  <c r="DS110" i="17" s="1"/>
  <c r="EY110" i="17" s="1"/>
  <c r="GE110" i="17" s="1"/>
  <c r="HK110" i="17" s="1"/>
  <c r="CN108" i="17"/>
  <c r="DT108" i="17" s="1"/>
  <c r="EZ108" i="17" s="1"/>
  <c r="GF108" i="17" s="1"/>
  <c r="HL108" i="17" s="1"/>
  <c r="CM107" i="17"/>
  <c r="DS107" i="17" s="1"/>
  <c r="EY107" i="17" s="1"/>
  <c r="GE107" i="17" s="1"/>
  <c r="HK107" i="17" s="1"/>
  <c r="DS106" i="17"/>
  <c r="EY106" i="17" s="1"/>
  <c r="GE106" i="17" s="1"/>
  <c r="HK106" i="17" s="1"/>
  <c r="BN106" i="17"/>
  <c r="CT106" i="17" s="1"/>
  <c r="DZ106" i="17" s="1"/>
  <c r="FF106" i="17" s="1"/>
  <c r="GL106" i="17" s="1"/>
  <c r="HR106" i="17" s="1"/>
  <c r="CT105" i="17"/>
  <c r="DZ105" i="17" s="1"/>
  <c r="FF105" i="17" s="1"/>
  <c r="GL105" i="17" s="1"/>
  <c r="HR105" i="17" s="1"/>
  <c r="BO105" i="17"/>
  <c r="CU105" i="17" s="1"/>
  <c r="EA105" i="17" s="1"/>
  <c r="FG105" i="17" s="1"/>
  <c r="GM105" i="17" s="1"/>
  <c r="HS105" i="17" s="1"/>
  <c r="BH105" i="17"/>
  <c r="CN105" i="17" s="1"/>
  <c r="DT105" i="17" s="1"/>
  <c r="EZ105" i="17" s="1"/>
  <c r="GF105" i="17" s="1"/>
  <c r="HL105" i="17" s="1"/>
  <c r="BN104" i="17"/>
  <c r="CT104" i="17" s="1"/>
  <c r="DZ104" i="17" s="1"/>
  <c r="FF104" i="17" s="1"/>
  <c r="GL104" i="17" s="1"/>
  <c r="HR104" i="17" s="1"/>
  <c r="BG99" i="17"/>
  <c r="CM99" i="17" s="1"/>
  <c r="DS99" i="17" s="1"/>
  <c r="EY99" i="17" s="1"/>
  <c r="GE99" i="17" s="1"/>
  <c r="HK99" i="17" s="1"/>
  <c r="CN97" i="17"/>
  <c r="DT97" i="17" s="1"/>
  <c r="EZ97" i="17" s="1"/>
  <c r="GF97" i="17" s="1"/>
  <c r="HL97" i="17" s="1"/>
  <c r="CM95" i="17"/>
  <c r="DS95" i="17" s="1"/>
  <c r="EY95" i="17" s="1"/>
  <c r="GE95" i="17" s="1"/>
  <c r="HK95" i="17" s="1"/>
  <c r="CM94" i="17"/>
  <c r="DS94" i="17" s="1"/>
  <c r="EY94" i="17" s="1"/>
  <c r="GE94" i="17" s="1"/>
  <c r="HK94" i="17" s="1"/>
  <c r="BO93" i="17"/>
  <c r="CU93" i="17" s="1"/>
  <c r="EA93" i="17" s="1"/>
  <c r="FG93" i="17" s="1"/>
  <c r="GM93" i="17" s="1"/>
  <c r="HS93" i="17" s="1"/>
  <c r="BH93" i="17"/>
  <c r="CN93" i="17" s="1"/>
  <c r="DT93" i="17" s="1"/>
  <c r="EZ93" i="17" s="1"/>
  <c r="GF93" i="17" s="1"/>
  <c r="HL93" i="17" s="1"/>
  <c r="CM92" i="17"/>
  <c r="DS92" i="17" s="1"/>
  <c r="EY92" i="17" s="1"/>
  <c r="GE92" i="17" s="1"/>
  <c r="HK92" i="17" s="1"/>
  <c r="DK123" i="17"/>
  <c r="DE123" i="17"/>
  <c r="AJ84" i="17"/>
  <c r="DS83" i="17"/>
  <c r="EY83" i="17" s="1"/>
  <c r="GE83" i="17" s="1"/>
  <c r="HK83" i="17" s="1"/>
  <c r="BN83" i="17"/>
  <c r="CT83" i="17" s="1"/>
  <c r="DZ83" i="17" s="1"/>
  <c r="FF83" i="17" s="1"/>
  <c r="GL83" i="17" s="1"/>
  <c r="HR83" i="17" s="1"/>
  <c r="AE92" i="11"/>
  <c r="AD94" i="11"/>
  <c r="AH25" i="11"/>
  <c r="Z34" i="11"/>
  <c r="Z35" i="11" s="1"/>
  <c r="Z37" i="11" s="1"/>
  <c r="BN81" i="17"/>
  <c r="CT81" i="17" s="1"/>
  <c r="DZ81" i="17" s="1"/>
  <c r="FF81" i="17" s="1"/>
  <c r="GL81" i="17" s="1"/>
  <c r="HR81" i="17" s="1"/>
  <c r="CU79" i="17"/>
  <c r="EA79" i="17" s="1"/>
  <c r="FG79" i="17" s="1"/>
  <c r="GM79" i="17" s="1"/>
  <c r="HS79" i="17" s="1"/>
  <c r="BN78" i="17"/>
  <c r="CT78" i="17" s="1"/>
  <c r="DZ78" i="17" s="1"/>
  <c r="FF78" i="17" s="1"/>
  <c r="GL78" i="17" s="1"/>
  <c r="HR78" i="17" s="1"/>
  <c r="CT77" i="17"/>
  <c r="DZ77" i="17" s="1"/>
  <c r="FF77" i="17" s="1"/>
  <c r="GL77" i="17" s="1"/>
  <c r="HR77" i="17" s="1"/>
  <c r="DS76" i="17"/>
  <c r="EY76" i="17" s="1"/>
  <c r="GE76" i="17" s="1"/>
  <c r="HK76" i="17" s="1"/>
  <c r="BN76" i="17"/>
  <c r="CT76" i="17" s="1"/>
  <c r="DZ76" i="17" s="1"/>
  <c r="FF76" i="17" s="1"/>
  <c r="GL76" i="17" s="1"/>
  <c r="HR76" i="17" s="1"/>
  <c r="AJ73" i="17"/>
  <c r="BN72" i="17"/>
  <c r="CT72" i="17" s="1"/>
  <c r="DZ72" i="17" s="1"/>
  <c r="FF72" i="17" s="1"/>
  <c r="GL72" i="17" s="1"/>
  <c r="HR72" i="17" s="1"/>
  <c r="CT71" i="17"/>
  <c r="DZ71" i="17" s="1"/>
  <c r="FF71" i="17" s="1"/>
  <c r="GL71" i="17" s="1"/>
  <c r="HR71" i="17" s="1"/>
  <c r="DS70" i="17"/>
  <c r="EY70" i="17" s="1"/>
  <c r="GE70" i="17" s="1"/>
  <c r="HK70" i="17" s="1"/>
  <c r="BN70" i="17"/>
  <c r="CT70" i="17" s="1"/>
  <c r="DZ70" i="17" s="1"/>
  <c r="FF70" i="17" s="1"/>
  <c r="GL70" i="17" s="1"/>
  <c r="HR70" i="17" s="1"/>
  <c r="BG68" i="17"/>
  <c r="CM68" i="17" s="1"/>
  <c r="DS68" i="17" s="1"/>
  <c r="EY68" i="17" s="1"/>
  <c r="GE68" i="17" s="1"/>
  <c r="HK68" i="17" s="1"/>
  <c r="BN66" i="17"/>
  <c r="CT66" i="17" s="1"/>
  <c r="DZ66" i="17" s="1"/>
  <c r="FF66" i="17" s="1"/>
  <c r="GL66" i="17" s="1"/>
  <c r="HR66" i="17" s="1"/>
  <c r="BN64" i="17"/>
  <c r="CT64" i="17" s="1"/>
  <c r="DZ64" i="17" s="1"/>
  <c r="FF64" i="17" s="1"/>
  <c r="GL64" i="17" s="1"/>
  <c r="HR64" i="17" s="1"/>
  <c r="CT63" i="17"/>
  <c r="DZ63" i="17" s="1"/>
  <c r="FF63" i="17" s="1"/>
  <c r="GL63" i="17" s="1"/>
  <c r="HR63" i="17" s="1"/>
  <c r="BN62" i="17"/>
  <c r="CT62" i="17" s="1"/>
  <c r="DZ62" i="17" s="1"/>
  <c r="FF62" i="17" s="1"/>
  <c r="GL62" i="17" s="1"/>
  <c r="HR62" i="17" s="1"/>
  <c r="BN60" i="17"/>
  <c r="CT60" i="17" s="1"/>
  <c r="DZ60" i="17" s="1"/>
  <c r="FF60" i="17" s="1"/>
  <c r="GL60" i="17" s="1"/>
  <c r="HR60" i="17" s="1"/>
  <c r="CT59" i="17"/>
  <c r="DZ59" i="17" s="1"/>
  <c r="FF59" i="17" s="1"/>
  <c r="GL59" i="17" s="1"/>
  <c r="HR59" i="17" s="1"/>
  <c r="DS58" i="17"/>
  <c r="EY58" i="17" s="1"/>
  <c r="GE58" i="17" s="1"/>
  <c r="HK58" i="17" s="1"/>
  <c r="BN58" i="17"/>
  <c r="CT58" i="17" s="1"/>
  <c r="DZ58" i="17" s="1"/>
  <c r="FF58" i="17" s="1"/>
  <c r="GL58" i="17" s="1"/>
  <c r="HR58" i="17" s="1"/>
  <c r="BI56" i="17"/>
  <c r="BG56" i="17"/>
  <c r="CM56" i="17" s="1"/>
  <c r="DS56" i="17" s="1"/>
  <c r="EY56" i="17" s="1"/>
  <c r="GE56" i="17" s="1"/>
  <c r="HK56" i="17" s="1"/>
  <c r="CT55" i="17"/>
  <c r="DZ55" i="17" s="1"/>
  <c r="FF55" i="17" s="1"/>
  <c r="GL55" i="17" s="1"/>
  <c r="HR55" i="17" s="1"/>
  <c r="BN54" i="17"/>
  <c r="CT54" i="17" s="1"/>
  <c r="DZ54" i="17" s="1"/>
  <c r="FF54" i="17" s="1"/>
  <c r="GL54" i="17" s="1"/>
  <c r="HR54" i="17" s="1"/>
  <c r="BN52" i="17"/>
  <c r="CT52" i="17" s="1"/>
  <c r="DZ52" i="17" s="1"/>
  <c r="FF52" i="17" s="1"/>
  <c r="GL52" i="17" s="1"/>
  <c r="HR52" i="17" s="1"/>
  <c r="CT49" i="17"/>
  <c r="DZ49" i="17" s="1"/>
  <c r="FF49" i="17" s="1"/>
  <c r="GL49" i="17" s="1"/>
  <c r="HR49" i="17" s="1"/>
  <c r="CT47" i="17"/>
  <c r="DZ47" i="17" s="1"/>
  <c r="FF47" i="17" s="1"/>
  <c r="GL47" i="17" s="1"/>
  <c r="HR47" i="17" s="1"/>
  <c r="CT45" i="17"/>
  <c r="DZ45" i="17" s="1"/>
  <c r="FF45" i="17" s="1"/>
  <c r="GL45" i="17" s="1"/>
  <c r="HR45" i="17" s="1"/>
  <c r="CT44" i="17"/>
  <c r="DZ44" i="17" s="1"/>
  <c r="FF44" i="17" s="1"/>
  <c r="GL44" i="17" s="1"/>
  <c r="HR44" i="17" s="1"/>
  <c r="BG43" i="17"/>
  <c r="CM43" i="17" s="1"/>
  <c r="DS43" i="17" s="1"/>
  <c r="EY43" i="17" s="1"/>
  <c r="GE43" i="17" s="1"/>
  <c r="HK43" i="17" s="1"/>
  <c r="BN41" i="17"/>
  <c r="CT41" i="17" s="1"/>
  <c r="DZ41" i="17" s="1"/>
  <c r="FF41" i="17" s="1"/>
  <c r="GL41" i="17" s="1"/>
  <c r="HR41" i="17" s="1"/>
  <c r="DS39" i="17"/>
  <c r="EY39" i="17" s="1"/>
  <c r="GE39" i="17" s="1"/>
  <c r="HK39" i="17" s="1"/>
  <c r="BN39" i="17"/>
  <c r="CT39" i="17" s="1"/>
  <c r="DZ39" i="17" s="1"/>
  <c r="FF39" i="17" s="1"/>
  <c r="GL39" i="17" s="1"/>
  <c r="HR39" i="17" s="1"/>
  <c r="CT38" i="17"/>
  <c r="DZ38" i="17" s="1"/>
  <c r="FF38" i="17" s="1"/>
  <c r="GL38" i="17" s="1"/>
  <c r="HR38" i="17" s="1"/>
  <c r="BN37" i="17"/>
  <c r="CT37" i="17" s="1"/>
  <c r="DZ37" i="17" s="1"/>
  <c r="FF37" i="17" s="1"/>
  <c r="GL37" i="17" s="1"/>
  <c r="HR37" i="17" s="1"/>
  <c r="AJ35" i="17"/>
  <c r="BG34" i="17"/>
  <c r="CM34" i="17" s="1"/>
  <c r="DS34" i="17" s="1"/>
  <c r="EY34" i="17" s="1"/>
  <c r="GE34" i="17" s="1"/>
  <c r="HK34" i="17" s="1"/>
  <c r="AJ31" i="17"/>
  <c r="CT29" i="17"/>
  <c r="DZ29" i="17" s="1"/>
  <c r="FF29" i="17" s="1"/>
  <c r="GL29" i="17" s="1"/>
  <c r="HR29" i="17" s="1"/>
  <c r="BG28" i="17"/>
  <c r="CM28" i="17" s="1"/>
  <c r="DS28" i="17" s="1"/>
  <c r="EY28" i="17" s="1"/>
  <c r="GE28" i="17" s="1"/>
  <c r="HK28" i="17" s="1"/>
  <c r="DS27" i="17"/>
  <c r="EY27" i="17" s="1"/>
  <c r="GE27" i="17" s="1"/>
  <c r="HK27" i="17" s="1"/>
  <c r="AJ25" i="17"/>
  <c r="BG24" i="17"/>
  <c r="CM24" i="17" s="1"/>
  <c r="DS24" i="17" s="1"/>
  <c r="EY24" i="17" s="1"/>
  <c r="GE24" i="17" s="1"/>
  <c r="HK24" i="17" s="1"/>
  <c r="CM22" i="17"/>
  <c r="DS22" i="17" s="1"/>
  <c r="EY22" i="17" s="1"/>
  <c r="GE22" i="17" s="1"/>
  <c r="HK22" i="17" s="1"/>
  <c r="BG18" i="17"/>
  <c r="CM18" i="17" s="1"/>
  <c r="DS18" i="17" s="1"/>
  <c r="EY18" i="17" s="1"/>
  <c r="GE18" i="17" s="1"/>
  <c r="HK18" i="17" s="1"/>
  <c r="CM16" i="17"/>
  <c r="DS16" i="17" s="1"/>
  <c r="EY16" i="17" s="1"/>
  <c r="GE16" i="17" s="1"/>
  <c r="HK16" i="17" s="1"/>
  <c r="AC13" i="17"/>
  <c r="AC10" i="17"/>
  <c r="DK96" i="11"/>
  <c r="DO96" i="11" s="1"/>
  <c r="DL94" i="11"/>
  <c r="BR94" i="11"/>
  <c r="AM94" i="11"/>
  <c r="W94" i="11"/>
  <c r="CY72" i="11"/>
  <c r="CT92" i="17"/>
  <c r="DZ92" i="17" s="1"/>
  <c r="FF92" i="17" s="1"/>
  <c r="GL92" i="17" s="1"/>
  <c r="HR92" i="17" s="1"/>
  <c r="BO91" i="17"/>
  <c r="CU91" i="17" s="1"/>
  <c r="EA91" i="17" s="1"/>
  <c r="FG91" i="17" s="1"/>
  <c r="GM91" i="17" s="1"/>
  <c r="HS91" i="17" s="1"/>
  <c r="BH91" i="17"/>
  <c r="CN91" i="17" s="1"/>
  <c r="DT91" i="17" s="1"/>
  <c r="EZ91" i="17" s="1"/>
  <c r="GF91" i="17" s="1"/>
  <c r="HL91" i="17" s="1"/>
  <c r="BH90" i="17"/>
  <c r="CN90" i="17" s="1"/>
  <c r="DT90" i="17" s="1"/>
  <c r="EZ90" i="17" s="1"/>
  <c r="GF90" i="17" s="1"/>
  <c r="HL90" i="17" s="1"/>
  <c r="BN90" i="17"/>
  <c r="CT90" i="17" s="1"/>
  <c r="DZ90" i="17" s="1"/>
  <c r="FF90" i="17" s="1"/>
  <c r="GL90" i="17" s="1"/>
  <c r="HR90" i="17" s="1"/>
  <c r="BG90" i="17"/>
  <c r="CM90" i="17" s="1"/>
  <c r="DS90" i="17" s="1"/>
  <c r="EY90" i="17" s="1"/>
  <c r="GE90" i="17" s="1"/>
  <c r="HK90" i="17" s="1"/>
  <c r="BN89" i="17"/>
  <c r="BO89" i="17"/>
  <c r="CE123" i="17"/>
  <c r="CE129" i="17" s="1"/>
  <c r="BY123" i="17"/>
  <c r="BH86" i="17"/>
  <c r="BI86" i="17" s="1"/>
  <c r="BG86" i="17"/>
  <c r="CM86" i="17" s="1"/>
  <c r="DS86" i="17" s="1"/>
  <c r="EY86" i="17" s="1"/>
  <c r="GE86" i="17" s="1"/>
  <c r="HK86" i="17" s="1"/>
  <c r="AY123" i="17"/>
  <c r="AY129" i="17" s="1"/>
  <c r="AS123" i="17"/>
  <c r="AS129" i="17" s="1"/>
  <c r="BP83" i="17"/>
  <c r="AC83" i="17"/>
  <c r="BG82" i="17"/>
  <c r="CM82" i="17" s="1"/>
  <c r="DS82" i="17" s="1"/>
  <c r="EY82" i="17" s="1"/>
  <c r="GE82" i="17" s="1"/>
  <c r="HK82" i="17" s="1"/>
  <c r="AC81" i="17"/>
  <c r="CM80" i="17"/>
  <c r="DS80" i="17" s="1"/>
  <c r="EY80" i="17" s="1"/>
  <c r="GE80" i="17" s="1"/>
  <c r="HK80" i="17" s="1"/>
  <c r="BN80" i="17"/>
  <c r="CT80" i="17" s="1"/>
  <c r="DZ80" i="17" s="1"/>
  <c r="FF80" i="17" s="1"/>
  <c r="GL80" i="17" s="1"/>
  <c r="HR80" i="17" s="1"/>
  <c r="BP78" i="17"/>
  <c r="AC78" i="17"/>
  <c r="CW77" i="17"/>
  <c r="BH77" i="17"/>
  <c r="BI77" i="17" s="1"/>
  <c r="BG77" i="17"/>
  <c r="CM77" i="17" s="1"/>
  <c r="DS77" i="17" s="1"/>
  <c r="EY77" i="17" s="1"/>
  <c r="GE77" i="17" s="1"/>
  <c r="HK77" i="17" s="1"/>
  <c r="BP76" i="17"/>
  <c r="AC76" i="17"/>
  <c r="CM75" i="17"/>
  <c r="DS75" i="17" s="1"/>
  <c r="EY75" i="17" s="1"/>
  <c r="GE75" i="17" s="1"/>
  <c r="HK75" i="17" s="1"/>
  <c r="BN75" i="17"/>
  <c r="CT75" i="17" s="1"/>
  <c r="DZ75" i="17" s="1"/>
  <c r="FF75" i="17" s="1"/>
  <c r="GL75" i="17" s="1"/>
  <c r="HR75" i="17" s="1"/>
  <c r="BO74" i="17"/>
  <c r="CU74" i="17" s="1"/>
  <c r="EA74" i="17" s="1"/>
  <c r="FG74" i="17" s="1"/>
  <c r="GM74" i="17" s="1"/>
  <c r="HS74" i="17" s="1"/>
  <c r="BH74" i="17"/>
  <c r="CN74" i="17" s="1"/>
  <c r="DT74" i="17" s="1"/>
  <c r="EZ74" i="17" s="1"/>
  <c r="GF74" i="17" s="1"/>
  <c r="HL74" i="17" s="1"/>
  <c r="N74" i="17"/>
  <c r="BN73" i="17"/>
  <c r="CT73" i="17" s="1"/>
  <c r="DZ73" i="17" s="1"/>
  <c r="FF73" i="17" s="1"/>
  <c r="GL73" i="17" s="1"/>
  <c r="HR73" i="17" s="1"/>
  <c r="BP72" i="17"/>
  <c r="AC72" i="17"/>
  <c r="CW71" i="17"/>
  <c r="BH71" i="17"/>
  <c r="BI71" i="17" s="1"/>
  <c r="BG71" i="17"/>
  <c r="CM71" i="17" s="1"/>
  <c r="DS71" i="17" s="1"/>
  <c r="EY71" i="17" s="1"/>
  <c r="GE71" i="17" s="1"/>
  <c r="HK71" i="17" s="1"/>
  <c r="AC70" i="17"/>
  <c r="CM69" i="17"/>
  <c r="DS69" i="17" s="1"/>
  <c r="EY69" i="17" s="1"/>
  <c r="GE69" i="17" s="1"/>
  <c r="HK69" i="17" s="1"/>
  <c r="BN69" i="17"/>
  <c r="CT69" i="17" s="1"/>
  <c r="DZ69" i="17" s="1"/>
  <c r="FF69" i="17" s="1"/>
  <c r="GL69" i="17" s="1"/>
  <c r="HR69" i="17" s="1"/>
  <c r="CM67" i="17"/>
  <c r="DS67" i="17" s="1"/>
  <c r="EY67" i="17" s="1"/>
  <c r="GE67" i="17" s="1"/>
  <c r="HK67" i="17" s="1"/>
  <c r="BN67" i="17"/>
  <c r="CT67" i="17" s="1"/>
  <c r="DZ67" i="17" s="1"/>
  <c r="FF67" i="17" s="1"/>
  <c r="GL67" i="17" s="1"/>
  <c r="HR67" i="17" s="1"/>
  <c r="BP66" i="17"/>
  <c r="AC66" i="17"/>
  <c r="BN65" i="17"/>
  <c r="CT65" i="17" s="1"/>
  <c r="DZ65" i="17" s="1"/>
  <c r="FF65" i="17" s="1"/>
  <c r="GL65" i="17" s="1"/>
  <c r="HR65" i="17" s="1"/>
  <c r="BP64" i="17"/>
  <c r="AC64" i="17"/>
  <c r="BH63" i="17"/>
  <c r="BI63" i="17" s="1"/>
  <c r="BG63" i="17"/>
  <c r="CM63" i="17" s="1"/>
  <c r="DS63" i="17" s="1"/>
  <c r="EY63" i="17" s="1"/>
  <c r="GE63" i="17" s="1"/>
  <c r="HK63" i="17" s="1"/>
  <c r="BP62" i="17"/>
  <c r="AC62" i="17"/>
  <c r="BH61" i="17"/>
  <c r="BO61" i="17"/>
  <c r="BP60" i="17"/>
  <c r="AC60" i="17"/>
  <c r="CW59" i="17"/>
  <c r="BH59" i="17"/>
  <c r="BI59" i="17" s="1"/>
  <c r="BG59" i="17"/>
  <c r="CM59" i="17" s="1"/>
  <c r="DS59" i="17" s="1"/>
  <c r="EY59" i="17" s="1"/>
  <c r="GE59" i="17" s="1"/>
  <c r="HK59" i="17" s="1"/>
  <c r="BP58" i="17"/>
  <c r="AC58" i="17"/>
  <c r="CM57" i="17"/>
  <c r="DS57" i="17" s="1"/>
  <c r="EY57" i="17" s="1"/>
  <c r="GE57" i="17" s="1"/>
  <c r="HK57" i="17" s="1"/>
  <c r="BN57" i="17"/>
  <c r="CT57" i="17" s="1"/>
  <c r="DZ57" i="17" s="1"/>
  <c r="FF57" i="17" s="1"/>
  <c r="GL57" i="17" s="1"/>
  <c r="HR57" i="17" s="1"/>
  <c r="CW55" i="17"/>
  <c r="BH55" i="17"/>
  <c r="BI55" i="17" s="1"/>
  <c r="BG55" i="17"/>
  <c r="CM55" i="17" s="1"/>
  <c r="DS55" i="17" s="1"/>
  <c r="EY55" i="17" s="1"/>
  <c r="GE55" i="17" s="1"/>
  <c r="HK55" i="17" s="1"/>
  <c r="BP54" i="17"/>
  <c r="AC54" i="17"/>
  <c r="CW53" i="17"/>
  <c r="BH53" i="17"/>
  <c r="BI53" i="17" s="1"/>
  <c r="BG53" i="17"/>
  <c r="CM53" i="17" s="1"/>
  <c r="DS53" i="17" s="1"/>
  <c r="EY53" i="17" s="1"/>
  <c r="GE53" i="17" s="1"/>
  <c r="HK53" i="17" s="1"/>
  <c r="AC52" i="17"/>
  <c r="DM51" i="17"/>
  <c r="BN51" i="17"/>
  <c r="CT51" i="17" s="1"/>
  <c r="DZ51" i="17" s="1"/>
  <c r="FF51" i="17" s="1"/>
  <c r="GL51" i="17" s="1"/>
  <c r="HR51" i="17" s="1"/>
  <c r="BH49" i="17"/>
  <c r="CN49" i="17" s="1"/>
  <c r="BG49" i="17"/>
  <c r="CM49" i="17" s="1"/>
  <c r="DS49" i="17" s="1"/>
  <c r="EY49" i="17" s="1"/>
  <c r="GE49" i="17" s="1"/>
  <c r="HK49" i="17" s="1"/>
  <c r="CM48" i="17"/>
  <c r="DS48" i="17" s="1"/>
  <c r="EY48" i="17" s="1"/>
  <c r="GE48" i="17" s="1"/>
  <c r="HK48" i="17" s="1"/>
  <c r="ES47" i="17"/>
  <c r="BH47" i="17"/>
  <c r="CN47" i="17" s="1"/>
  <c r="BG47" i="17"/>
  <c r="CM47" i="17" s="1"/>
  <c r="DS47" i="17" s="1"/>
  <c r="EY47" i="17" s="1"/>
  <c r="GE47" i="17" s="1"/>
  <c r="HK47" i="17" s="1"/>
  <c r="ES45" i="17"/>
  <c r="BH45" i="17"/>
  <c r="CN45" i="17" s="1"/>
  <c r="BG45" i="17"/>
  <c r="CM45" i="17" s="1"/>
  <c r="DS45" i="17" s="1"/>
  <c r="EY45" i="17" s="1"/>
  <c r="GE45" i="17" s="1"/>
  <c r="HK45" i="17" s="1"/>
  <c r="CW44" i="17"/>
  <c r="BH44" i="17"/>
  <c r="BI44" i="17" s="1"/>
  <c r="BG44" i="17"/>
  <c r="CM44" i="17" s="1"/>
  <c r="DS44" i="17" s="1"/>
  <c r="EY44" i="17" s="1"/>
  <c r="GE44" i="17" s="1"/>
  <c r="HK44" i="17" s="1"/>
  <c r="BN42" i="17"/>
  <c r="CT42" i="17" s="1"/>
  <c r="DZ42" i="17" s="1"/>
  <c r="FF42" i="17" s="1"/>
  <c r="GL42" i="17" s="1"/>
  <c r="HR42" i="17" s="1"/>
  <c r="N42" i="17"/>
  <c r="BP41" i="17"/>
  <c r="AC41" i="17"/>
  <c r="CW40" i="17"/>
  <c r="BH40" i="17"/>
  <c r="BI40" i="17" s="1"/>
  <c r="BG40" i="17"/>
  <c r="CM40" i="17" s="1"/>
  <c r="DS40" i="17" s="1"/>
  <c r="EY40" i="17" s="1"/>
  <c r="GE40" i="17" s="1"/>
  <c r="HK40" i="17" s="1"/>
  <c r="BP39" i="17"/>
  <c r="AC39" i="17"/>
  <c r="CW38" i="17"/>
  <c r="BH38" i="17"/>
  <c r="BI38" i="17" s="1"/>
  <c r="BG38" i="17"/>
  <c r="CM38" i="17" s="1"/>
  <c r="DS38" i="17" s="1"/>
  <c r="EY38" i="17" s="1"/>
  <c r="GE38" i="17" s="1"/>
  <c r="HK38" i="17" s="1"/>
  <c r="BP37" i="17"/>
  <c r="AC37" i="17"/>
  <c r="CW36" i="17"/>
  <c r="BH36" i="17"/>
  <c r="CN36" i="17" s="1"/>
  <c r="BG36" i="17"/>
  <c r="CM36" i="17" s="1"/>
  <c r="DS36" i="17" s="1"/>
  <c r="EY36" i="17" s="1"/>
  <c r="GE36" i="17" s="1"/>
  <c r="HK36" i="17" s="1"/>
  <c r="CW32" i="17"/>
  <c r="BH32" i="17"/>
  <c r="BG32" i="17"/>
  <c r="CM32" i="17" s="1"/>
  <c r="DS32" i="17" s="1"/>
  <c r="EY32" i="17" s="1"/>
  <c r="GE32" i="17" s="1"/>
  <c r="HK32" i="17" s="1"/>
  <c r="FY31" i="17"/>
  <c r="EC31" i="17"/>
  <c r="ES29" i="17"/>
  <c r="BH29" i="17"/>
  <c r="BG29" i="17"/>
  <c r="CM29" i="17" s="1"/>
  <c r="DS29" i="17" s="1"/>
  <c r="EY29" i="17" s="1"/>
  <c r="GE29" i="17" s="1"/>
  <c r="HK29" i="17" s="1"/>
  <c r="CW26" i="17"/>
  <c r="BH26" i="17"/>
  <c r="BG26" i="17"/>
  <c r="CM26" i="17" s="1"/>
  <c r="DS26" i="17" s="1"/>
  <c r="EY26" i="17" s="1"/>
  <c r="GE26" i="17" s="1"/>
  <c r="HK26" i="17" s="1"/>
  <c r="FI21" i="17"/>
  <c r="CW20" i="17"/>
  <c r="BG20" i="17"/>
  <c r="CM20" i="17" s="1"/>
  <c r="DS20" i="17" s="1"/>
  <c r="EY20" i="17" s="1"/>
  <c r="GE20" i="17" s="1"/>
  <c r="HK20" i="17" s="1"/>
  <c r="DS15" i="17"/>
  <c r="EY15" i="17" s="1"/>
  <c r="GE15" i="17" s="1"/>
  <c r="HK15" i="17" s="1"/>
  <c r="EB13" i="17"/>
  <c r="BP13" i="17"/>
  <c r="BP10" i="17"/>
  <c r="AP94" i="11"/>
  <c r="DO87" i="11"/>
  <c r="D85" i="11"/>
  <c r="AU85" i="11"/>
  <c r="BS72" i="11"/>
  <c r="DG9" i="11"/>
  <c r="DG12" i="11" s="1"/>
  <c r="DF12" i="11"/>
  <c r="HB132" i="17" s="1"/>
  <c r="HD132" i="17" s="1"/>
  <c r="CA9" i="11"/>
  <c r="BZ12" i="11"/>
  <c r="CD132" i="17" s="1"/>
  <c r="I9" i="11"/>
  <c r="M9" i="11"/>
  <c r="M12" i="11" s="1"/>
  <c r="G12" i="11"/>
  <c r="DJ84" i="11"/>
  <c r="DI85" i="11"/>
  <c r="CY85" i="11"/>
  <c r="BS85" i="11"/>
  <c r="N85" i="11"/>
  <c r="DG78" i="11"/>
  <c r="CA78" i="11"/>
  <c r="CI78" i="11"/>
  <c r="AE72" i="11"/>
  <c r="O72" i="11"/>
  <c r="DJ33" i="11"/>
  <c r="DJ30" i="11"/>
  <c r="W34" i="11"/>
  <c r="DJ24" i="11"/>
  <c r="AE35" i="11"/>
  <c r="AE37" i="11" s="1"/>
  <c r="DJ17" i="11"/>
  <c r="O11" i="11"/>
  <c r="V17" i="11"/>
  <c r="W17" i="11" s="1"/>
  <c r="DM17" i="11"/>
  <c r="DN17" i="11" s="1"/>
  <c r="DO17" i="11" s="1"/>
  <c r="BV9" i="11"/>
  <c r="CD9" i="11" s="1"/>
  <c r="CL9" i="11" s="1"/>
  <c r="CT9" i="11" s="1"/>
  <c r="DB9" i="11" s="1"/>
  <c r="DJ9" i="11" s="1"/>
  <c r="DJ89" i="11"/>
  <c r="CX85" i="11"/>
  <c r="CH85" i="11"/>
  <c r="BR85" i="11"/>
  <c r="AX127" i="17" s="1"/>
  <c r="AZ127" i="17" s="1"/>
  <c r="BB85" i="11"/>
  <c r="V85" i="11"/>
  <c r="R85" i="11"/>
  <c r="DN83" i="11"/>
  <c r="DK85" i="11"/>
  <c r="DJ83" i="11"/>
  <c r="CH78" i="11"/>
  <c r="DJ146" i="17" s="1"/>
  <c r="DL146" i="17" s="1"/>
  <c r="AL78" i="11"/>
  <c r="R78" i="11"/>
  <c r="DI78" i="11"/>
  <c r="BK78" i="11"/>
  <c r="N78" i="11"/>
  <c r="O77" i="11"/>
  <c r="O78" i="11" s="1"/>
  <c r="CY78" i="11"/>
  <c r="BS78" i="11"/>
  <c r="BC78" i="11"/>
  <c r="W78" i="11"/>
  <c r="DM72" i="11"/>
  <c r="DF72" i="11"/>
  <c r="CX72" i="11"/>
  <c r="BZ72" i="11"/>
  <c r="BR72" i="11"/>
  <c r="AD72" i="11"/>
  <c r="V72" i="11"/>
  <c r="D72" i="11"/>
  <c r="DJ71" i="11"/>
  <c r="AU72" i="11"/>
  <c r="EC56" i="11"/>
  <c r="D51" i="11"/>
  <c r="EC49" i="11"/>
  <c r="EC48" i="11"/>
  <c r="EC42" i="11"/>
  <c r="EC41" i="11"/>
  <c r="EC40" i="11"/>
  <c r="DM34" i="11"/>
  <c r="DM35" i="11" s="1"/>
  <c r="DM37" i="11" s="1"/>
  <c r="DF34" i="11"/>
  <c r="CP34" i="11"/>
  <c r="BZ34" i="11"/>
  <c r="DN33" i="11"/>
  <c r="DO33" i="11" s="1"/>
  <c r="EC32" i="11"/>
  <c r="DL15" i="11"/>
  <c r="DN31" i="11"/>
  <c r="DO31" i="11" s="1"/>
  <c r="DJ31" i="11"/>
  <c r="DN30" i="11"/>
  <c r="DO30" i="11" s="1"/>
  <c r="EC29" i="11"/>
  <c r="EC28" i="11"/>
  <c r="DJ28" i="11"/>
  <c r="EC27" i="11"/>
  <c r="EC26" i="11"/>
  <c r="EC25" i="11"/>
  <c r="DN24" i="11"/>
  <c r="DO24" i="11" s="1"/>
  <c r="EC23" i="11"/>
  <c r="EC22" i="11"/>
  <c r="EC21" i="11"/>
  <c r="EC20" i="11"/>
  <c r="DN19" i="11"/>
  <c r="DO19" i="11" s="1"/>
  <c r="DJ19" i="11"/>
  <c r="ED12" i="11"/>
  <c r="CP12" i="11"/>
  <c r="EP132" i="17" s="1"/>
  <c r="O10" i="11"/>
  <c r="CI12" i="11"/>
  <c r="AX12" i="11"/>
  <c r="AH12" i="11"/>
  <c r="DN18" i="11"/>
  <c r="DN11" i="11"/>
  <c r="DO11" i="11" s="1"/>
  <c r="W11" i="11"/>
  <c r="W10" i="11"/>
  <c r="DN9" i="11"/>
  <c r="AI235" i="17"/>
  <c r="BO235" i="17" s="1"/>
  <c r="CU235" i="17" s="1"/>
  <c r="EA235" i="17" s="1"/>
  <c r="D22" i="45" s="1"/>
  <c r="FR168" i="17"/>
  <c r="DL168" i="17"/>
  <c r="DF168" i="17"/>
  <c r="CE168" i="17"/>
  <c r="BY168" i="17"/>
  <c r="BM168" i="17"/>
  <c r="CS168" i="17" s="1"/>
  <c r="DY168" i="17" s="1"/>
  <c r="FE168" i="17" s="1"/>
  <c r="GK168" i="17" s="1"/>
  <c r="HQ168" i="17" s="1"/>
  <c r="BK168" i="17"/>
  <c r="CQ168" i="17" s="1"/>
  <c r="DW168" i="17" s="1"/>
  <c r="FC168" i="17" s="1"/>
  <c r="GI168" i="17" s="1"/>
  <c r="BF168" i="17"/>
  <c r="CL168" i="17" s="1"/>
  <c r="DR168" i="17" s="1"/>
  <c r="EX168" i="17" s="1"/>
  <c r="GD168" i="17" s="1"/>
  <c r="HJ168" i="17" s="1"/>
  <c r="AZ168" i="17"/>
  <c r="AT168" i="17"/>
  <c r="D37" i="35" s="1"/>
  <c r="DC211" i="17"/>
  <c r="AU211" i="17"/>
  <c r="CM170" i="17"/>
  <c r="DS170" i="17" s="1"/>
  <c r="FQ168" i="17"/>
  <c r="DK168" i="17"/>
  <c r="DE168" i="17"/>
  <c r="CF168" i="17"/>
  <c r="BZ168" i="17"/>
  <c r="BL168" i="17"/>
  <c r="CR168" i="17" s="1"/>
  <c r="DX168" i="17" s="1"/>
  <c r="FD168" i="17" s="1"/>
  <c r="GJ168" i="17" s="1"/>
  <c r="HP168" i="17" s="1"/>
  <c r="BG168" i="17"/>
  <c r="BE168" i="17"/>
  <c r="CK168" i="17" s="1"/>
  <c r="DQ168" i="17" s="1"/>
  <c r="EW168" i="17" s="1"/>
  <c r="GC168" i="17" s="1"/>
  <c r="HI168" i="17" s="1"/>
  <c r="BC168" i="17"/>
  <c r="CI168" i="17" s="1"/>
  <c r="DO168" i="17" s="1"/>
  <c r="EU168" i="17" s="1"/>
  <c r="GA168" i="17" s="1"/>
  <c r="HG168" i="17" s="1"/>
  <c r="AY168" i="17"/>
  <c r="AS168" i="17"/>
  <c r="C37" i="35" s="1"/>
  <c r="AA168" i="17"/>
  <c r="DQ163" i="17"/>
  <c r="EW163" i="17" s="1"/>
  <c r="BK235" i="17"/>
  <c r="CQ235" i="17" s="1"/>
  <c r="DW235" i="17" s="1"/>
  <c r="FC235" i="17" s="1"/>
  <c r="GI235" i="17" s="1"/>
  <c r="HO235" i="17" s="1"/>
  <c r="E42" i="41"/>
  <c r="BD235" i="17"/>
  <c r="CJ235" i="17" s="1"/>
  <c r="DP235" i="17" s="1"/>
  <c r="EV235" i="17" s="1"/>
  <c r="GB235" i="17" s="1"/>
  <c r="HH235" i="17" s="1"/>
  <c r="AB235" i="17"/>
  <c r="BH235" i="17" s="1"/>
  <c r="DZ240" i="17"/>
  <c r="DX240" i="17"/>
  <c r="CR241" i="17"/>
  <c r="DV240" i="17"/>
  <c r="CP241" i="17"/>
  <c r="DS240" i="17"/>
  <c r="DQ240" i="17"/>
  <c r="CK241" i="17"/>
  <c r="DO240" i="17"/>
  <c r="CI241" i="17"/>
  <c r="C23" i="45"/>
  <c r="FF236" i="17"/>
  <c r="C35" i="45"/>
  <c r="EY233" i="17"/>
  <c r="D35" i="45"/>
  <c r="EZ233" i="17"/>
  <c r="FB225" i="17"/>
  <c r="GH225" i="17" s="1"/>
  <c r="HN225" i="17" s="1"/>
  <c r="DV226" i="17"/>
  <c r="HN224" i="17"/>
  <c r="DY224" i="17"/>
  <c r="CS226" i="17"/>
  <c r="DW224" i="17"/>
  <c r="CQ226" i="17"/>
  <c r="D25" i="34"/>
  <c r="CU221" i="17"/>
  <c r="EA221" i="17" s="1"/>
  <c r="C49" i="45"/>
  <c r="D21" i="45"/>
  <c r="FG218" i="17"/>
  <c r="D41" i="48"/>
  <c r="EX213" i="17"/>
  <c r="DR215" i="17"/>
  <c r="DS213" i="17"/>
  <c r="CK215" i="17"/>
  <c r="DQ213" i="17"/>
  <c r="CI215" i="17"/>
  <c r="DO213" i="17"/>
  <c r="DT210" i="17"/>
  <c r="EK209" i="17"/>
  <c r="EY209" i="17" s="1"/>
  <c r="EU209" i="17"/>
  <c r="R209" i="17"/>
  <c r="AC209" i="17" s="1"/>
  <c r="R210" i="17"/>
  <c r="BP206" i="17"/>
  <c r="AH206" i="17"/>
  <c r="BN206" i="17" s="1"/>
  <c r="CT206" i="17" s="1"/>
  <c r="DZ206" i="17" s="1"/>
  <c r="FF206" i="17" s="1"/>
  <c r="GL206" i="17" s="1"/>
  <c r="HR206" i="17" s="1"/>
  <c r="BJ206" i="17"/>
  <c r="CP206" i="17" s="1"/>
  <c r="DV206" i="17" s="1"/>
  <c r="FB206" i="17" s="1"/>
  <c r="GH206" i="17" s="1"/>
  <c r="HN206" i="17" s="1"/>
  <c r="CU205" i="17"/>
  <c r="BP205" i="17"/>
  <c r="CU198" i="17"/>
  <c r="CU189" i="17"/>
  <c r="BP189" i="17"/>
  <c r="BQ189" i="17"/>
  <c r="CG189" i="17"/>
  <c r="CG181" i="17"/>
  <c r="BQ181" i="17"/>
  <c r="BI177" i="17"/>
  <c r="CN177" i="17"/>
  <c r="EP211" i="17"/>
  <c r="EF173" i="17"/>
  <c r="EF211" i="17" s="1"/>
  <c r="FL173" i="17"/>
  <c r="FL211" i="17" s="1"/>
  <c r="FV211" i="17"/>
  <c r="D18" i="56" s="1"/>
  <c r="GD173" i="17"/>
  <c r="HJ174" i="17"/>
  <c r="HJ173" i="17" s="1"/>
  <c r="HG164" i="17"/>
  <c r="FZ156" i="17"/>
  <c r="HF156" i="17" s="1"/>
  <c r="ET160" i="17"/>
  <c r="HN155" i="17"/>
  <c r="HF155" i="17"/>
  <c r="FZ160" i="17"/>
  <c r="FD155" i="17"/>
  <c r="DX160" i="17"/>
  <c r="HJ150" i="17"/>
  <c r="HJ154" i="17" s="1"/>
  <c r="GD154" i="17"/>
  <c r="FD150" i="17"/>
  <c r="DX154" i="17"/>
  <c r="DM146" i="17"/>
  <c r="CW146" i="17"/>
  <c r="DX137" i="17"/>
  <c r="FD137" i="17" s="1"/>
  <c r="GJ137" i="17" s="1"/>
  <c r="HP137" i="17" s="1"/>
  <c r="CR138" i="17"/>
  <c r="EZ137" i="17"/>
  <c r="FB134" i="17"/>
  <c r="DV138" i="17"/>
  <c r="EW134" i="17"/>
  <c r="DQ138" i="17"/>
  <c r="FY134" i="17"/>
  <c r="FI134" i="17"/>
  <c r="GJ132" i="17"/>
  <c r="GK241" i="17"/>
  <c r="GI241" i="17"/>
  <c r="GD241" i="17"/>
  <c r="GB241" i="17"/>
  <c r="CP226" i="17"/>
  <c r="GF217" i="17"/>
  <c r="HL217" i="17" s="1"/>
  <c r="GB191" i="17"/>
  <c r="EV191" i="17"/>
  <c r="DS188" i="17"/>
  <c r="EY188" i="17" s="1"/>
  <c r="GE188" i="17" s="1"/>
  <c r="HK188" i="17" s="1"/>
  <c r="CH188" i="17"/>
  <c r="DN188" i="17" s="1"/>
  <c r="ET188" i="17" s="1"/>
  <c r="FZ188" i="17" s="1"/>
  <c r="HF188" i="17" s="1"/>
  <c r="DS185" i="17"/>
  <c r="EY185" i="17" s="1"/>
  <c r="GE185" i="17" s="1"/>
  <c r="HK185" i="17" s="1"/>
  <c r="EY170" i="17"/>
  <c r="GE170" i="17" s="1"/>
  <c r="HK170" i="17" s="1"/>
  <c r="HI163" i="17"/>
  <c r="CD211" i="17"/>
  <c r="D20" i="41" s="1"/>
  <c r="FZ125" i="17"/>
  <c r="FF235" i="17"/>
  <c r="FF230" i="17"/>
  <c r="FD225" i="17"/>
  <c r="GJ225" i="17" s="1"/>
  <c r="HP225" i="17" s="1"/>
  <c r="DX226" i="17"/>
  <c r="HP224" i="17"/>
  <c r="BA224" i="17"/>
  <c r="CG224" i="17" s="1"/>
  <c r="DM224" i="17" s="1"/>
  <c r="ES224" i="17" s="1"/>
  <c r="U226" i="17"/>
  <c r="BA226" i="17" s="1"/>
  <c r="CG226" i="17" s="1"/>
  <c r="DM226" i="17" s="1"/>
  <c r="ES226" i="17" s="1"/>
  <c r="D49" i="45"/>
  <c r="EZ220" i="17"/>
  <c r="C21" i="45"/>
  <c r="FF218" i="17"/>
  <c r="EV213" i="17"/>
  <c r="DP215" i="17"/>
  <c r="D39" i="35"/>
  <c r="AM215" i="17"/>
  <c r="DT213" i="17"/>
  <c r="ES209" i="17"/>
  <c r="CU208" i="17"/>
  <c r="BP208" i="17"/>
  <c r="CU201" i="17"/>
  <c r="BP201" i="17"/>
  <c r="AH199" i="17"/>
  <c r="BN199" i="17" s="1"/>
  <c r="CT199" i="17" s="1"/>
  <c r="DZ199" i="17" s="1"/>
  <c r="FF199" i="17" s="1"/>
  <c r="GL199" i="17" s="1"/>
  <c r="HR199" i="17" s="1"/>
  <c r="BJ199" i="17"/>
  <c r="CP199" i="17" s="1"/>
  <c r="DV199" i="17" s="1"/>
  <c r="FB199" i="17" s="1"/>
  <c r="CU197" i="17"/>
  <c r="BP197" i="17"/>
  <c r="CU196" i="17"/>
  <c r="BP196" i="17"/>
  <c r="CU192" i="17"/>
  <c r="BP192" i="17"/>
  <c r="CW188" i="17"/>
  <c r="BD173" i="17"/>
  <c r="BI182" i="17"/>
  <c r="CN182" i="17"/>
  <c r="BI179" i="17"/>
  <c r="CN179" i="17"/>
  <c r="GH173" i="17"/>
  <c r="HN174" i="17"/>
  <c r="HN173" i="17" s="1"/>
  <c r="BI165" i="17"/>
  <c r="CN165" i="17"/>
  <c r="GI163" i="17"/>
  <c r="HO164" i="17"/>
  <c r="HO163" i="17" s="1"/>
  <c r="GH156" i="17"/>
  <c r="HN156" i="17" s="1"/>
  <c r="HJ155" i="17"/>
  <c r="EV155" i="17"/>
  <c r="DP160" i="17"/>
  <c r="CN155" i="17"/>
  <c r="BI151" i="17"/>
  <c r="CN151" i="17"/>
  <c r="HN150" i="17"/>
  <c r="HN154" i="17" s="1"/>
  <c r="GH154" i="17"/>
  <c r="HF150" i="17"/>
  <c r="HF154" i="17" s="1"/>
  <c r="FZ154" i="17"/>
  <c r="EV150" i="17"/>
  <c r="BI150" i="17"/>
  <c r="CN150" i="17"/>
  <c r="DT136" i="17"/>
  <c r="CR226" i="17"/>
  <c r="HH191" i="17"/>
  <c r="FQ191" i="17"/>
  <c r="DP191" i="17"/>
  <c r="CJ191" i="17"/>
  <c r="BD191" i="17"/>
  <c r="CH186" i="17"/>
  <c r="DN186" i="17" s="1"/>
  <c r="ET186" i="17" s="1"/>
  <c r="DL173" i="17"/>
  <c r="DV173" i="17"/>
  <c r="C18" i="48"/>
  <c r="G160" i="17"/>
  <c r="BI159" i="17"/>
  <c r="CN159" i="17"/>
  <c r="AJ159" i="17"/>
  <c r="BO159" i="17"/>
  <c r="CV157" i="17"/>
  <c r="EA157" i="17"/>
  <c r="AC157" i="17"/>
  <c r="BH157" i="17"/>
  <c r="BP156" i="17"/>
  <c r="CU156" i="17"/>
  <c r="CK156" i="17"/>
  <c r="DQ156" i="17" s="1"/>
  <c r="EW156" i="17" s="1"/>
  <c r="GC156" i="17" s="1"/>
  <c r="HI156" i="17" s="1"/>
  <c r="BE160" i="17"/>
  <c r="CI156" i="17"/>
  <c r="DO156" i="17" s="1"/>
  <c r="EU156" i="17" s="1"/>
  <c r="GA156" i="17" s="1"/>
  <c r="HG156" i="17" s="1"/>
  <c r="BC160" i="17"/>
  <c r="CG156" i="17"/>
  <c r="AC156" i="17"/>
  <c r="BH156" i="17"/>
  <c r="DW155" i="17"/>
  <c r="DO155" i="17"/>
  <c r="CI160" i="17"/>
  <c r="BI153" i="17"/>
  <c r="CN153" i="17"/>
  <c r="AJ153" i="17"/>
  <c r="BO153" i="17"/>
  <c r="AJ152" i="17"/>
  <c r="BO152" i="17"/>
  <c r="BI149" i="17"/>
  <c r="CN149" i="17"/>
  <c r="AJ149" i="17"/>
  <c r="BO149" i="17"/>
  <c r="AI154" i="17"/>
  <c r="BG149" i="17"/>
  <c r="AA154" i="17"/>
  <c r="EB148" i="17"/>
  <c r="FG148" i="17"/>
  <c r="FC148" i="17"/>
  <c r="DW154" i="17"/>
  <c r="EU148" i="17"/>
  <c r="DO154" i="17"/>
  <c r="CV148" i="17"/>
  <c r="BD146" i="17"/>
  <c r="CJ146" i="17" s="1"/>
  <c r="DP146" i="17" s="1"/>
  <c r="EV146" i="17" s="1"/>
  <c r="GB146" i="17" s="1"/>
  <c r="HH146" i="17" s="1"/>
  <c r="AP147" i="17"/>
  <c r="CN145" i="17"/>
  <c r="BO145" i="17"/>
  <c r="CR143" i="17"/>
  <c r="BL147" i="17"/>
  <c r="CP143" i="17"/>
  <c r="BJ147" i="17"/>
  <c r="CL143" i="17"/>
  <c r="BF147" i="17"/>
  <c r="CJ143" i="17"/>
  <c r="CH143" i="17"/>
  <c r="BH141" i="17"/>
  <c r="EK140" i="17"/>
  <c r="EG147" i="17"/>
  <c r="DW140" i="17"/>
  <c r="BN140" i="17"/>
  <c r="AH147" i="17"/>
  <c r="GX138" i="17"/>
  <c r="EX133" i="17"/>
  <c r="GD133" i="17" s="1"/>
  <c r="HJ133" i="17" s="1"/>
  <c r="DR138" i="17"/>
  <c r="EY132" i="17"/>
  <c r="EK138" i="17"/>
  <c r="EK139" i="17" s="1"/>
  <c r="AJ130" i="17"/>
  <c r="AI131" i="17"/>
  <c r="CT127" i="17"/>
  <c r="DZ127" i="17" s="1"/>
  <c r="FF127" i="17" s="1"/>
  <c r="GL127" i="17" s="1"/>
  <c r="HR127" i="17" s="1"/>
  <c r="EW126" i="17"/>
  <c r="GC126" i="17" s="1"/>
  <c r="DQ128" i="17"/>
  <c r="EC126" i="17"/>
  <c r="ES126" i="17"/>
  <c r="DX126" i="17"/>
  <c r="FD126" i="17" s="1"/>
  <c r="CR128" i="17"/>
  <c r="DR126" i="17"/>
  <c r="EX126" i="17" s="1"/>
  <c r="GD126" i="17" s="1"/>
  <c r="HJ126" i="17" s="1"/>
  <c r="CL128" i="17"/>
  <c r="DP126" i="17"/>
  <c r="EV126" i="17" s="1"/>
  <c r="GB126" i="17" s="1"/>
  <c r="HH126" i="17" s="1"/>
  <c r="CJ128" i="17"/>
  <c r="CM125" i="17"/>
  <c r="CW121" i="17"/>
  <c r="DM121" i="17"/>
  <c r="EC110" i="17"/>
  <c r="ES110" i="17"/>
  <c r="CW109" i="17"/>
  <c r="DM109" i="17"/>
  <c r="EC108" i="17"/>
  <c r="ES108" i="17"/>
  <c r="CW105" i="17"/>
  <c r="DM105" i="17"/>
  <c r="CW103" i="17"/>
  <c r="DM103" i="17"/>
  <c r="EC99" i="17"/>
  <c r="EC97" i="17"/>
  <c r="ES97" i="17"/>
  <c r="DY95" i="17"/>
  <c r="FE95" i="17" s="1"/>
  <c r="GK95" i="17" s="1"/>
  <c r="HQ95" i="17" s="1"/>
  <c r="CS123" i="17"/>
  <c r="DW95" i="17"/>
  <c r="FC95" i="17" s="1"/>
  <c r="GI95" i="17" s="1"/>
  <c r="HO95" i="17" s="1"/>
  <c r="CQ123" i="17"/>
  <c r="FE84" i="17"/>
  <c r="GK84" i="17" s="1"/>
  <c r="HQ84" i="17" s="1"/>
  <c r="FC83" i="17"/>
  <c r="GI83" i="17" s="1"/>
  <c r="HO83" i="17" s="1"/>
  <c r="BN158" i="17"/>
  <c r="CT158" i="17" s="1"/>
  <c r="DZ158" i="17" s="1"/>
  <c r="FF158" i="17" s="1"/>
  <c r="GL158" i="17" s="1"/>
  <c r="HR158" i="17" s="1"/>
  <c r="DK160" i="17"/>
  <c r="DE160" i="17"/>
  <c r="AY160" i="17"/>
  <c r="AS160" i="17"/>
  <c r="EQ160" i="17"/>
  <c r="EK160" i="17"/>
  <c r="FF155" i="17"/>
  <c r="FF151" i="17"/>
  <c r="GL151" i="17" s="1"/>
  <c r="HR151" i="17" s="1"/>
  <c r="FF150" i="17"/>
  <c r="GL150" i="17" s="1"/>
  <c r="HR150" i="17" s="1"/>
  <c r="HC154" i="17"/>
  <c r="GW154" i="17"/>
  <c r="CQ154" i="17"/>
  <c r="CI154" i="17"/>
  <c r="S154" i="17"/>
  <c r="FE145" i="17"/>
  <c r="GK145" i="17" s="1"/>
  <c r="HQ145" i="17" s="1"/>
  <c r="DM145" i="17"/>
  <c r="BN144" i="17"/>
  <c r="CT144" i="17" s="1"/>
  <c r="DZ144" i="17" s="1"/>
  <c r="FF144" i="17" s="1"/>
  <c r="GL144" i="17" s="1"/>
  <c r="HR144" i="17" s="1"/>
  <c r="R144" i="17"/>
  <c r="S144" i="17" s="1"/>
  <c r="AJ144" i="17" s="1"/>
  <c r="HO143" i="17"/>
  <c r="AZ147" i="17"/>
  <c r="FQ147" i="17"/>
  <c r="FQ161" i="17" s="1"/>
  <c r="BN142" i="17"/>
  <c r="CT142" i="17" s="1"/>
  <c r="DZ142" i="17" s="1"/>
  <c r="FF142" i="17" s="1"/>
  <c r="GL142" i="17" s="1"/>
  <c r="HR142" i="17" s="1"/>
  <c r="R142" i="17"/>
  <c r="S142" i="17" s="1"/>
  <c r="AJ142" i="17" s="1"/>
  <c r="FX147" i="17"/>
  <c r="R140" i="17"/>
  <c r="AC140" i="17" s="1"/>
  <c r="BF138" i="17"/>
  <c r="AY138" i="17"/>
  <c r="AY139" i="17" s="1"/>
  <c r="HK134" i="17"/>
  <c r="CQ134" i="17"/>
  <c r="DW134" i="17" s="1"/>
  <c r="FC134" i="17" s="1"/>
  <c r="GI134" i="17" s="1"/>
  <c r="HO134" i="17" s="1"/>
  <c r="AS138" i="17"/>
  <c r="CT134" i="17"/>
  <c r="DZ134" i="17" s="1"/>
  <c r="FF134" i="17" s="1"/>
  <c r="GL134" i="17" s="1"/>
  <c r="HR134" i="17" s="1"/>
  <c r="DF138" i="17"/>
  <c r="CZ138" i="17"/>
  <c r="CM133" i="17"/>
  <c r="DS133" i="17" s="1"/>
  <c r="EY133" i="17" s="1"/>
  <c r="GE133" i="17" s="1"/>
  <c r="HK133" i="17" s="1"/>
  <c r="BH133" i="17"/>
  <c r="EQ138" i="17"/>
  <c r="CP138" i="17"/>
  <c r="BL138" i="17"/>
  <c r="DP130" i="17"/>
  <c r="CR130" i="17"/>
  <c r="CI130" i="17"/>
  <c r="BQ130" i="17"/>
  <c r="AC130" i="17"/>
  <c r="BD128" i="17"/>
  <c r="AJ115" i="17"/>
  <c r="AJ113" i="17"/>
  <c r="AJ100" i="17"/>
  <c r="AK184" i="17"/>
  <c r="BQ184" i="17"/>
  <c r="CW184" i="17"/>
  <c r="EC184" i="17"/>
  <c r="AC181" i="17"/>
  <c r="BH181" i="17"/>
  <c r="DE180" i="17"/>
  <c r="DS180" i="17" s="1"/>
  <c r="EY180" i="17" s="1"/>
  <c r="GE180" i="17" s="1"/>
  <c r="HK180" i="17" s="1"/>
  <c r="DI180" i="17"/>
  <c r="DK180" i="17" s="1"/>
  <c r="BP180" i="17"/>
  <c r="CW180" i="17"/>
  <c r="DM180" i="17"/>
  <c r="FI179" i="17"/>
  <c r="FY179" i="17"/>
  <c r="BP179" i="17"/>
  <c r="CU179" i="17"/>
  <c r="DE176" i="17"/>
  <c r="DS176" i="17" s="1"/>
  <c r="DI176" i="17"/>
  <c r="BP176" i="17"/>
  <c r="CW176" i="17"/>
  <c r="DM176" i="17"/>
  <c r="BI175" i="17"/>
  <c r="CN175" i="17"/>
  <c r="DW173" i="17"/>
  <c r="FC174" i="17"/>
  <c r="EY174" i="17"/>
  <c r="EU174" i="17"/>
  <c r="AC172" i="17"/>
  <c r="BH172" i="17"/>
  <c r="AH171" i="17"/>
  <c r="BN171" i="17" s="1"/>
  <c r="CT171" i="17" s="1"/>
  <c r="DZ171" i="17" s="1"/>
  <c r="FF171" i="17" s="1"/>
  <c r="GL171" i="17" s="1"/>
  <c r="HR171" i="17" s="1"/>
  <c r="BJ171" i="17"/>
  <c r="CP171" i="17" s="1"/>
  <c r="DV171" i="17" s="1"/>
  <c r="FB171" i="17" s="1"/>
  <c r="GH171" i="17" s="1"/>
  <c r="HN171" i="17" s="1"/>
  <c r="AC170" i="17"/>
  <c r="BH170" i="17"/>
  <c r="X168" i="17"/>
  <c r="BD170" i="17"/>
  <c r="CJ170" i="17" s="1"/>
  <c r="DP170" i="17" s="1"/>
  <c r="EV170" i="17" s="1"/>
  <c r="GB170" i="17" s="1"/>
  <c r="HH170" i="17" s="1"/>
  <c r="AD168" i="17"/>
  <c r="AH169" i="17"/>
  <c r="BJ169" i="17"/>
  <c r="BP167" i="17"/>
  <c r="CU167" i="17"/>
  <c r="AK167" i="17"/>
  <c r="CW167" i="17"/>
  <c r="CR164" i="17"/>
  <c r="BJ163" i="17"/>
  <c r="CP164" i="17"/>
  <c r="BF163" i="17"/>
  <c r="CL164" i="17"/>
  <c r="BD163" i="17"/>
  <c r="CJ164" i="17"/>
  <c r="E11" i="48"/>
  <c r="BP183" i="17"/>
  <c r="CU183" i="17"/>
  <c r="AC183" i="17"/>
  <c r="BH183" i="17"/>
  <c r="AK183" i="17"/>
  <c r="CW183" i="17"/>
  <c r="AJ182" i="17"/>
  <c r="BO182" i="17"/>
  <c r="BP181" i="17"/>
  <c r="CU181" i="17"/>
  <c r="AC180" i="17"/>
  <c r="BH180" i="17"/>
  <c r="AJ177" i="17"/>
  <c r="BO177" i="17"/>
  <c r="GS173" i="17"/>
  <c r="GW176" i="17"/>
  <c r="GW173" i="17" s="1"/>
  <c r="HA176" i="17"/>
  <c r="HC176" i="17" s="1"/>
  <c r="HC173" i="17" s="1"/>
  <c r="AJ175" i="17"/>
  <c r="AG173" i="17"/>
  <c r="BM175" i="17"/>
  <c r="CS175" i="17" s="1"/>
  <c r="DY175" i="17" s="1"/>
  <c r="FE175" i="17" s="1"/>
  <c r="GK175" i="17" s="1"/>
  <c r="HQ175" i="17" s="1"/>
  <c r="FE174" i="17"/>
  <c r="DQ173" i="17"/>
  <c r="EW174" i="17"/>
  <c r="AH172" i="17"/>
  <c r="BN172" i="17" s="1"/>
  <c r="CT172" i="17" s="1"/>
  <c r="DZ172" i="17" s="1"/>
  <c r="FF172" i="17" s="1"/>
  <c r="GL172" i="17" s="1"/>
  <c r="HR172" i="17" s="1"/>
  <c r="BJ172" i="17"/>
  <c r="CP172" i="17" s="1"/>
  <c r="DV172" i="17" s="1"/>
  <c r="FB172" i="17" s="1"/>
  <c r="GH172" i="17" s="1"/>
  <c r="HN172" i="17" s="1"/>
  <c r="AC171" i="17"/>
  <c r="BH171" i="17"/>
  <c r="AH170" i="17"/>
  <c r="BN170" i="17" s="1"/>
  <c r="CT170" i="17" s="1"/>
  <c r="DZ170" i="17" s="1"/>
  <c r="FF170" i="17" s="1"/>
  <c r="GL170" i="17" s="1"/>
  <c r="HR170" i="17" s="1"/>
  <c r="BJ170" i="17"/>
  <c r="CP170" i="17" s="1"/>
  <c r="DV170" i="17" s="1"/>
  <c r="FB170" i="17" s="1"/>
  <c r="GH170" i="17" s="1"/>
  <c r="HN170" i="17" s="1"/>
  <c r="AB168" i="17"/>
  <c r="AC169" i="17"/>
  <c r="BH169" i="17"/>
  <c r="C16" i="60"/>
  <c r="D16" i="60"/>
  <c r="CZ167" i="17"/>
  <c r="DM167" i="17"/>
  <c r="CV166" i="17"/>
  <c r="EA166" i="17"/>
  <c r="AA166" i="17"/>
  <c r="BC166" i="17"/>
  <c r="AJ165" i="17"/>
  <c r="BO165" i="17"/>
  <c r="D37" i="53"/>
  <c r="CT164" i="17"/>
  <c r="AJ164" i="17"/>
  <c r="BO164" i="17"/>
  <c r="T163" i="17"/>
  <c r="BQ164" i="17"/>
  <c r="AC158" i="17"/>
  <c r="BH158" i="17"/>
  <c r="CS156" i="17"/>
  <c r="DY156" i="17" s="1"/>
  <c r="FE156" i="17" s="1"/>
  <c r="GK156" i="17" s="1"/>
  <c r="HQ156" i="17" s="1"/>
  <c r="BM160" i="17"/>
  <c r="CQ156" i="17"/>
  <c r="DW156" i="17" s="1"/>
  <c r="FC156" i="17" s="1"/>
  <c r="GI156" i="17" s="1"/>
  <c r="HO156" i="17" s="1"/>
  <c r="BK160" i="17"/>
  <c r="DY155" i="17"/>
  <c r="DQ155" i="17"/>
  <c r="DM155" i="17"/>
  <c r="BO155" i="17"/>
  <c r="AI160" i="17"/>
  <c r="BG155" i="17"/>
  <c r="AA160" i="17"/>
  <c r="AJ151" i="17"/>
  <c r="BO151" i="17"/>
  <c r="AJ150" i="17"/>
  <c r="BO150" i="17"/>
  <c r="BO154" i="17" s="1"/>
  <c r="BP154" i="17" s="1"/>
  <c r="FE148" i="17"/>
  <c r="DY154" i="17"/>
  <c r="EW148" i="17"/>
  <c r="DQ154" i="17"/>
  <c r="BA148" i="17"/>
  <c r="AM154" i="17"/>
  <c r="DL144" i="17"/>
  <c r="CF144" i="17"/>
  <c r="CB147" i="17"/>
  <c r="FI143" i="17"/>
  <c r="FY143" i="17"/>
  <c r="AJ143" i="17"/>
  <c r="BO143" i="17"/>
  <c r="BH142" i="17"/>
  <c r="GQ141" i="17"/>
  <c r="GQ147" i="17" s="1"/>
  <c r="GT147" i="17"/>
  <c r="GT161" i="17" s="1"/>
  <c r="CU141" i="17"/>
  <c r="P141" i="17"/>
  <c r="P147" i="17" s="1"/>
  <c r="N147" i="17"/>
  <c r="HD140" i="17"/>
  <c r="GZ147" i="17"/>
  <c r="HN140" i="17"/>
  <c r="HJ140" i="17"/>
  <c r="CY140" i="17"/>
  <c r="CY147" i="17" s="1"/>
  <c r="CY161" i="17" s="1"/>
  <c r="DB147" i="17"/>
  <c r="EA140" i="17"/>
  <c r="DS140" i="17"/>
  <c r="DQ140" i="17"/>
  <c r="CK147" i="17"/>
  <c r="DO140" i="17"/>
  <c r="DO147" i="17" s="1"/>
  <c r="CI147" i="17"/>
  <c r="DM140" i="17"/>
  <c r="BH140" i="17"/>
  <c r="AB147" i="17"/>
  <c r="EC135" i="17"/>
  <c r="ES135" i="17"/>
  <c r="GZ138" i="17"/>
  <c r="HJ132" i="17"/>
  <c r="DH138" i="17"/>
  <c r="ES132" i="17"/>
  <c r="CJ132" i="17"/>
  <c r="BD138" i="17"/>
  <c r="CH132" i="17"/>
  <c r="BB138" i="17"/>
  <c r="BN132" i="17"/>
  <c r="AH138" i="17"/>
  <c r="FX130" i="17"/>
  <c r="FX131" i="17" s="1"/>
  <c r="FT131" i="17"/>
  <c r="FT139" i="17" s="1"/>
  <c r="BN131" i="17"/>
  <c r="EU126" i="17"/>
  <c r="GA126" i="17" s="1"/>
  <c r="DO128" i="17"/>
  <c r="FB125" i="17"/>
  <c r="DV128" i="17"/>
  <c r="EX125" i="17"/>
  <c r="EV125" i="17"/>
  <c r="EC125" i="17"/>
  <c r="EC122" i="17"/>
  <c r="ES122" i="17"/>
  <c r="CW120" i="17"/>
  <c r="DM120" i="17"/>
  <c r="EC119" i="17"/>
  <c r="ES119" i="17"/>
  <c r="CW118" i="17"/>
  <c r="DM118" i="17"/>
  <c r="CW116" i="17"/>
  <c r="DM116" i="17"/>
  <c r="EC115" i="17"/>
  <c r="ES115" i="17"/>
  <c r="CW114" i="17"/>
  <c r="DM114" i="17"/>
  <c r="EC113" i="17"/>
  <c r="ES113" i="17"/>
  <c r="CW112" i="17"/>
  <c r="DM112" i="17"/>
  <c r="EC111" i="17"/>
  <c r="ES111" i="17"/>
  <c r="EC107" i="17"/>
  <c r="ES107" i="17"/>
  <c r="CW106" i="17"/>
  <c r="DM106" i="17"/>
  <c r="CW104" i="17"/>
  <c r="DM104" i="17"/>
  <c r="EC100" i="17"/>
  <c r="ES100" i="17"/>
  <c r="CW96" i="17"/>
  <c r="DM96" i="17"/>
  <c r="ES95" i="17"/>
  <c r="DR95" i="17"/>
  <c r="CL123" i="17"/>
  <c r="DP95" i="17"/>
  <c r="EV95" i="17" s="1"/>
  <c r="GB95" i="17" s="1"/>
  <c r="HH95" i="17" s="1"/>
  <c r="CJ123" i="17"/>
  <c r="DN95" i="17"/>
  <c r="CH123" i="17"/>
  <c r="EV86" i="17"/>
  <c r="GB86" i="17" s="1"/>
  <c r="HH86" i="17" s="1"/>
  <c r="CN86" i="17"/>
  <c r="U221" i="17"/>
  <c r="BA221" i="17" s="1"/>
  <c r="CG221" i="17" s="1"/>
  <c r="DM221" i="17" s="1"/>
  <c r="ES221" i="17" s="1"/>
  <c r="FY221" i="17" s="1"/>
  <c r="HE221" i="17" s="1"/>
  <c r="U220" i="17"/>
  <c r="BA220" i="17" s="1"/>
  <c r="CG220" i="17" s="1"/>
  <c r="DM220" i="17" s="1"/>
  <c r="ES220" i="17" s="1"/>
  <c r="FY220" i="17" s="1"/>
  <c r="HE220" i="17" s="1"/>
  <c r="U217" i="17"/>
  <c r="BA217" i="17" s="1"/>
  <c r="CG217" i="17" s="1"/>
  <c r="DM217" i="17" s="1"/>
  <c r="ES217" i="17" s="1"/>
  <c r="FY217" i="17" s="1"/>
  <c r="HE217" i="17" s="1"/>
  <c r="U214" i="17"/>
  <c r="BA214" i="17" s="1"/>
  <c r="CG214" i="17" s="1"/>
  <c r="DM214" i="17" s="1"/>
  <c r="ES214" i="17" s="1"/>
  <c r="FY214" i="17" s="1"/>
  <c r="HE214" i="17" s="1"/>
  <c r="U213" i="17"/>
  <c r="FR191" i="17"/>
  <c r="D36" i="56" s="1"/>
  <c r="FN191" i="17"/>
  <c r="FN211" i="17" s="1"/>
  <c r="FN244" i="17" s="1"/>
  <c r="EK191" i="17"/>
  <c r="EG191" i="17"/>
  <c r="EG211" i="17" s="1"/>
  <c r="AZ191" i="17"/>
  <c r="AD191" i="17"/>
  <c r="AB191" i="17"/>
  <c r="AC191" i="17" s="1"/>
  <c r="X191" i="17"/>
  <c r="BS186" i="17"/>
  <c r="CG186" i="17" s="1"/>
  <c r="DS184" i="17"/>
  <c r="EY184" i="17" s="1"/>
  <c r="GE184" i="17" s="1"/>
  <c r="HK184" i="17" s="1"/>
  <c r="DZ183" i="17"/>
  <c r="FF183" i="17" s="1"/>
  <c r="GL183" i="17" s="1"/>
  <c r="HR183" i="17" s="1"/>
  <c r="GR182" i="17"/>
  <c r="BT181" i="17"/>
  <c r="CH181" i="17" s="1"/>
  <c r="CS181" i="17"/>
  <c r="DY181" i="17" s="1"/>
  <c r="FE181" i="17" s="1"/>
  <c r="GK181" i="17" s="1"/>
  <c r="HQ181" i="17" s="1"/>
  <c r="GK178" i="17"/>
  <c r="HQ178" i="17" s="1"/>
  <c r="DO176" i="17"/>
  <c r="EU176" i="17" s="1"/>
  <c r="GA176" i="17" s="1"/>
  <c r="HG176" i="17" s="1"/>
  <c r="CT175" i="17"/>
  <c r="DZ175" i="17" s="1"/>
  <c r="FF175" i="17" s="1"/>
  <c r="GL175" i="17" s="1"/>
  <c r="HR175" i="17" s="1"/>
  <c r="EQ173" i="17"/>
  <c r="EO173" i="17"/>
  <c r="EO211" i="17" s="1"/>
  <c r="C18" i="53" s="1"/>
  <c r="EK173" i="17"/>
  <c r="C37" i="53" s="1"/>
  <c r="DA173" i="17"/>
  <c r="DA211" i="17" s="1"/>
  <c r="CQ173" i="17"/>
  <c r="CI173" i="17"/>
  <c r="AW173" i="17"/>
  <c r="BL173" i="17" s="1"/>
  <c r="AS173" i="17"/>
  <c r="C38" i="35" s="1"/>
  <c r="AI173" i="17"/>
  <c r="FJ173" i="17"/>
  <c r="FB173" i="17"/>
  <c r="EX173" i="17"/>
  <c r="DR173" i="17"/>
  <c r="DJ173" i="17"/>
  <c r="CZ173" i="17" s="1"/>
  <c r="CP173" i="17"/>
  <c r="CL173" i="17"/>
  <c r="AH173" i="17"/>
  <c r="AB173" i="17"/>
  <c r="GW168" i="17"/>
  <c r="EK168" i="17"/>
  <c r="AI168" i="17"/>
  <c r="AJ168" i="17" s="1"/>
  <c r="W168" i="17"/>
  <c r="FF167" i="17"/>
  <c r="GL167" i="17" s="1"/>
  <c r="HR167" i="17" s="1"/>
  <c r="CR166" i="17"/>
  <c r="DX166" i="17" s="1"/>
  <c r="FD166" i="17" s="1"/>
  <c r="GJ166" i="17" s="1"/>
  <c r="HP166" i="17" s="1"/>
  <c r="GX163" i="17"/>
  <c r="FR163" i="17"/>
  <c r="AZ163" i="17"/>
  <c r="AX163" i="17"/>
  <c r="AT163" i="17"/>
  <c r="AN164" i="17"/>
  <c r="AB163" i="17"/>
  <c r="GW163" i="17"/>
  <c r="GC163" i="17"/>
  <c r="DW163" i="17"/>
  <c r="CQ163" i="17"/>
  <c r="CN235" i="17"/>
  <c r="DT235" i="17" s="1"/>
  <c r="BK222" i="17"/>
  <c r="CQ222" i="17" s="1"/>
  <c r="DW222" i="17" s="1"/>
  <c r="E36" i="35"/>
  <c r="HC241" i="17"/>
  <c r="GW241" i="17"/>
  <c r="FX241" i="17"/>
  <c r="FR241" i="17"/>
  <c r="DL241" i="17"/>
  <c r="DF241" i="17"/>
  <c r="BY241" i="17"/>
  <c r="AZ241" i="17"/>
  <c r="AT241" i="17"/>
  <c r="BH241" i="17" s="1"/>
  <c r="E24" i="56"/>
  <c r="E43" i="53"/>
  <c r="E46" i="48"/>
  <c r="E46" i="41"/>
  <c r="E44" i="35"/>
  <c r="E46" i="45"/>
  <c r="E21" i="53"/>
  <c r="E41" i="53"/>
  <c r="E22" i="48"/>
  <c r="E44" i="41"/>
  <c r="E42" i="35"/>
  <c r="EY235" i="17"/>
  <c r="E19" i="35"/>
  <c r="FW231" i="17"/>
  <c r="FQ231" i="17"/>
  <c r="EQ231" i="17"/>
  <c r="FF231" i="17" s="1"/>
  <c r="GL231" i="17" s="1"/>
  <c r="HR231" i="17" s="1"/>
  <c r="EK231" i="17"/>
  <c r="FG230" i="17"/>
  <c r="EZ230" i="17"/>
  <c r="E10" i="53"/>
  <c r="E34" i="53"/>
  <c r="E35" i="48"/>
  <c r="E11" i="41"/>
  <c r="E35" i="41"/>
  <c r="BG230" i="17"/>
  <c r="CM230" i="17" s="1"/>
  <c r="DS230" i="17" s="1"/>
  <c r="E9" i="35"/>
  <c r="E33" i="35"/>
  <c r="E15" i="60"/>
  <c r="E15" i="56"/>
  <c r="E15" i="53"/>
  <c r="E17" i="48"/>
  <c r="E17" i="41"/>
  <c r="BN228" i="17"/>
  <c r="CT228" i="17" s="1"/>
  <c r="DZ228" i="17" s="1"/>
  <c r="E36" i="31"/>
  <c r="BD228" i="17"/>
  <c r="CJ228" i="17" s="1"/>
  <c r="DP228" i="17" s="1"/>
  <c r="EV228" i="17" s="1"/>
  <c r="GB228" i="17" s="1"/>
  <c r="HH228" i="17" s="1"/>
  <c r="HC226" i="17"/>
  <c r="FW226" i="17"/>
  <c r="FD226" i="17"/>
  <c r="FB226" i="17"/>
  <c r="ER226" i="17"/>
  <c r="DK226" i="17"/>
  <c r="CF226" i="17"/>
  <c r="AY226" i="17"/>
  <c r="E9" i="60"/>
  <c r="E14" i="60"/>
  <c r="E14" i="56"/>
  <c r="E14" i="53"/>
  <c r="E16" i="48"/>
  <c r="E16" i="41"/>
  <c r="HD222" i="17"/>
  <c r="E26" i="60"/>
  <c r="E26" i="53"/>
  <c r="E49" i="41"/>
  <c r="CT220" i="17"/>
  <c r="DZ220" i="17" s="1"/>
  <c r="E46" i="35"/>
  <c r="GW215" i="17"/>
  <c r="C38" i="60" s="1"/>
  <c r="E38" i="60" s="1"/>
  <c r="FR215" i="17"/>
  <c r="D38" i="56" s="1"/>
  <c r="EK215" i="17"/>
  <c r="C38" i="53" s="1"/>
  <c r="E38" i="53" s="1"/>
  <c r="BG215" i="17"/>
  <c r="GV211" i="17"/>
  <c r="GT211" i="17"/>
  <c r="EJ211" i="17"/>
  <c r="AO211" i="17"/>
  <c r="AO244" i="17" s="1"/>
  <c r="EA210" i="17"/>
  <c r="CA210" i="17"/>
  <c r="BH209" i="17"/>
  <c r="AW209" i="17"/>
  <c r="FS207" i="17"/>
  <c r="FW207" i="17" s="1"/>
  <c r="EM207" i="17"/>
  <c r="EQ207" i="17" s="1"/>
  <c r="BJ207" i="17"/>
  <c r="CP207" i="17" s="1"/>
  <c r="DV207" i="17" s="1"/>
  <c r="BH207" i="17"/>
  <c r="BC206" i="17"/>
  <c r="CI206" i="17" s="1"/>
  <c r="DO206" i="17" s="1"/>
  <c r="EU206" i="17" s="1"/>
  <c r="GA206" i="17" s="1"/>
  <c r="HG206" i="17" s="1"/>
  <c r="FS204" i="17"/>
  <c r="FW204" i="17" s="1"/>
  <c r="EM204" i="17"/>
  <c r="EQ204" i="17" s="1"/>
  <c r="FF204" i="17" s="1"/>
  <c r="BJ204" i="17"/>
  <c r="CP204" i="17" s="1"/>
  <c r="DV204" i="17" s="1"/>
  <c r="BH204" i="17"/>
  <c r="FS203" i="17"/>
  <c r="FW203" i="17" s="1"/>
  <c r="EM203" i="17"/>
  <c r="EQ203" i="17" s="1"/>
  <c r="FF203" i="17" s="1"/>
  <c r="BJ203" i="17"/>
  <c r="CP203" i="17" s="1"/>
  <c r="DV203" i="17" s="1"/>
  <c r="BH203" i="17"/>
  <c r="FS201" i="17"/>
  <c r="FW201" i="17" s="1"/>
  <c r="EM200" i="17"/>
  <c r="BC199" i="17"/>
  <c r="CI199" i="17" s="1"/>
  <c r="DO199" i="17" s="1"/>
  <c r="EU199" i="17" s="1"/>
  <c r="GA199" i="17" s="1"/>
  <c r="HG199" i="17" s="1"/>
  <c r="FS195" i="17"/>
  <c r="FW195" i="17" s="1"/>
  <c r="EM195" i="17"/>
  <c r="FS193" i="17"/>
  <c r="FW193" i="17" s="1"/>
  <c r="EM193" i="17"/>
  <c r="EQ193" i="17" s="1"/>
  <c r="FF193" i="17" s="1"/>
  <c r="BJ193" i="17"/>
  <c r="CP193" i="17" s="1"/>
  <c r="DV193" i="17" s="1"/>
  <c r="BH193" i="17"/>
  <c r="FW192" i="17"/>
  <c r="BG192" i="17"/>
  <c r="GO190" i="17"/>
  <c r="EC190" i="17"/>
  <c r="BQ190" i="17"/>
  <c r="BH190" i="17"/>
  <c r="DO189" i="17"/>
  <c r="EU189" i="17" s="1"/>
  <c r="GA189" i="17" s="1"/>
  <c r="HG189" i="17" s="1"/>
  <c r="DI189" i="17"/>
  <c r="BM189" i="17"/>
  <c r="CS189" i="17" s="1"/>
  <c r="DY189" i="17" s="1"/>
  <c r="FE189" i="17" s="1"/>
  <c r="GK189" i="17" s="1"/>
  <c r="HQ189" i="17" s="1"/>
  <c r="DI188" i="17"/>
  <c r="DK188" i="17" s="1"/>
  <c r="DZ188" i="17" s="1"/>
  <c r="FF188" i="17" s="1"/>
  <c r="GL188" i="17" s="1"/>
  <c r="HR188" i="17" s="1"/>
  <c r="CU188" i="17"/>
  <c r="BH188" i="17"/>
  <c r="DO186" i="17"/>
  <c r="EU186" i="17" s="1"/>
  <c r="GA186" i="17" s="1"/>
  <c r="HG186" i="17" s="1"/>
  <c r="DI186" i="17"/>
  <c r="DI185" i="17"/>
  <c r="DK185" i="17" s="1"/>
  <c r="DZ185" i="17" s="1"/>
  <c r="FF185" i="17" s="1"/>
  <c r="GL185" i="17" s="1"/>
  <c r="HR185" i="17" s="1"/>
  <c r="CU185" i="17"/>
  <c r="AM185" i="17"/>
  <c r="BA185" i="17" s="1"/>
  <c r="HU184" i="17"/>
  <c r="GO184" i="17"/>
  <c r="FI184" i="17"/>
  <c r="BL184" i="17"/>
  <c r="CR184" i="17" s="1"/>
  <c r="DX184" i="17" s="1"/>
  <c r="FD184" i="17" s="1"/>
  <c r="GJ184" i="17" s="1"/>
  <c r="HP184" i="17" s="1"/>
  <c r="CU184" i="17"/>
  <c r="GJ182" i="17"/>
  <c r="HP182" i="17" s="1"/>
  <c r="BN181" i="17"/>
  <c r="CT181" i="17" s="1"/>
  <c r="BQ180" i="17"/>
  <c r="CS180" i="17"/>
  <c r="DY180" i="17" s="1"/>
  <c r="FE180" i="17" s="1"/>
  <c r="GK180" i="17" s="1"/>
  <c r="HQ180" i="17" s="1"/>
  <c r="DO180" i="17"/>
  <c r="EU180" i="17" s="1"/>
  <c r="GA180" i="17" s="1"/>
  <c r="HG180" i="17" s="1"/>
  <c r="DZ179" i="17"/>
  <c r="FF179" i="17" s="1"/>
  <c r="GL179" i="17" s="1"/>
  <c r="HR179" i="17" s="1"/>
  <c r="BQ179" i="17"/>
  <c r="AJ179" i="17"/>
  <c r="BO178" i="17"/>
  <c r="FE177" i="17"/>
  <c r="GK177" i="17" s="1"/>
  <c r="HQ177" i="17" s="1"/>
  <c r="FM173" i="17"/>
  <c r="BQ176" i="17"/>
  <c r="CS176" i="17"/>
  <c r="DY176" i="17" s="1"/>
  <c r="FE176" i="17" s="1"/>
  <c r="GK176" i="17" s="1"/>
  <c r="HQ176" i="17" s="1"/>
  <c r="CR175" i="17"/>
  <c r="DX175" i="17" s="1"/>
  <c r="FD175" i="17" s="1"/>
  <c r="GJ175" i="17" s="1"/>
  <c r="HP175" i="17" s="1"/>
  <c r="HH174" i="17"/>
  <c r="FQ173" i="17"/>
  <c r="FD174" i="17"/>
  <c r="DE173" i="17"/>
  <c r="C40" i="48" s="1"/>
  <c r="CK173" i="17"/>
  <c r="CG174" i="17"/>
  <c r="CE173" i="17"/>
  <c r="CC173" i="17"/>
  <c r="CC211" i="17" s="1"/>
  <c r="C20" i="41" s="1"/>
  <c r="BY173" i="17"/>
  <c r="C40" i="41" s="1"/>
  <c r="CT174" i="17"/>
  <c r="BH174" i="17"/>
  <c r="AN174" i="17"/>
  <c r="BB174" i="17" s="1"/>
  <c r="CH174" i="17" s="1"/>
  <c r="AA173" i="17"/>
  <c r="N173" i="17"/>
  <c r="AX173" i="17"/>
  <c r="AN173" i="17" s="1"/>
  <c r="BB173" i="17" s="1"/>
  <c r="T173" i="17"/>
  <c r="AK173" i="17" s="1"/>
  <c r="BO170" i="17"/>
  <c r="BO168" i="17" s="1"/>
  <c r="D18" i="48"/>
  <c r="D39" i="48"/>
  <c r="G39" i="48" s="1"/>
  <c r="D18" i="41"/>
  <c r="D39" i="41"/>
  <c r="D36" i="60"/>
  <c r="D16" i="31"/>
  <c r="E16" i="31" s="1"/>
  <c r="BQ167" i="17"/>
  <c r="ES166" i="17"/>
  <c r="BH166" i="17"/>
  <c r="AN166" i="17"/>
  <c r="BB166" i="17" s="1"/>
  <c r="CH166" i="17" s="1"/>
  <c r="DN166" i="17" s="1"/>
  <c r="ET166" i="17" s="1"/>
  <c r="FZ166" i="17" s="1"/>
  <c r="HF166" i="17" s="1"/>
  <c r="CT165" i="17"/>
  <c r="DZ165" i="17" s="1"/>
  <c r="FF165" i="17" s="1"/>
  <c r="GL165" i="17" s="1"/>
  <c r="HR165" i="17" s="1"/>
  <c r="BM165" i="17"/>
  <c r="CS165" i="17" s="1"/>
  <c r="DY165" i="17" s="1"/>
  <c r="FE165" i="17" s="1"/>
  <c r="GK165" i="17" s="1"/>
  <c r="HQ165" i="17" s="1"/>
  <c r="EY164" i="17"/>
  <c r="GE164" i="17" s="1"/>
  <c r="DL163" i="17"/>
  <c r="DL211" i="17" s="1"/>
  <c r="DJ163" i="17"/>
  <c r="DF163" i="17"/>
  <c r="BH164" i="17"/>
  <c r="BM164" i="17"/>
  <c r="CY163" i="17"/>
  <c r="CY211" i="17" s="1"/>
  <c r="CK163" i="17"/>
  <c r="CG163" i="17"/>
  <c r="AI163" i="17"/>
  <c r="N163" i="17"/>
  <c r="CR160" i="17"/>
  <c r="CJ160" i="17"/>
  <c r="BJ160" i="17"/>
  <c r="BF160" i="17"/>
  <c r="BB160" i="17"/>
  <c r="AT160" i="17"/>
  <c r="AH160" i="17"/>
  <c r="T160" i="17"/>
  <c r="L160" i="17"/>
  <c r="CT159" i="17"/>
  <c r="DZ159" i="17" s="1"/>
  <c r="FF159" i="17" s="1"/>
  <c r="GL159" i="17" s="1"/>
  <c r="HR159" i="17" s="1"/>
  <c r="GQ160" i="17"/>
  <c r="CW157" i="17"/>
  <c r="BP157" i="17"/>
  <c r="BN157" i="17"/>
  <c r="CT157" i="17" s="1"/>
  <c r="DZ157" i="17" s="1"/>
  <c r="FF157" i="17" s="1"/>
  <c r="GL157" i="17" s="1"/>
  <c r="HR157" i="17" s="1"/>
  <c r="BQ156" i="17"/>
  <c r="BN156" i="17"/>
  <c r="CT156" i="17" s="1"/>
  <c r="HC160" i="17"/>
  <c r="GW160" i="17"/>
  <c r="CE160" i="17"/>
  <c r="BY160" i="17"/>
  <c r="O155" i="17"/>
  <c r="FB154" i="17"/>
  <c r="EX154" i="17"/>
  <c r="ET154" i="17"/>
  <c r="AP154" i="17"/>
  <c r="ES153" i="17"/>
  <c r="CT153" i="17"/>
  <c r="DZ153" i="17" s="1"/>
  <c r="FF153" i="17" s="1"/>
  <c r="GL153" i="17" s="1"/>
  <c r="HR153" i="17" s="1"/>
  <c r="CG152" i="17"/>
  <c r="CT152" i="17"/>
  <c r="DZ152" i="17" s="1"/>
  <c r="FF152" i="17" s="1"/>
  <c r="GL152" i="17" s="1"/>
  <c r="HR152" i="17" s="1"/>
  <c r="BD152" i="17"/>
  <c r="HE151" i="17"/>
  <c r="HU151" i="17" s="1"/>
  <c r="HE150" i="17"/>
  <c r="HU150" i="17" s="1"/>
  <c r="AC150" i="17"/>
  <c r="EQ154" i="17"/>
  <c r="EK154" i="17"/>
  <c r="CT149" i="17"/>
  <c r="DZ149" i="17" s="1"/>
  <c r="FF149" i="17" s="1"/>
  <c r="GL149" i="17" s="1"/>
  <c r="HR149" i="17" s="1"/>
  <c r="CS154" i="17"/>
  <c r="CK154" i="17"/>
  <c r="CE154" i="17"/>
  <c r="BY154" i="17"/>
  <c r="CT148" i="17"/>
  <c r="AJ148" i="17"/>
  <c r="AJ146" i="17"/>
  <c r="AC146" i="17"/>
  <c r="CT145" i="17"/>
  <c r="DZ145" i="17" s="1"/>
  <c r="FF145" i="17" s="1"/>
  <c r="GL145" i="17" s="1"/>
  <c r="HR145" i="17" s="1"/>
  <c r="FT147" i="17"/>
  <c r="EV144" i="17"/>
  <c r="GB144" i="17" s="1"/>
  <c r="HH144" i="17" s="1"/>
  <c r="DM144" i="17"/>
  <c r="BQ144" i="17"/>
  <c r="CQ144" i="17"/>
  <c r="DW144" i="17" s="1"/>
  <c r="FC144" i="17" s="1"/>
  <c r="GI144" i="17" s="1"/>
  <c r="HO144" i="17" s="1"/>
  <c r="BH143" i="17"/>
  <c r="AC143" i="17"/>
  <c r="EQ147" i="17"/>
  <c r="BN141" i="17"/>
  <c r="CT141" i="17" s="1"/>
  <c r="DZ141" i="17" s="1"/>
  <c r="FF141" i="17" s="1"/>
  <c r="GL141" i="17" s="1"/>
  <c r="HR141" i="17" s="1"/>
  <c r="DF147" i="17"/>
  <c r="ER137" i="17"/>
  <c r="BG136" i="17"/>
  <c r="BC136" i="17"/>
  <c r="CI136" i="17" s="1"/>
  <c r="DO136" i="17" s="1"/>
  <c r="EU136" i="17" s="1"/>
  <c r="GA136" i="17" s="1"/>
  <c r="HG136" i="17" s="1"/>
  <c r="BY138" i="17"/>
  <c r="FX138" i="17"/>
  <c r="FR138" i="17"/>
  <c r="DX138" i="17"/>
  <c r="CK138" i="17"/>
  <c r="CE138" i="17"/>
  <c r="AA138" i="17"/>
  <c r="W138" i="17"/>
  <c r="W139" i="17" s="1"/>
  <c r="W161" i="17" s="1"/>
  <c r="BQ131" i="17"/>
  <c r="CN130" i="17"/>
  <c r="BP94" i="17"/>
  <c r="CU94" i="17"/>
  <c r="J93" i="17"/>
  <c r="N93" i="17"/>
  <c r="J90" i="17"/>
  <c r="N90" i="17"/>
  <c r="BP85" i="17"/>
  <c r="CU85" i="17"/>
  <c r="AC84" i="17"/>
  <c r="BH84" i="17"/>
  <c r="EC82" i="17"/>
  <c r="ES82" i="17"/>
  <c r="CW81" i="17"/>
  <c r="DM81" i="17"/>
  <c r="CW79" i="17"/>
  <c r="DM79" i="17"/>
  <c r="CW78" i="17"/>
  <c r="DM78" i="17"/>
  <c r="EC77" i="17"/>
  <c r="ES77" i="17"/>
  <c r="CW76" i="17"/>
  <c r="DM76" i="17"/>
  <c r="CW74" i="17"/>
  <c r="DM74" i="17"/>
  <c r="CW73" i="17"/>
  <c r="DM73" i="17"/>
  <c r="EC71" i="17"/>
  <c r="ES71" i="17"/>
  <c r="CW70" i="17"/>
  <c r="DM70" i="17"/>
  <c r="CW66" i="17"/>
  <c r="DM66" i="17"/>
  <c r="CW62" i="17"/>
  <c r="DM62" i="17"/>
  <c r="CW60" i="17"/>
  <c r="DM60" i="17"/>
  <c r="EC59" i="17"/>
  <c r="ES59" i="17"/>
  <c r="CW58" i="17"/>
  <c r="DM58" i="17"/>
  <c r="EC55" i="17"/>
  <c r="ES55" i="17"/>
  <c r="CW54" i="17"/>
  <c r="DM54" i="17"/>
  <c r="EC53" i="17"/>
  <c r="ES53" i="17"/>
  <c r="CW52" i="17"/>
  <c r="DM52" i="17"/>
  <c r="CQ127" i="17"/>
  <c r="DW127" i="17" s="1"/>
  <c r="FC127" i="17" s="1"/>
  <c r="GI127" i="17" s="1"/>
  <c r="HO127" i="17" s="1"/>
  <c r="BN94" i="17"/>
  <c r="CT94" i="17" s="1"/>
  <c r="DZ94" i="17" s="1"/>
  <c r="FF94" i="17" s="1"/>
  <c r="GL94" i="17" s="1"/>
  <c r="HR94" i="17" s="1"/>
  <c r="CT89" i="17"/>
  <c r="DZ89" i="17" s="1"/>
  <c r="FF89" i="17" s="1"/>
  <c r="GL89" i="17" s="1"/>
  <c r="HR89" i="17" s="1"/>
  <c r="BN85" i="17"/>
  <c r="CT85" i="17" s="1"/>
  <c r="DZ85" i="17" s="1"/>
  <c r="FF85" i="17" s="1"/>
  <c r="GL85" i="17" s="1"/>
  <c r="HR85" i="17" s="1"/>
  <c r="AC94" i="17"/>
  <c r="BH94" i="17"/>
  <c r="AJ86" i="17"/>
  <c r="BO86" i="17"/>
  <c r="AC85" i="17"/>
  <c r="BH85" i="17"/>
  <c r="BP84" i="17"/>
  <c r="CW80" i="17"/>
  <c r="DM80" i="17"/>
  <c r="CW75" i="17"/>
  <c r="DM75" i="17"/>
  <c r="CW69" i="17"/>
  <c r="DM69" i="17"/>
  <c r="EC68" i="17"/>
  <c r="ES68" i="17"/>
  <c r="CW67" i="17"/>
  <c r="DM67" i="17"/>
  <c r="CW65" i="17"/>
  <c r="DM65" i="17"/>
  <c r="CW57" i="17"/>
  <c r="DM57" i="17"/>
  <c r="EC56" i="17"/>
  <c r="ES56" i="17"/>
  <c r="BI49" i="17"/>
  <c r="BI47" i="17"/>
  <c r="BI45" i="17"/>
  <c r="D16" i="56"/>
  <c r="D16" i="35"/>
  <c r="C37" i="60"/>
  <c r="HD145" i="17"/>
  <c r="DN144" i="17"/>
  <c r="ET144" i="17" s="1"/>
  <c r="FZ144" i="17" s="1"/>
  <c r="HF144" i="17" s="1"/>
  <c r="CS144" i="17"/>
  <c r="GM142" i="17"/>
  <c r="HO141" i="17"/>
  <c r="DL134" i="17"/>
  <c r="CF134" i="17"/>
  <c r="DN134" i="17"/>
  <c r="ET134" i="17" s="1"/>
  <c r="FZ134" i="17" s="1"/>
  <c r="HF134" i="17" s="1"/>
  <c r="HD133" i="17"/>
  <c r="ER133" i="17"/>
  <c r="DL133" i="17"/>
  <c r="HD130" i="17"/>
  <c r="HD131" i="17" s="1"/>
  <c r="ER130" i="17"/>
  <c r="ER131" i="17" s="1"/>
  <c r="DL130" i="17"/>
  <c r="DL131" i="17" s="1"/>
  <c r="T129" i="17"/>
  <c r="AK129" i="17" s="1"/>
  <c r="GX128" i="17"/>
  <c r="GX129" i="17" s="1"/>
  <c r="CP128" i="17"/>
  <c r="CK128" i="17"/>
  <c r="CI128" i="17"/>
  <c r="CB128" i="17"/>
  <c r="CB129" i="17" s="1"/>
  <c r="BK128" i="17"/>
  <c r="BK129" i="17" s="1"/>
  <c r="BA128" i="17"/>
  <c r="AV128" i="17"/>
  <c r="AV129" i="17" s="1"/>
  <c r="AN128" i="17"/>
  <c r="AN129" i="17" s="1"/>
  <c r="AB128" i="17"/>
  <c r="X128" i="17"/>
  <c r="X129" i="17" s="1"/>
  <c r="X139" i="17" s="1"/>
  <c r="X161" i="17" s="1"/>
  <c r="V128" i="17"/>
  <c r="V129" i="17" s="1"/>
  <c r="V139" i="17" s="1"/>
  <c r="V161" i="17" s="1"/>
  <c r="P128" i="17"/>
  <c r="L128" i="17"/>
  <c r="L129" i="17" s="1"/>
  <c r="F128" i="17"/>
  <c r="G128" i="17" s="1"/>
  <c r="BH127" i="17"/>
  <c r="CN126" i="17"/>
  <c r="BO126" i="17"/>
  <c r="CQ125" i="17"/>
  <c r="DW125" i="17" s="1"/>
  <c r="FC125" i="17" s="1"/>
  <c r="DX123" i="17"/>
  <c r="DV123" i="17"/>
  <c r="DQ123" i="17"/>
  <c r="DO123" i="17"/>
  <c r="CR123" i="17"/>
  <c r="CP123" i="17"/>
  <c r="CK123" i="17"/>
  <c r="CI123" i="17"/>
  <c r="BL123" i="17"/>
  <c r="BL129" i="17" s="1"/>
  <c r="BJ123" i="17"/>
  <c r="BJ129" i="17" s="1"/>
  <c r="BE123" i="17"/>
  <c r="BC123" i="17"/>
  <c r="BC129" i="17" s="1"/>
  <c r="BA123" i="17"/>
  <c r="AK123" i="17"/>
  <c r="AH123" i="17"/>
  <c r="AH129" i="17" s="1"/>
  <c r="AA123" i="17"/>
  <c r="Q123" i="17"/>
  <c r="Q129" i="17" s="1"/>
  <c r="I123" i="17"/>
  <c r="BO122" i="17"/>
  <c r="CU121" i="17"/>
  <c r="BH121" i="17"/>
  <c r="CU118" i="17"/>
  <c r="BH118" i="17"/>
  <c r="CU116" i="17"/>
  <c r="BH116" i="17"/>
  <c r="CN115" i="17"/>
  <c r="BO115" i="17"/>
  <c r="BH114" i="17"/>
  <c r="CN113" i="17"/>
  <c r="BO113" i="17"/>
  <c r="CU112" i="17"/>
  <c r="BH112" i="17"/>
  <c r="CN111" i="17"/>
  <c r="BO111" i="17"/>
  <c r="CN110" i="17"/>
  <c r="BO110" i="17"/>
  <c r="CU109" i="17"/>
  <c r="BH109" i="17"/>
  <c r="N107" i="17"/>
  <c r="CU106" i="17"/>
  <c r="BH106" i="17"/>
  <c r="N105" i="17"/>
  <c r="CU104" i="17"/>
  <c r="BH104" i="17"/>
  <c r="CU103" i="17"/>
  <c r="BH103" i="17"/>
  <c r="N102" i="17"/>
  <c r="BO100" i="17"/>
  <c r="BO99" i="17"/>
  <c r="BQ94" i="17"/>
  <c r="GO93" i="17"/>
  <c r="FI93" i="17"/>
  <c r="BQ93" i="17"/>
  <c r="CW93" i="17"/>
  <c r="GO91" i="17"/>
  <c r="ES90" i="17"/>
  <c r="CW90" i="17"/>
  <c r="ES88" i="17"/>
  <c r="CW88" i="17"/>
  <c r="AC86" i="17"/>
  <c r="BQ85" i="17"/>
  <c r="BN84" i="17"/>
  <c r="CT84" i="17" s="1"/>
  <c r="DZ84" i="17" s="1"/>
  <c r="FF84" i="17" s="1"/>
  <c r="GL84" i="17" s="1"/>
  <c r="HR84" i="17" s="1"/>
  <c r="FY83" i="17"/>
  <c r="AJ82" i="17"/>
  <c r="AJ77" i="17"/>
  <c r="BP73" i="17"/>
  <c r="AJ71" i="17"/>
  <c r="AJ63" i="17"/>
  <c r="AJ59" i="17"/>
  <c r="AJ55" i="17"/>
  <c r="AJ53" i="17"/>
  <c r="BP50" i="17"/>
  <c r="CU50" i="17"/>
  <c r="BP48" i="17"/>
  <c r="CU48" i="17"/>
  <c r="ES44" i="17"/>
  <c r="EC44" i="17"/>
  <c r="DM41" i="17"/>
  <c r="CW41" i="17"/>
  <c r="ES40" i="17"/>
  <c r="EC40" i="17"/>
  <c r="DM39" i="17"/>
  <c r="CW39" i="17"/>
  <c r="ES38" i="17"/>
  <c r="EC38" i="17"/>
  <c r="DM37" i="17"/>
  <c r="CW37" i="17"/>
  <c r="BI27" i="17"/>
  <c r="CN27" i="17"/>
  <c r="BI21" i="17"/>
  <c r="CN21" i="17"/>
  <c r="BN50" i="17"/>
  <c r="CT50" i="17" s="1"/>
  <c r="DZ50" i="17" s="1"/>
  <c r="FF50" i="17" s="1"/>
  <c r="GL50" i="17" s="1"/>
  <c r="HR50" i="17" s="1"/>
  <c r="BN48" i="17"/>
  <c r="CT48" i="17" s="1"/>
  <c r="DZ48" i="17" s="1"/>
  <c r="FF48" i="17" s="1"/>
  <c r="GL48" i="17" s="1"/>
  <c r="HR48" i="17" s="1"/>
  <c r="BN46" i="17"/>
  <c r="CT46" i="17" s="1"/>
  <c r="DZ46" i="17" s="1"/>
  <c r="FF46" i="17" s="1"/>
  <c r="GL46" i="17" s="1"/>
  <c r="HR46" i="17" s="1"/>
  <c r="AC50" i="17"/>
  <c r="BH50" i="17"/>
  <c r="AJ49" i="17"/>
  <c r="BO49" i="17"/>
  <c r="AC48" i="17"/>
  <c r="BH48" i="17"/>
  <c r="AJ47" i="17"/>
  <c r="BO47" i="17"/>
  <c r="AC46" i="17"/>
  <c r="BH46" i="17"/>
  <c r="AJ45" i="17"/>
  <c r="BO45" i="17"/>
  <c r="ES43" i="17"/>
  <c r="EC43" i="17"/>
  <c r="BI29" i="17"/>
  <c r="CN29" i="17"/>
  <c r="CU83" i="17"/>
  <c r="BH83" i="17"/>
  <c r="CN82" i="17"/>
  <c r="BO82" i="17"/>
  <c r="BH81" i="17"/>
  <c r="CU80" i="17"/>
  <c r="BH80" i="17"/>
  <c r="CU78" i="17"/>
  <c r="BH78" i="17"/>
  <c r="CN77" i="17"/>
  <c r="BO77" i="17"/>
  <c r="BH76" i="17"/>
  <c r="CU75" i="17"/>
  <c r="BH75" i="17"/>
  <c r="CU73" i="17"/>
  <c r="BH73" i="17"/>
  <c r="CU72" i="17"/>
  <c r="BH72" i="17"/>
  <c r="CN71" i="17"/>
  <c r="BO71" i="17"/>
  <c r="CU70" i="17"/>
  <c r="BH70" i="17"/>
  <c r="CU69" i="17"/>
  <c r="BH69" i="17"/>
  <c r="CN68" i="17"/>
  <c r="BO68" i="17"/>
  <c r="CU67" i="17"/>
  <c r="BH67" i="17"/>
  <c r="CU66" i="17"/>
  <c r="BH66" i="17"/>
  <c r="CU65" i="17"/>
  <c r="BH65" i="17"/>
  <c r="CU64" i="17"/>
  <c r="BH64" i="17"/>
  <c r="CN63" i="17"/>
  <c r="BO63" i="17"/>
  <c r="CU62" i="17"/>
  <c r="BH62" i="17"/>
  <c r="CU60" i="17"/>
  <c r="BH60" i="17"/>
  <c r="CN59" i="17"/>
  <c r="BO59" i="17"/>
  <c r="CU58" i="17"/>
  <c r="BH58" i="17"/>
  <c r="CU57" i="17"/>
  <c r="BH57" i="17"/>
  <c r="CN56" i="17"/>
  <c r="BO56" i="17"/>
  <c r="CN55" i="17"/>
  <c r="BO55" i="17"/>
  <c r="CU54" i="17"/>
  <c r="BH54" i="17"/>
  <c r="CN53" i="17"/>
  <c r="BO53" i="17"/>
  <c r="BH52" i="17"/>
  <c r="BQ50" i="17"/>
  <c r="AC49" i="17"/>
  <c r="BQ48" i="17"/>
  <c r="AC47" i="17"/>
  <c r="BQ46" i="17"/>
  <c r="AC45" i="17"/>
  <c r="AJ44" i="17"/>
  <c r="AJ40" i="17"/>
  <c r="AJ38" i="17"/>
  <c r="BP33" i="17"/>
  <c r="CU33" i="17"/>
  <c r="AC30" i="17"/>
  <c r="BH30" i="17"/>
  <c r="AJ29" i="17"/>
  <c r="BO29" i="17"/>
  <c r="AJ27" i="17"/>
  <c r="BO27" i="17"/>
  <c r="CU23" i="17"/>
  <c r="AC22" i="17"/>
  <c r="BH22" i="17"/>
  <c r="AJ21" i="17"/>
  <c r="BO21" i="17"/>
  <c r="BP19" i="17"/>
  <c r="CU19" i="17"/>
  <c r="BP17" i="17"/>
  <c r="CU17" i="17"/>
  <c r="AC16" i="17"/>
  <c r="BH16" i="17"/>
  <c r="BI15" i="17"/>
  <c r="CN15" i="17"/>
  <c r="BP11" i="17"/>
  <c r="Z98" i="11"/>
  <c r="AP98" i="11" s="1"/>
  <c r="BF98" i="11" s="1"/>
  <c r="BN98" i="11" s="1"/>
  <c r="BV98" i="11" s="1"/>
  <c r="CD98" i="11" s="1"/>
  <c r="CL98" i="11" s="1"/>
  <c r="CT98" i="11" s="1"/>
  <c r="DB98" i="11" s="1"/>
  <c r="DJ98" i="11" s="1"/>
  <c r="AH98" i="11"/>
  <c r="AX98" i="11" s="1"/>
  <c r="CN44" i="17"/>
  <c r="BO44" i="17"/>
  <c r="CN43" i="17"/>
  <c r="BO43" i="17"/>
  <c r="CU41" i="17"/>
  <c r="BH41" i="17"/>
  <c r="CN40" i="17"/>
  <c r="BO40" i="17"/>
  <c r="CU39" i="17"/>
  <c r="BH39" i="17"/>
  <c r="CN38" i="17"/>
  <c r="BO38" i="17"/>
  <c r="CU37" i="17"/>
  <c r="BH37" i="17"/>
  <c r="ES36" i="17"/>
  <c r="CT36" i="17"/>
  <c r="DZ36" i="17" s="1"/>
  <c r="FF36" i="17" s="1"/>
  <c r="GL36" i="17" s="1"/>
  <c r="HR36" i="17" s="1"/>
  <c r="BN35" i="17"/>
  <c r="CT35" i="17" s="1"/>
  <c r="DZ35" i="17" s="1"/>
  <c r="FF35" i="17" s="1"/>
  <c r="GL35" i="17" s="1"/>
  <c r="HR35" i="17" s="1"/>
  <c r="ES34" i="17"/>
  <c r="BN33" i="17"/>
  <c r="CT33" i="17" s="1"/>
  <c r="DZ33" i="17" s="1"/>
  <c r="FF33" i="17" s="1"/>
  <c r="GL33" i="17" s="1"/>
  <c r="HR33" i="17" s="1"/>
  <c r="ES32" i="17"/>
  <c r="CT32" i="17"/>
  <c r="DZ32" i="17" s="1"/>
  <c r="FF32" i="17" s="1"/>
  <c r="GL32" i="17" s="1"/>
  <c r="HR32" i="17" s="1"/>
  <c r="BN31" i="17"/>
  <c r="CT31" i="17" s="1"/>
  <c r="DZ31" i="17" s="1"/>
  <c r="FF31" i="17" s="1"/>
  <c r="GL31" i="17" s="1"/>
  <c r="HR31" i="17" s="1"/>
  <c r="BQ30" i="17"/>
  <c r="AC29" i="17"/>
  <c r="ES28" i="17"/>
  <c r="AC27" i="17"/>
  <c r="ES26" i="17"/>
  <c r="CT26" i="17"/>
  <c r="DZ26" i="17" s="1"/>
  <c r="FF26" i="17" s="1"/>
  <c r="GL26" i="17" s="1"/>
  <c r="HR26" i="17" s="1"/>
  <c r="BN25" i="17"/>
  <c r="CT25" i="17" s="1"/>
  <c r="DZ25" i="17" s="1"/>
  <c r="FF25" i="17" s="1"/>
  <c r="GL25" i="17" s="1"/>
  <c r="HR25" i="17" s="1"/>
  <c r="CT24" i="17"/>
  <c r="DZ24" i="17" s="1"/>
  <c r="FF24" i="17" s="1"/>
  <c r="GL24" i="17" s="1"/>
  <c r="HR24" i="17" s="1"/>
  <c r="BN23" i="17"/>
  <c r="CT23" i="17" s="1"/>
  <c r="DZ23" i="17" s="1"/>
  <c r="FF23" i="17" s="1"/>
  <c r="GL23" i="17" s="1"/>
  <c r="HR23" i="17" s="1"/>
  <c r="BQ22" i="17"/>
  <c r="HE21" i="17"/>
  <c r="HU21" i="17" s="1"/>
  <c r="AC21" i="17"/>
  <c r="ES20" i="17"/>
  <c r="CT20" i="17"/>
  <c r="DZ20" i="17" s="1"/>
  <c r="FF20" i="17" s="1"/>
  <c r="GL20" i="17" s="1"/>
  <c r="HR20" i="17" s="1"/>
  <c r="BN19" i="17"/>
  <c r="CT19" i="17" s="1"/>
  <c r="DZ19" i="17" s="1"/>
  <c r="FF19" i="17" s="1"/>
  <c r="GL19" i="17" s="1"/>
  <c r="HR19" i="17" s="1"/>
  <c r="ES18" i="17"/>
  <c r="CT18" i="17"/>
  <c r="DZ18" i="17" s="1"/>
  <c r="FF18" i="17" s="1"/>
  <c r="GL18" i="17" s="1"/>
  <c r="HR18" i="17" s="1"/>
  <c r="BN17" i="17"/>
  <c r="CT17" i="17" s="1"/>
  <c r="DZ17" i="17" s="1"/>
  <c r="FF17" i="17" s="1"/>
  <c r="GL17" i="17" s="1"/>
  <c r="HR17" i="17" s="1"/>
  <c r="BQ16" i="17"/>
  <c r="BI36" i="17"/>
  <c r="AJ36" i="17"/>
  <c r="BO36" i="17"/>
  <c r="AC35" i="17"/>
  <c r="BH35" i="17"/>
  <c r="BI34" i="17"/>
  <c r="CN34" i="17"/>
  <c r="AJ34" i="17"/>
  <c r="BO34" i="17"/>
  <c r="AC33" i="17"/>
  <c r="BH33" i="17"/>
  <c r="BI32" i="17"/>
  <c r="CN32" i="17"/>
  <c r="AJ32" i="17"/>
  <c r="BO32" i="17"/>
  <c r="AC31" i="17"/>
  <c r="BH31" i="17"/>
  <c r="BP30" i="17"/>
  <c r="CU30" i="17"/>
  <c r="BI28" i="17"/>
  <c r="CN28" i="17"/>
  <c r="AJ28" i="17"/>
  <c r="BO28" i="17"/>
  <c r="BI26" i="17"/>
  <c r="CN26" i="17"/>
  <c r="AJ26" i="17"/>
  <c r="BO26" i="17"/>
  <c r="AC25" i="17"/>
  <c r="BH25" i="17"/>
  <c r="BI24" i="17"/>
  <c r="CN24" i="17"/>
  <c r="AJ24" i="17"/>
  <c r="BO24" i="17"/>
  <c r="AC23" i="17"/>
  <c r="BH23" i="17"/>
  <c r="BP22" i="17"/>
  <c r="CU22" i="17"/>
  <c r="BI20" i="17"/>
  <c r="CN20" i="17"/>
  <c r="AJ20" i="17"/>
  <c r="BO20" i="17"/>
  <c r="AC19" i="17"/>
  <c r="BH19" i="17"/>
  <c r="BI18" i="17"/>
  <c r="CN18" i="17"/>
  <c r="AJ18" i="17"/>
  <c r="BO18" i="17"/>
  <c r="AC17" i="17"/>
  <c r="BH17" i="17"/>
  <c r="BN30" i="17"/>
  <c r="CT30" i="17" s="1"/>
  <c r="DZ30" i="17" s="1"/>
  <c r="FF30" i="17" s="1"/>
  <c r="GL30" i="17" s="1"/>
  <c r="HR30" i="17" s="1"/>
  <c r="BN22" i="17"/>
  <c r="CT22" i="17" s="1"/>
  <c r="DZ22" i="17" s="1"/>
  <c r="FF22" i="17" s="1"/>
  <c r="GL22" i="17" s="1"/>
  <c r="HR22" i="17" s="1"/>
  <c r="BN16" i="17"/>
  <c r="BP14" i="17"/>
  <c r="EB14" i="17"/>
  <c r="BP12" i="17"/>
  <c r="AJ15" i="17"/>
  <c r="AJ11" i="17"/>
  <c r="DJ92" i="11"/>
  <c r="R94" i="11"/>
  <c r="BF85" i="11"/>
  <c r="BN82" i="11"/>
  <c r="AP82" i="11"/>
  <c r="AP85" i="11" s="1"/>
  <c r="Z85" i="11"/>
  <c r="AH70" i="11"/>
  <c r="Z72" i="11"/>
  <c r="DV56" i="11"/>
  <c r="EA56" i="11"/>
  <c r="EB56" i="11" s="1"/>
  <c r="DV49" i="11"/>
  <c r="DW49" i="11" s="1"/>
  <c r="EA49" i="11"/>
  <c r="EB49" i="11" s="1"/>
  <c r="DV48" i="11"/>
  <c r="EA40" i="11"/>
  <c r="EB40" i="11" s="1"/>
  <c r="EC43" i="11"/>
  <c r="EA32" i="11"/>
  <c r="EB32" i="11" s="1"/>
  <c r="DV32" i="11"/>
  <c r="DW32" i="11" s="1"/>
  <c r="DV29" i="11"/>
  <c r="DW29" i="11" s="1"/>
  <c r="EA29" i="11"/>
  <c r="EB29" i="11" s="1"/>
  <c r="EA28" i="11"/>
  <c r="EB28" i="11" s="1"/>
  <c r="DV28" i="11"/>
  <c r="DW28" i="11" s="1"/>
  <c r="EA27" i="11"/>
  <c r="EB27" i="11" s="1"/>
  <c r="DV27" i="11"/>
  <c r="DW27" i="11" s="1"/>
  <c r="DV26" i="11"/>
  <c r="DW26" i="11" s="1"/>
  <c r="EA26" i="11"/>
  <c r="EB26" i="11" s="1"/>
  <c r="EA25" i="11"/>
  <c r="EB25" i="11" s="1"/>
  <c r="DV25" i="11"/>
  <c r="DW25" i="11" s="1"/>
  <c r="DV23" i="11"/>
  <c r="DW23" i="11" s="1"/>
  <c r="EA23" i="11"/>
  <c r="EB23" i="11" s="1"/>
  <c r="EA22" i="11"/>
  <c r="EB22" i="11" s="1"/>
  <c r="DV22" i="11"/>
  <c r="DW22" i="11" s="1"/>
  <c r="DV21" i="11"/>
  <c r="DW21" i="11" s="1"/>
  <c r="EA21" i="11"/>
  <c r="EB21" i="11" s="1"/>
  <c r="EA20" i="11"/>
  <c r="EB20" i="11" s="1"/>
  <c r="DV20" i="11"/>
  <c r="DW20" i="11" s="1"/>
  <c r="DO18" i="11"/>
  <c r="DO9" i="11"/>
  <c r="F10" i="34"/>
  <c r="DJ93" i="11"/>
  <c r="CQ94" i="11"/>
  <c r="CD94" i="11"/>
  <c r="BK94" i="11"/>
  <c r="AX94" i="11"/>
  <c r="AE94" i="11"/>
  <c r="CI85" i="11"/>
  <c r="BC85" i="11"/>
  <c r="AM85" i="11"/>
  <c r="W85" i="11"/>
  <c r="CQ72" i="11"/>
  <c r="BK72" i="11"/>
  <c r="DW43" i="11"/>
  <c r="CY34" i="11"/>
  <c r="CY35" i="11" s="1"/>
  <c r="CY37" i="11" s="1"/>
  <c r="DG34" i="11"/>
  <c r="CA34" i="11"/>
  <c r="CA35" i="11" s="1"/>
  <c r="CA12" i="11"/>
  <c r="W12" i="11"/>
  <c r="DO92" i="11"/>
  <c r="DO94" i="11" s="1"/>
  <c r="DN94" i="11"/>
  <c r="DO77" i="11"/>
  <c r="DO78" i="11" s="1"/>
  <c r="DN78" i="11"/>
  <c r="BV76" i="11"/>
  <c r="BN78" i="11"/>
  <c r="DN72" i="11"/>
  <c r="DO70" i="11"/>
  <c r="DO72" i="11" s="1"/>
  <c r="BN70" i="11"/>
  <c r="BF72" i="11"/>
  <c r="DV50" i="11"/>
  <c r="DW50" i="11" s="1"/>
  <c r="EA50" i="11"/>
  <c r="EB50" i="11" s="1"/>
  <c r="DV33" i="11"/>
  <c r="DW33" i="11" s="1"/>
  <c r="EA33" i="11"/>
  <c r="EB33" i="11" s="1"/>
  <c r="BN32" i="11"/>
  <c r="DV31" i="11"/>
  <c r="DW31" i="11" s="1"/>
  <c r="EA31" i="11"/>
  <c r="EB31" i="11" s="1"/>
  <c r="EA30" i="11"/>
  <c r="EB30" i="11" s="1"/>
  <c r="DV30" i="11"/>
  <c r="DW30" i="11" s="1"/>
  <c r="EA24" i="11"/>
  <c r="EB24" i="11" s="1"/>
  <c r="DV24" i="11"/>
  <c r="DW24" i="11" s="1"/>
  <c r="DV19" i="11"/>
  <c r="DW19" i="11" s="1"/>
  <c r="EA19" i="11"/>
  <c r="EB19" i="11" s="1"/>
  <c r="EA18" i="11"/>
  <c r="EB18" i="11" s="1"/>
  <c r="CD18" i="11"/>
  <c r="EC16" i="11"/>
  <c r="EA17" i="11"/>
  <c r="EB17" i="11" s="1"/>
  <c r="DV17" i="11"/>
  <c r="DW17" i="11" s="1"/>
  <c r="DV11" i="11"/>
  <c r="DW11" i="11" s="1"/>
  <c r="EA11" i="11"/>
  <c r="EB11" i="11" s="1"/>
  <c r="DV9" i="11"/>
  <c r="EA9" i="11"/>
  <c r="EB9" i="11" s="1"/>
  <c r="F13" i="34"/>
  <c r="F12" i="34"/>
  <c r="DG94" i="11"/>
  <c r="CT94" i="11"/>
  <c r="CA94" i="11"/>
  <c r="BN94" i="11"/>
  <c r="AU94" i="11"/>
  <c r="AH94" i="11"/>
  <c r="DG72" i="11"/>
  <c r="CA72" i="11"/>
  <c r="CI34" i="11"/>
  <c r="CI35" i="11" s="1"/>
  <c r="CI37" i="11" s="1"/>
  <c r="BS34" i="11"/>
  <c r="BS35" i="11" s="1"/>
  <c r="BS37" i="11" s="1"/>
  <c r="CQ34" i="11"/>
  <c r="CQ35" i="11" s="1"/>
  <c r="CQ12" i="11"/>
  <c r="ED16" i="11"/>
  <c r="DM85" i="11"/>
  <c r="DF85" i="11"/>
  <c r="CP85" i="11"/>
  <c r="EP127" i="17" s="1"/>
  <c r="BZ85" i="11"/>
  <c r="CD127" i="17" s="1"/>
  <c r="BJ85" i="11"/>
  <c r="AT85" i="11"/>
  <c r="AD85" i="11"/>
  <c r="L85" i="11"/>
  <c r="DM78" i="11"/>
  <c r="DF78" i="11"/>
  <c r="HB146" i="17" s="1"/>
  <c r="CP78" i="11"/>
  <c r="BZ78" i="11"/>
  <c r="CD146" i="17" s="1"/>
  <c r="BJ78" i="11"/>
  <c r="BF78" i="11"/>
  <c r="L78" i="11"/>
  <c r="D44" i="45"/>
  <c r="EZ235" i="17"/>
  <c r="E21" i="41"/>
  <c r="FG228" i="17"/>
  <c r="E20" i="53"/>
  <c r="G15" i="53"/>
  <c r="F11" i="53" s="1"/>
  <c r="C11" i="53" s="1"/>
  <c r="G15" i="48"/>
  <c r="F12" i="48" s="1"/>
  <c r="C12" i="48" s="1"/>
  <c r="G15" i="41"/>
  <c r="F12" i="41" s="1"/>
  <c r="C12" i="41" s="1"/>
  <c r="G12" i="35"/>
  <c r="F10" i="35" s="1"/>
  <c r="C10" i="35" s="1"/>
  <c r="E39" i="56"/>
  <c r="EL228" i="17"/>
  <c r="CQ228" i="17"/>
  <c r="DW228" i="17" s="1"/>
  <c r="FC228" i="17" s="1"/>
  <c r="GI228" i="17" s="1"/>
  <c r="HO228" i="17" s="1"/>
  <c r="BH228" i="17"/>
  <c r="ER222" i="17"/>
  <c r="DL222" i="17"/>
  <c r="CF222" i="17"/>
  <c r="AZ222" i="17"/>
  <c r="BO222" i="17" s="1"/>
  <c r="EL216" i="17"/>
  <c r="D40" i="31"/>
  <c r="CQ130" i="17"/>
  <c r="BK131" i="17"/>
  <c r="FR146" i="17"/>
  <c r="BK137" i="17"/>
  <c r="CQ137" i="17" s="1"/>
  <c r="DW137" i="17" s="1"/>
  <c r="FC137" i="17" s="1"/>
  <c r="GI137" i="17" s="1"/>
  <c r="HO137" i="17" s="1"/>
  <c r="BK135" i="17"/>
  <c r="CF130" i="17"/>
  <c r="HD141" i="17"/>
  <c r="EC132" i="17"/>
  <c r="DS214" i="17" l="1"/>
  <c r="EY214" i="17" s="1"/>
  <c r="GE214" i="17" s="1"/>
  <c r="HK214" i="17" s="1"/>
  <c r="CM215" i="17"/>
  <c r="CT125" i="17"/>
  <c r="BN128" i="17"/>
  <c r="ES130" i="17"/>
  <c r="EC130" i="17"/>
  <c r="DM131" i="17"/>
  <c r="EC131" i="17" s="1"/>
  <c r="BI176" i="17"/>
  <c r="CN176" i="17"/>
  <c r="BI184" i="17"/>
  <c r="CN184" i="17"/>
  <c r="EC159" i="17"/>
  <c r="ES159" i="17"/>
  <c r="D47" i="45"/>
  <c r="DT241" i="17"/>
  <c r="EZ239" i="17"/>
  <c r="CF173" i="17"/>
  <c r="CU176" i="17"/>
  <c r="AP76" i="11"/>
  <c r="AP78" i="11" s="1"/>
  <c r="Z78" i="11"/>
  <c r="BH154" i="17"/>
  <c r="BI154" i="17" s="1"/>
  <c r="BI148" i="17"/>
  <c r="AZ226" i="17"/>
  <c r="BO224" i="17"/>
  <c r="CU224" i="17" s="1"/>
  <c r="EA224" i="17" s="1"/>
  <c r="EA226" i="17" s="1"/>
  <c r="CU114" i="17"/>
  <c r="EZ167" i="17"/>
  <c r="FA167" i="17" s="1"/>
  <c r="DN10" i="11"/>
  <c r="EC51" i="11"/>
  <c r="EC59" i="11" s="1"/>
  <c r="EA48" i="11"/>
  <c r="EB48" i="11" s="1"/>
  <c r="EZ221" i="17"/>
  <c r="D50" i="45"/>
  <c r="DT214" i="17"/>
  <c r="EZ214" i="17" s="1"/>
  <c r="GF214" i="17" s="1"/>
  <c r="HL214" i="17" s="1"/>
  <c r="CN215" i="17"/>
  <c r="FW176" i="17"/>
  <c r="FW173" i="17" s="1"/>
  <c r="FU173" i="17"/>
  <c r="FU211" i="17" s="1"/>
  <c r="C18" i="56" s="1"/>
  <c r="CN186" i="17"/>
  <c r="CO186" i="17" s="1"/>
  <c r="DF129" i="17"/>
  <c r="FG12" i="17"/>
  <c r="FH12" i="17" s="1"/>
  <c r="EB12" i="17"/>
  <c r="DM24" i="17"/>
  <c r="CW24" i="17"/>
  <c r="CG123" i="17"/>
  <c r="BG131" i="17"/>
  <c r="CM130" i="17"/>
  <c r="DS130" i="17" s="1"/>
  <c r="BI145" i="17"/>
  <c r="GO183" i="17"/>
  <c r="HE183" i="17"/>
  <c r="HU183" i="17" s="1"/>
  <c r="DP189" i="17"/>
  <c r="CJ173" i="17"/>
  <c r="D41" i="41"/>
  <c r="BS215" i="17"/>
  <c r="BI122" i="17"/>
  <c r="CN122" i="17"/>
  <c r="BI152" i="17"/>
  <c r="CN152" i="17"/>
  <c r="CN154" i="17" s="1"/>
  <c r="CO154" i="17" s="1"/>
  <c r="D40" i="41"/>
  <c r="BZ211" i="17"/>
  <c r="C50" i="45"/>
  <c r="EY221" i="17"/>
  <c r="BP46" i="17"/>
  <c r="CU46" i="17"/>
  <c r="ES92" i="17"/>
  <c r="EC92" i="17"/>
  <c r="BI99" i="17"/>
  <c r="CN99" i="17"/>
  <c r="CU199" i="17"/>
  <c r="BP199" i="17"/>
  <c r="AC126" i="17"/>
  <c r="R128" i="17"/>
  <c r="AC128" i="17" s="1"/>
  <c r="CW64" i="17"/>
  <c r="DM64" i="17"/>
  <c r="ES64" i="17" s="1"/>
  <c r="C25" i="34"/>
  <c r="C27" i="34" s="1"/>
  <c r="CT221" i="17"/>
  <c r="DZ221" i="17" s="1"/>
  <c r="DS239" i="17"/>
  <c r="CM241" i="17"/>
  <c r="DM49" i="17"/>
  <c r="CW49" i="17"/>
  <c r="DZ238" i="17"/>
  <c r="CT241" i="17"/>
  <c r="HD182" i="17"/>
  <c r="HD173" i="17" s="1"/>
  <c r="HD211" i="17" s="1"/>
  <c r="HB173" i="17"/>
  <c r="HQ182" i="17"/>
  <c r="BH144" i="17"/>
  <c r="BI144" i="17" s="1"/>
  <c r="AT147" i="17"/>
  <c r="BN180" i="17"/>
  <c r="CT180" i="17" s="1"/>
  <c r="AY173" i="17"/>
  <c r="DM63" i="17"/>
  <c r="CW63" i="17"/>
  <c r="CW72" i="17"/>
  <c r="DM72" i="17"/>
  <c r="AM160" i="17"/>
  <c r="AM161" i="17" s="1"/>
  <c r="BA158" i="17"/>
  <c r="DG35" i="11"/>
  <c r="BO175" i="17"/>
  <c r="BD129" i="17"/>
  <c r="BD139" i="17" s="1"/>
  <c r="BD161" i="17" s="1"/>
  <c r="CN148" i="17"/>
  <c r="BI100" i="17"/>
  <c r="CN100" i="17"/>
  <c r="BI178" i="17"/>
  <c r="CN178" i="17"/>
  <c r="CU202" i="17"/>
  <c r="BP202" i="17"/>
  <c r="EL211" i="17"/>
  <c r="EL243" i="17" s="1"/>
  <c r="D36" i="53"/>
  <c r="BN163" i="17"/>
  <c r="CT166" i="17"/>
  <c r="DZ166" i="17" s="1"/>
  <c r="FF166" i="17" s="1"/>
  <c r="GL166" i="17" s="1"/>
  <c r="HR166" i="17" s="1"/>
  <c r="DO20" i="11"/>
  <c r="DO34" i="11" s="1"/>
  <c r="DO35" i="11" s="1"/>
  <c r="DN34" i="11"/>
  <c r="DN35" i="11" s="1"/>
  <c r="GH157" i="17"/>
  <c r="HN157" i="17" s="1"/>
  <c r="FB160" i="17"/>
  <c r="BP16" i="17"/>
  <c r="CU16" i="17"/>
  <c r="ES35" i="17"/>
  <c r="EC35" i="17"/>
  <c r="BG127" i="17"/>
  <c r="AA128" i="17"/>
  <c r="D24" i="35"/>
  <c r="E24" i="35" s="1"/>
  <c r="BO220" i="17"/>
  <c r="CU81" i="17"/>
  <c r="CV81" i="17" s="1"/>
  <c r="BP81" i="17"/>
  <c r="D16" i="53"/>
  <c r="BP158" i="17"/>
  <c r="CU158" i="17"/>
  <c r="CV158" i="17" s="1"/>
  <c r="D25" i="41"/>
  <c r="E25" i="41" s="1"/>
  <c r="CF241" i="17"/>
  <c r="AH198" i="17"/>
  <c r="BN198" i="17" s="1"/>
  <c r="CT198" i="17" s="1"/>
  <c r="DZ198" i="17" s="1"/>
  <c r="BJ198" i="17"/>
  <c r="CP198" i="17" s="1"/>
  <c r="DV198" i="17" s="1"/>
  <c r="DV191" i="17" s="1"/>
  <c r="ER211" i="17"/>
  <c r="CU187" i="17"/>
  <c r="BP187" i="17"/>
  <c r="CX37" i="11"/>
  <c r="D10" i="60"/>
  <c r="GX231" i="17"/>
  <c r="D7" i="35"/>
  <c r="E7" i="35" s="1"/>
  <c r="BO225" i="17"/>
  <c r="CU225" i="17" s="1"/>
  <c r="EA225" i="17" s="1"/>
  <c r="D9" i="45" s="1"/>
  <c r="DM42" i="17"/>
  <c r="BO191" i="17"/>
  <c r="BP191" i="17" s="1"/>
  <c r="CU194" i="17"/>
  <c r="BP194" i="17"/>
  <c r="DV10" i="11"/>
  <c r="DW10" i="11" s="1"/>
  <c r="EC12" i="11"/>
  <c r="EA12" i="11" s="1"/>
  <c r="EB12" i="11" s="1"/>
  <c r="EA10" i="11"/>
  <c r="EB10" i="11" s="1"/>
  <c r="DV18" i="11"/>
  <c r="DW18" i="11" s="1"/>
  <c r="DW34" i="11" s="1"/>
  <c r="EC34" i="11"/>
  <c r="O133" i="17"/>
  <c r="EE59" i="11"/>
  <c r="BP25" i="17"/>
  <c r="CU25" i="17"/>
  <c r="BP31" i="17"/>
  <c r="CU31" i="17"/>
  <c r="BP35" i="17"/>
  <c r="CU35" i="17"/>
  <c r="BP52" i="17"/>
  <c r="CU52" i="17"/>
  <c r="BP190" i="17"/>
  <c r="CU190" i="17"/>
  <c r="C42" i="52"/>
  <c r="GE238" i="17"/>
  <c r="AA129" i="17"/>
  <c r="FR139" i="17"/>
  <c r="GL201" i="17"/>
  <c r="HR201" i="17" s="1"/>
  <c r="FF207" i="17"/>
  <c r="BN226" i="17"/>
  <c r="W211" i="17"/>
  <c r="BH138" i="17"/>
  <c r="DS215" i="17"/>
  <c r="C42" i="45" s="1"/>
  <c r="E42" i="45" s="1"/>
  <c r="ED59" i="11"/>
  <c r="EH139" i="17"/>
  <c r="EH161" i="17" s="1"/>
  <c r="FC231" i="17"/>
  <c r="BE129" i="17"/>
  <c r="BE139" i="17" s="1"/>
  <c r="BE161" i="17" s="1"/>
  <c r="GQ161" i="17"/>
  <c r="BO241" i="17"/>
  <c r="FZ186" i="17"/>
  <c r="HF186" i="17" s="1"/>
  <c r="CF211" i="17"/>
  <c r="C39" i="41"/>
  <c r="FX211" i="17"/>
  <c r="BO226" i="17"/>
  <c r="FW139" i="17"/>
  <c r="G211" i="17"/>
  <c r="BJ139" i="17"/>
  <c r="BJ161" i="17" s="1"/>
  <c r="BF211" i="17"/>
  <c r="BY129" i="17"/>
  <c r="DK129" i="17"/>
  <c r="DK139" i="17" s="1"/>
  <c r="EL161" i="17"/>
  <c r="CG128" i="17"/>
  <c r="BN241" i="17"/>
  <c r="BZ129" i="17"/>
  <c r="E25" i="35"/>
  <c r="E10" i="60"/>
  <c r="FX139" i="17"/>
  <c r="FX161" i="17" s="1"/>
  <c r="DH139" i="17"/>
  <c r="DH161" i="17" s="1"/>
  <c r="D7" i="48" s="1"/>
  <c r="CW134" i="17"/>
  <c r="F12" i="31"/>
  <c r="CH130" i="17"/>
  <c r="CH131" i="17" s="1"/>
  <c r="F11" i="60"/>
  <c r="F10" i="31"/>
  <c r="EC133" i="17"/>
  <c r="CZ139" i="17"/>
  <c r="CZ161" i="17" s="1"/>
  <c r="E31" i="56"/>
  <c r="E10" i="31"/>
  <c r="F11" i="56"/>
  <c r="C11" i="56" s="1"/>
  <c r="AC79" i="17"/>
  <c r="S79" i="17"/>
  <c r="AJ79" i="17" s="1"/>
  <c r="BI79" i="17"/>
  <c r="BO130" i="17"/>
  <c r="BO131" i="17" s="1"/>
  <c r="BP131" i="17" s="1"/>
  <c r="EA125" i="17"/>
  <c r="EB125" i="17" s="1"/>
  <c r="DL128" i="17"/>
  <c r="DL129" i="17" s="1"/>
  <c r="AV139" i="17"/>
  <c r="AV161" i="17" s="1"/>
  <c r="F13" i="56"/>
  <c r="C13" i="56" s="1"/>
  <c r="E11" i="56" s="1"/>
  <c r="GZ139" i="17"/>
  <c r="GZ161" i="17" s="1"/>
  <c r="D7" i="60" s="1"/>
  <c r="HD143" i="17"/>
  <c r="AZ132" i="17"/>
  <c r="BO132" i="17" s="1"/>
  <c r="AN139" i="17"/>
  <c r="AN161" i="17" s="1"/>
  <c r="CB139" i="17"/>
  <c r="CB161" i="17" s="1"/>
  <c r="CW136" i="17"/>
  <c r="FT161" i="17"/>
  <c r="FT244" i="17" s="1"/>
  <c r="DM138" i="17"/>
  <c r="DJ147" i="17"/>
  <c r="BB147" i="17"/>
  <c r="EC136" i="17"/>
  <c r="C23" i="52"/>
  <c r="E23" i="52" s="1"/>
  <c r="GL239" i="17"/>
  <c r="HN226" i="17"/>
  <c r="E35" i="45"/>
  <c r="AK134" i="17"/>
  <c r="BQ134" i="17"/>
  <c r="HP226" i="17"/>
  <c r="F12" i="60"/>
  <c r="EA133" i="17"/>
  <c r="FG133" i="17" s="1"/>
  <c r="E16" i="35"/>
  <c r="R211" i="17"/>
  <c r="CM168" i="17"/>
  <c r="DS168" i="17" s="1"/>
  <c r="AU244" i="17"/>
  <c r="E31" i="35"/>
  <c r="D25" i="45"/>
  <c r="FG239" i="17"/>
  <c r="DJ211" i="17"/>
  <c r="HA173" i="17"/>
  <c r="BS161" i="17"/>
  <c r="C45" i="45"/>
  <c r="E45" i="45" s="1"/>
  <c r="EY236" i="17"/>
  <c r="C41" i="52" s="1"/>
  <c r="GW161" i="17"/>
  <c r="DE129" i="17"/>
  <c r="DE139" i="17" s="1"/>
  <c r="DE161" i="17" s="1"/>
  <c r="T138" i="17"/>
  <c r="T139" i="17" s="1"/>
  <c r="AK139" i="17" s="1"/>
  <c r="CN11" i="17"/>
  <c r="DT11" i="17" s="1"/>
  <c r="DA139" i="17"/>
  <c r="DA161" i="17" s="1"/>
  <c r="C32" i="48" s="1"/>
  <c r="CU240" i="17"/>
  <c r="C28" i="60"/>
  <c r="EZ79" i="17"/>
  <c r="GF79" i="17" s="1"/>
  <c r="DU79" i="17"/>
  <c r="DS186" i="17"/>
  <c r="EY186" i="17" s="1"/>
  <c r="GE186" i="17" s="1"/>
  <c r="HK186" i="17" s="1"/>
  <c r="CM173" i="17"/>
  <c r="HH186" i="17"/>
  <c r="C45" i="52"/>
  <c r="GE220" i="17"/>
  <c r="HK220" i="17" s="1"/>
  <c r="D40" i="57"/>
  <c r="HL218" i="17"/>
  <c r="DS14" i="17"/>
  <c r="EY14" i="17" s="1"/>
  <c r="GE14" i="17" s="1"/>
  <c r="HK14" i="17" s="1"/>
  <c r="CM123" i="17"/>
  <c r="C43" i="57"/>
  <c r="HK238" i="17"/>
  <c r="BG123" i="17"/>
  <c r="CR129" i="17"/>
  <c r="CR139" i="17" s="1"/>
  <c r="CR161" i="17" s="1"/>
  <c r="C8" i="42" s="1"/>
  <c r="EU128" i="17"/>
  <c r="BY139" i="17"/>
  <c r="CV142" i="17"/>
  <c r="FH142" i="17"/>
  <c r="CJ129" i="17"/>
  <c r="CL129" i="17"/>
  <c r="DQ211" i="17"/>
  <c r="DF139" i="17"/>
  <c r="DF161" i="17" s="1"/>
  <c r="AS139" i="17"/>
  <c r="EG161" i="17"/>
  <c r="GH199" i="17"/>
  <c r="HN199" i="17" s="1"/>
  <c r="FD191" i="17"/>
  <c r="GJ191" i="17"/>
  <c r="C39" i="48"/>
  <c r="E39" i="48" s="1"/>
  <c r="FF194" i="17"/>
  <c r="GL194" i="17" s="1"/>
  <c r="HR194" i="17" s="1"/>
  <c r="FF198" i="17"/>
  <c r="GL198" i="17" s="1"/>
  <c r="HR198" i="17" s="1"/>
  <c r="FF208" i="17"/>
  <c r="GL208" i="17" s="1"/>
  <c r="HR208" i="17" s="1"/>
  <c r="BQ136" i="17"/>
  <c r="DU59" i="11"/>
  <c r="CN13" i="17"/>
  <c r="CO13" i="17" s="1"/>
  <c r="GM14" i="17"/>
  <c r="CW125" i="17"/>
  <c r="C43" i="45"/>
  <c r="BI126" i="17"/>
  <c r="CN187" i="17"/>
  <c r="GI231" i="17"/>
  <c r="HO231" i="17" s="1"/>
  <c r="DL37" i="11"/>
  <c r="CU193" i="17"/>
  <c r="CV193" i="17" s="1"/>
  <c r="D42" i="52"/>
  <c r="GF238" i="17"/>
  <c r="CO125" i="17"/>
  <c r="CK160" i="17"/>
  <c r="D24" i="45"/>
  <c r="FG238" i="17"/>
  <c r="BG173" i="17"/>
  <c r="AC142" i="17"/>
  <c r="AC144" i="17"/>
  <c r="AU37" i="11"/>
  <c r="DZ225" i="17"/>
  <c r="CT226" i="17"/>
  <c r="C39" i="52"/>
  <c r="GE216" i="17"/>
  <c r="EA10" i="17"/>
  <c r="FG10" i="17" s="1"/>
  <c r="CV10" i="17"/>
  <c r="EA195" i="17"/>
  <c r="CV195" i="17"/>
  <c r="BD168" i="17"/>
  <c r="CJ168" i="17" s="1"/>
  <c r="DP168" i="17" s="1"/>
  <c r="EV168" i="17" s="1"/>
  <c r="GB168" i="17" s="1"/>
  <c r="HH168" i="17" s="1"/>
  <c r="AH85" i="11"/>
  <c r="AC145" i="17"/>
  <c r="E33" i="48"/>
  <c r="DZ180" i="17"/>
  <c r="FF180" i="17" s="1"/>
  <c r="GL180" i="17" s="1"/>
  <c r="HR180" i="17" s="1"/>
  <c r="DP128" i="17"/>
  <c r="DR128" i="17"/>
  <c r="BF139" i="17"/>
  <c r="BF161" i="17" s="1"/>
  <c r="AA139" i="17"/>
  <c r="AA161" i="17" s="1"/>
  <c r="GD138" i="17"/>
  <c r="BI125" i="17"/>
  <c r="BI195" i="17"/>
  <c r="CN195" i="17"/>
  <c r="CI129" i="17"/>
  <c r="N211" i="17"/>
  <c r="C36" i="56"/>
  <c r="BK211" i="17"/>
  <c r="FG235" i="17"/>
  <c r="DA104" i="11"/>
  <c r="EA11" i="17"/>
  <c r="CV203" i="17"/>
  <c r="EA203" i="17"/>
  <c r="EW128" i="17"/>
  <c r="EX138" i="17"/>
  <c r="AH191" i="17"/>
  <c r="BN191" i="17"/>
  <c r="CT191" i="17"/>
  <c r="DZ191" i="17"/>
  <c r="G123" i="17"/>
  <c r="HC139" i="17"/>
  <c r="HC161" i="17" s="1"/>
  <c r="DR130" i="17"/>
  <c r="CL131" i="17"/>
  <c r="AK133" i="17"/>
  <c r="BQ133" i="17"/>
  <c r="DS173" i="17"/>
  <c r="CL139" i="17"/>
  <c r="E32" i="56"/>
  <c r="BR35" i="11"/>
  <c r="BR37" i="11" s="1"/>
  <c r="AX136" i="17"/>
  <c r="CW10" i="17"/>
  <c r="DM10" i="17"/>
  <c r="ES46" i="17"/>
  <c r="EC46" i="17"/>
  <c r="ES50" i="17"/>
  <c r="EC50" i="17"/>
  <c r="ES16" i="17"/>
  <c r="EC16" i="17"/>
  <c r="CK129" i="17"/>
  <c r="AP12" i="11"/>
  <c r="AC154" i="17"/>
  <c r="DI37" i="11"/>
  <c r="CU231" i="17"/>
  <c r="EA231" i="17" s="1"/>
  <c r="FG231" i="17" s="1"/>
  <c r="GM231" i="17" s="1"/>
  <c r="HS231" i="17" s="1"/>
  <c r="E20" i="41"/>
  <c r="E25" i="34"/>
  <c r="EF139" i="17"/>
  <c r="EF161" i="17" s="1"/>
  <c r="EY13" i="17"/>
  <c r="GE13" i="17" s="1"/>
  <c r="HK13" i="17" s="1"/>
  <c r="DS123" i="17"/>
  <c r="ES12" i="17"/>
  <c r="EC12" i="17"/>
  <c r="ES30" i="17"/>
  <c r="EC30" i="17"/>
  <c r="ES48" i="17"/>
  <c r="EC48" i="17"/>
  <c r="ES85" i="17"/>
  <c r="EC85" i="17"/>
  <c r="EC117" i="17"/>
  <c r="ES117" i="17"/>
  <c r="BI194" i="17"/>
  <c r="CN194" i="17"/>
  <c r="EC11" i="17"/>
  <c r="ES11" i="17"/>
  <c r="FI102" i="17"/>
  <c r="FY102" i="17"/>
  <c r="CV125" i="17"/>
  <c r="ES23" i="17"/>
  <c r="EC23" i="17"/>
  <c r="EC98" i="17"/>
  <c r="ES98" i="17"/>
  <c r="CO189" i="17"/>
  <c r="DT189" i="17"/>
  <c r="BI198" i="17"/>
  <c r="CN198" i="17"/>
  <c r="CW61" i="17"/>
  <c r="DM61" i="17"/>
  <c r="BP204" i="17"/>
  <c r="CU204" i="17"/>
  <c r="BP200" i="17"/>
  <c r="CU200" i="17"/>
  <c r="CU191" i="17" s="1"/>
  <c r="CV191" i="17" s="1"/>
  <c r="CR173" i="17"/>
  <c r="FB193" i="17"/>
  <c r="GH193" i="17" s="1"/>
  <c r="HN193" i="17" s="1"/>
  <c r="GL203" i="17"/>
  <c r="HR203" i="17" s="1"/>
  <c r="GL204" i="17"/>
  <c r="HR204" i="17" s="1"/>
  <c r="FB207" i="17"/>
  <c r="GH207" i="17" s="1"/>
  <c r="HN207" i="17" s="1"/>
  <c r="FA79" i="17"/>
  <c r="CO79" i="17"/>
  <c r="E44" i="45"/>
  <c r="F11" i="31"/>
  <c r="BH216" i="17"/>
  <c r="D32" i="41"/>
  <c r="E32" i="41" s="1"/>
  <c r="BV244" i="17"/>
  <c r="CH35" i="11"/>
  <c r="CH37" i="11" s="1"/>
  <c r="DJ136" i="17"/>
  <c r="BN10" i="11"/>
  <c r="BF12" i="11"/>
  <c r="CO10" i="17"/>
  <c r="DT10" i="17"/>
  <c r="CO11" i="17"/>
  <c r="DT12" i="17"/>
  <c r="CO12" i="17"/>
  <c r="GM12" i="17"/>
  <c r="FH13" i="17"/>
  <c r="GM13" i="17"/>
  <c r="FY15" i="17"/>
  <c r="FI15" i="17"/>
  <c r="ES22" i="17"/>
  <c r="EC22" i="17"/>
  <c r="BI14" i="17"/>
  <c r="CN14" i="17"/>
  <c r="FY14" i="17"/>
  <c r="FI14" i="17"/>
  <c r="HE19" i="17"/>
  <c r="HU19" i="17" s="1"/>
  <c r="GO19" i="17"/>
  <c r="FY149" i="17"/>
  <c r="FI149" i="17"/>
  <c r="CW177" i="17"/>
  <c r="DM177" i="17"/>
  <c r="C20" i="48"/>
  <c r="E20" i="48" s="1"/>
  <c r="DK181" i="17"/>
  <c r="DZ181" i="17" s="1"/>
  <c r="FF181" i="17" s="1"/>
  <c r="GL181" i="17" s="1"/>
  <c r="HR181" i="17" s="1"/>
  <c r="D22" i="41"/>
  <c r="E22" i="41" s="1"/>
  <c r="CU236" i="17"/>
  <c r="EA236" i="17" s="1"/>
  <c r="CO200" i="17"/>
  <c r="DT200" i="17"/>
  <c r="Q139" i="17"/>
  <c r="Q161" i="17" s="1"/>
  <c r="BP15" i="17"/>
  <c r="CU15" i="17"/>
  <c r="CW25" i="17"/>
  <c r="DM25" i="17"/>
  <c r="EC27" i="17"/>
  <c r="ES27" i="17"/>
  <c r="CW33" i="17"/>
  <c r="DM33" i="17"/>
  <c r="DT13" i="17"/>
  <c r="HE13" i="17"/>
  <c r="HU13" i="17" s="1"/>
  <c r="GO13" i="17"/>
  <c r="G14" i="45"/>
  <c r="FB222" i="17"/>
  <c r="C39" i="45"/>
  <c r="EY228" i="17"/>
  <c r="CW17" i="17"/>
  <c r="DM17" i="17"/>
  <c r="DP123" i="17"/>
  <c r="EV123" i="17" s="1"/>
  <c r="HJ138" i="17"/>
  <c r="BD147" i="17"/>
  <c r="BE211" i="17"/>
  <c r="HF160" i="17"/>
  <c r="U37" i="11"/>
  <c r="O138" i="17"/>
  <c r="O139" i="17" s="1"/>
  <c r="P74" i="17"/>
  <c r="R74" i="17" s="1"/>
  <c r="P135" i="17"/>
  <c r="R135" i="17" s="1"/>
  <c r="GG135" i="17" s="1"/>
  <c r="P87" i="17"/>
  <c r="R87" i="17" s="1"/>
  <c r="S87" i="17" s="1"/>
  <c r="P88" i="17"/>
  <c r="R88" i="17" s="1"/>
  <c r="P93" i="17"/>
  <c r="R93" i="17" s="1"/>
  <c r="P102" i="17"/>
  <c r="R102" i="17" s="1"/>
  <c r="P105" i="17"/>
  <c r="R105" i="17" s="1"/>
  <c r="FA105" i="17" s="1"/>
  <c r="P108" i="17"/>
  <c r="R108" i="17" s="1"/>
  <c r="CU108" i="17"/>
  <c r="AC127" i="17"/>
  <c r="EZ236" i="17"/>
  <c r="GF236" i="17" s="1"/>
  <c r="BZ139" i="17"/>
  <c r="BZ161" i="17" s="1"/>
  <c r="BZ243" i="17" s="1"/>
  <c r="CQ128" i="17"/>
  <c r="CQ129" i="17" s="1"/>
  <c r="E18" i="48"/>
  <c r="E37" i="53"/>
  <c r="E21" i="45"/>
  <c r="E50" i="45"/>
  <c r="FD138" i="17"/>
  <c r="D5" i="31"/>
  <c r="E5" i="31" s="1"/>
  <c r="AE244" i="17"/>
  <c r="D31" i="53"/>
  <c r="EH244" i="17"/>
  <c r="C40" i="57"/>
  <c r="HK218" i="17"/>
  <c r="AZ128" i="17"/>
  <c r="AZ129" i="17" s="1"/>
  <c r="BO127" i="17"/>
  <c r="BP127" i="17" s="1"/>
  <c r="P89" i="17"/>
  <c r="R89" i="17" s="1"/>
  <c r="CO89" i="17" s="1"/>
  <c r="P91" i="17"/>
  <c r="R91" i="17" s="1"/>
  <c r="P96" i="17"/>
  <c r="R96" i="17" s="1"/>
  <c r="P101" i="17"/>
  <c r="R101" i="17" s="1"/>
  <c r="CP35" i="11"/>
  <c r="CP37" i="11" s="1"/>
  <c r="EP136" i="17"/>
  <c r="ER136" i="17" s="1"/>
  <c r="EA41" i="11"/>
  <c r="EB41" i="11" s="1"/>
  <c r="P119" i="17"/>
  <c r="R119" i="17" s="1"/>
  <c r="P51" i="17"/>
  <c r="R51" i="17" s="1"/>
  <c r="V35" i="11"/>
  <c r="V37" i="11" s="1"/>
  <c r="AG135" i="17"/>
  <c r="CS132" i="17"/>
  <c r="DY132" i="17" s="1"/>
  <c r="FE132" i="17" s="1"/>
  <c r="GK132" i="17" s="1"/>
  <c r="FY29" i="17"/>
  <c r="FI29" i="17"/>
  <c r="CN61" i="17"/>
  <c r="DT89" i="17"/>
  <c r="EC101" i="17"/>
  <c r="ES101" i="17"/>
  <c r="CU117" i="17"/>
  <c r="BH131" i="17"/>
  <c r="BI131" i="17" s="1"/>
  <c r="BI130" i="17"/>
  <c r="DQ130" i="17"/>
  <c r="CK131" i="17"/>
  <c r="EC89" i="17"/>
  <c r="ES89" i="17"/>
  <c r="FY157" i="17"/>
  <c r="FI157" i="17"/>
  <c r="CV169" i="17"/>
  <c r="EA169" i="17"/>
  <c r="BP172" i="17"/>
  <c r="CU172" i="17"/>
  <c r="CW175" i="17"/>
  <c r="DM175" i="17"/>
  <c r="CO185" i="17"/>
  <c r="DT185" i="17"/>
  <c r="EC187" i="17"/>
  <c r="ES187" i="17"/>
  <c r="BI192" i="17"/>
  <c r="CN192" i="17"/>
  <c r="CO197" i="17"/>
  <c r="DT197" i="17"/>
  <c r="CO201" i="17"/>
  <c r="DT201" i="17"/>
  <c r="BI206" i="17"/>
  <c r="CN206" i="17"/>
  <c r="FH207" i="17"/>
  <c r="GM207" i="17"/>
  <c r="CO208" i="17"/>
  <c r="DT208" i="17"/>
  <c r="C23" i="57"/>
  <c r="E23" i="57" s="1"/>
  <c r="HR239" i="17"/>
  <c r="DT98" i="17"/>
  <c r="DT117" i="17"/>
  <c r="FI136" i="17"/>
  <c r="FY136" i="17"/>
  <c r="EX156" i="17"/>
  <c r="DR160" i="17"/>
  <c r="CW142" i="17"/>
  <c r="DM142" i="17"/>
  <c r="CQ37" i="11"/>
  <c r="CP129" i="17"/>
  <c r="CP139" i="17" s="1"/>
  <c r="F129" i="17"/>
  <c r="G129" i="17" s="1"/>
  <c r="CK211" i="17"/>
  <c r="CS173" i="17"/>
  <c r="DI173" i="17"/>
  <c r="DI211" i="17" s="1"/>
  <c r="AM173" i="17"/>
  <c r="BA173" i="17" s="1"/>
  <c r="BA211" i="17" s="1"/>
  <c r="FW191" i="17"/>
  <c r="C16" i="56" s="1"/>
  <c r="E16" i="56" s="1"/>
  <c r="HG191" i="17"/>
  <c r="GL207" i="17"/>
  <c r="HR207" i="17" s="1"/>
  <c r="CQ211" i="17"/>
  <c r="AZ211" i="17"/>
  <c r="BN173" i="17"/>
  <c r="BS173" i="17"/>
  <c r="BS211" i="17" s="1"/>
  <c r="DX128" i="17"/>
  <c r="DK161" i="17"/>
  <c r="DW123" i="17"/>
  <c r="FC123" i="17" s="1"/>
  <c r="GI123" i="17" s="1"/>
  <c r="HO123" i="17" s="1"/>
  <c r="DY123" i="17"/>
  <c r="FE123" i="17" s="1"/>
  <c r="GK123" i="17" s="1"/>
  <c r="HQ123" i="17" s="1"/>
  <c r="EY213" i="17"/>
  <c r="GE213" i="17" s="1"/>
  <c r="E32" i="53"/>
  <c r="CU92" i="17"/>
  <c r="AC125" i="17"/>
  <c r="CF132" i="17"/>
  <c r="HO191" i="17"/>
  <c r="EZ240" i="17"/>
  <c r="E8" i="56"/>
  <c r="GI191" i="17"/>
  <c r="D16" i="57" s="1"/>
  <c r="GY244" i="17"/>
  <c r="FB208" i="17"/>
  <c r="GH208" i="17" s="1"/>
  <c r="HN208" i="17" s="1"/>
  <c r="P90" i="17"/>
  <c r="R90" i="17" s="1"/>
  <c r="P92" i="17"/>
  <c r="R92" i="17" s="1"/>
  <c r="P95" i="17"/>
  <c r="R95" i="17" s="1"/>
  <c r="P97" i="17"/>
  <c r="R97" i="17" s="1"/>
  <c r="P98" i="17"/>
  <c r="R98" i="17" s="1"/>
  <c r="P107" i="17"/>
  <c r="R107" i="17" s="1"/>
  <c r="BZ35" i="11"/>
  <c r="BZ37" i="11" s="1"/>
  <c r="CD136" i="17"/>
  <c r="DF35" i="11"/>
  <c r="DF37" i="11" s="1"/>
  <c r="HB136" i="17"/>
  <c r="P117" i="17"/>
  <c r="R117" i="17" s="1"/>
  <c r="EA42" i="11"/>
  <c r="EB42" i="11" s="1"/>
  <c r="P120" i="17"/>
  <c r="R120" i="17" s="1"/>
  <c r="P61" i="17"/>
  <c r="R61" i="17" s="1"/>
  <c r="P42" i="17"/>
  <c r="P137" i="17"/>
  <c r="R137" i="17" s="1"/>
  <c r="FA137" i="17" s="1"/>
  <c r="DO83" i="11"/>
  <c r="DO85" i="11" s="1"/>
  <c r="DN85" i="11"/>
  <c r="BM127" i="17"/>
  <c r="BM128" i="17" s="1"/>
  <c r="BM129" i="17" s="1"/>
  <c r="AX128" i="17"/>
  <c r="AX129" i="17" s="1"/>
  <c r="O9" i="11"/>
  <c r="O12" i="11" s="1"/>
  <c r="I12" i="11"/>
  <c r="HE31" i="17"/>
  <c r="HU31" i="17" s="1"/>
  <c r="GO31" i="17"/>
  <c r="EC42" i="17"/>
  <c r="ES42" i="17"/>
  <c r="FY45" i="17"/>
  <c r="FI45" i="17"/>
  <c r="FY47" i="17"/>
  <c r="FI47" i="17"/>
  <c r="EC51" i="17"/>
  <c r="ES51" i="17"/>
  <c r="CU61" i="17"/>
  <c r="CU89" i="17"/>
  <c r="AP25" i="11"/>
  <c r="AH34" i="11"/>
  <c r="AH35" i="11" s="1"/>
  <c r="AH37" i="11" s="1"/>
  <c r="EA102" i="17"/>
  <c r="EC87" i="17"/>
  <c r="ES87" i="17"/>
  <c r="ES84" i="17"/>
  <c r="EC84" i="17"/>
  <c r="DM86" i="17"/>
  <c r="CW86" i="17"/>
  <c r="ES94" i="17"/>
  <c r="EC94" i="17"/>
  <c r="CU98" i="17"/>
  <c r="CH127" i="17"/>
  <c r="BB128" i="17"/>
  <c r="BB129" i="17" s="1"/>
  <c r="BB139" i="17" s="1"/>
  <c r="CW127" i="17"/>
  <c r="DM127" i="17"/>
  <c r="CS131" i="17"/>
  <c r="DY130" i="17"/>
  <c r="CM143" i="17"/>
  <c r="BG147" i="17"/>
  <c r="CV171" i="17"/>
  <c r="EA171" i="17"/>
  <c r="BP174" i="17"/>
  <c r="CU174" i="17"/>
  <c r="GO178" i="17"/>
  <c r="HE178" i="17"/>
  <c r="HU178" i="17" s="1"/>
  <c r="EX191" i="17"/>
  <c r="GD192" i="17"/>
  <c r="CO196" i="17"/>
  <c r="DT196" i="17"/>
  <c r="CO199" i="17"/>
  <c r="DT199" i="17"/>
  <c r="BI202" i="17"/>
  <c r="CN202" i="17"/>
  <c r="BI205" i="17"/>
  <c r="CN205" i="17"/>
  <c r="D41" i="52"/>
  <c r="CO146" i="17"/>
  <c r="DT146" i="17"/>
  <c r="GH130" i="17"/>
  <c r="FB131" i="17"/>
  <c r="DM164" i="17"/>
  <c r="CW164" i="17"/>
  <c r="CG141" i="17"/>
  <c r="BQ141" i="17"/>
  <c r="BA147" i="17"/>
  <c r="BQ147" i="17" s="1"/>
  <c r="EC165" i="17"/>
  <c r="ES165" i="17"/>
  <c r="AP161" i="17"/>
  <c r="AT161" i="17"/>
  <c r="DB161" i="17"/>
  <c r="DL147" i="17"/>
  <c r="EQ139" i="17"/>
  <c r="EB142" i="17"/>
  <c r="W35" i="11"/>
  <c r="W37" i="11" s="1"/>
  <c r="DI100" i="11"/>
  <c r="ER132" i="17"/>
  <c r="EN139" i="17"/>
  <c r="EN161" i="17" s="1"/>
  <c r="HI191" i="17"/>
  <c r="HQ191" i="17"/>
  <c r="FB194" i="17"/>
  <c r="GH194" i="17" s="1"/>
  <c r="HN194" i="17" s="1"/>
  <c r="FW161" i="17"/>
  <c r="DG244" i="17"/>
  <c r="GC191" i="17"/>
  <c r="GK191" i="17"/>
  <c r="BU244" i="17"/>
  <c r="FB196" i="17"/>
  <c r="GH196" i="17" s="1"/>
  <c r="HN196" i="17" s="1"/>
  <c r="DN160" i="17"/>
  <c r="D13" i="42"/>
  <c r="D12" i="52"/>
  <c r="EP128" i="17"/>
  <c r="ER127" i="17"/>
  <c r="ER128" i="17" s="1"/>
  <c r="ER129" i="17" s="1"/>
  <c r="P132" i="17"/>
  <c r="DV12" i="11"/>
  <c r="DW9" i="11"/>
  <c r="DW12" i="11" s="1"/>
  <c r="CL18" i="11"/>
  <c r="EA34" i="11"/>
  <c r="EB34" i="11" s="1"/>
  <c r="P136" i="17"/>
  <c r="R136" i="17" s="1"/>
  <c r="DU136" i="17" s="1"/>
  <c r="BV70" i="11"/>
  <c r="BN72" i="11"/>
  <c r="CD76" i="11"/>
  <c r="BV78" i="11"/>
  <c r="EA43" i="11"/>
  <c r="EB43" i="11" s="1"/>
  <c r="P134" i="17"/>
  <c r="R134" i="17" s="1"/>
  <c r="HM134" i="17" s="1"/>
  <c r="DW48" i="11"/>
  <c r="DW51" i="11" s="1"/>
  <c r="DV51" i="11"/>
  <c r="BV82" i="11"/>
  <c r="BN85" i="11"/>
  <c r="CV16" i="17"/>
  <c r="EA16" i="17"/>
  <c r="BI17" i="17"/>
  <c r="CN17" i="17"/>
  <c r="BP18" i="17"/>
  <c r="CU18" i="17"/>
  <c r="BO123" i="17"/>
  <c r="CO18" i="17"/>
  <c r="DT18" i="17"/>
  <c r="BI19" i="17"/>
  <c r="CN19" i="17"/>
  <c r="BP20" i="17"/>
  <c r="CU20" i="17"/>
  <c r="CO20" i="17"/>
  <c r="DT20" i="17"/>
  <c r="CV22" i="17"/>
  <c r="EA22" i="17"/>
  <c r="BI23" i="17"/>
  <c r="CN23" i="17"/>
  <c r="BP24" i="17"/>
  <c r="CU24" i="17"/>
  <c r="CO24" i="17"/>
  <c r="DT24" i="17"/>
  <c r="BI25" i="17"/>
  <c r="CN25" i="17"/>
  <c r="BP26" i="17"/>
  <c r="CU26" i="17"/>
  <c r="CO26" i="17"/>
  <c r="DT26" i="17"/>
  <c r="BP28" i="17"/>
  <c r="CU28" i="17"/>
  <c r="CO28" i="17"/>
  <c r="DT28" i="17"/>
  <c r="CV30" i="17"/>
  <c r="EA30" i="17"/>
  <c r="BI31" i="17"/>
  <c r="CN31" i="17"/>
  <c r="BP32" i="17"/>
  <c r="CU32" i="17"/>
  <c r="CO32" i="17"/>
  <c r="DT32" i="17"/>
  <c r="BI33" i="17"/>
  <c r="CN33" i="17"/>
  <c r="BP34" i="17"/>
  <c r="CU34" i="17"/>
  <c r="CO34" i="17"/>
  <c r="DT34" i="17"/>
  <c r="BI35" i="17"/>
  <c r="CN35" i="17"/>
  <c r="BP36" i="17"/>
  <c r="CU36" i="17"/>
  <c r="CO36" i="17"/>
  <c r="DT36" i="17"/>
  <c r="FY20" i="17"/>
  <c r="FI20" i="17"/>
  <c r="FY26" i="17"/>
  <c r="FI26" i="17"/>
  <c r="FY28" i="17"/>
  <c r="FI28" i="17"/>
  <c r="FY34" i="17"/>
  <c r="FI34" i="17"/>
  <c r="BI37" i="17"/>
  <c r="CN37" i="17"/>
  <c r="BP38" i="17"/>
  <c r="CU38" i="17"/>
  <c r="BI39" i="17"/>
  <c r="CN39" i="17"/>
  <c r="BP40" i="17"/>
  <c r="CU40" i="17"/>
  <c r="BI41" i="17"/>
  <c r="CN41" i="17"/>
  <c r="BP43" i="17"/>
  <c r="CU43" i="17"/>
  <c r="BP44" i="17"/>
  <c r="CU44" i="17"/>
  <c r="BI52" i="17"/>
  <c r="CN52" i="17"/>
  <c r="BP53" i="17"/>
  <c r="CU53" i="17"/>
  <c r="BI54" i="17"/>
  <c r="CN54" i="17"/>
  <c r="BP55" i="17"/>
  <c r="CU55" i="17"/>
  <c r="BP56" i="17"/>
  <c r="CU56" i="17"/>
  <c r="BI57" i="17"/>
  <c r="CN57" i="17"/>
  <c r="BI58" i="17"/>
  <c r="CN58" i="17"/>
  <c r="BP59" i="17"/>
  <c r="CU59" i="17"/>
  <c r="BI60" i="17"/>
  <c r="CN60" i="17"/>
  <c r="BI62" i="17"/>
  <c r="CN62" i="17"/>
  <c r="BP63" i="17"/>
  <c r="CU63" i="17"/>
  <c r="BI64" i="17"/>
  <c r="CN64" i="17"/>
  <c r="BI65" i="17"/>
  <c r="CN65" i="17"/>
  <c r="BI66" i="17"/>
  <c r="CN66" i="17"/>
  <c r="BI67" i="17"/>
  <c r="CN67" i="17"/>
  <c r="BP68" i="17"/>
  <c r="CU68" i="17"/>
  <c r="BI69" i="17"/>
  <c r="CN69" i="17"/>
  <c r="BI70" i="17"/>
  <c r="CN70" i="17"/>
  <c r="BP71" i="17"/>
  <c r="CU71" i="17"/>
  <c r="BI72" i="17"/>
  <c r="CN72" i="17"/>
  <c r="BI73" i="17"/>
  <c r="CN73" i="17"/>
  <c r="CV75" i="17"/>
  <c r="EA75" i="17"/>
  <c r="CV76" i="17"/>
  <c r="EA76" i="17"/>
  <c r="CO77" i="17"/>
  <c r="DT77" i="17"/>
  <c r="CV78" i="17"/>
  <c r="EA78" i="17"/>
  <c r="CV80" i="17"/>
  <c r="EA80" i="17"/>
  <c r="CO82" i="17"/>
  <c r="DT82" i="17"/>
  <c r="CV83" i="17"/>
  <c r="EA83" i="17"/>
  <c r="FI43" i="17"/>
  <c r="FY43" i="17"/>
  <c r="CO21" i="17"/>
  <c r="DT21" i="17"/>
  <c r="CO27" i="17"/>
  <c r="DT27" i="17"/>
  <c r="CV46" i="17"/>
  <c r="EA46" i="17"/>
  <c r="CV48" i="17"/>
  <c r="EA48" i="17"/>
  <c r="CV50" i="17"/>
  <c r="EA50" i="17"/>
  <c r="HE83" i="17"/>
  <c r="HU83" i="17" s="1"/>
  <c r="GO83" i="17"/>
  <c r="BP99" i="17"/>
  <c r="CU99" i="17"/>
  <c r="BP100" i="17"/>
  <c r="CU100" i="17"/>
  <c r="CV103" i="17"/>
  <c r="EA103" i="17"/>
  <c r="CV104" i="17"/>
  <c r="EA104" i="17"/>
  <c r="CV106" i="17"/>
  <c r="EA106" i="17"/>
  <c r="BI109" i="17"/>
  <c r="CN109" i="17"/>
  <c r="BP110" i="17"/>
  <c r="CU110" i="17"/>
  <c r="BP111" i="17"/>
  <c r="CU111" i="17"/>
  <c r="BI112" i="17"/>
  <c r="CN112" i="17"/>
  <c r="BP113" i="17"/>
  <c r="CU113" i="17"/>
  <c r="BI114" i="17"/>
  <c r="CN114" i="17"/>
  <c r="BP115" i="17"/>
  <c r="CU115" i="17"/>
  <c r="BI116" i="17"/>
  <c r="CN116" i="17"/>
  <c r="BI118" i="17"/>
  <c r="CN118" i="17"/>
  <c r="CV121" i="17"/>
  <c r="EA121" i="17"/>
  <c r="CO122" i="17"/>
  <c r="DT122" i="17"/>
  <c r="BQ123" i="17"/>
  <c r="BA129" i="17"/>
  <c r="CW123" i="17"/>
  <c r="CG129" i="17"/>
  <c r="L139" i="17"/>
  <c r="M139" i="17" s="1"/>
  <c r="M129" i="17"/>
  <c r="GL193" i="17"/>
  <c r="HR193" i="17" s="1"/>
  <c r="C48" i="35"/>
  <c r="C49" i="35"/>
  <c r="DW128" i="17"/>
  <c r="DG37" i="11"/>
  <c r="CD147" i="17"/>
  <c r="CS146" i="17"/>
  <c r="DY146" i="17" s="1"/>
  <c r="FE146" i="17" s="1"/>
  <c r="GK146" i="17" s="1"/>
  <c r="HQ146" i="17" s="1"/>
  <c r="CF146" i="17"/>
  <c r="CU146" i="17" s="1"/>
  <c r="HB147" i="17"/>
  <c r="HD146" i="17"/>
  <c r="CD128" i="17"/>
  <c r="CD129" i="17" s="1"/>
  <c r="CF127" i="17"/>
  <c r="DV34" i="11"/>
  <c r="BV32" i="11"/>
  <c r="DW56" i="11"/>
  <c r="AP70" i="11"/>
  <c r="AP72" i="11" s="1"/>
  <c r="AH72" i="11"/>
  <c r="CT16" i="17"/>
  <c r="BN123" i="17"/>
  <c r="BN129" i="17" s="1"/>
  <c r="FY18" i="17"/>
  <c r="FI18" i="17"/>
  <c r="FY32" i="17"/>
  <c r="FI32" i="17"/>
  <c r="FY36" i="17"/>
  <c r="FI36" i="17"/>
  <c r="CV37" i="17"/>
  <c r="EA37" i="17"/>
  <c r="CO38" i="17"/>
  <c r="DT38" i="17"/>
  <c r="CV39" i="17"/>
  <c r="EA39" i="17"/>
  <c r="CO40" i="17"/>
  <c r="DT40" i="17"/>
  <c r="CV41" i="17"/>
  <c r="EA41" i="17"/>
  <c r="CO43" i="17"/>
  <c r="DT43" i="17"/>
  <c r="CO44" i="17"/>
  <c r="DT44" i="17"/>
  <c r="CO15" i="17"/>
  <c r="DT15" i="17"/>
  <c r="BI16" i="17"/>
  <c r="CN16" i="17"/>
  <c r="BH123" i="17"/>
  <c r="CV17" i="17"/>
  <c r="EA17" i="17"/>
  <c r="CV19" i="17"/>
  <c r="EA19" i="17"/>
  <c r="CU21" i="17"/>
  <c r="BP21" i="17"/>
  <c r="BI22" i="17"/>
  <c r="CN22" i="17"/>
  <c r="CV23" i="17"/>
  <c r="EA23" i="17"/>
  <c r="CV25" i="17"/>
  <c r="EA25" i="17"/>
  <c r="CU27" i="17"/>
  <c r="BP27" i="17"/>
  <c r="CU29" i="17"/>
  <c r="BP29" i="17"/>
  <c r="BI30" i="17"/>
  <c r="CN30" i="17"/>
  <c r="CV31" i="17"/>
  <c r="EA31" i="17"/>
  <c r="CV33" i="17"/>
  <c r="EA33" i="17"/>
  <c r="CV35" i="17"/>
  <c r="EA35" i="17"/>
  <c r="D30" i="31"/>
  <c r="D48" i="31" s="1"/>
  <c r="C30" i="31"/>
  <c r="W244" i="17"/>
  <c r="AO246" i="17" s="1"/>
  <c r="D30" i="35"/>
  <c r="AP244" i="17"/>
  <c r="C50" i="41"/>
  <c r="C51" i="41"/>
  <c r="E18" i="56"/>
  <c r="E36" i="56"/>
  <c r="CA37" i="11"/>
  <c r="DJ94" i="11"/>
  <c r="EU123" i="17"/>
  <c r="DO129" i="17"/>
  <c r="EY123" i="17"/>
  <c r="FD123" i="17"/>
  <c r="DX129" i="17"/>
  <c r="DU125" i="17"/>
  <c r="CO126" i="17"/>
  <c r="DT126" i="17"/>
  <c r="F139" i="17"/>
  <c r="CU134" i="17"/>
  <c r="DY144" i="17"/>
  <c r="ES52" i="17"/>
  <c r="EC52" i="17"/>
  <c r="FY53" i="17"/>
  <c r="FI53" i="17"/>
  <c r="ES54" i="17"/>
  <c r="EC54" i="17"/>
  <c r="FY55" i="17"/>
  <c r="FI55" i="17"/>
  <c r="ES58" i="17"/>
  <c r="EC58" i="17"/>
  <c r="FY59" i="17"/>
  <c r="FI59" i="17"/>
  <c r="ES60" i="17"/>
  <c r="EC60" i="17"/>
  <c r="ES62" i="17"/>
  <c r="EC62" i="17"/>
  <c r="ES66" i="17"/>
  <c r="EC66" i="17"/>
  <c r="ES70" i="17"/>
  <c r="EC70" i="17"/>
  <c r="FY71" i="17"/>
  <c r="FI71" i="17"/>
  <c r="ES72" i="17"/>
  <c r="EC72" i="17"/>
  <c r="ES73" i="17"/>
  <c r="EC73" i="17"/>
  <c r="ES74" i="17"/>
  <c r="EC74" i="17"/>
  <c r="ES76" i="17"/>
  <c r="EC76" i="17"/>
  <c r="FY77" i="17"/>
  <c r="FI77" i="17"/>
  <c r="ES78" i="17"/>
  <c r="EC78" i="17"/>
  <c r="ES79" i="17"/>
  <c r="EC79" i="17"/>
  <c r="ES81" i="17"/>
  <c r="EC81" i="17"/>
  <c r="FY82" i="17"/>
  <c r="FI82" i="17"/>
  <c r="BI84" i="17"/>
  <c r="CN84" i="17"/>
  <c r="CV85" i="17"/>
  <c r="EA85" i="17"/>
  <c r="CV94" i="17"/>
  <c r="EA94" i="17"/>
  <c r="CN131" i="17"/>
  <c r="CO131" i="17" s="1"/>
  <c r="CO130" i="17"/>
  <c r="DT130" i="17"/>
  <c r="BP137" i="17"/>
  <c r="CU137" i="17"/>
  <c r="ES144" i="17"/>
  <c r="EC144" i="17"/>
  <c r="HK148" i="17"/>
  <c r="CJ152" i="17"/>
  <c r="BD154" i="17"/>
  <c r="DM152" i="17"/>
  <c r="CW152" i="17"/>
  <c r="FY153" i="17"/>
  <c r="FI153" i="17"/>
  <c r="AK160" i="17"/>
  <c r="CW163" i="17"/>
  <c r="BH163" i="17"/>
  <c r="BI164" i="17"/>
  <c r="CN164" i="17"/>
  <c r="HK164" i="17"/>
  <c r="BI166" i="17"/>
  <c r="CN166" i="17"/>
  <c r="FY166" i="17"/>
  <c r="FI166" i="17"/>
  <c r="DN174" i="17"/>
  <c r="CH173" i="17"/>
  <c r="DZ174" i="17"/>
  <c r="CT173" i="17"/>
  <c r="CW174" i="17"/>
  <c r="DM174" i="17"/>
  <c r="GJ174" i="17"/>
  <c r="CO178" i="17"/>
  <c r="DT178" i="17"/>
  <c r="EA185" i="17"/>
  <c r="CV185" i="17"/>
  <c r="DK186" i="17"/>
  <c r="DZ186" i="17" s="1"/>
  <c r="FF186" i="17" s="1"/>
  <c r="GL186" i="17" s="1"/>
  <c r="HR186" i="17" s="1"/>
  <c r="DX186" i="17"/>
  <c r="FD186" i="17" s="1"/>
  <c r="GJ186" i="17" s="1"/>
  <c r="HP186" i="17" s="1"/>
  <c r="BI188" i="17"/>
  <c r="CN188" i="17"/>
  <c r="DK189" i="17"/>
  <c r="DZ189" i="17" s="1"/>
  <c r="FF189" i="17" s="1"/>
  <c r="GL189" i="17" s="1"/>
  <c r="HR189" i="17" s="1"/>
  <c r="DX189" i="17"/>
  <c r="FD189" i="17" s="1"/>
  <c r="GJ189" i="17" s="1"/>
  <c r="HP189" i="17" s="1"/>
  <c r="BG191" i="17"/>
  <c r="CM192" i="17"/>
  <c r="FB200" i="17"/>
  <c r="GH200" i="17" s="1"/>
  <c r="HN200" i="17" s="1"/>
  <c r="EQ200" i="17"/>
  <c r="FF200" i="17" s="1"/>
  <c r="GL200" i="17" s="1"/>
  <c r="HR200" i="17" s="1"/>
  <c r="CN203" i="17"/>
  <c r="BI203" i="17"/>
  <c r="CN204" i="17"/>
  <c r="BI204" i="17"/>
  <c r="CN209" i="17"/>
  <c r="BI209" i="17"/>
  <c r="CP210" i="17"/>
  <c r="DV210" i="17" s="1"/>
  <c r="FB210" i="17" s="1"/>
  <c r="GH210" i="17" s="1"/>
  <c r="HN210" i="17" s="1"/>
  <c r="CE210" i="17"/>
  <c r="CE211" i="17" s="1"/>
  <c r="CA211" i="17"/>
  <c r="CA244" i="17" s="1"/>
  <c r="C46" i="57"/>
  <c r="C36" i="45"/>
  <c r="E36" i="45" s="1"/>
  <c r="EY230" i="17"/>
  <c r="D34" i="52"/>
  <c r="GF230" i="17"/>
  <c r="FC163" i="17"/>
  <c r="DW211" i="17"/>
  <c r="AC163" i="17"/>
  <c r="AB211" i="17"/>
  <c r="AC211" i="17" s="1"/>
  <c r="D38" i="35"/>
  <c r="E38" i="35" s="1"/>
  <c r="AT211" i="17"/>
  <c r="D37" i="56"/>
  <c r="FR211" i="17"/>
  <c r="C36" i="53"/>
  <c r="E36" i="53" s="1"/>
  <c r="EY168" i="17"/>
  <c r="AC173" i="17"/>
  <c r="BH173" i="17"/>
  <c r="BI173" i="17" s="1"/>
  <c r="FJ209" i="17"/>
  <c r="FM209" i="17" s="1"/>
  <c r="CW186" i="17"/>
  <c r="DM186" i="17"/>
  <c r="BA213" i="17"/>
  <c r="CG213" i="17" s="1"/>
  <c r="DM213" i="17" s="1"/>
  <c r="ES213" i="17" s="1"/>
  <c r="FY213" i="17" s="1"/>
  <c r="HE213" i="17" s="1"/>
  <c r="U215" i="17"/>
  <c r="BA215" i="17" s="1"/>
  <c r="CG215" i="17" s="1"/>
  <c r="DM215" i="17" s="1"/>
  <c r="ES215" i="17" s="1"/>
  <c r="FY215" i="17" s="1"/>
  <c r="HE215" i="17" s="1"/>
  <c r="CO86" i="17"/>
  <c r="DT86" i="17"/>
  <c r="DP129" i="17"/>
  <c r="FY95" i="17"/>
  <c r="FI95" i="17"/>
  <c r="ES96" i="17"/>
  <c r="EC96" i="17"/>
  <c r="FY100" i="17"/>
  <c r="FI100" i="17"/>
  <c r="ES104" i="17"/>
  <c r="EC104" i="17"/>
  <c r="ES106" i="17"/>
  <c r="EC106" i="17"/>
  <c r="FY107" i="17"/>
  <c r="FI107" i="17"/>
  <c r="FY111" i="17"/>
  <c r="FI111" i="17"/>
  <c r="ES112" i="17"/>
  <c r="EC112" i="17"/>
  <c r="FY113" i="17"/>
  <c r="FI113" i="17"/>
  <c r="ES114" i="17"/>
  <c r="EC114" i="17"/>
  <c r="FY115" i="17"/>
  <c r="FI115" i="17"/>
  <c r="ES116" i="17"/>
  <c r="EC116" i="17"/>
  <c r="ES118" i="17"/>
  <c r="EC118" i="17"/>
  <c r="FY119" i="17"/>
  <c r="FI119" i="17"/>
  <c r="ES120" i="17"/>
  <c r="EC120" i="17"/>
  <c r="FY122" i="17"/>
  <c r="FI122" i="17"/>
  <c r="FY125" i="17"/>
  <c r="FI125" i="17"/>
  <c r="GB125" i="17"/>
  <c r="EV128" i="17"/>
  <c r="GD125" i="17"/>
  <c r="EX128" i="17"/>
  <c r="GH125" i="17"/>
  <c r="FB128" i="17"/>
  <c r="HG126" i="17"/>
  <c r="HG128" i="17" s="1"/>
  <c r="GA128" i="17"/>
  <c r="CT131" i="17"/>
  <c r="DZ130" i="17"/>
  <c r="CT132" i="17"/>
  <c r="BN138" i="17"/>
  <c r="BN139" i="17" s="1"/>
  <c r="CH138" i="17"/>
  <c r="DN132" i="17"/>
  <c r="DP132" i="17"/>
  <c r="CJ138" i="17"/>
  <c r="CJ139" i="17" s="1"/>
  <c r="DT132" i="17"/>
  <c r="FI132" i="17"/>
  <c r="ES138" i="17"/>
  <c r="FY132" i="17"/>
  <c r="FY135" i="17"/>
  <c r="FI135" i="17"/>
  <c r="EC140" i="17"/>
  <c r="ES140" i="17"/>
  <c r="EW140" i="17"/>
  <c r="DQ147" i="17"/>
  <c r="CU144" i="17"/>
  <c r="BQ148" i="17"/>
  <c r="BA154" i="17"/>
  <c r="BQ154" i="17" s="1"/>
  <c r="CG148" i="17"/>
  <c r="EW154" i="17"/>
  <c r="GC148" i="17"/>
  <c r="FE154" i="17"/>
  <c r="GK148" i="17"/>
  <c r="BG160" i="17"/>
  <c r="CM155" i="17"/>
  <c r="BO160" i="17"/>
  <c r="CU155" i="17"/>
  <c r="BI158" i="17"/>
  <c r="CN158" i="17"/>
  <c r="BO163" i="17"/>
  <c r="BP164" i="17"/>
  <c r="CU164" i="17"/>
  <c r="CT163" i="17"/>
  <c r="DZ164" i="17"/>
  <c r="BP165" i="17"/>
  <c r="CU165" i="17"/>
  <c r="BC163" i="17"/>
  <c r="CI166" i="17"/>
  <c r="EB166" i="17"/>
  <c r="FG166" i="17"/>
  <c r="EC167" i="17"/>
  <c r="ES167" i="17"/>
  <c r="BH168" i="17"/>
  <c r="CN169" i="17"/>
  <c r="BI169" i="17"/>
  <c r="AC168" i="17"/>
  <c r="AB212" i="17"/>
  <c r="BM173" i="17"/>
  <c r="AG211" i="17"/>
  <c r="GS209" i="17"/>
  <c r="AH168" i="17"/>
  <c r="AH211" i="17" s="1"/>
  <c r="BN169" i="17"/>
  <c r="CN170" i="17"/>
  <c r="BI170" i="17"/>
  <c r="CN172" i="17"/>
  <c r="BI172" i="17"/>
  <c r="EU173" i="17"/>
  <c r="GA174" i="17"/>
  <c r="GE174" i="17"/>
  <c r="FC173" i="17"/>
  <c r="GI174" i="17"/>
  <c r="DX130" i="17"/>
  <c r="CR131" i="17"/>
  <c r="CN133" i="17"/>
  <c r="DS125" i="17"/>
  <c r="GJ126" i="17"/>
  <c r="FD128" i="17"/>
  <c r="HI126" i="17"/>
  <c r="HI128" i="17" s="1"/>
  <c r="GC128" i="17"/>
  <c r="FY133" i="17"/>
  <c r="FI133" i="17"/>
  <c r="C31" i="53"/>
  <c r="EG244" i="17"/>
  <c r="EY140" i="17"/>
  <c r="EK147" i="17"/>
  <c r="EK161" i="17" s="1"/>
  <c r="DN143" i="17"/>
  <c r="CH147" i="17"/>
  <c r="DP143" i="17"/>
  <c r="CJ147" i="17"/>
  <c r="DR143" i="17"/>
  <c r="CL147" i="17"/>
  <c r="DV143" i="17"/>
  <c r="CP147" i="17"/>
  <c r="DX143" i="17"/>
  <c r="CR147" i="17"/>
  <c r="DT148" i="17"/>
  <c r="CO148" i="17"/>
  <c r="BG154" i="17"/>
  <c r="CM149" i="17"/>
  <c r="CU149" i="17"/>
  <c r="BP149" i="17"/>
  <c r="CO149" i="17"/>
  <c r="DT149" i="17"/>
  <c r="BP152" i="17"/>
  <c r="CU152" i="17"/>
  <c r="DT152" i="17"/>
  <c r="CU153" i="17"/>
  <c r="BP153" i="17"/>
  <c r="CO153" i="17"/>
  <c r="DT153" i="17"/>
  <c r="BI156" i="17"/>
  <c r="CN156" i="17"/>
  <c r="CN160" i="17" s="1"/>
  <c r="CV156" i="17"/>
  <c r="EA156" i="17"/>
  <c r="CN157" i="17"/>
  <c r="BI157" i="17"/>
  <c r="EB157" i="17"/>
  <c r="FG157" i="17"/>
  <c r="CU159" i="17"/>
  <c r="BP159" i="17"/>
  <c r="CO159" i="17"/>
  <c r="DT159" i="17"/>
  <c r="EY215" i="17"/>
  <c r="C38" i="52" s="1"/>
  <c r="E38" i="52" s="1"/>
  <c r="CI138" i="17"/>
  <c r="DO132" i="17"/>
  <c r="CO150" i="17"/>
  <c r="DT150" i="17"/>
  <c r="CO151" i="17"/>
  <c r="DT151" i="17"/>
  <c r="EV160" i="17"/>
  <c r="GB155" i="17"/>
  <c r="CO165" i="17"/>
  <c r="DT165" i="17"/>
  <c r="EA187" i="17"/>
  <c r="CV187" i="17"/>
  <c r="EA192" i="17"/>
  <c r="CV192" i="17"/>
  <c r="FY209" i="17"/>
  <c r="GB213" i="17"/>
  <c r="EV215" i="17"/>
  <c r="FG224" i="17"/>
  <c r="HF125" i="17"/>
  <c r="HP132" i="17"/>
  <c r="HP138" i="17" s="1"/>
  <c r="GJ138" i="17"/>
  <c r="GF137" i="17"/>
  <c r="HO168" i="17"/>
  <c r="DT177" i="17"/>
  <c r="CO177" i="17"/>
  <c r="CW189" i="17"/>
  <c r="DM189" i="17"/>
  <c r="S210" i="17"/>
  <c r="EB210" i="17" s="1"/>
  <c r="AC210" i="17"/>
  <c r="BI210" i="17"/>
  <c r="DU210" i="17"/>
  <c r="EZ210" i="17"/>
  <c r="EU213" i="17"/>
  <c r="DO215" i="17"/>
  <c r="EW213" i="17"/>
  <c r="DQ215" i="17"/>
  <c r="D19" i="52"/>
  <c r="GM218" i="17"/>
  <c r="D46" i="52"/>
  <c r="GF221" i="17"/>
  <c r="D28" i="45"/>
  <c r="FG221" i="17"/>
  <c r="D33" i="52"/>
  <c r="GF233" i="17"/>
  <c r="C33" i="52"/>
  <c r="GE233" i="17"/>
  <c r="C21" i="52"/>
  <c r="GL236" i="17"/>
  <c r="N123" i="17"/>
  <c r="N129" i="17" s="1"/>
  <c r="N139" i="17" s="1"/>
  <c r="N161" i="17" s="1"/>
  <c r="CE139" i="17"/>
  <c r="BY161" i="17"/>
  <c r="AT243" i="17"/>
  <c r="BN160" i="17"/>
  <c r="EM191" i="17"/>
  <c r="C49" i="60"/>
  <c r="CS160" i="17"/>
  <c r="E16" i="60"/>
  <c r="DY173" i="17"/>
  <c r="BL139" i="17"/>
  <c r="BL161" i="17" s="1"/>
  <c r="R141" i="17"/>
  <c r="BP142" i="17"/>
  <c r="BP144" i="17"/>
  <c r="AS161" i="17"/>
  <c r="GX139" i="17"/>
  <c r="GX161" i="17" s="1"/>
  <c r="CQ147" i="17"/>
  <c r="CQ160" i="17"/>
  <c r="EY176" i="17"/>
  <c r="GE176" i="17" s="1"/>
  <c r="HK176" i="17" s="1"/>
  <c r="BJ191" i="17"/>
  <c r="GA191" i="17"/>
  <c r="EU191" i="17"/>
  <c r="D50" i="41"/>
  <c r="BH160" i="17"/>
  <c r="BY211" i="17"/>
  <c r="GL192" i="17"/>
  <c r="AW211" i="17"/>
  <c r="DX185" i="17"/>
  <c r="FD185" i="17" s="1"/>
  <c r="GJ185" i="17" s="1"/>
  <c r="HP185" i="17" s="1"/>
  <c r="CI191" i="17"/>
  <c r="GH160" i="17"/>
  <c r="AS211" i="17"/>
  <c r="DE211" i="17"/>
  <c r="GH226" i="17"/>
  <c r="E22" i="45"/>
  <c r="CV52" i="17"/>
  <c r="EA52" i="17"/>
  <c r="CO53" i="17"/>
  <c r="DT53" i="17"/>
  <c r="CV54" i="17"/>
  <c r="EA54" i="17"/>
  <c r="CO55" i="17"/>
  <c r="DT55" i="17"/>
  <c r="CO56" i="17"/>
  <c r="DT56" i="17"/>
  <c r="CV57" i="17"/>
  <c r="EA57" i="17"/>
  <c r="CV58" i="17"/>
  <c r="EA58" i="17"/>
  <c r="CO59" i="17"/>
  <c r="DT59" i="17"/>
  <c r="CV60" i="17"/>
  <c r="EA60" i="17"/>
  <c r="CV62" i="17"/>
  <c r="EA62" i="17"/>
  <c r="CO63" i="17"/>
  <c r="DT63" i="17"/>
  <c r="CV64" i="17"/>
  <c r="EA64" i="17"/>
  <c r="CV65" i="17"/>
  <c r="EA65" i="17"/>
  <c r="CV66" i="17"/>
  <c r="EA66" i="17"/>
  <c r="CV67" i="17"/>
  <c r="EA67" i="17"/>
  <c r="CO68" i="17"/>
  <c r="DT68" i="17"/>
  <c r="CV69" i="17"/>
  <c r="EA69" i="17"/>
  <c r="CV70" i="17"/>
  <c r="EA70" i="17"/>
  <c r="CO71" i="17"/>
  <c r="DT71" i="17"/>
  <c r="CV72" i="17"/>
  <c r="EA72" i="17"/>
  <c r="CV73" i="17"/>
  <c r="EA73" i="17"/>
  <c r="BI75" i="17"/>
  <c r="CN75" i="17"/>
  <c r="BI76" i="17"/>
  <c r="CN76" i="17"/>
  <c r="BP77" i="17"/>
  <c r="CU77" i="17"/>
  <c r="BI78" i="17"/>
  <c r="CN78" i="17"/>
  <c r="BI80" i="17"/>
  <c r="CN80" i="17"/>
  <c r="BI81" i="17"/>
  <c r="CN81" i="17"/>
  <c r="BP82" i="17"/>
  <c r="CU82" i="17"/>
  <c r="BI83" i="17"/>
  <c r="CN83" i="17"/>
  <c r="CO29" i="17"/>
  <c r="DT29" i="17"/>
  <c r="BP45" i="17"/>
  <c r="CU45" i="17"/>
  <c r="BI46" i="17"/>
  <c r="CN46" i="17"/>
  <c r="BP47" i="17"/>
  <c r="CU47" i="17"/>
  <c r="BI48" i="17"/>
  <c r="CN48" i="17"/>
  <c r="BP49" i="17"/>
  <c r="CU49" i="17"/>
  <c r="BI50" i="17"/>
  <c r="CN50" i="17"/>
  <c r="EC37" i="17"/>
  <c r="ES37" i="17"/>
  <c r="FI38" i="17"/>
  <c r="FY38" i="17"/>
  <c r="EC39" i="17"/>
  <c r="ES39" i="17"/>
  <c r="FI40" i="17"/>
  <c r="FY40" i="17"/>
  <c r="EC41" i="17"/>
  <c r="ES41" i="17"/>
  <c r="FI44" i="17"/>
  <c r="FY44" i="17"/>
  <c r="FY88" i="17"/>
  <c r="FI88" i="17"/>
  <c r="FY90" i="17"/>
  <c r="FI90" i="17"/>
  <c r="CO99" i="17"/>
  <c r="DT99" i="17"/>
  <c r="CO100" i="17"/>
  <c r="DT100" i="17"/>
  <c r="BI103" i="17"/>
  <c r="CN103" i="17"/>
  <c r="BI104" i="17"/>
  <c r="CN104" i="17"/>
  <c r="BI106" i="17"/>
  <c r="CN106" i="17"/>
  <c r="CV109" i="17"/>
  <c r="EA109" i="17"/>
  <c r="CO110" i="17"/>
  <c r="DT110" i="17"/>
  <c r="CO111" i="17"/>
  <c r="DT111" i="17"/>
  <c r="CV112" i="17"/>
  <c r="EA112" i="17"/>
  <c r="CO113" i="17"/>
  <c r="DT113" i="17"/>
  <c r="CV114" i="17"/>
  <c r="EA114" i="17"/>
  <c r="CO115" i="17"/>
  <c r="DT115" i="17"/>
  <c r="CV116" i="17"/>
  <c r="EA116" i="17"/>
  <c r="CV118" i="17"/>
  <c r="EA118" i="17"/>
  <c r="BI121" i="17"/>
  <c r="CN121" i="17"/>
  <c r="BP122" i="17"/>
  <c r="CU122" i="17"/>
  <c r="J123" i="17"/>
  <c r="I129" i="17"/>
  <c r="EW123" i="17"/>
  <c r="DQ129" i="17"/>
  <c r="FB123" i="17"/>
  <c r="DV129" i="17"/>
  <c r="DV139" i="17" s="1"/>
  <c r="BP126" i="17"/>
  <c r="CU126" i="17"/>
  <c r="CN127" i="17"/>
  <c r="CN128" i="17" s="1"/>
  <c r="BI127" i="17"/>
  <c r="HS142" i="17"/>
  <c r="HT142" i="17" s="1"/>
  <c r="GN142" i="17"/>
  <c r="CO45" i="17"/>
  <c r="DT45" i="17"/>
  <c r="CO47" i="17"/>
  <c r="DT47" i="17"/>
  <c r="CO49" i="17"/>
  <c r="DT49" i="17"/>
  <c r="FY56" i="17"/>
  <c r="FI56" i="17"/>
  <c r="ES57" i="17"/>
  <c r="EC57" i="17"/>
  <c r="ES65" i="17"/>
  <c r="EC65" i="17"/>
  <c r="ES67" i="17"/>
  <c r="EC67" i="17"/>
  <c r="FY68" i="17"/>
  <c r="FI68" i="17"/>
  <c r="ES69" i="17"/>
  <c r="EC69" i="17"/>
  <c r="ES75" i="17"/>
  <c r="EC75" i="17"/>
  <c r="ES80" i="17"/>
  <c r="EC80" i="17"/>
  <c r="CV84" i="17"/>
  <c r="EA84" i="17"/>
  <c r="BI85" i="17"/>
  <c r="CN85" i="17"/>
  <c r="BP86" i="17"/>
  <c r="CU86" i="17"/>
  <c r="BI94" i="17"/>
  <c r="CN94" i="17"/>
  <c r="CM136" i="17"/>
  <c r="BG138" i="17"/>
  <c r="BI143" i="17"/>
  <c r="CN143" i="17"/>
  <c r="DZ148" i="17"/>
  <c r="CT154" i="17"/>
  <c r="R155" i="17"/>
  <c r="O160" i="17"/>
  <c r="DZ156" i="17"/>
  <c r="CT160" i="17"/>
  <c r="FY159" i="17"/>
  <c r="FI159" i="17"/>
  <c r="M160" i="17"/>
  <c r="L161" i="17"/>
  <c r="M161" i="17" s="1"/>
  <c r="AJ163" i="17"/>
  <c r="AI211" i="17"/>
  <c r="CS164" i="17"/>
  <c r="BM163" i="17"/>
  <c r="BM211" i="17" s="1"/>
  <c r="D40" i="48"/>
  <c r="E40" i="48" s="1"/>
  <c r="DF211" i="17"/>
  <c r="BP168" i="17"/>
  <c r="CU168" i="17"/>
  <c r="BP170" i="17"/>
  <c r="CU170" i="17"/>
  <c r="BI174" i="17"/>
  <c r="CN174" i="17"/>
  <c r="CO176" i="17"/>
  <c r="DT176" i="17"/>
  <c r="BP178" i="17"/>
  <c r="CU178" i="17"/>
  <c r="EA184" i="17"/>
  <c r="CV184" i="17"/>
  <c r="CO184" i="17"/>
  <c r="DT184" i="17"/>
  <c r="CG185" i="17"/>
  <c r="BQ185" i="17"/>
  <c r="CU186" i="17"/>
  <c r="BP186" i="17"/>
  <c r="EA188" i="17"/>
  <c r="CV188" i="17"/>
  <c r="CN190" i="17"/>
  <c r="BI190" i="17"/>
  <c r="CN193" i="17"/>
  <c r="BI193" i="17"/>
  <c r="FB195" i="17"/>
  <c r="GH195" i="17" s="1"/>
  <c r="HN195" i="17" s="1"/>
  <c r="EQ195" i="17"/>
  <c r="FF195" i="17" s="1"/>
  <c r="GL195" i="17" s="1"/>
  <c r="HR195" i="17" s="1"/>
  <c r="CN207" i="17"/>
  <c r="BI207" i="17"/>
  <c r="BL209" i="17"/>
  <c r="CR209" i="17" s="1"/>
  <c r="DX209" i="17" s="1"/>
  <c r="FD209" i="17" s="1"/>
  <c r="GJ209" i="17" s="1"/>
  <c r="AY209" i="17"/>
  <c r="BN209" i="17" s="1"/>
  <c r="CT209" i="17" s="1"/>
  <c r="DZ209" i="17" s="1"/>
  <c r="FF209" i="17" s="1"/>
  <c r="GL209" i="17" s="1"/>
  <c r="FG209" i="17"/>
  <c r="FG210" i="17"/>
  <c r="C39" i="57"/>
  <c r="HK216" i="17"/>
  <c r="C27" i="45"/>
  <c r="FF220" i="17"/>
  <c r="C28" i="45"/>
  <c r="FF221" i="17"/>
  <c r="C17" i="45"/>
  <c r="E17" i="45" s="1"/>
  <c r="FF228" i="17"/>
  <c r="D10" i="52"/>
  <c r="GM230" i="17"/>
  <c r="C40" i="52"/>
  <c r="GE235" i="17"/>
  <c r="D12" i="45"/>
  <c r="FC222" i="17"/>
  <c r="AN163" i="17"/>
  <c r="AN211" i="17" s="1"/>
  <c r="BB164" i="17"/>
  <c r="D37" i="60"/>
  <c r="E37" i="60" s="1"/>
  <c r="GX211" i="17"/>
  <c r="BO173" i="17"/>
  <c r="BP173" i="17" s="1"/>
  <c r="AJ173" i="17"/>
  <c r="GQ182" i="17"/>
  <c r="HF182" i="17"/>
  <c r="ET95" i="17"/>
  <c r="FZ95" i="17" s="1"/>
  <c r="HF95" i="17" s="1"/>
  <c r="DN123" i="17"/>
  <c r="EX95" i="17"/>
  <c r="GD95" i="17" s="1"/>
  <c r="HJ95" i="17" s="1"/>
  <c r="DR123" i="17"/>
  <c r="DH244" i="17"/>
  <c r="CN140" i="17"/>
  <c r="BI140" i="17"/>
  <c r="FG140" i="17"/>
  <c r="D32" i="48"/>
  <c r="DB244" i="17"/>
  <c r="EA141" i="17"/>
  <c r="D31" i="60"/>
  <c r="GT244" i="17"/>
  <c r="CN142" i="17"/>
  <c r="BI142" i="17"/>
  <c r="BP143" i="17"/>
  <c r="BO147" i="17"/>
  <c r="CU143" i="17"/>
  <c r="GO143" i="17"/>
  <c r="HE143" i="17"/>
  <c r="HU143" i="17" s="1"/>
  <c r="BP150" i="17"/>
  <c r="CU150" i="17"/>
  <c r="BP151" i="17"/>
  <c r="CU151" i="17"/>
  <c r="EC155" i="17"/>
  <c r="ES155" i="17"/>
  <c r="DQ160" i="17"/>
  <c r="EW155" i="17"/>
  <c r="DY160" i="17"/>
  <c r="FE155" i="17"/>
  <c r="AK163" i="17"/>
  <c r="BQ163" i="17"/>
  <c r="BG166" i="17"/>
  <c r="AA163" i="17"/>
  <c r="AA211" i="17" s="1"/>
  <c r="CZ163" i="17"/>
  <c r="CZ211" i="17" s="1"/>
  <c r="DN167" i="17"/>
  <c r="ET167" i="17" s="1"/>
  <c r="FZ167" i="17" s="1"/>
  <c r="HF167" i="17" s="1"/>
  <c r="CN171" i="17"/>
  <c r="BI171" i="17"/>
  <c r="EW173" i="17"/>
  <c r="EW211" i="17" s="1"/>
  <c r="GC174" i="17"/>
  <c r="FE173" i="17"/>
  <c r="GK174" i="17"/>
  <c r="BP175" i="17"/>
  <c r="CU175" i="17"/>
  <c r="BP177" i="17"/>
  <c r="CU177" i="17"/>
  <c r="CN180" i="17"/>
  <c r="BI180" i="17"/>
  <c r="CV181" i="17"/>
  <c r="EA181" i="17"/>
  <c r="BP182" i="17"/>
  <c r="CU182" i="17"/>
  <c r="CN183" i="17"/>
  <c r="BI183" i="17"/>
  <c r="CV183" i="17"/>
  <c r="EA183" i="17"/>
  <c r="CJ163" i="17"/>
  <c r="DP164" i="17"/>
  <c r="CL163" i="17"/>
  <c r="CL211" i="17" s="1"/>
  <c r="DR164" i="17"/>
  <c r="CP163" i="17"/>
  <c r="DV164" i="17"/>
  <c r="CR163" i="17"/>
  <c r="DX164" i="17"/>
  <c r="EA167" i="17"/>
  <c r="CV167" i="17"/>
  <c r="BJ168" i="17"/>
  <c r="CP169" i="17"/>
  <c r="DV169" i="17" s="1"/>
  <c r="FB169" i="17" s="1"/>
  <c r="GH169" i="17" s="1"/>
  <c r="HN169" i="17" s="1"/>
  <c r="DT175" i="17"/>
  <c r="CO175" i="17"/>
  <c r="EC176" i="17"/>
  <c r="ES176" i="17"/>
  <c r="EA176" i="17"/>
  <c r="CV176" i="17"/>
  <c r="DK176" i="17"/>
  <c r="DX176" i="17"/>
  <c r="FD176" i="17" s="1"/>
  <c r="GJ176" i="17" s="1"/>
  <c r="HP176" i="17" s="1"/>
  <c r="EA179" i="17"/>
  <c r="CV179" i="17"/>
  <c r="GO179" i="17"/>
  <c r="HE179" i="17"/>
  <c r="HU179" i="17" s="1"/>
  <c r="EC180" i="17"/>
  <c r="ES180" i="17"/>
  <c r="EA180" i="17"/>
  <c r="CV180" i="17"/>
  <c r="BI181" i="17"/>
  <c r="CN181" i="17"/>
  <c r="DO130" i="17"/>
  <c r="CI131" i="17"/>
  <c r="CI139" i="17" s="1"/>
  <c r="CI161" i="17" s="1"/>
  <c r="DP131" i="17"/>
  <c r="EV130" i="17"/>
  <c r="R147" i="17"/>
  <c r="AC147" i="17" s="1"/>
  <c r="S140" i="17"/>
  <c r="EB140" i="17" s="1"/>
  <c r="EC145" i="17"/>
  <c r="ES145" i="17"/>
  <c r="GL155" i="17"/>
  <c r="FY97" i="17"/>
  <c r="FI97" i="17"/>
  <c r="FY99" i="17"/>
  <c r="FI99" i="17"/>
  <c r="ES103" i="17"/>
  <c r="EC103" i="17"/>
  <c r="ES105" i="17"/>
  <c r="EC105" i="17"/>
  <c r="FY108" i="17"/>
  <c r="FI108" i="17"/>
  <c r="ES109" i="17"/>
  <c r="EC109" i="17"/>
  <c r="FY110" i="17"/>
  <c r="FI110" i="17"/>
  <c r="ES121" i="17"/>
  <c r="EC121" i="17"/>
  <c r="AJ125" i="17"/>
  <c r="BP125" i="17"/>
  <c r="S128" i="17"/>
  <c r="AJ128" i="17" s="1"/>
  <c r="FY126" i="17"/>
  <c r="FI126" i="17"/>
  <c r="AJ131" i="17"/>
  <c r="GE132" i="17"/>
  <c r="CT140" i="17"/>
  <c r="BN147" i="17"/>
  <c r="FC140" i="17"/>
  <c r="DW147" i="17"/>
  <c r="BI141" i="17"/>
  <c r="CN141" i="17"/>
  <c r="CU145" i="17"/>
  <c r="BP145" i="17"/>
  <c r="DT145" i="17"/>
  <c r="CO145" i="17"/>
  <c r="EU154" i="17"/>
  <c r="GA148" i="17"/>
  <c r="FC154" i="17"/>
  <c r="GI148" i="17"/>
  <c r="FH148" i="17"/>
  <c r="GM148" i="17"/>
  <c r="DO160" i="17"/>
  <c r="EU155" i="17"/>
  <c r="DW160" i="17"/>
  <c r="FC155" i="17"/>
  <c r="CW156" i="17"/>
  <c r="DM156" i="17"/>
  <c r="EZ136" i="17"/>
  <c r="GB150" i="17"/>
  <c r="CO155" i="17"/>
  <c r="DT155" i="17"/>
  <c r="CO179" i="17"/>
  <c r="DT179" i="17"/>
  <c r="DT182" i="17"/>
  <c r="CO182" i="17"/>
  <c r="EC188" i="17"/>
  <c r="ES188" i="17"/>
  <c r="EA196" i="17"/>
  <c r="CV196" i="17"/>
  <c r="EA197" i="17"/>
  <c r="CV197" i="17"/>
  <c r="EA199" i="17"/>
  <c r="CV199" i="17"/>
  <c r="EA201" i="17"/>
  <c r="CV201" i="17"/>
  <c r="EA208" i="17"/>
  <c r="CV208" i="17"/>
  <c r="EZ213" i="17"/>
  <c r="C19" i="52"/>
  <c r="GL218" i="17"/>
  <c r="D45" i="52"/>
  <c r="GF220" i="17"/>
  <c r="C16" i="45"/>
  <c r="FF224" i="17"/>
  <c r="DZ226" i="17"/>
  <c r="C10" i="52"/>
  <c r="GL230" i="17"/>
  <c r="C20" i="52"/>
  <c r="GL235" i="17"/>
  <c r="HE134" i="17"/>
  <c r="HU134" i="17" s="1"/>
  <c r="GO134" i="17"/>
  <c r="GC134" i="17"/>
  <c r="EW138" i="17"/>
  <c r="GH134" i="17"/>
  <c r="FB138" i="17"/>
  <c r="EC146" i="17"/>
  <c r="ES146" i="17"/>
  <c r="GJ150" i="17"/>
  <c r="FD154" i="17"/>
  <c r="FD160" i="17"/>
  <c r="GJ155" i="17"/>
  <c r="D17" i="53"/>
  <c r="D17" i="52" s="1"/>
  <c r="D18" i="53"/>
  <c r="E18" i="53" s="1"/>
  <c r="CW181" i="17"/>
  <c r="DM181" i="17"/>
  <c r="EA189" i="17"/>
  <c r="CV189" i="17"/>
  <c r="EA194" i="17"/>
  <c r="CV194" i="17"/>
  <c r="EA198" i="17"/>
  <c r="CV198" i="17"/>
  <c r="EA202" i="17"/>
  <c r="CV202" i="17"/>
  <c r="EA205" i="17"/>
  <c r="CV205" i="17"/>
  <c r="EA206" i="17"/>
  <c r="CV206" i="17"/>
  <c r="S209" i="17"/>
  <c r="T209" i="17"/>
  <c r="GD213" i="17"/>
  <c r="EX215" i="17"/>
  <c r="FC224" i="17"/>
  <c r="DW226" i="17"/>
  <c r="DW223" i="17"/>
  <c r="FE224" i="17"/>
  <c r="DY226" i="17"/>
  <c r="EU240" i="17"/>
  <c r="DO241" i="17"/>
  <c r="EW240" i="17"/>
  <c r="DQ241" i="17"/>
  <c r="C48" i="45"/>
  <c r="E48" i="45" s="1"/>
  <c r="EY240" i="17"/>
  <c r="DS241" i="17"/>
  <c r="FB240" i="17"/>
  <c r="DV241" i="17"/>
  <c r="FD240" i="17"/>
  <c r="DX241" i="17"/>
  <c r="C26" i="45"/>
  <c r="FF240" i="17"/>
  <c r="DZ241" i="17"/>
  <c r="AA243" i="17"/>
  <c r="BH128" i="17"/>
  <c r="CE161" i="17"/>
  <c r="BQ173" i="17"/>
  <c r="FB203" i="17"/>
  <c r="GH203" i="17" s="1"/>
  <c r="HN203" i="17" s="1"/>
  <c r="FB204" i="17"/>
  <c r="GH204" i="17" s="1"/>
  <c r="HN204" i="17" s="1"/>
  <c r="AX211" i="17"/>
  <c r="C18" i="35" s="1"/>
  <c r="E40" i="41"/>
  <c r="BH191" i="17"/>
  <c r="BI191" i="17" s="1"/>
  <c r="AH139" i="17"/>
  <c r="AH161" i="17" s="1"/>
  <c r="C48" i="60"/>
  <c r="AD211" i="17"/>
  <c r="AD244" i="17" s="1"/>
  <c r="X211" i="17"/>
  <c r="X244" i="17" s="1"/>
  <c r="AP246" i="17" s="1"/>
  <c r="DO173" i="17"/>
  <c r="AB129" i="17"/>
  <c r="AB139" i="17" s="1"/>
  <c r="AB161" i="17" s="1"/>
  <c r="EZ125" i="17"/>
  <c r="EQ161" i="17"/>
  <c r="AY161" i="17"/>
  <c r="EU140" i="17"/>
  <c r="AJ154" i="17"/>
  <c r="AM211" i="17"/>
  <c r="E37" i="35"/>
  <c r="DX180" i="17"/>
  <c r="FD180" i="17" s="1"/>
  <c r="GJ180" i="17" s="1"/>
  <c r="HP180" i="17" s="1"/>
  <c r="DX188" i="17"/>
  <c r="FD188" i="17" s="1"/>
  <c r="GJ188" i="17" s="1"/>
  <c r="HP188" i="17" s="1"/>
  <c r="FS191" i="17"/>
  <c r="FS211" i="17" s="1"/>
  <c r="FS244" i="17" s="1"/>
  <c r="GH201" i="17"/>
  <c r="HN201" i="17" s="1"/>
  <c r="BC138" i="17"/>
  <c r="BC139" i="17" s="1"/>
  <c r="BC161" i="17" s="1"/>
  <c r="EK211" i="17"/>
  <c r="GJ226" i="17"/>
  <c r="E39" i="41"/>
  <c r="BC191" i="17"/>
  <c r="DO191" i="17"/>
  <c r="HN160" i="17"/>
  <c r="CO210" i="17"/>
  <c r="E49" i="45"/>
  <c r="F49" i="45"/>
  <c r="GI132" i="17"/>
  <c r="FR147" i="17"/>
  <c r="FR161" i="17" s="1"/>
  <c r="FR243" i="17" s="1"/>
  <c r="D39" i="53"/>
  <c r="E39" i="53" s="1"/>
  <c r="GB216" i="17"/>
  <c r="F14" i="48"/>
  <c r="C14" i="48" s="1"/>
  <c r="F15" i="48"/>
  <c r="C15" i="48" s="1"/>
  <c r="F13" i="48"/>
  <c r="C13" i="48" s="1"/>
  <c r="F12" i="53"/>
  <c r="C12" i="53" s="1"/>
  <c r="F13" i="53"/>
  <c r="C13" i="53" s="1"/>
  <c r="CF131" i="17"/>
  <c r="CQ135" i="17"/>
  <c r="BK138" i="17"/>
  <c r="BK139" i="17" s="1"/>
  <c r="BK161" i="17" s="1"/>
  <c r="GI125" i="17"/>
  <c r="FC128" i="17"/>
  <c r="FC129" i="17" s="1"/>
  <c r="CQ131" i="17"/>
  <c r="DW130" i="17"/>
  <c r="E40" i="31"/>
  <c r="D36" i="34"/>
  <c r="CN228" i="17"/>
  <c r="D35" i="53"/>
  <c r="EB79" i="17"/>
  <c r="FH79" i="17"/>
  <c r="BP79" i="17"/>
  <c r="GN79" i="17"/>
  <c r="HT79" i="17"/>
  <c r="F12" i="35"/>
  <c r="C12" i="35" s="1"/>
  <c r="F11" i="35"/>
  <c r="C11" i="35" s="1"/>
  <c r="F13" i="35"/>
  <c r="F14" i="41"/>
  <c r="C14" i="41" s="1"/>
  <c r="F13" i="41"/>
  <c r="C13" i="41" s="1"/>
  <c r="F15" i="41"/>
  <c r="C15" i="41" s="1"/>
  <c r="D15" i="52"/>
  <c r="GM228" i="17"/>
  <c r="GF235" i="17"/>
  <c r="D40" i="52"/>
  <c r="CU222" i="17"/>
  <c r="EA222" i="17" s="1"/>
  <c r="FG222" i="17" s="1"/>
  <c r="BG128" i="17" l="1"/>
  <c r="CM127" i="17"/>
  <c r="ES63" i="17"/>
  <c r="EC63" i="17"/>
  <c r="C46" i="52"/>
  <c r="GE221" i="17"/>
  <c r="EV189" i="17"/>
  <c r="DP173" i="17"/>
  <c r="EC24" i="17"/>
  <c r="ES24" i="17"/>
  <c r="D43" i="52"/>
  <c r="GF239" i="17"/>
  <c r="FG125" i="17"/>
  <c r="AU246" i="17"/>
  <c r="DT215" i="17"/>
  <c r="D42" i="45" s="1"/>
  <c r="CJ211" i="17"/>
  <c r="E46" i="52"/>
  <c r="D16" i="45"/>
  <c r="CO152" i="17"/>
  <c r="CL161" i="17"/>
  <c r="D33" i="42" s="1"/>
  <c r="FI138" i="17"/>
  <c r="EC64" i="17"/>
  <c r="P133" i="17"/>
  <c r="R133" i="17" s="1"/>
  <c r="AC133" i="17" s="1"/>
  <c r="DT186" i="17"/>
  <c r="CK139" i="17"/>
  <c r="CK161" i="17" s="1"/>
  <c r="C33" i="42" s="1"/>
  <c r="EA193" i="17"/>
  <c r="EB193" i="17" s="1"/>
  <c r="E42" i="52"/>
  <c r="BG129" i="17"/>
  <c r="EC138" i="17"/>
  <c r="FX243" i="17"/>
  <c r="D24" i="34"/>
  <c r="E24" i="34" s="1"/>
  <c r="CU220" i="17"/>
  <c r="EA220" i="17" s="1"/>
  <c r="C24" i="45"/>
  <c r="E24" i="45" s="1"/>
  <c r="FF238" i="17"/>
  <c r="FF241" i="17" s="1"/>
  <c r="EY239" i="17"/>
  <c r="C47" i="45"/>
  <c r="E47" i="45" s="1"/>
  <c r="FI92" i="17"/>
  <c r="FY92" i="17"/>
  <c r="DO10" i="11"/>
  <c r="DO12" i="11" s="1"/>
  <c r="DO37" i="11" s="1"/>
  <c r="DN12" i="11"/>
  <c r="DN37" i="11" s="1"/>
  <c r="DN102" i="11" s="1"/>
  <c r="DZ125" i="17"/>
  <c r="CT128" i="17"/>
  <c r="FG225" i="17"/>
  <c r="DM123" i="17"/>
  <c r="EA158" i="17"/>
  <c r="EA51" i="11"/>
  <c r="EB51" i="11" s="1"/>
  <c r="EA81" i="17"/>
  <c r="CM131" i="17"/>
  <c r="FB198" i="17"/>
  <c r="GH198" i="17" s="1"/>
  <c r="HN198" i="17" s="1"/>
  <c r="FI35" i="17"/>
  <c r="FY35" i="17"/>
  <c r="GR173" i="17"/>
  <c r="GR211" i="17" s="1"/>
  <c r="HB211" i="17"/>
  <c r="D18" i="60" s="1"/>
  <c r="BG139" i="17"/>
  <c r="BG161" i="17" s="1"/>
  <c r="CU226" i="17"/>
  <c r="CN144" i="17"/>
  <c r="BH147" i="17"/>
  <c r="CP191" i="17"/>
  <c r="CP211" i="17" s="1"/>
  <c r="CP244" i="17" s="1"/>
  <c r="BD211" i="17"/>
  <c r="CP161" i="17"/>
  <c r="EB133" i="17"/>
  <c r="EB10" i="17"/>
  <c r="DA244" i="17"/>
  <c r="GF167" i="17"/>
  <c r="CV190" i="17"/>
  <c r="EA190" i="17"/>
  <c r="BQ158" i="17"/>
  <c r="CG158" i="17"/>
  <c r="BA160" i="17"/>
  <c r="BQ160" i="17" s="1"/>
  <c r="EC49" i="17"/>
  <c r="ES49" i="17"/>
  <c r="FY130" i="17"/>
  <c r="FI130" i="17"/>
  <c r="ES131" i="17"/>
  <c r="DN130" i="17"/>
  <c r="ET130" i="17" s="1"/>
  <c r="D7" i="56"/>
  <c r="D27" i="56" s="1"/>
  <c r="FX246" i="17" s="1"/>
  <c r="HD147" i="17"/>
  <c r="D5" i="35"/>
  <c r="D27" i="35" s="1"/>
  <c r="AV244" i="17"/>
  <c r="CF147" i="17"/>
  <c r="BB161" i="17"/>
  <c r="D49" i="31"/>
  <c r="X247" i="17" s="1"/>
  <c r="X248" i="17" s="1"/>
  <c r="CU130" i="17"/>
  <c r="CV130" i="17" s="1"/>
  <c r="BP130" i="17"/>
  <c r="C28" i="56"/>
  <c r="CV79" i="17"/>
  <c r="BI128" i="17"/>
  <c r="E19" i="52"/>
  <c r="C50" i="48"/>
  <c r="DE246" i="17" s="1"/>
  <c r="E33" i="52"/>
  <c r="E45" i="52"/>
  <c r="O161" i="17"/>
  <c r="BO128" i="17"/>
  <c r="BP128" i="17" s="1"/>
  <c r="BI135" i="17"/>
  <c r="ER138" i="17"/>
  <c r="GZ244" i="17"/>
  <c r="GZ247" i="17" s="1"/>
  <c r="GZ249" i="17" s="1"/>
  <c r="E28" i="45"/>
  <c r="BI133" i="17"/>
  <c r="E41" i="52"/>
  <c r="CR211" i="17"/>
  <c r="AB243" i="17"/>
  <c r="AH243" i="17"/>
  <c r="DU135" i="17"/>
  <c r="CO135" i="17"/>
  <c r="DV59" i="11"/>
  <c r="DW129" i="17"/>
  <c r="GE236" i="17"/>
  <c r="C51" i="48"/>
  <c r="DA246" i="17" s="1"/>
  <c r="DA248" i="17" s="1"/>
  <c r="E40" i="52"/>
  <c r="E16" i="45"/>
  <c r="CO128" i="17"/>
  <c r="D27" i="31"/>
  <c r="HM135" i="17"/>
  <c r="AC135" i="17"/>
  <c r="FA135" i="17"/>
  <c r="C27" i="56"/>
  <c r="D51" i="41"/>
  <c r="G51" i="41" s="1"/>
  <c r="D23" i="52"/>
  <c r="GM239" i="17"/>
  <c r="BQ128" i="17"/>
  <c r="CU241" i="17"/>
  <c r="EA240" i="17"/>
  <c r="CW138" i="17"/>
  <c r="BQ138" i="17"/>
  <c r="AK138" i="17"/>
  <c r="DE243" i="17"/>
  <c r="D43" i="57"/>
  <c r="E43" i="57" s="1"/>
  <c r="HL238" i="17"/>
  <c r="HS14" i="17"/>
  <c r="HT14" i="17" s="1"/>
  <c r="GN14" i="17"/>
  <c r="HL79" i="17"/>
  <c r="HM79" i="17" s="1"/>
  <c r="GG79" i="17"/>
  <c r="DF243" i="17"/>
  <c r="CO187" i="17"/>
  <c r="DT187" i="17"/>
  <c r="D22" i="52"/>
  <c r="GM238" i="17"/>
  <c r="EB195" i="17"/>
  <c r="FG195" i="17"/>
  <c r="C9" i="45"/>
  <c r="E9" i="45" s="1"/>
  <c r="FF225" i="17"/>
  <c r="CS127" i="17"/>
  <c r="DY127" i="17" s="1"/>
  <c r="ER139" i="17"/>
  <c r="ER161" i="17" s="1"/>
  <c r="ER243" i="17" s="1"/>
  <c r="CS147" i="17"/>
  <c r="EP138" i="17"/>
  <c r="DN131" i="17"/>
  <c r="HM105" i="17"/>
  <c r="CO195" i="17"/>
  <c r="DT195" i="17"/>
  <c r="E33" i="42"/>
  <c r="EB203" i="17"/>
  <c r="FG203" i="17"/>
  <c r="FG11" i="17"/>
  <c r="EB11" i="17"/>
  <c r="GM235" i="17"/>
  <c r="D20" i="52"/>
  <c r="E20" i="52" s="1"/>
  <c r="FB191" i="17"/>
  <c r="C28" i="48"/>
  <c r="DK246" i="17" s="1"/>
  <c r="AX138" i="17"/>
  <c r="AX139" i="17" s="1"/>
  <c r="AX161" i="17" s="1"/>
  <c r="D6" i="35" s="1"/>
  <c r="E6" i="35" s="1"/>
  <c r="AZ136" i="17"/>
  <c r="BM136" i="17"/>
  <c r="CS136" i="17" s="1"/>
  <c r="DY136" i="17" s="1"/>
  <c r="FE136" i="17" s="1"/>
  <c r="GK136" i="17" s="1"/>
  <c r="HQ136" i="17" s="1"/>
  <c r="DR131" i="17"/>
  <c r="EX130" i="17"/>
  <c r="FI16" i="17"/>
  <c r="FY16" i="17"/>
  <c r="FI50" i="17"/>
  <c r="FY50" i="17"/>
  <c r="FI46" i="17"/>
  <c r="FY46" i="17"/>
  <c r="ES10" i="17"/>
  <c r="EC10" i="17"/>
  <c r="DW59" i="11"/>
  <c r="CO105" i="17"/>
  <c r="GG87" i="17"/>
  <c r="HT87" i="17"/>
  <c r="AJ87" i="17"/>
  <c r="BP87" i="17"/>
  <c r="CV87" i="17"/>
  <c r="EB87" i="17"/>
  <c r="FH87" i="17"/>
  <c r="GN87" i="17"/>
  <c r="CV200" i="17"/>
  <c r="EA200" i="17"/>
  <c r="CV204" i="17"/>
  <c r="EA204" i="17"/>
  <c r="EC61" i="17"/>
  <c r="ES61" i="17"/>
  <c r="CO198" i="17"/>
  <c r="DT198" i="17"/>
  <c r="DU189" i="17"/>
  <c r="EZ189" i="17"/>
  <c r="FI98" i="17"/>
  <c r="FY98" i="17"/>
  <c r="FI85" i="17"/>
  <c r="FY85" i="17"/>
  <c r="FI48" i="17"/>
  <c r="FY48" i="17"/>
  <c r="FI30" i="17"/>
  <c r="FY30" i="17"/>
  <c r="FI12" i="17"/>
  <c r="FY12" i="17"/>
  <c r="DU87" i="17"/>
  <c r="FI23" i="17"/>
  <c r="FY23" i="17"/>
  <c r="HE102" i="17"/>
  <c r="HU102" i="17" s="1"/>
  <c r="GO102" i="17"/>
  <c r="FI11" i="17"/>
  <c r="FY11" i="17"/>
  <c r="CO194" i="17"/>
  <c r="DT194" i="17"/>
  <c r="FI117" i="17"/>
  <c r="FY117" i="17"/>
  <c r="D40" i="34"/>
  <c r="E40" i="34" s="1"/>
  <c r="CN216" i="17"/>
  <c r="DT216" i="17" s="1"/>
  <c r="ES17" i="17"/>
  <c r="EC17" i="17"/>
  <c r="C35" i="52"/>
  <c r="GE228" i="17"/>
  <c r="G13" i="52"/>
  <c r="GH222" i="17"/>
  <c r="DU13" i="17"/>
  <c r="EZ13" i="17"/>
  <c r="ES33" i="17"/>
  <c r="EC33" i="17"/>
  <c r="FY27" i="17"/>
  <c r="FI27" i="17"/>
  <c r="ES25" i="17"/>
  <c r="EC25" i="17"/>
  <c r="GO149" i="17"/>
  <c r="HE149" i="17"/>
  <c r="HU149" i="17" s="1"/>
  <c r="GO14" i="17"/>
  <c r="HE14" i="17"/>
  <c r="HU14" i="17" s="1"/>
  <c r="FI22" i="17"/>
  <c r="FY22" i="17"/>
  <c r="GO15" i="17"/>
  <c r="HE15" i="17"/>
  <c r="HU15" i="17" s="1"/>
  <c r="DU12" i="17"/>
  <c r="EZ12" i="17"/>
  <c r="BV10" i="11"/>
  <c r="BN12" i="11"/>
  <c r="CV15" i="17"/>
  <c r="EA15" i="17"/>
  <c r="DU200" i="17"/>
  <c r="EZ200" i="17"/>
  <c r="FH10" i="17"/>
  <c r="GM10" i="17"/>
  <c r="D23" i="45"/>
  <c r="E23" i="45" s="1"/>
  <c r="FG236" i="17"/>
  <c r="ES177" i="17"/>
  <c r="EC177" i="17"/>
  <c r="CO14" i="17"/>
  <c r="DT14" i="17"/>
  <c r="HS13" i="17"/>
  <c r="HT13" i="17" s="1"/>
  <c r="GN13" i="17"/>
  <c r="HS12" i="17"/>
  <c r="HT12" i="17" s="1"/>
  <c r="GN12" i="17"/>
  <c r="DU11" i="17"/>
  <c r="EZ11" i="17"/>
  <c r="DU10" i="17"/>
  <c r="EZ10" i="17"/>
  <c r="DL136" i="17"/>
  <c r="DL138" i="17" s="1"/>
  <c r="DL139" i="17" s="1"/>
  <c r="DL161" i="17" s="1"/>
  <c r="DL243" i="17" s="1"/>
  <c r="DJ138" i="17"/>
  <c r="DJ139" i="17" s="1"/>
  <c r="DJ161" i="17" s="1"/>
  <c r="D8" i="48" s="1"/>
  <c r="E8" i="48" s="1"/>
  <c r="GH191" i="17"/>
  <c r="FZ130" i="17"/>
  <c r="ET131" i="17"/>
  <c r="EA108" i="17"/>
  <c r="S108" i="17"/>
  <c r="HM108" i="17"/>
  <c r="GG108" i="17"/>
  <c r="FA108" i="17"/>
  <c r="DU108" i="17"/>
  <c r="CO108" i="17"/>
  <c r="BI108" i="17"/>
  <c r="AC108" i="17"/>
  <c r="AC105" i="17"/>
  <c r="S105" i="17"/>
  <c r="BI105" i="17"/>
  <c r="DU105" i="17"/>
  <c r="GG105" i="17"/>
  <c r="S102" i="17"/>
  <c r="EB102" i="17" s="1"/>
  <c r="AC102" i="17"/>
  <c r="HM102" i="17"/>
  <c r="GG102" i="17"/>
  <c r="FA102" i="17"/>
  <c r="DU102" i="17"/>
  <c r="CO102" i="17"/>
  <c r="BI102" i="17"/>
  <c r="S93" i="17"/>
  <c r="AC93" i="17"/>
  <c r="BI93" i="17"/>
  <c r="CO93" i="17"/>
  <c r="DU93" i="17"/>
  <c r="FA93" i="17"/>
  <c r="GG93" i="17"/>
  <c r="HM93" i="17"/>
  <c r="S88" i="17"/>
  <c r="AC88" i="17"/>
  <c r="BI88" i="17"/>
  <c r="CO88" i="17"/>
  <c r="DU88" i="17"/>
  <c r="FA88" i="17"/>
  <c r="GG88" i="17"/>
  <c r="HM88" i="17"/>
  <c r="BI87" i="17"/>
  <c r="AC87" i="17"/>
  <c r="CO87" i="17"/>
  <c r="FA87" i="17"/>
  <c r="HM87" i="17"/>
  <c r="S74" i="17"/>
  <c r="AC74" i="17"/>
  <c r="BI74" i="17"/>
  <c r="CO74" i="17"/>
  <c r="DU74" i="17"/>
  <c r="FA74" i="17"/>
  <c r="GG74" i="17"/>
  <c r="HM74" i="17"/>
  <c r="AV246" i="17"/>
  <c r="C29" i="48"/>
  <c r="DG246" i="17" s="1"/>
  <c r="DG248" i="17" s="1"/>
  <c r="FY165" i="17"/>
  <c r="FI165" i="17"/>
  <c r="CW141" i="17"/>
  <c r="DM141" i="17"/>
  <c r="CG147" i="17"/>
  <c r="CW147" i="17" s="1"/>
  <c r="EC164" i="17"/>
  <c r="ES164" i="17"/>
  <c r="DM163" i="17"/>
  <c r="GH131" i="17"/>
  <c r="HN130" i="17"/>
  <c r="HN131" i="17" s="1"/>
  <c r="DS143" i="17"/>
  <c r="CM147" i="17"/>
  <c r="EY130" i="17"/>
  <c r="DS131" i="17"/>
  <c r="DN127" i="17"/>
  <c r="CH128" i="17"/>
  <c r="CH129" i="17" s="1"/>
  <c r="CH139" i="17" s="1"/>
  <c r="CH161" i="17" s="1"/>
  <c r="EA98" i="17"/>
  <c r="FI94" i="17"/>
  <c r="FY94" i="17"/>
  <c r="EC86" i="17"/>
  <c r="ES86" i="17"/>
  <c r="FI84" i="17"/>
  <c r="FY84" i="17"/>
  <c r="FG102" i="17"/>
  <c r="AX25" i="11"/>
  <c r="AP34" i="11"/>
  <c r="AP35" i="11" s="1"/>
  <c r="AP37" i="11" s="1"/>
  <c r="EA89" i="17"/>
  <c r="EA61" i="17"/>
  <c r="GO47" i="17"/>
  <c r="HE47" i="17"/>
  <c r="HU47" i="17" s="1"/>
  <c r="GO45" i="17"/>
  <c r="HE45" i="17"/>
  <c r="HU45" i="17" s="1"/>
  <c r="P123" i="17"/>
  <c r="P129" i="17" s="1"/>
  <c r="R42" i="17"/>
  <c r="S61" i="17"/>
  <c r="AC61" i="17"/>
  <c r="AC120" i="17"/>
  <c r="FA120" i="17"/>
  <c r="S120" i="17"/>
  <c r="DU120" i="17"/>
  <c r="CO120" i="17"/>
  <c r="HM120" i="17"/>
  <c r="BI120" i="17"/>
  <c r="GG120" i="17"/>
  <c r="S90" i="17"/>
  <c r="HM90" i="17"/>
  <c r="FA90" i="17"/>
  <c r="CO90" i="17"/>
  <c r="AC90" i="17"/>
  <c r="GG90" i="17"/>
  <c r="DU90" i="17"/>
  <c r="BI90" i="17"/>
  <c r="DU186" i="17"/>
  <c r="EZ186" i="17"/>
  <c r="EC142" i="17"/>
  <c r="ES142" i="17"/>
  <c r="HE136" i="17"/>
  <c r="HU136" i="17" s="1"/>
  <c r="GO136" i="17"/>
  <c r="DU117" i="17"/>
  <c r="EZ117" i="17"/>
  <c r="DU98" i="17"/>
  <c r="EZ98" i="17"/>
  <c r="DU208" i="17"/>
  <c r="EZ208" i="17"/>
  <c r="GN207" i="17"/>
  <c r="HS207" i="17"/>
  <c r="HT207" i="17" s="1"/>
  <c r="CO206" i="17"/>
  <c r="DT206" i="17"/>
  <c r="DU201" i="17"/>
  <c r="EZ201" i="17"/>
  <c r="DU197" i="17"/>
  <c r="EZ197" i="17"/>
  <c r="CO192" i="17"/>
  <c r="DT192" i="17"/>
  <c r="FI187" i="17"/>
  <c r="FY187" i="17"/>
  <c r="DU185" i="17"/>
  <c r="EZ185" i="17"/>
  <c r="ES175" i="17"/>
  <c r="EC175" i="17"/>
  <c r="CV172" i="17"/>
  <c r="EA172" i="17"/>
  <c r="EB169" i="17"/>
  <c r="FG169" i="17"/>
  <c r="FI89" i="17"/>
  <c r="FY89" i="17"/>
  <c r="FI101" i="17"/>
  <c r="FY101" i="17"/>
  <c r="DU89" i="17"/>
  <c r="EZ89" i="17"/>
  <c r="CO61" i="17"/>
  <c r="DT61" i="17"/>
  <c r="AI135" i="17"/>
  <c r="BM135" i="17"/>
  <c r="AG138" i="17"/>
  <c r="AG139" i="17" s="1"/>
  <c r="AG161" i="17" s="1"/>
  <c r="D6" i="31" s="1"/>
  <c r="S51" i="17"/>
  <c r="BI51" i="17"/>
  <c r="DU51" i="17"/>
  <c r="GG51" i="17"/>
  <c r="AC51" i="17"/>
  <c r="CO51" i="17"/>
  <c r="FA51" i="17"/>
  <c r="HM51" i="17"/>
  <c r="BI119" i="17"/>
  <c r="DU119" i="17"/>
  <c r="GG119" i="17"/>
  <c r="S119" i="17"/>
  <c r="AC119" i="17"/>
  <c r="CO119" i="17"/>
  <c r="FA119" i="17"/>
  <c r="HM119" i="17"/>
  <c r="S89" i="17"/>
  <c r="BI89" i="17"/>
  <c r="AC89" i="17"/>
  <c r="E12" i="41"/>
  <c r="D7" i="53"/>
  <c r="EN244" i="17"/>
  <c r="DU146" i="17"/>
  <c r="EZ146" i="17"/>
  <c r="D42" i="57"/>
  <c r="HL236" i="17"/>
  <c r="CO205" i="17"/>
  <c r="DT205" i="17"/>
  <c r="CO202" i="17"/>
  <c r="DT202" i="17"/>
  <c r="DU199" i="17"/>
  <c r="EZ199" i="17"/>
  <c r="DU196" i="17"/>
  <c r="EZ196" i="17"/>
  <c r="HJ192" i="17"/>
  <c r="HJ191" i="17" s="1"/>
  <c r="GD191" i="17"/>
  <c r="EA174" i="17"/>
  <c r="CV174" i="17"/>
  <c r="EB171" i="17"/>
  <c r="FG171" i="17"/>
  <c r="FE130" i="17"/>
  <c r="DY131" i="17"/>
  <c r="EC127" i="17"/>
  <c r="DM128" i="17"/>
  <c r="EC128" i="17" s="1"/>
  <c r="ES127" i="17"/>
  <c r="FY87" i="17"/>
  <c r="FI87" i="17"/>
  <c r="FI51" i="17"/>
  <c r="FY51" i="17"/>
  <c r="FI42" i="17"/>
  <c r="FY42" i="17"/>
  <c r="AC137" i="17"/>
  <c r="DU137" i="17"/>
  <c r="BI137" i="17"/>
  <c r="CO137" i="17"/>
  <c r="S117" i="17"/>
  <c r="CV117" i="17" s="1"/>
  <c r="BI117" i="17"/>
  <c r="AC117" i="17"/>
  <c r="HD136" i="17"/>
  <c r="HD138" i="17" s="1"/>
  <c r="HD139" i="17" s="1"/>
  <c r="HB138" i="17"/>
  <c r="HB139" i="17" s="1"/>
  <c r="HB161" i="17" s="1"/>
  <c r="D8" i="60" s="1"/>
  <c r="D27" i="60" s="1"/>
  <c r="CF136" i="17"/>
  <c r="S107" i="17"/>
  <c r="HM107" i="17"/>
  <c r="FA107" i="17"/>
  <c r="CO107" i="17"/>
  <c r="AC107" i="17"/>
  <c r="GG107" i="17"/>
  <c r="DU107" i="17"/>
  <c r="BI107" i="17"/>
  <c r="S98" i="17"/>
  <c r="BI98" i="17"/>
  <c r="AC98" i="17"/>
  <c r="AC97" i="17"/>
  <c r="BI97" i="17"/>
  <c r="DU97" i="17"/>
  <c r="GG97" i="17"/>
  <c r="S97" i="17"/>
  <c r="CO97" i="17"/>
  <c r="FA97" i="17"/>
  <c r="HM97" i="17"/>
  <c r="AC95" i="17"/>
  <c r="CO95" i="17"/>
  <c r="FA95" i="17"/>
  <c r="HM95" i="17"/>
  <c r="S95" i="17"/>
  <c r="BI95" i="17"/>
  <c r="DU95" i="17"/>
  <c r="GG95" i="17"/>
  <c r="S92" i="17"/>
  <c r="GG92" i="17"/>
  <c r="DU92" i="17"/>
  <c r="BI92" i="17"/>
  <c r="HM92" i="17"/>
  <c r="FA92" i="17"/>
  <c r="CO92" i="17"/>
  <c r="AC92" i="17"/>
  <c r="D44" i="52"/>
  <c r="EZ241" i="17"/>
  <c r="GF240" i="17"/>
  <c r="EA92" i="17"/>
  <c r="CV92" i="17"/>
  <c r="EX160" i="17"/>
  <c r="GD156" i="17"/>
  <c r="GO157" i="17"/>
  <c r="HE157" i="17"/>
  <c r="HU157" i="17" s="1"/>
  <c r="EW130" i="17"/>
  <c r="DQ131" i="17"/>
  <c r="DQ139" i="17" s="1"/>
  <c r="DQ161" i="17" s="1"/>
  <c r="C34" i="45" s="1"/>
  <c r="EA117" i="17"/>
  <c r="GO29" i="17"/>
  <c r="HE29" i="17"/>
  <c r="HU29" i="17" s="1"/>
  <c r="S101" i="17"/>
  <c r="BI101" i="17"/>
  <c r="DU101" i="17"/>
  <c r="GG101" i="17"/>
  <c r="AC101" i="17"/>
  <c r="CO101" i="17"/>
  <c r="FA101" i="17"/>
  <c r="HM101" i="17"/>
  <c r="AC96" i="17"/>
  <c r="CO96" i="17"/>
  <c r="FA96" i="17"/>
  <c r="HM96" i="17"/>
  <c r="S96" i="17"/>
  <c r="BI96" i="17"/>
  <c r="DU96" i="17"/>
  <c r="GG96" i="17"/>
  <c r="BI91" i="17"/>
  <c r="DU91" i="17"/>
  <c r="GG91" i="17"/>
  <c r="S91" i="17"/>
  <c r="AC91" i="17"/>
  <c r="CO91" i="17"/>
  <c r="FA91" i="17"/>
  <c r="HM91" i="17"/>
  <c r="CE243" i="17"/>
  <c r="EY173" i="17"/>
  <c r="FW211" i="17"/>
  <c r="FW243" i="17" s="1"/>
  <c r="CO117" i="17"/>
  <c r="CO98" i="17"/>
  <c r="BI61" i="17"/>
  <c r="CD138" i="17"/>
  <c r="CD139" i="17" s="1"/>
  <c r="CD161" i="17" s="1"/>
  <c r="D8" i="41" s="1"/>
  <c r="E8" i="41" s="1"/>
  <c r="AT246" i="17"/>
  <c r="D12" i="42"/>
  <c r="FA125" i="17"/>
  <c r="GF125" i="17"/>
  <c r="C32" i="42"/>
  <c r="GJ240" i="17"/>
  <c r="FD241" i="17"/>
  <c r="GH240" i="17"/>
  <c r="FB241" i="17"/>
  <c r="C44" i="52"/>
  <c r="GE240" i="17"/>
  <c r="EY241" i="17"/>
  <c r="FC223" i="17"/>
  <c r="GI224" i="17"/>
  <c r="FC226" i="17"/>
  <c r="HJ213" i="17"/>
  <c r="HJ215" i="17" s="1"/>
  <c r="GD215" i="17"/>
  <c r="AJ209" i="17"/>
  <c r="BP209" i="17"/>
  <c r="CV209" i="17"/>
  <c r="S211" i="17"/>
  <c r="EB209" i="17"/>
  <c r="FG206" i="17"/>
  <c r="EB206" i="17"/>
  <c r="FG205" i="17"/>
  <c r="EB205" i="17"/>
  <c r="FG202" i="17"/>
  <c r="EB202" i="17"/>
  <c r="FG198" i="17"/>
  <c r="EB198" i="17"/>
  <c r="FG194" i="17"/>
  <c r="EB194" i="17"/>
  <c r="EB189" i="17"/>
  <c r="FG189" i="17"/>
  <c r="D17" i="57"/>
  <c r="E17" i="57" s="1"/>
  <c r="E17" i="52"/>
  <c r="HP150" i="17"/>
  <c r="HP154" i="17" s="1"/>
  <c r="GJ154" i="17"/>
  <c r="HN134" i="17"/>
  <c r="HN138" i="17" s="1"/>
  <c r="GH138" i="17"/>
  <c r="HI134" i="17"/>
  <c r="HI138" i="17" s="1"/>
  <c r="GC138" i="17"/>
  <c r="C14" i="52"/>
  <c r="GL224" i="17"/>
  <c r="FF226" i="17"/>
  <c r="D46" i="57"/>
  <c r="E46" i="57" s="1"/>
  <c r="HL220" i="17"/>
  <c r="C19" i="57"/>
  <c r="HR218" i="17"/>
  <c r="FI188" i="17"/>
  <c r="FY188" i="17"/>
  <c r="HK132" i="17"/>
  <c r="GO126" i="17"/>
  <c r="HE126" i="17"/>
  <c r="HU126" i="17" s="1"/>
  <c r="FI121" i="17"/>
  <c r="FY121" i="17"/>
  <c r="GO110" i="17"/>
  <c r="HE110" i="17"/>
  <c r="HU110" i="17" s="1"/>
  <c r="FI109" i="17"/>
  <c r="FY109" i="17"/>
  <c r="GO108" i="17"/>
  <c r="HE108" i="17"/>
  <c r="HU108" i="17" s="1"/>
  <c r="FI105" i="17"/>
  <c r="FY105" i="17"/>
  <c r="FI103" i="17"/>
  <c r="FY103" i="17"/>
  <c r="GO99" i="17"/>
  <c r="HE99" i="17"/>
  <c r="HU99" i="17" s="1"/>
  <c r="GO97" i="17"/>
  <c r="HE97" i="17"/>
  <c r="HU97" i="17" s="1"/>
  <c r="HN191" i="17"/>
  <c r="GA140" i="17"/>
  <c r="EU147" i="17"/>
  <c r="D30" i="34"/>
  <c r="E30" i="34" s="1"/>
  <c r="BD244" i="17"/>
  <c r="C26" i="35"/>
  <c r="C24" i="52"/>
  <c r="GL240" i="17"/>
  <c r="GC240" i="17"/>
  <c r="EW241" i="17"/>
  <c r="GA240" i="17"/>
  <c r="EU241" i="17"/>
  <c r="GK224" i="17"/>
  <c r="FE226" i="17"/>
  <c r="AK209" i="17"/>
  <c r="BQ209" i="17"/>
  <c r="CW209" i="17"/>
  <c r="EC209" i="17"/>
  <c r="FI209" i="17"/>
  <c r="T211" i="17"/>
  <c r="DN181" i="17"/>
  <c r="ET181" i="17" s="1"/>
  <c r="FZ181" i="17" s="1"/>
  <c r="HF181" i="17" s="1"/>
  <c r="ES181" i="17"/>
  <c r="EC181" i="17"/>
  <c r="HP155" i="17"/>
  <c r="HP160" i="17" s="1"/>
  <c r="GJ160" i="17"/>
  <c r="FI146" i="17"/>
  <c r="FY146" i="17"/>
  <c r="HQ132" i="17"/>
  <c r="C20" i="57"/>
  <c r="HR235" i="17"/>
  <c r="C10" i="57"/>
  <c r="HR230" i="17"/>
  <c r="EZ215" i="17"/>
  <c r="D38" i="52" s="1"/>
  <c r="GF213" i="17"/>
  <c r="FG208" i="17"/>
  <c r="GM208" i="17" s="1"/>
  <c r="EB208" i="17"/>
  <c r="FG201" i="17"/>
  <c r="GM201" i="17" s="1"/>
  <c r="EB201" i="17"/>
  <c r="FG199" i="17"/>
  <c r="EB199" i="17"/>
  <c r="EB197" i="17"/>
  <c r="FG197" i="17"/>
  <c r="GM197" i="17" s="1"/>
  <c r="FG196" i="17"/>
  <c r="GM196" i="17" s="1"/>
  <c r="EB196" i="17"/>
  <c r="DU182" i="17"/>
  <c r="EZ182" i="17"/>
  <c r="DU155" i="17"/>
  <c r="EZ155" i="17"/>
  <c r="ES156" i="17"/>
  <c r="EC156" i="17"/>
  <c r="GI155" i="17"/>
  <c r="FC160" i="17"/>
  <c r="GA155" i="17"/>
  <c r="EU160" i="17"/>
  <c r="GN148" i="17"/>
  <c r="HS148" i="17"/>
  <c r="DU145" i="17"/>
  <c r="EZ145" i="17"/>
  <c r="CV145" i="17"/>
  <c r="EA145" i="17"/>
  <c r="CU147" i="17"/>
  <c r="CV147" i="17" s="1"/>
  <c r="GI140" i="17"/>
  <c r="FC147" i="17"/>
  <c r="CT147" i="17"/>
  <c r="DZ140" i="17"/>
  <c r="HR155" i="17"/>
  <c r="EU130" i="17"/>
  <c r="DO131" i="17"/>
  <c r="EB180" i="17"/>
  <c r="FG180" i="17"/>
  <c r="EB179" i="17"/>
  <c r="FG179" i="17"/>
  <c r="DZ176" i="17"/>
  <c r="FF176" i="17" s="1"/>
  <c r="GL176" i="17" s="1"/>
  <c r="HR176" i="17" s="1"/>
  <c r="DK173" i="17"/>
  <c r="DK211" i="17" s="1"/>
  <c r="DK243" i="17" s="1"/>
  <c r="EB176" i="17"/>
  <c r="FG176" i="17"/>
  <c r="DU175" i="17"/>
  <c r="EZ175" i="17"/>
  <c r="CP168" i="17"/>
  <c r="DV168" i="17" s="1"/>
  <c r="FB168" i="17" s="1"/>
  <c r="BJ211" i="17"/>
  <c r="BJ244" i="17" s="1"/>
  <c r="EB167" i="17"/>
  <c r="FG167" i="17"/>
  <c r="CO183" i="17"/>
  <c r="DT183" i="17"/>
  <c r="CO180" i="17"/>
  <c r="DT180" i="17"/>
  <c r="DT171" i="17"/>
  <c r="CO171" i="17"/>
  <c r="CM166" i="17"/>
  <c r="BG163" i="17"/>
  <c r="BG211" i="17" s="1"/>
  <c r="E10" i="35"/>
  <c r="E12" i="48"/>
  <c r="GK155" i="17"/>
  <c r="FE160" i="17"/>
  <c r="GC155" i="17"/>
  <c r="EW160" i="17"/>
  <c r="FY155" i="17"/>
  <c r="FI155" i="17"/>
  <c r="FG141" i="17"/>
  <c r="D28" i="60"/>
  <c r="E7" i="60"/>
  <c r="D51" i="48"/>
  <c r="D50" i="48"/>
  <c r="DF246" i="17" s="1"/>
  <c r="DF248" i="17" s="1"/>
  <c r="E32" i="48"/>
  <c r="DT140" i="17"/>
  <c r="CN147" i="17"/>
  <c r="CO147" i="17" s="1"/>
  <c r="CO140" i="17"/>
  <c r="E7" i="48"/>
  <c r="D29" i="48"/>
  <c r="HE182" i="17"/>
  <c r="HU182" i="17" s="1"/>
  <c r="GQ173" i="17"/>
  <c r="GQ211" i="17" s="1"/>
  <c r="G15" i="45"/>
  <c r="GM210" i="17"/>
  <c r="FH210" i="17"/>
  <c r="DT207" i="17"/>
  <c r="CO207" i="17"/>
  <c r="DT193" i="17"/>
  <c r="CO193" i="17"/>
  <c r="CN191" i="17"/>
  <c r="CO191" i="17" s="1"/>
  <c r="CO190" i="17"/>
  <c r="DT190" i="17"/>
  <c r="EB188" i="17"/>
  <c r="FG188" i="17"/>
  <c r="EA186" i="17"/>
  <c r="CV186" i="17"/>
  <c r="CW185" i="17"/>
  <c r="DM185" i="17"/>
  <c r="DM173" i="17" s="1"/>
  <c r="EB184" i="17"/>
  <c r="FG184" i="17"/>
  <c r="DY164" i="17"/>
  <c r="CS163" i="17"/>
  <c r="CS211" i="17" s="1"/>
  <c r="DT143" i="17"/>
  <c r="CO143" i="17"/>
  <c r="CO94" i="17"/>
  <c r="DT94" i="17"/>
  <c r="CV86" i="17"/>
  <c r="EA86" i="17"/>
  <c r="CO85" i="17"/>
  <c r="DT85" i="17"/>
  <c r="EB84" i="17"/>
  <c r="FG84" i="17"/>
  <c r="DU49" i="17"/>
  <c r="EZ49" i="17"/>
  <c r="DU47" i="17"/>
  <c r="EZ47" i="17"/>
  <c r="DU45" i="17"/>
  <c r="EZ45" i="17"/>
  <c r="GH123" i="17"/>
  <c r="FB129" i="17"/>
  <c r="FB139" i="17" s="1"/>
  <c r="GC123" i="17"/>
  <c r="EW129" i="17"/>
  <c r="GO90" i="17"/>
  <c r="HE90" i="17"/>
  <c r="HU90" i="17" s="1"/>
  <c r="GO88" i="17"/>
  <c r="HE88" i="17"/>
  <c r="HU88" i="17" s="1"/>
  <c r="FY37" i="17"/>
  <c r="FI37" i="17"/>
  <c r="CO50" i="17"/>
  <c r="DT50" i="17"/>
  <c r="CV49" i="17"/>
  <c r="EA49" i="17"/>
  <c r="CO48" i="17"/>
  <c r="DT48" i="17"/>
  <c r="CV47" i="17"/>
  <c r="EA47" i="17"/>
  <c r="CO46" i="17"/>
  <c r="DT46" i="17"/>
  <c r="CV45" i="17"/>
  <c r="EA45" i="17"/>
  <c r="DU29" i="17"/>
  <c r="EZ29" i="17"/>
  <c r="CO83" i="17"/>
  <c r="DT83" i="17"/>
  <c r="CV82" i="17"/>
  <c r="EA82" i="17"/>
  <c r="CO81" i="17"/>
  <c r="DT81" i="17"/>
  <c r="CO80" i="17"/>
  <c r="DT80" i="17"/>
  <c r="CO78" i="17"/>
  <c r="DT78" i="17"/>
  <c r="CV77" i="17"/>
  <c r="EA77" i="17"/>
  <c r="CO76" i="17"/>
  <c r="DT76" i="17"/>
  <c r="CO75" i="17"/>
  <c r="DT75" i="17"/>
  <c r="EB73" i="17"/>
  <c r="FG73" i="17"/>
  <c r="EB72" i="17"/>
  <c r="FG72" i="17"/>
  <c r="DU71" i="17"/>
  <c r="EZ71" i="17"/>
  <c r="EB70" i="17"/>
  <c r="FG70" i="17"/>
  <c r="EB69" i="17"/>
  <c r="FG69" i="17"/>
  <c r="DU68" i="17"/>
  <c r="EZ68" i="17"/>
  <c r="EB67" i="17"/>
  <c r="FG67" i="17"/>
  <c r="EB66" i="17"/>
  <c r="FG66" i="17"/>
  <c r="EB65" i="17"/>
  <c r="FG65" i="17"/>
  <c r="EB64" i="17"/>
  <c r="FG64" i="17"/>
  <c r="DU63" i="17"/>
  <c r="EZ63" i="17"/>
  <c r="EB62" i="17"/>
  <c r="FG62" i="17"/>
  <c r="EB60" i="17"/>
  <c r="FG60" i="17"/>
  <c r="DU59" i="17"/>
  <c r="EZ59" i="17"/>
  <c r="EB58" i="17"/>
  <c r="FG58" i="17"/>
  <c r="EB57" i="17"/>
  <c r="FG57" i="17"/>
  <c r="DU56" i="17"/>
  <c r="EZ56" i="17"/>
  <c r="DU55" i="17"/>
  <c r="EZ55" i="17"/>
  <c r="EB54" i="17"/>
  <c r="FG54" i="17"/>
  <c r="DU53" i="17"/>
  <c r="EZ53" i="17"/>
  <c r="EB52" i="17"/>
  <c r="FG52" i="17"/>
  <c r="GL191" i="17"/>
  <c r="HR192" i="17"/>
  <c r="HR191" i="17" s="1"/>
  <c r="BH162" i="17"/>
  <c r="GC213" i="17"/>
  <c r="EW215" i="17"/>
  <c r="GA213" i="17"/>
  <c r="EU215" i="17"/>
  <c r="EC189" i="17"/>
  <c r="ES189" i="17"/>
  <c r="GG137" i="17"/>
  <c r="HL137" i="17"/>
  <c r="HM137" i="17" s="1"/>
  <c r="HH213" i="17"/>
  <c r="HH215" i="17" s="1"/>
  <c r="GB215" i="17"/>
  <c r="GO209" i="17"/>
  <c r="HE209" i="17"/>
  <c r="HU209" i="17" s="1"/>
  <c r="FG192" i="17"/>
  <c r="EB192" i="17"/>
  <c r="DU165" i="17"/>
  <c r="EZ165" i="17"/>
  <c r="HH155" i="17"/>
  <c r="HH160" i="17" s="1"/>
  <c r="GB160" i="17"/>
  <c r="DU151" i="17"/>
  <c r="EZ151" i="17"/>
  <c r="DU150" i="17"/>
  <c r="EZ150" i="17"/>
  <c r="EU132" i="17"/>
  <c r="DO138" i="17"/>
  <c r="DU159" i="17"/>
  <c r="EZ159" i="17"/>
  <c r="EB158" i="17"/>
  <c r="FG158" i="17"/>
  <c r="FH157" i="17"/>
  <c r="GM157" i="17"/>
  <c r="EB156" i="17"/>
  <c r="FG156" i="17"/>
  <c r="CO156" i="17"/>
  <c r="DT156" i="17"/>
  <c r="DU153" i="17"/>
  <c r="EZ153" i="17"/>
  <c r="DU152" i="17"/>
  <c r="EZ152" i="17"/>
  <c r="CV152" i="17"/>
  <c r="EA152" i="17"/>
  <c r="DU149" i="17"/>
  <c r="EZ149" i="17"/>
  <c r="DS149" i="17"/>
  <c r="CM154" i="17"/>
  <c r="DU148" i="17"/>
  <c r="EZ148" i="17"/>
  <c r="DT154" i="17"/>
  <c r="DU154" i="17" s="1"/>
  <c r="FD143" i="17"/>
  <c r="DX147" i="17"/>
  <c r="FB143" i="17"/>
  <c r="DV147" i="17"/>
  <c r="DV161" i="17" s="1"/>
  <c r="EX143" i="17"/>
  <c r="DR147" i="17"/>
  <c r="EV143" i="17"/>
  <c r="DP147" i="17"/>
  <c r="DN147" i="17"/>
  <c r="ET143" i="17"/>
  <c r="GE140" i="17"/>
  <c r="C47" i="53"/>
  <c r="C48" i="53"/>
  <c r="E31" i="53"/>
  <c r="HE133" i="17"/>
  <c r="HU133" i="17" s="1"/>
  <c r="GO133" i="17"/>
  <c r="HP126" i="17"/>
  <c r="HP128" i="17" s="1"/>
  <c r="GJ128" i="17"/>
  <c r="DT172" i="17"/>
  <c r="CO172" i="17"/>
  <c r="DT170" i="17"/>
  <c r="CO170" i="17"/>
  <c r="GW209" i="17"/>
  <c r="HA209" i="17"/>
  <c r="DT169" i="17"/>
  <c r="CO169" i="17"/>
  <c r="FI167" i="17"/>
  <c r="FY167" i="17"/>
  <c r="FH166" i="17"/>
  <c r="GM166" i="17"/>
  <c r="DO166" i="17"/>
  <c r="CI163" i="17"/>
  <c r="CI211" i="17" s="1"/>
  <c r="CI244" i="17" s="1"/>
  <c r="CV165" i="17"/>
  <c r="EA165" i="17"/>
  <c r="DZ163" i="17"/>
  <c r="FF164" i="17"/>
  <c r="GL164" i="17" s="1"/>
  <c r="CV164" i="17"/>
  <c r="EA164" i="17"/>
  <c r="CU163" i="17"/>
  <c r="BP163" i="17"/>
  <c r="BO211" i="17"/>
  <c r="BP211" i="17" s="1"/>
  <c r="DS155" i="17"/>
  <c r="CM160" i="17"/>
  <c r="HQ148" i="17"/>
  <c r="HQ154" i="17" s="1"/>
  <c r="GK154" i="17"/>
  <c r="HI148" i="17"/>
  <c r="HI154" i="17" s="1"/>
  <c r="GC154" i="17"/>
  <c r="CG154" i="17"/>
  <c r="CW154" i="17" s="1"/>
  <c r="CW148" i="17"/>
  <c r="DM148" i="17"/>
  <c r="GC140" i="17"/>
  <c r="EW147" i="17"/>
  <c r="FI140" i="17"/>
  <c r="FY140" i="17"/>
  <c r="FY138" i="17"/>
  <c r="GO138" i="17" s="1"/>
  <c r="HE132" i="17"/>
  <c r="GO132" i="17"/>
  <c r="ET132" i="17"/>
  <c r="DN138" i="17"/>
  <c r="DZ131" i="17"/>
  <c r="FF130" i="17"/>
  <c r="HE125" i="17"/>
  <c r="GO125" i="17"/>
  <c r="GO122" i="17"/>
  <c r="HE122" i="17"/>
  <c r="HU122" i="17" s="1"/>
  <c r="FI120" i="17"/>
  <c r="FY120" i="17"/>
  <c r="GO119" i="17"/>
  <c r="HE119" i="17"/>
  <c r="HU119" i="17" s="1"/>
  <c r="FI118" i="17"/>
  <c r="FY118" i="17"/>
  <c r="FI116" i="17"/>
  <c r="FY116" i="17"/>
  <c r="GO115" i="17"/>
  <c r="HE115" i="17"/>
  <c r="HU115" i="17" s="1"/>
  <c r="FI114" i="17"/>
  <c r="FY114" i="17"/>
  <c r="GO113" i="17"/>
  <c r="HE113" i="17"/>
  <c r="HU113" i="17" s="1"/>
  <c r="FI112" i="17"/>
  <c r="FY112" i="17"/>
  <c r="GO111" i="17"/>
  <c r="HE111" i="17"/>
  <c r="HU111" i="17" s="1"/>
  <c r="GO107" i="17"/>
  <c r="HE107" i="17"/>
  <c r="HU107" i="17" s="1"/>
  <c r="FI106" i="17"/>
  <c r="FY106" i="17"/>
  <c r="FI104" i="17"/>
  <c r="FY104" i="17"/>
  <c r="GO100" i="17"/>
  <c r="HE100" i="17"/>
  <c r="HU100" i="17" s="1"/>
  <c r="FI96" i="17"/>
  <c r="FY96" i="17"/>
  <c r="GO95" i="17"/>
  <c r="HE95" i="17"/>
  <c r="HU95" i="17" s="1"/>
  <c r="EV129" i="17"/>
  <c r="GB123" i="17"/>
  <c r="FQ209" i="17"/>
  <c r="GA209" i="17"/>
  <c r="HG209" i="17" s="1"/>
  <c r="D49" i="56"/>
  <c r="D48" i="56"/>
  <c r="D34" i="57"/>
  <c r="HL230" i="17"/>
  <c r="C34" i="52"/>
  <c r="E34" i="52" s="1"/>
  <c r="GE230" i="17"/>
  <c r="CO209" i="17"/>
  <c r="DT209" i="17"/>
  <c r="DT204" i="17"/>
  <c r="CO204" i="17"/>
  <c r="DT203" i="17"/>
  <c r="CO203" i="17"/>
  <c r="EB185" i="17"/>
  <c r="FG185" i="17"/>
  <c r="CO166" i="17"/>
  <c r="DT166" i="17"/>
  <c r="CN163" i="17"/>
  <c r="CO164" i="17"/>
  <c r="DT164" i="17"/>
  <c r="BI163" i="17"/>
  <c r="BH211" i="17"/>
  <c r="BI211" i="17" s="1"/>
  <c r="GO153" i="17"/>
  <c r="HE153" i="17"/>
  <c r="HU153" i="17" s="1"/>
  <c r="EC152" i="17"/>
  <c r="ES152" i="17"/>
  <c r="DP152" i="17"/>
  <c r="CJ154" i="17"/>
  <c r="FY144" i="17"/>
  <c r="FI144" i="17"/>
  <c r="EB94" i="17"/>
  <c r="FG94" i="17"/>
  <c r="EB85" i="17"/>
  <c r="FG85" i="17"/>
  <c r="CO84" i="17"/>
  <c r="DT84" i="17"/>
  <c r="EA134" i="17"/>
  <c r="CV134" i="17"/>
  <c r="GM133" i="17"/>
  <c r="FH133" i="17"/>
  <c r="GJ123" i="17"/>
  <c r="FD129" i="17"/>
  <c r="GE123" i="17"/>
  <c r="GA123" i="17"/>
  <c r="EU129" i="17"/>
  <c r="EB35" i="17"/>
  <c r="FG35" i="17"/>
  <c r="EB33" i="17"/>
  <c r="FG33" i="17"/>
  <c r="EB31" i="17"/>
  <c r="FG31" i="17"/>
  <c r="CO30" i="17"/>
  <c r="DT30" i="17"/>
  <c r="EB25" i="17"/>
  <c r="FG25" i="17"/>
  <c r="EB23" i="17"/>
  <c r="FG23" i="17"/>
  <c r="CO22" i="17"/>
  <c r="DT22" i="17"/>
  <c r="EB19" i="17"/>
  <c r="FG19" i="17"/>
  <c r="EB17" i="17"/>
  <c r="FG17" i="17"/>
  <c r="DU15" i="17"/>
  <c r="EZ15" i="17"/>
  <c r="DU44" i="17"/>
  <c r="EZ44" i="17"/>
  <c r="DU43" i="17"/>
  <c r="EZ43" i="17"/>
  <c r="EB41" i="17"/>
  <c r="FG41" i="17"/>
  <c r="DU40" i="17"/>
  <c r="EZ40" i="17"/>
  <c r="EB39" i="17"/>
  <c r="FG39" i="17"/>
  <c r="DU38" i="17"/>
  <c r="EZ38" i="17"/>
  <c r="EB37" i="17"/>
  <c r="FG37" i="17"/>
  <c r="CF128" i="17"/>
  <c r="CU127" i="17"/>
  <c r="CU128" i="17" s="1"/>
  <c r="CV128" i="17" s="1"/>
  <c r="CV146" i="17"/>
  <c r="EA146" i="17"/>
  <c r="D7" i="41"/>
  <c r="CB244" i="17"/>
  <c r="EB83" i="17"/>
  <c r="FG83" i="17"/>
  <c r="DU82" i="17"/>
  <c r="EZ82" i="17"/>
  <c r="EB81" i="17"/>
  <c r="FG81" i="17"/>
  <c r="EB80" i="17"/>
  <c r="FG80" i="17"/>
  <c r="EB78" i="17"/>
  <c r="FG78" i="17"/>
  <c r="DU77" i="17"/>
  <c r="EZ77" i="17"/>
  <c r="EB76" i="17"/>
  <c r="FG76" i="17"/>
  <c r="EB75" i="17"/>
  <c r="FG75" i="17"/>
  <c r="CO73" i="17"/>
  <c r="DT73" i="17"/>
  <c r="CO72" i="17"/>
  <c r="DT72" i="17"/>
  <c r="CV71" i="17"/>
  <c r="EA71" i="17"/>
  <c r="CO70" i="17"/>
  <c r="DT70" i="17"/>
  <c r="CO69" i="17"/>
  <c r="DT69" i="17"/>
  <c r="CV68" i="17"/>
  <c r="EA68" i="17"/>
  <c r="CO67" i="17"/>
  <c r="DT67" i="17"/>
  <c r="CO66" i="17"/>
  <c r="DT66" i="17"/>
  <c r="CO65" i="17"/>
  <c r="DT65" i="17"/>
  <c r="CO64" i="17"/>
  <c r="DT64" i="17"/>
  <c r="CV63" i="17"/>
  <c r="EA63" i="17"/>
  <c r="CO62" i="17"/>
  <c r="DT62" i="17"/>
  <c r="CO60" i="17"/>
  <c r="DT60" i="17"/>
  <c r="CV59" i="17"/>
  <c r="EA59" i="17"/>
  <c r="CO58" i="17"/>
  <c r="DT58" i="17"/>
  <c r="CO57" i="17"/>
  <c r="DT57" i="17"/>
  <c r="CV56" i="17"/>
  <c r="EA56" i="17"/>
  <c r="CV55" i="17"/>
  <c r="EA55" i="17"/>
  <c r="CO54" i="17"/>
  <c r="DT54" i="17"/>
  <c r="CV53" i="17"/>
  <c r="EA53" i="17"/>
  <c r="CO52" i="17"/>
  <c r="DT52" i="17"/>
  <c r="CV44" i="17"/>
  <c r="EA44" i="17"/>
  <c r="CV43" i="17"/>
  <c r="EA43" i="17"/>
  <c r="CO41" i="17"/>
  <c r="DT41" i="17"/>
  <c r="CV40" i="17"/>
  <c r="EA40" i="17"/>
  <c r="CO39" i="17"/>
  <c r="DT39" i="17"/>
  <c r="CV38" i="17"/>
  <c r="EA38" i="17"/>
  <c r="CO37" i="17"/>
  <c r="DT37" i="17"/>
  <c r="DU36" i="17"/>
  <c r="EZ36" i="17"/>
  <c r="CV36" i="17"/>
  <c r="EA36" i="17"/>
  <c r="CO35" i="17"/>
  <c r="DT35" i="17"/>
  <c r="DU34" i="17"/>
  <c r="EZ34" i="17"/>
  <c r="CV34" i="17"/>
  <c r="EA34" i="17"/>
  <c r="CO33" i="17"/>
  <c r="DT33" i="17"/>
  <c r="DU32" i="17"/>
  <c r="EZ32" i="17"/>
  <c r="CV32" i="17"/>
  <c r="EA32" i="17"/>
  <c r="CO31" i="17"/>
  <c r="DT31" i="17"/>
  <c r="EB30" i="17"/>
  <c r="FG30" i="17"/>
  <c r="DU28" i="17"/>
  <c r="EZ28" i="17"/>
  <c r="CV28" i="17"/>
  <c r="EA28" i="17"/>
  <c r="DU26" i="17"/>
  <c r="EZ26" i="17"/>
  <c r="CV26" i="17"/>
  <c r="EA26" i="17"/>
  <c r="CO25" i="17"/>
  <c r="DT25" i="17"/>
  <c r="DU24" i="17"/>
  <c r="EZ24" i="17"/>
  <c r="CV24" i="17"/>
  <c r="EA24" i="17"/>
  <c r="CO23" i="17"/>
  <c r="DT23" i="17"/>
  <c r="EB22" i="17"/>
  <c r="FG22" i="17"/>
  <c r="DU20" i="17"/>
  <c r="EZ20" i="17"/>
  <c r="CV20" i="17"/>
  <c r="EA20" i="17"/>
  <c r="CO19" i="17"/>
  <c r="DT19" i="17"/>
  <c r="DU18" i="17"/>
  <c r="EZ18" i="17"/>
  <c r="EB16" i="17"/>
  <c r="FG16" i="17"/>
  <c r="CD82" i="11"/>
  <c r="BV85" i="11"/>
  <c r="AC136" i="17"/>
  <c r="BI136" i="17"/>
  <c r="CO136" i="17"/>
  <c r="P138" i="17"/>
  <c r="R132" i="17"/>
  <c r="DU132" i="17" s="1"/>
  <c r="E10" i="52"/>
  <c r="HP209" i="17"/>
  <c r="AJ211" i="17"/>
  <c r="DX173" i="17"/>
  <c r="AS243" i="17"/>
  <c r="AS246" i="17" s="1"/>
  <c r="CJ161" i="17"/>
  <c r="BN161" i="17"/>
  <c r="GX243" i="17"/>
  <c r="FC211" i="17"/>
  <c r="FD173" i="17"/>
  <c r="BH129" i="17"/>
  <c r="BH139" i="17" s="1"/>
  <c r="BH161" i="17" s="1"/>
  <c r="BH243" i="17" s="1"/>
  <c r="AY211" i="17"/>
  <c r="D18" i="35" s="1"/>
  <c r="E18" i="35" s="1"/>
  <c r="DU179" i="17"/>
  <c r="EZ179" i="17"/>
  <c r="HH150" i="17"/>
  <c r="FA136" i="17"/>
  <c r="GF136" i="17"/>
  <c r="HO148" i="17"/>
  <c r="HO154" i="17" s="1"/>
  <c r="GI154" i="17"/>
  <c r="HG148" i="17"/>
  <c r="HG154" i="17" s="1"/>
  <c r="GA154" i="17"/>
  <c r="CO141" i="17"/>
  <c r="DT141" i="17"/>
  <c r="FY145" i="17"/>
  <c r="FI145" i="17"/>
  <c r="AJ140" i="17"/>
  <c r="BP140" i="17"/>
  <c r="CV140" i="17"/>
  <c r="EV131" i="17"/>
  <c r="GB130" i="17"/>
  <c r="CO181" i="17"/>
  <c r="DT181" i="17"/>
  <c r="FI180" i="17"/>
  <c r="FY180" i="17"/>
  <c r="FY176" i="17"/>
  <c r="FI176" i="17"/>
  <c r="DX163" i="17"/>
  <c r="FD164" i="17"/>
  <c r="GJ164" i="17" s="1"/>
  <c r="DV163" i="17"/>
  <c r="FB164" i="17"/>
  <c r="GH164" i="17" s="1"/>
  <c r="DR163" i="17"/>
  <c r="EX164" i="17"/>
  <c r="GD164" i="17" s="1"/>
  <c r="DP163" i="17"/>
  <c r="EV164" i="17"/>
  <c r="GB164" i="17" s="1"/>
  <c r="EB183" i="17"/>
  <c r="FG183" i="17"/>
  <c r="CV182" i="17"/>
  <c r="EA182" i="17"/>
  <c r="EB181" i="17"/>
  <c r="FG181" i="17"/>
  <c r="CV177" i="17"/>
  <c r="EA177" i="17"/>
  <c r="CV175" i="17"/>
  <c r="EA175" i="17"/>
  <c r="CU173" i="17"/>
  <c r="CV173" i="17" s="1"/>
  <c r="GK173" i="17"/>
  <c r="HQ174" i="17"/>
  <c r="HQ173" i="17" s="1"/>
  <c r="GC173" i="17"/>
  <c r="GC211" i="17" s="1"/>
  <c r="HI174" i="17"/>
  <c r="HI173" i="17" s="1"/>
  <c r="HI211" i="17" s="1"/>
  <c r="CV151" i="17"/>
  <c r="EA151" i="17"/>
  <c r="CV150" i="17"/>
  <c r="EA150" i="17"/>
  <c r="CO144" i="17"/>
  <c r="DT144" i="17"/>
  <c r="CV143" i="17"/>
  <c r="EA143" i="17"/>
  <c r="DT142" i="17"/>
  <c r="CO142" i="17"/>
  <c r="E31" i="60"/>
  <c r="D48" i="60"/>
  <c r="D49" i="60"/>
  <c r="G49" i="60" s="1"/>
  <c r="GM140" i="17"/>
  <c r="FH140" i="17"/>
  <c r="EX123" i="17"/>
  <c r="DR129" i="17"/>
  <c r="DR139" i="17" s="1"/>
  <c r="DR161" i="17" s="1"/>
  <c r="D34" i="45" s="1"/>
  <c r="ET123" i="17"/>
  <c r="BB163" i="17"/>
  <c r="BB211" i="17" s="1"/>
  <c r="CH164" i="17"/>
  <c r="G14" i="52"/>
  <c r="GI222" i="17"/>
  <c r="HO222" i="17" s="1"/>
  <c r="C41" i="57"/>
  <c r="HK235" i="17"/>
  <c r="D10" i="57"/>
  <c r="HS230" i="17"/>
  <c r="C15" i="52"/>
  <c r="E15" i="52" s="1"/>
  <c r="GL228" i="17"/>
  <c r="D9" i="52"/>
  <c r="GM225" i="17"/>
  <c r="C26" i="52"/>
  <c r="GL221" i="17"/>
  <c r="C25" i="52"/>
  <c r="GL220" i="17"/>
  <c r="FH209" i="17"/>
  <c r="GM209" i="17"/>
  <c r="DU184" i="17"/>
  <c r="EZ184" i="17"/>
  <c r="CV178" i="17"/>
  <c r="EA178" i="17"/>
  <c r="DU176" i="17"/>
  <c r="EZ176" i="17"/>
  <c r="DT174" i="17"/>
  <c r="CN173" i="17"/>
  <c r="CO173" i="17" s="1"/>
  <c r="CO174" i="17"/>
  <c r="CV170" i="17"/>
  <c r="EA170" i="17"/>
  <c r="D18" i="42"/>
  <c r="CV168" i="17"/>
  <c r="EA168" i="17"/>
  <c r="GO159" i="17"/>
  <c r="HE159" i="17"/>
  <c r="HU159" i="17" s="1"/>
  <c r="FF156" i="17"/>
  <c r="DZ160" i="17"/>
  <c r="S155" i="17"/>
  <c r="AC155" i="17"/>
  <c r="R160" i="17"/>
  <c r="AC160" i="17" s="1"/>
  <c r="BI155" i="17"/>
  <c r="FF148" i="17"/>
  <c r="DZ154" i="17"/>
  <c r="D28" i="56"/>
  <c r="DS136" i="17"/>
  <c r="CM138" i="17"/>
  <c r="FI80" i="17"/>
  <c r="FY80" i="17"/>
  <c r="FI75" i="17"/>
  <c r="FY75" i="17"/>
  <c r="FI69" i="17"/>
  <c r="FY69" i="17"/>
  <c r="GO68" i="17"/>
  <c r="HE68" i="17"/>
  <c r="HU68" i="17" s="1"/>
  <c r="FI67" i="17"/>
  <c r="FY67" i="17"/>
  <c r="FI65" i="17"/>
  <c r="FY65" i="17"/>
  <c r="FI57" i="17"/>
  <c r="FY57" i="17"/>
  <c r="GO56" i="17"/>
  <c r="HE56" i="17"/>
  <c r="HU56" i="17" s="1"/>
  <c r="CO127" i="17"/>
  <c r="DT127" i="17"/>
  <c r="CV126" i="17"/>
  <c r="EA126" i="17"/>
  <c r="J129" i="17"/>
  <c r="I139" i="17"/>
  <c r="CV122" i="17"/>
  <c r="EA122" i="17"/>
  <c r="CO121" i="17"/>
  <c r="DT121" i="17"/>
  <c r="EB118" i="17"/>
  <c r="FG118" i="17"/>
  <c r="EB116" i="17"/>
  <c r="FG116" i="17"/>
  <c r="DU115" i="17"/>
  <c r="EZ115" i="17"/>
  <c r="EB114" i="17"/>
  <c r="FG114" i="17"/>
  <c r="DU113" i="17"/>
  <c r="EZ113" i="17"/>
  <c r="EB112" i="17"/>
  <c r="FG112" i="17"/>
  <c r="DU111" i="17"/>
  <c r="EZ111" i="17"/>
  <c r="DU110" i="17"/>
  <c r="EZ110" i="17"/>
  <c r="EB109" i="17"/>
  <c r="FG109" i="17"/>
  <c r="CO106" i="17"/>
  <c r="DT106" i="17"/>
  <c r="CO104" i="17"/>
  <c r="DT104" i="17"/>
  <c r="CO103" i="17"/>
  <c r="DT103" i="17"/>
  <c r="DU100" i="17"/>
  <c r="EZ100" i="17"/>
  <c r="DU99" i="17"/>
  <c r="EZ99" i="17"/>
  <c r="GO44" i="17"/>
  <c r="HE44" i="17"/>
  <c r="HU44" i="17" s="1"/>
  <c r="FY41" i="17"/>
  <c r="FI41" i="17"/>
  <c r="HE40" i="17"/>
  <c r="HU40" i="17" s="1"/>
  <c r="GO40" i="17"/>
  <c r="FY39" i="17"/>
  <c r="FI39" i="17"/>
  <c r="HE38" i="17"/>
  <c r="HU38" i="17" s="1"/>
  <c r="GO38" i="17"/>
  <c r="EC123" i="17"/>
  <c r="ES123" i="17"/>
  <c r="DM129" i="17"/>
  <c r="S141" i="17"/>
  <c r="AC141" i="17"/>
  <c r="EQ191" i="17"/>
  <c r="EM211" i="17"/>
  <c r="EM244" i="17" s="1"/>
  <c r="C21" i="57"/>
  <c r="HR236" i="17"/>
  <c r="C33" i="57"/>
  <c r="HK233" i="17"/>
  <c r="D33" i="57"/>
  <c r="F33" i="57" s="1"/>
  <c r="HL233" i="17"/>
  <c r="D26" i="52"/>
  <c r="GM221" i="17"/>
  <c r="D47" i="57"/>
  <c r="HL221" i="17"/>
  <c r="D19" i="57"/>
  <c r="HS218" i="17"/>
  <c r="FA210" i="17"/>
  <c r="GF210" i="17"/>
  <c r="CV210" i="17"/>
  <c r="BP210" i="17"/>
  <c r="AJ210" i="17"/>
  <c r="DU177" i="17"/>
  <c r="EZ177" i="17"/>
  <c r="D14" i="52"/>
  <c r="GM224" i="17"/>
  <c r="FG226" i="17"/>
  <c r="FG187" i="17"/>
  <c r="EB187" i="17"/>
  <c r="GE215" i="17"/>
  <c r="C38" i="57" s="1"/>
  <c r="E38" i="57" s="1"/>
  <c r="HK213" i="17"/>
  <c r="HK215" i="17" s="1"/>
  <c r="CV159" i="17"/>
  <c r="EA159" i="17"/>
  <c r="CO157" i="17"/>
  <c r="DT157" i="17"/>
  <c r="CV153" i="17"/>
  <c r="EA153" i="17"/>
  <c r="CV149" i="17"/>
  <c r="EA149" i="17"/>
  <c r="CU154" i="17"/>
  <c r="CV154" i="17" s="1"/>
  <c r="C7" i="42"/>
  <c r="EY125" i="17"/>
  <c r="DT133" i="17"/>
  <c r="CO133" i="17"/>
  <c r="FD130" i="17"/>
  <c r="DX131" i="17"/>
  <c r="DX139" i="17" s="1"/>
  <c r="GI173" i="17"/>
  <c r="GI211" i="17" s="1"/>
  <c r="HO174" i="17"/>
  <c r="HO173" i="17" s="1"/>
  <c r="HO211" i="17" s="1"/>
  <c r="GE173" i="17"/>
  <c r="HK174" i="17"/>
  <c r="HK173" i="17" s="1"/>
  <c r="GA173" i="17"/>
  <c r="HG174" i="17"/>
  <c r="HG173" i="17" s="1"/>
  <c r="BN168" i="17"/>
  <c r="CT169" i="17"/>
  <c r="DZ169" i="17" s="1"/>
  <c r="FF169" i="17" s="1"/>
  <c r="GL169" i="17" s="1"/>
  <c r="HR169" i="17" s="1"/>
  <c r="CN168" i="17"/>
  <c r="BI168" i="17"/>
  <c r="C20" i="42"/>
  <c r="CO158" i="17"/>
  <c r="DT158" i="17"/>
  <c r="CV155" i="17"/>
  <c r="EA155" i="17"/>
  <c r="CU160" i="17"/>
  <c r="EA144" i="17"/>
  <c r="CV144" i="17"/>
  <c r="HE135" i="17"/>
  <c r="HU135" i="17" s="1"/>
  <c r="GO135" i="17"/>
  <c r="DT138" i="17"/>
  <c r="EZ132" i="17"/>
  <c r="DP138" i="17"/>
  <c r="DP139" i="17" s="1"/>
  <c r="EV132" i="17"/>
  <c r="DZ132" i="17"/>
  <c r="CT138" i="17"/>
  <c r="HN125" i="17"/>
  <c r="HN128" i="17" s="1"/>
  <c r="GH128" i="17"/>
  <c r="HJ125" i="17"/>
  <c r="HJ128" i="17" s="1"/>
  <c r="GD128" i="17"/>
  <c r="HH125" i="17"/>
  <c r="HH128" i="17" s="1"/>
  <c r="GB128" i="17"/>
  <c r="DU86" i="17"/>
  <c r="EZ86" i="17"/>
  <c r="EC186" i="17"/>
  <c r="ES186" i="17"/>
  <c r="GE168" i="17"/>
  <c r="CT210" i="17"/>
  <c r="DZ210" i="17" s="1"/>
  <c r="FF210" i="17" s="1"/>
  <c r="GL210" i="17" s="1"/>
  <c r="HR210" i="17" s="1"/>
  <c r="C18" i="41"/>
  <c r="C29" i="41" s="1"/>
  <c r="CM191" i="17"/>
  <c r="C39" i="42" s="1"/>
  <c r="DS192" i="17"/>
  <c r="CO188" i="17"/>
  <c r="DT188" i="17"/>
  <c r="DU178" i="17"/>
  <c r="EZ178" i="17"/>
  <c r="GJ173" i="17"/>
  <c r="HP174" i="17"/>
  <c r="HP173" i="17" s="1"/>
  <c r="ES174" i="17"/>
  <c r="EC174" i="17"/>
  <c r="DZ173" i="17"/>
  <c r="FF174" i="17"/>
  <c r="ET174" i="17"/>
  <c r="GO166" i="17"/>
  <c r="HE166" i="17"/>
  <c r="CV137" i="17"/>
  <c r="EA137" i="17"/>
  <c r="DU130" i="17"/>
  <c r="DT131" i="17"/>
  <c r="DU131" i="17" s="1"/>
  <c r="EZ130" i="17"/>
  <c r="GO82" i="17"/>
  <c r="HE82" i="17"/>
  <c r="HU82" i="17" s="1"/>
  <c r="FI81" i="17"/>
  <c r="FY81" i="17"/>
  <c r="FI79" i="17"/>
  <c r="FY79" i="17"/>
  <c r="FI78" i="17"/>
  <c r="FY78" i="17"/>
  <c r="GO77" i="17"/>
  <c r="HE77" i="17"/>
  <c r="HU77" i="17" s="1"/>
  <c r="FI76" i="17"/>
  <c r="FY76" i="17"/>
  <c r="FI74" i="17"/>
  <c r="FY74" i="17"/>
  <c r="FI73" i="17"/>
  <c r="FY73" i="17"/>
  <c r="FI72" i="17"/>
  <c r="FY72" i="17"/>
  <c r="GO71" i="17"/>
  <c r="HE71" i="17"/>
  <c r="HU71" i="17" s="1"/>
  <c r="FI70" i="17"/>
  <c r="FY70" i="17"/>
  <c r="FI66" i="17"/>
  <c r="FY66" i="17"/>
  <c r="FI64" i="17"/>
  <c r="FY64" i="17"/>
  <c r="FI62" i="17"/>
  <c r="FY62" i="17"/>
  <c r="FI60" i="17"/>
  <c r="FY60" i="17"/>
  <c r="GO59" i="17"/>
  <c r="HE59" i="17"/>
  <c r="HU59" i="17" s="1"/>
  <c r="FI58" i="17"/>
  <c r="FY58" i="17"/>
  <c r="GO55" i="17"/>
  <c r="HE55" i="17"/>
  <c r="HU55" i="17" s="1"/>
  <c r="FI54" i="17"/>
  <c r="FY54" i="17"/>
  <c r="GO53" i="17"/>
  <c r="HE53" i="17"/>
  <c r="HU53" i="17" s="1"/>
  <c r="FI52" i="17"/>
  <c r="FY52" i="17"/>
  <c r="DY147" i="17"/>
  <c r="FE144" i="17"/>
  <c r="G139" i="17"/>
  <c r="F161" i="17"/>
  <c r="G161" i="17" s="1"/>
  <c r="DU126" i="17"/>
  <c r="EZ126" i="17"/>
  <c r="E30" i="35"/>
  <c r="D49" i="35"/>
  <c r="G49" i="35" s="1"/>
  <c r="D48" i="35"/>
  <c r="C48" i="31"/>
  <c r="C49" i="31"/>
  <c r="CV29" i="17"/>
  <c r="EA29" i="17"/>
  <c r="CV27" i="17"/>
  <c r="EA27" i="17"/>
  <c r="CV21" i="17"/>
  <c r="EA21" i="17"/>
  <c r="CO16" i="17"/>
  <c r="DT16" i="17"/>
  <c r="HE36" i="17"/>
  <c r="HU36" i="17" s="1"/>
  <c r="GO36" i="17"/>
  <c r="GO32" i="17"/>
  <c r="HE32" i="17"/>
  <c r="HU32" i="17" s="1"/>
  <c r="GO18" i="17"/>
  <c r="HE18" i="17"/>
  <c r="HU18" i="17" s="1"/>
  <c r="DZ16" i="17"/>
  <c r="CT123" i="17"/>
  <c r="CD32" i="11"/>
  <c r="CG139" i="17"/>
  <c r="CW129" i="17"/>
  <c r="BQ129" i="17"/>
  <c r="BA139" i="17"/>
  <c r="DU122" i="17"/>
  <c r="EZ122" i="17"/>
  <c r="EB121" i="17"/>
  <c r="FG121" i="17"/>
  <c r="CO118" i="17"/>
  <c r="DT118" i="17"/>
  <c r="CO116" i="17"/>
  <c r="DT116" i="17"/>
  <c r="CV115" i="17"/>
  <c r="EA115" i="17"/>
  <c r="CO114" i="17"/>
  <c r="DT114" i="17"/>
  <c r="CV113" i="17"/>
  <c r="EA113" i="17"/>
  <c r="CO112" i="17"/>
  <c r="DT112" i="17"/>
  <c r="CV111" i="17"/>
  <c r="EA111" i="17"/>
  <c r="CV110" i="17"/>
  <c r="EA110" i="17"/>
  <c r="CO109" i="17"/>
  <c r="DT109" i="17"/>
  <c r="EB106" i="17"/>
  <c r="FG106" i="17"/>
  <c r="EB104" i="17"/>
  <c r="FG104" i="17"/>
  <c r="EB103" i="17"/>
  <c r="FG103" i="17"/>
  <c r="CV100" i="17"/>
  <c r="EA100" i="17"/>
  <c r="CV99" i="17"/>
  <c r="EA99" i="17"/>
  <c r="EB50" i="17"/>
  <c r="FG50" i="17"/>
  <c r="EB48" i="17"/>
  <c r="FG48" i="17"/>
  <c r="EB46" i="17"/>
  <c r="FG46" i="17"/>
  <c r="DU27" i="17"/>
  <c r="EZ27" i="17"/>
  <c r="DU21" i="17"/>
  <c r="EZ21" i="17"/>
  <c r="HE43" i="17"/>
  <c r="HU43" i="17" s="1"/>
  <c r="GO43" i="17"/>
  <c r="GO34" i="17"/>
  <c r="HE34" i="17"/>
  <c r="HU34" i="17" s="1"/>
  <c r="GO28" i="17"/>
  <c r="HE28" i="17"/>
  <c r="HU28" i="17" s="1"/>
  <c r="GO26" i="17"/>
  <c r="HE26" i="17"/>
  <c r="HU26" i="17" s="1"/>
  <c r="GO20" i="17"/>
  <c r="HE20" i="17"/>
  <c r="HU20" i="17" s="1"/>
  <c r="CV18" i="17"/>
  <c r="EA18" i="17"/>
  <c r="CO17" i="17"/>
  <c r="DT17" i="17"/>
  <c r="DU134" i="17"/>
  <c r="BI134" i="17"/>
  <c r="CO134" i="17"/>
  <c r="FA134" i="17"/>
  <c r="AC134" i="17"/>
  <c r="GG134" i="17"/>
  <c r="CL76" i="11"/>
  <c r="CD78" i="11"/>
  <c r="CD70" i="11"/>
  <c r="BV72" i="11"/>
  <c r="CT18" i="11"/>
  <c r="EP129" i="17"/>
  <c r="CO160" i="17"/>
  <c r="BI147" i="17"/>
  <c r="EK243" i="17"/>
  <c r="BL211" i="17"/>
  <c r="BY243" i="17"/>
  <c r="GS211" i="17"/>
  <c r="GS244" i="17" s="1"/>
  <c r="BC211" i="17"/>
  <c r="BC244" i="17" s="1"/>
  <c r="CN138" i="17"/>
  <c r="FJ211" i="17"/>
  <c r="CG173" i="17"/>
  <c r="T161" i="17"/>
  <c r="DO139" i="17"/>
  <c r="DO161" i="17" s="1"/>
  <c r="FM211" i="17"/>
  <c r="FM244" i="17" s="1"/>
  <c r="E30" i="31"/>
  <c r="CN123" i="17"/>
  <c r="FF191" i="17"/>
  <c r="CU123" i="17"/>
  <c r="D11" i="52"/>
  <c r="GM222" i="17"/>
  <c r="HL235" i="17"/>
  <c r="D41" i="57"/>
  <c r="DT228" i="17"/>
  <c r="GI128" i="17"/>
  <c r="GI129" i="17" s="1"/>
  <c r="HO125" i="17"/>
  <c r="HO128" i="17" s="1"/>
  <c r="HO129" i="17" s="1"/>
  <c r="D5" i="34"/>
  <c r="BK244" i="17"/>
  <c r="CU131" i="17"/>
  <c r="FH125" i="17"/>
  <c r="GM125" i="17"/>
  <c r="E11" i="53"/>
  <c r="C27" i="35"/>
  <c r="D15" i="57"/>
  <c r="HS228" i="17"/>
  <c r="E35" i="53"/>
  <c r="D48" i="53"/>
  <c r="D47" i="53"/>
  <c r="E36" i="34"/>
  <c r="FC130" i="17"/>
  <c r="DW131" i="17"/>
  <c r="DW135" i="17"/>
  <c r="CQ138" i="17"/>
  <c r="CQ139" i="17" s="1"/>
  <c r="CQ161" i="17" s="1"/>
  <c r="CU132" i="17"/>
  <c r="BP132" i="17"/>
  <c r="HH216" i="17"/>
  <c r="HO132" i="17"/>
  <c r="EB190" i="17" l="1"/>
  <c r="FG190" i="17"/>
  <c r="FY24" i="17"/>
  <c r="FI24" i="17"/>
  <c r="CT129" i="17"/>
  <c r="CT139" i="17" s="1"/>
  <c r="CT161" i="17" s="1"/>
  <c r="E5" i="35"/>
  <c r="FF125" i="17"/>
  <c r="DZ128" i="17"/>
  <c r="DS127" i="17"/>
  <c r="CM128" i="17"/>
  <c r="CM129" i="17" s="1"/>
  <c r="CM139" i="17" s="1"/>
  <c r="CM161" i="17" s="1"/>
  <c r="DN173" i="17"/>
  <c r="EA191" i="17"/>
  <c r="EB191" i="17" s="1"/>
  <c r="BG243" i="17"/>
  <c r="FG193" i="17"/>
  <c r="GM193" i="17" s="1"/>
  <c r="HE130" i="17"/>
  <c r="FY131" i="17"/>
  <c r="GO130" i="17"/>
  <c r="DM158" i="17"/>
  <c r="CG160" i="17"/>
  <c r="CW160" i="17" s="1"/>
  <c r="CW158" i="17"/>
  <c r="HL167" i="17"/>
  <c r="HM167" i="17" s="1"/>
  <c r="GG167" i="17"/>
  <c r="FG220" i="17"/>
  <c r="D27" i="45"/>
  <c r="E27" i="45" s="1"/>
  <c r="D44" i="57"/>
  <c r="HL239" i="17"/>
  <c r="HE92" i="17"/>
  <c r="HU92" i="17" s="1"/>
  <c r="GO92" i="17"/>
  <c r="C22" i="52"/>
  <c r="E22" i="52" s="1"/>
  <c r="GL238" i="17"/>
  <c r="HK221" i="17"/>
  <c r="C47" i="57"/>
  <c r="E47" i="57" s="1"/>
  <c r="FY49" i="17"/>
  <c r="FI49" i="17"/>
  <c r="HE35" i="17"/>
  <c r="HU35" i="17" s="1"/>
  <c r="GO35" i="17"/>
  <c r="C43" i="52"/>
  <c r="E43" i="52" s="1"/>
  <c r="GE239" i="17"/>
  <c r="GB189" i="17"/>
  <c r="EV173" i="17"/>
  <c r="FI63" i="17"/>
  <c r="FY63" i="17"/>
  <c r="D28" i="48"/>
  <c r="DL246" i="17" s="1"/>
  <c r="E7" i="56"/>
  <c r="HD161" i="17"/>
  <c r="HD243" i="17" s="1"/>
  <c r="EA130" i="17"/>
  <c r="EB130" i="17" s="1"/>
  <c r="P139" i="17"/>
  <c r="P161" i="17" s="1"/>
  <c r="DE248" i="17"/>
  <c r="CS128" i="17"/>
  <c r="CS129" i="17" s="1"/>
  <c r="BO129" i="17"/>
  <c r="D51" i="31"/>
  <c r="D55" i="31" s="1"/>
  <c r="G55" i="31" s="1"/>
  <c r="EP139" i="17"/>
  <c r="EP161" i="17" s="1"/>
  <c r="D8" i="53" s="1"/>
  <c r="D27" i="53" s="1"/>
  <c r="D49" i="34"/>
  <c r="C42" i="57"/>
  <c r="E42" i="57" s="1"/>
  <c r="HK236" i="17"/>
  <c r="DK248" i="17"/>
  <c r="HS239" i="17"/>
  <c r="D23" i="57"/>
  <c r="D26" i="45"/>
  <c r="E26" i="45" s="1"/>
  <c r="EA241" i="17"/>
  <c r="FG240" i="17"/>
  <c r="DU187" i="17"/>
  <c r="EZ187" i="17"/>
  <c r="D22" i="57"/>
  <c r="HS238" i="17"/>
  <c r="GL225" i="17"/>
  <c r="C9" i="52"/>
  <c r="E9" i="52" s="1"/>
  <c r="GM195" i="17"/>
  <c r="FH195" i="17"/>
  <c r="E41" i="57"/>
  <c r="DL248" i="17"/>
  <c r="FH193" i="17"/>
  <c r="DU195" i="17"/>
  <c r="EZ195" i="17"/>
  <c r="D20" i="57"/>
  <c r="HS235" i="17"/>
  <c r="GM11" i="17"/>
  <c r="FH11" i="17"/>
  <c r="E20" i="57"/>
  <c r="FH203" i="17"/>
  <c r="GM203" i="17"/>
  <c r="EX131" i="17"/>
  <c r="GD130" i="17"/>
  <c r="BO136" i="17"/>
  <c r="BP136" i="17" s="1"/>
  <c r="AZ138" i="17"/>
  <c r="AZ139" i="17" s="1"/>
  <c r="AZ161" i="17" s="1"/>
  <c r="AZ243" i="17" s="1"/>
  <c r="FI10" i="17"/>
  <c r="FY10" i="17"/>
  <c r="HE46" i="17"/>
  <c r="HU46" i="17" s="1"/>
  <c r="GO46" i="17"/>
  <c r="HE50" i="17"/>
  <c r="HU50" i="17" s="1"/>
  <c r="GO50" i="17"/>
  <c r="GO16" i="17"/>
  <c r="HE16" i="17"/>
  <c r="HU16" i="17" s="1"/>
  <c r="HE12" i="17"/>
  <c r="HU12" i="17" s="1"/>
  <c r="GO12" i="17"/>
  <c r="GO30" i="17"/>
  <c r="HE30" i="17"/>
  <c r="HU30" i="17" s="1"/>
  <c r="HE48" i="17"/>
  <c r="HU48" i="17" s="1"/>
  <c r="GO48" i="17"/>
  <c r="GO85" i="17"/>
  <c r="HE85" i="17"/>
  <c r="HU85" i="17" s="1"/>
  <c r="GO98" i="17"/>
  <c r="HE98" i="17"/>
  <c r="HU98" i="17" s="1"/>
  <c r="GF189" i="17"/>
  <c r="FA189" i="17"/>
  <c r="DU198" i="17"/>
  <c r="EZ198" i="17"/>
  <c r="FI61" i="17"/>
  <c r="FY61" i="17"/>
  <c r="EB204" i="17"/>
  <c r="FG204" i="17"/>
  <c r="EB200" i="17"/>
  <c r="FG200" i="17"/>
  <c r="GM200" i="17" s="1"/>
  <c r="GO117" i="17"/>
  <c r="HE117" i="17"/>
  <c r="HU117" i="17" s="1"/>
  <c r="DU194" i="17"/>
  <c r="EZ194" i="17"/>
  <c r="HE11" i="17"/>
  <c r="HU11" i="17" s="1"/>
  <c r="GO11" i="17"/>
  <c r="HE23" i="17"/>
  <c r="HU23" i="17" s="1"/>
  <c r="GO23" i="17"/>
  <c r="EA147" i="17"/>
  <c r="EB147" i="17" s="1"/>
  <c r="D43" i="45"/>
  <c r="E43" i="45" s="1"/>
  <c r="EZ216" i="17"/>
  <c r="FY177" i="17"/>
  <c r="FI177" i="17"/>
  <c r="CD10" i="11"/>
  <c r="BV12" i="11"/>
  <c r="FA13" i="17"/>
  <c r="GF13" i="17"/>
  <c r="HN222" i="17"/>
  <c r="G14" i="57"/>
  <c r="C35" i="57"/>
  <c r="HK228" i="17"/>
  <c r="FI17" i="17"/>
  <c r="FY17" i="17"/>
  <c r="E44" i="52"/>
  <c r="FA10" i="17"/>
  <c r="GF10" i="17"/>
  <c r="GF11" i="17"/>
  <c r="FA11" i="17"/>
  <c r="DU14" i="17"/>
  <c r="EZ14" i="17"/>
  <c r="D21" i="52"/>
  <c r="E21" i="52" s="1"/>
  <c r="GM236" i="17"/>
  <c r="HS10" i="17"/>
  <c r="HT10" i="17" s="1"/>
  <c r="GN10" i="17"/>
  <c r="FA200" i="17"/>
  <c r="GF200" i="17"/>
  <c r="FG15" i="17"/>
  <c r="EB15" i="17"/>
  <c r="FA12" i="17"/>
  <c r="GF12" i="17"/>
  <c r="HE22" i="17"/>
  <c r="HU22" i="17" s="1"/>
  <c r="GO22" i="17"/>
  <c r="FI25" i="17"/>
  <c r="FY25" i="17"/>
  <c r="GO27" i="17"/>
  <c r="HE27" i="17"/>
  <c r="HU27" i="17" s="1"/>
  <c r="FI33" i="17"/>
  <c r="FY33" i="17"/>
  <c r="D48" i="34"/>
  <c r="CU129" i="17"/>
  <c r="E10" i="57"/>
  <c r="FZ131" i="17"/>
  <c r="HF130" i="17"/>
  <c r="HF131" i="17" s="1"/>
  <c r="BP74" i="17"/>
  <c r="GN74" i="17"/>
  <c r="CV74" i="17"/>
  <c r="HT74" i="17"/>
  <c r="EB74" i="17"/>
  <c r="AJ74" i="17"/>
  <c r="FH74" i="17"/>
  <c r="AJ88" i="17"/>
  <c r="FH88" i="17"/>
  <c r="BP88" i="17"/>
  <c r="GN88" i="17"/>
  <c r="CV88" i="17"/>
  <c r="HT88" i="17"/>
  <c r="EB88" i="17"/>
  <c r="EB93" i="17"/>
  <c r="AJ93" i="17"/>
  <c r="FH93" i="17"/>
  <c r="BP93" i="17"/>
  <c r="GN93" i="17"/>
  <c r="CV93" i="17"/>
  <c r="HT93" i="17"/>
  <c r="AJ102" i="17"/>
  <c r="BP102" i="17"/>
  <c r="CV102" i="17"/>
  <c r="BP105" i="17"/>
  <c r="GN105" i="17"/>
  <c r="CV105" i="17"/>
  <c r="HT105" i="17"/>
  <c r="EB105" i="17"/>
  <c r="AJ105" i="17"/>
  <c r="FH105" i="17"/>
  <c r="AJ108" i="17"/>
  <c r="BP108" i="17"/>
  <c r="FG108" i="17"/>
  <c r="EB108" i="17"/>
  <c r="CV108" i="17"/>
  <c r="E34" i="45"/>
  <c r="GN96" i="17"/>
  <c r="HT96" i="17"/>
  <c r="AJ96" i="17"/>
  <c r="BP96" i="17"/>
  <c r="CV96" i="17"/>
  <c r="EB96" i="17"/>
  <c r="FH96" i="17"/>
  <c r="BP101" i="17"/>
  <c r="CV101" i="17"/>
  <c r="EB101" i="17"/>
  <c r="FH101" i="17"/>
  <c r="GN101" i="17"/>
  <c r="HT101" i="17"/>
  <c r="AJ101" i="17"/>
  <c r="FG117" i="17"/>
  <c r="EB117" i="17"/>
  <c r="GC130" i="17"/>
  <c r="EW131" i="17"/>
  <c r="EW139" i="17" s="1"/>
  <c r="EW161" i="17" s="1"/>
  <c r="C32" i="52" s="1"/>
  <c r="FG92" i="17"/>
  <c r="EB92" i="17"/>
  <c r="AJ92" i="17"/>
  <c r="BP92" i="17"/>
  <c r="FH95" i="17"/>
  <c r="GN95" i="17"/>
  <c r="HT95" i="17"/>
  <c r="AJ95" i="17"/>
  <c r="BP95" i="17"/>
  <c r="CV95" i="17"/>
  <c r="EB95" i="17"/>
  <c r="HT97" i="17"/>
  <c r="AJ97" i="17"/>
  <c r="BP97" i="17"/>
  <c r="CV97" i="17"/>
  <c r="EB97" i="17"/>
  <c r="FH97" i="17"/>
  <c r="GN97" i="17"/>
  <c r="CF138" i="17"/>
  <c r="AJ117" i="17"/>
  <c r="BP117" i="17"/>
  <c r="GO42" i="17"/>
  <c r="HE42" i="17"/>
  <c r="HU42" i="17" s="1"/>
  <c r="GO51" i="17"/>
  <c r="HE51" i="17"/>
  <c r="HU51" i="17" s="1"/>
  <c r="FI127" i="17"/>
  <c r="ES128" i="17"/>
  <c r="FI128" i="17" s="1"/>
  <c r="FY127" i="17"/>
  <c r="GK130" i="17"/>
  <c r="FE131" i="17"/>
  <c r="EB174" i="17"/>
  <c r="FG174" i="17"/>
  <c r="D28" i="53"/>
  <c r="D50" i="53" s="1"/>
  <c r="E7" i="53"/>
  <c r="AJ89" i="17"/>
  <c r="BP89" i="17"/>
  <c r="EB51" i="17"/>
  <c r="FH51" i="17"/>
  <c r="GN51" i="17"/>
  <c r="HT51" i="17"/>
  <c r="AJ51" i="17"/>
  <c r="BP51" i="17"/>
  <c r="CV51" i="17"/>
  <c r="BM138" i="17"/>
  <c r="BM139" i="17" s="1"/>
  <c r="BM161" i="17" s="1"/>
  <c r="CS135" i="17"/>
  <c r="DU61" i="17"/>
  <c r="EZ61" i="17"/>
  <c r="FA89" i="17"/>
  <c r="GF89" i="17"/>
  <c r="GO101" i="17"/>
  <c r="HE101" i="17"/>
  <c r="HU101" i="17" s="1"/>
  <c r="GO89" i="17"/>
  <c r="HE89" i="17"/>
  <c r="HU89" i="17" s="1"/>
  <c r="FH169" i="17"/>
  <c r="GM169" i="17"/>
  <c r="EB172" i="17"/>
  <c r="FG172" i="17"/>
  <c r="GF185" i="17"/>
  <c r="FA185" i="17"/>
  <c r="HE187" i="17"/>
  <c r="HU187" i="17" s="1"/>
  <c r="GO187" i="17"/>
  <c r="DU192" i="17"/>
  <c r="EZ192" i="17"/>
  <c r="FA197" i="17"/>
  <c r="GF197" i="17"/>
  <c r="FA201" i="17"/>
  <c r="GF201" i="17"/>
  <c r="DU206" i="17"/>
  <c r="EZ206" i="17"/>
  <c r="FA208" i="17"/>
  <c r="GF208" i="17"/>
  <c r="FA98" i="17"/>
  <c r="GF98" i="17"/>
  <c r="FA117" i="17"/>
  <c r="GF117" i="17"/>
  <c r="FI142" i="17"/>
  <c r="FY142" i="17"/>
  <c r="GF186" i="17"/>
  <c r="FA186" i="17"/>
  <c r="AC42" i="17"/>
  <c r="CO42" i="17"/>
  <c r="FA42" i="17"/>
  <c r="HM42" i="17"/>
  <c r="S42" i="17"/>
  <c r="BI42" i="17"/>
  <c r="DU42" i="17"/>
  <c r="GG42" i="17"/>
  <c r="R123" i="17"/>
  <c r="CO123" i="17" s="1"/>
  <c r="FG61" i="17"/>
  <c r="EB61" i="17"/>
  <c r="FG89" i="17"/>
  <c r="EB89" i="17"/>
  <c r="BF25" i="11"/>
  <c r="AX34" i="11"/>
  <c r="AX35" i="11" s="1"/>
  <c r="AX37" i="11" s="1"/>
  <c r="GM102" i="17"/>
  <c r="FH102" i="17"/>
  <c r="FG98" i="17"/>
  <c r="EB98" i="17"/>
  <c r="DN128" i="17"/>
  <c r="DN129" i="17" s="1"/>
  <c r="DN139" i="17" s="1"/>
  <c r="DN161" i="17" s="1"/>
  <c r="ET127" i="17"/>
  <c r="EY131" i="17"/>
  <c r="GE130" i="17"/>
  <c r="EY143" i="17"/>
  <c r="DS147" i="17"/>
  <c r="FY164" i="17"/>
  <c r="FI164" i="17"/>
  <c r="GO165" i="17"/>
  <c r="HE165" i="17"/>
  <c r="HU165" i="17" s="1"/>
  <c r="DT123" i="17"/>
  <c r="EZ123" i="17" s="1"/>
  <c r="CV91" i="17"/>
  <c r="EB91" i="17"/>
  <c r="FH91" i="17"/>
  <c r="GN91" i="17"/>
  <c r="HT91" i="17"/>
  <c r="AJ91" i="17"/>
  <c r="BP91" i="17"/>
  <c r="HJ156" i="17"/>
  <c r="HJ160" i="17" s="1"/>
  <c r="GD160" i="17"/>
  <c r="D45" i="57"/>
  <c r="HL240" i="17"/>
  <c r="GF241" i="17"/>
  <c r="AJ98" i="17"/>
  <c r="BP98" i="17"/>
  <c r="EB107" i="17"/>
  <c r="AJ107" i="17"/>
  <c r="FH107" i="17"/>
  <c r="BP107" i="17"/>
  <c r="GN107" i="17"/>
  <c r="CV107" i="17"/>
  <c r="HT107" i="17"/>
  <c r="GO87" i="17"/>
  <c r="HE87" i="17"/>
  <c r="HU87" i="17" s="1"/>
  <c r="FH171" i="17"/>
  <c r="GM171" i="17"/>
  <c r="FA196" i="17"/>
  <c r="GF196" i="17"/>
  <c r="FA199" i="17"/>
  <c r="GF199" i="17"/>
  <c r="DU202" i="17"/>
  <c r="EZ202" i="17"/>
  <c r="DU205" i="17"/>
  <c r="EZ205" i="17"/>
  <c r="FA146" i="17"/>
  <c r="GF146" i="17"/>
  <c r="CV119" i="17"/>
  <c r="EB119" i="17"/>
  <c r="FH119" i="17"/>
  <c r="GN119" i="17"/>
  <c r="HT119" i="17"/>
  <c r="AJ119" i="17"/>
  <c r="BP119" i="17"/>
  <c r="E6" i="31"/>
  <c r="D26" i="31"/>
  <c r="AJ135" i="17"/>
  <c r="AI138" i="17"/>
  <c r="BO135" i="17"/>
  <c r="FI175" i="17"/>
  <c r="FY175" i="17"/>
  <c r="BP90" i="17"/>
  <c r="GN90" i="17"/>
  <c r="CV90" i="17"/>
  <c r="HT90" i="17"/>
  <c r="EB90" i="17"/>
  <c r="AJ90" i="17"/>
  <c r="FH90" i="17"/>
  <c r="BP120" i="17"/>
  <c r="GN120" i="17"/>
  <c r="CV120" i="17"/>
  <c r="HT120" i="17"/>
  <c r="EB120" i="17"/>
  <c r="AJ120" i="17"/>
  <c r="FH120" i="17"/>
  <c r="AJ61" i="17"/>
  <c r="BP61" i="17"/>
  <c r="HE84" i="17"/>
  <c r="HU84" i="17" s="1"/>
  <c r="GO84" i="17"/>
  <c r="FY86" i="17"/>
  <c r="FI86" i="17"/>
  <c r="HE94" i="17"/>
  <c r="HU94" i="17" s="1"/>
  <c r="GO94" i="17"/>
  <c r="ES163" i="17"/>
  <c r="FI163" i="17" s="1"/>
  <c r="EC163" i="17"/>
  <c r="ES141" i="17"/>
  <c r="EC141" i="17"/>
  <c r="DM147" i="17"/>
  <c r="EC147" i="17" s="1"/>
  <c r="CV61" i="17"/>
  <c r="CV89" i="17"/>
  <c r="CV98" i="17"/>
  <c r="G14" i="42"/>
  <c r="C33" i="45"/>
  <c r="E8" i="53"/>
  <c r="DB18" i="11"/>
  <c r="DU17" i="17"/>
  <c r="EZ17" i="17"/>
  <c r="EB18" i="17"/>
  <c r="FG18" i="17"/>
  <c r="FA21" i="17"/>
  <c r="GF21" i="17"/>
  <c r="FA27" i="17"/>
  <c r="GF27" i="17"/>
  <c r="FH46" i="17"/>
  <c r="GM46" i="17"/>
  <c r="FH48" i="17"/>
  <c r="GM48" i="17"/>
  <c r="FH50" i="17"/>
  <c r="GM50" i="17"/>
  <c r="EB99" i="17"/>
  <c r="FG99" i="17"/>
  <c r="EB100" i="17"/>
  <c r="FG100" i="17"/>
  <c r="FH103" i="17"/>
  <c r="GM103" i="17"/>
  <c r="FH104" i="17"/>
  <c r="GM104" i="17"/>
  <c r="FH106" i="17"/>
  <c r="GM106" i="17"/>
  <c r="DU109" i="17"/>
  <c r="EZ109" i="17"/>
  <c r="EB110" i="17"/>
  <c r="FG110" i="17"/>
  <c r="EB111" i="17"/>
  <c r="FG111" i="17"/>
  <c r="DU112" i="17"/>
  <c r="EZ112" i="17"/>
  <c r="EB113" i="17"/>
  <c r="FG113" i="17"/>
  <c r="DU114" i="17"/>
  <c r="EZ114" i="17"/>
  <c r="EB115" i="17"/>
  <c r="FG115" i="17"/>
  <c r="DU116" i="17"/>
  <c r="EZ116" i="17"/>
  <c r="DU118" i="17"/>
  <c r="EZ118" i="17"/>
  <c r="FH121" i="17"/>
  <c r="GM121" i="17"/>
  <c r="FA122" i="17"/>
  <c r="GF122" i="17"/>
  <c r="BA161" i="17"/>
  <c r="BQ139" i="17"/>
  <c r="FE127" i="17"/>
  <c r="DY128" i="17"/>
  <c r="DY129" i="17" s="1"/>
  <c r="CL32" i="11"/>
  <c r="FF16" i="17"/>
  <c r="GL16" i="17" s="1"/>
  <c r="HR16" i="17" s="1"/>
  <c r="DZ123" i="17"/>
  <c r="FA126" i="17"/>
  <c r="GF126" i="17"/>
  <c r="FE147" i="17"/>
  <c r="GK144" i="17"/>
  <c r="HE52" i="17"/>
  <c r="HU52" i="17" s="1"/>
  <c r="GO52" i="17"/>
  <c r="HE54" i="17"/>
  <c r="HU54" i="17" s="1"/>
  <c r="GO54" i="17"/>
  <c r="HE58" i="17"/>
  <c r="HU58" i="17" s="1"/>
  <c r="GO58" i="17"/>
  <c r="HE60" i="17"/>
  <c r="HU60" i="17" s="1"/>
  <c r="GO60" i="17"/>
  <c r="HE62" i="17"/>
  <c r="HU62" i="17" s="1"/>
  <c r="GO62" i="17"/>
  <c r="HE64" i="17"/>
  <c r="HU64" i="17" s="1"/>
  <c r="GO64" i="17"/>
  <c r="HE66" i="17"/>
  <c r="HU66" i="17" s="1"/>
  <c r="GO66" i="17"/>
  <c r="HE70" i="17"/>
  <c r="HU70" i="17" s="1"/>
  <c r="GO70" i="17"/>
  <c r="HE72" i="17"/>
  <c r="HU72" i="17" s="1"/>
  <c r="GO72" i="17"/>
  <c r="HE73" i="17"/>
  <c r="HU73" i="17" s="1"/>
  <c r="GO73" i="17"/>
  <c r="HE74" i="17"/>
  <c r="HU74" i="17" s="1"/>
  <c r="GO74" i="17"/>
  <c r="HE76" i="17"/>
  <c r="HU76" i="17" s="1"/>
  <c r="GO76" i="17"/>
  <c r="HE78" i="17"/>
  <c r="HU78" i="17" s="1"/>
  <c r="GO78" i="17"/>
  <c r="HE79" i="17"/>
  <c r="HU79" i="17" s="1"/>
  <c r="GO79" i="17"/>
  <c r="HE81" i="17"/>
  <c r="HU81" i="17" s="1"/>
  <c r="GO81" i="17"/>
  <c r="FA130" i="17"/>
  <c r="EZ131" i="17"/>
  <c r="GF130" i="17"/>
  <c r="HU166" i="17"/>
  <c r="FZ174" i="17"/>
  <c r="ET173" i="17"/>
  <c r="GL174" i="17"/>
  <c r="FF173" i="17"/>
  <c r="EC173" i="17"/>
  <c r="DM211" i="17"/>
  <c r="FF132" i="17"/>
  <c r="DZ138" i="17"/>
  <c r="FA132" i="17"/>
  <c r="GF132" i="17"/>
  <c r="D39" i="42"/>
  <c r="E39" i="42" s="1"/>
  <c r="DT168" i="17"/>
  <c r="CO168" i="17"/>
  <c r="CN212" i="17"/>
  <c r="CT168" i="17"/>
  <c r="BN211" i="17"/>
  <c r="BN243" i="17" s="1"/>
  <c r="GM187" i="17"/>
  <c r="FH187" i="17"/>
  <c r="D14" i="57"/>
  <c r="HS224" i="17"/>
  <c r="GM226" i="17"/>
  <c r="FA177" i="17"/>
  <c r="GF177" i="17"/>
  <c r="C16" i="53"/>
  <c r="EQ211" i="17"/>
  <c r="EQ243" i="17" s="1"/>
  <c r="AJ141" i="17"/>
  <c r="BP141" i="17"/>
  <c r="CV141" i="17"/>
  <c r="FI123" i="17"/>
  <c r="FY123" i="17"/>
  <c r="FA99" i="17"/>
  <c r="GF99" i="17"/>
  <c r="FA100" i="17"/>
  <c r="GF100" i="17"/>
  <c r="DU103" i="17"/>
  <c r="EZ103" i="17"/>
  <c r="DU104" i="17"/>
  <c r="EZ104" i="17"/>
  <c r="DU106" i="17"/>
  <c r="EZ106" i="17"/>
  <c r="FH109" i="17"/>
  <c r="GM109" i="17"/>
  <c r="FA110" i="17"/>
  <c r="GF110" i="17"/>
  <c r="FA111" i="17"/>
  <c r="GF111" i="17"/>
  <c r="FH112" i="17"/>
  <c r="GM112" i="17"/>
  <c r="FA113" i="17"/>
  <c r="GF113" i="17"/>
  <c r="FH114" i="17"/>
  <c r="GM114" i="17"/>
  <c r="FA115" i="17"/>
  <c r="GF115" i="17"/>
  <c r="FH116" i="17"/>
  <c r="GM116" i="17"/>
  <c r="FH118" i="17"/>
  <c r="GM118" i="17"/>
  <c r="DU121" i="17"/>
  <c r="EZ121" i="17"/>
  <c r="EB122" i="17"/>
  <c r="FG122" i="17"/>
  <c r="J139" i="17"/>
  <c r="I161" i="17"/>
  <c r="J161" i="17" s="1"/>
  <c r="EY136" i="17"/>
  <c r="DS138" i="17"/>
  <c r="D18" i="45"/>
  <c r="EB168" i="17"/>
  <c r="FG168" i="17"/>
  <c r="GF176" i="17"/>
  <c r="FA176" i="17"/>
  <c r="EB178" i="17"/>
  <c r="FG178" i="17"/>
  <c r="GF184" i="17"/>
  <c r="FA184" i="17"/>
  <c r="HS209" i="17"/>
  <c r="HT209" i="17" s="1"/>
  <c r="GN209" i="17"/>
  <c r="C25" i="57"/>
  <c r="HR220" i="17"/>
  <c r="C26" i="57"/>
  <c r="HR221" i="17"/>
  <c r="D9" i="57"/>
  <c r="HS225" i="17"/>
  <c r="C15" i="57"/>
  <c r="E15" i="57" s="1"/>
  <c r="HR228" i="17"/>
  <c r="CH163" i="17"/>
  <c r="CH211" i="17" s="1"/>
  <c r="DN164" i="17"/>
  <c r="HS140" i="17"/>
  <c r="GN140" i="17"/>
  <c r="EB143" i="17"/>
  <c r="FG143" i="17"/>
  <c r="DU144" i="17"/>
  <c r="EZ144" i="17"/>
  <c r="EB150" i="17"/>
  <c r="FG150" i="17"/>
  <c r="EB151" i="17"/>
  <c r="FG151" i="17"/>
  <c r="EV163" i="17"/>
  <c r="EV211" i="17" s="1"/>
  <c r="DP211" i="17"/>
  <c r="EX163" i="17"/>
  <c r="EX211" i="17" s="1"/>
  <c r="DR211" i="17"/>
  <c r="FB163" i="17"/>
  <c r="FB211" i="17" s="1"/>
  <c r="DV211" i="17"/>
  <c r="FD163" i="17"/>
  <c r="FD211" i="17" s="1"/>
  <c r="C18" i="52" s="1"/>
  <c r="DX211" i="17"/>
  <c r="C20" i="45" s="1"/>
  <c r="HE176" i="17"/>
  <c r="HU176" i="17" s="1"/>
  <c r="GO176" i="17"/>
  <c r="GO145" i="17"/>
  <c r="HE145" i="17"/>
  <c r="HU145" i="17" s="1"/>
  <c r="AC132" i="17"/>
  <c r="R138" i="17"/>
  <c r="CO138" i="17" s="1"/>
  <c r="BI132" i="17"/>
  <c r="CO132" i="17"/>
  <c r="CL82" i="11"/>
  <c r="CD85" i="11"/>
  <c r="EB146" i="17"/>
  <c r="FG146" i="17"/>
  <c r="CV127" i="17"/>
  <c r="EA127" i="17"/>
  <c r="EA128" i="17" s="1"/>
  <c r="EB128" i="17" s="1"/>
  <c r="FH37" i="17"/>
  <c r="GM37" i="17"/>
  <c r="FA38" i="17"/>
  <c r="GF38" i="17"/>
  <c r="FH39" i="17"/>
  <c r="GM39" i="17"/>
  <c r="FA40" i="17"/>
  <c r="GF40" i="17"/>
  <c r="FH41" i="17"/>
  <c r="GM41" i="17"/>
  <c r="FA43" i="17"/>
  <c r="GF43" i="17"/>
  <c r="FA44" i="17"/>
  <c r="GF44" i="17"/>
  <c r="HG123" i="17"/>
  <c r="HG129" i="17" s="1"/>
  <c r="GA129" i="17"/>
  <c r="HK123" i="17"/>
  <c r="HP123" i="17"/>
  <c r="HP129" i="17" s="1"/>
  <c r="GJ129" i="17"/>
  <c r="GN133" i="17"/>
  <c r="HS133" i="17"/>
  <c r="HT133" i="17" s="1"/>
  <c r="EB134" i="17"/>
  <c r="FG134" i="17"/>
  <c r="HE144" i="17"/>
  <c r="HU144" i="17" s="1"/>
  <c r="GO144" i="17"/>
  <c r="EV152" i="17"/>
  <c r="DP154" i="17"/>
  <c r="DP161" i="17" s="1"/>
  <c r="DU166" i="17"/>
  <c r="EZ166" i="17"/>
  <c r="FH185" i="17"/>
  <c r="GM185" i="17"/>
  <c r="DU209" i="17"/>
  <c r="EZ209" i="17"/>
  <c r="C34" i="57"/>
  <c r="E34" i="57" s="1"/>
  <c r="HK230" i="17"/>
  <c r="GE209" i="17"/>
  <c r="HK209" i="17" s="1"/>
  <c r="C37" i="56"/>
  <c r="FQ211" i="17"/>
  <c r="FQ243" i="17" s="1"/>
  <c r="GL130" i="17"/>
  <c r="FF131" i="17"/>
  <c r="GO140" i="17"/>
  <c r="HE140" i="17"/>
  <c r="ES148" i="17"/>
  <c r="DM154" i="17"/>
  <c r="EC154" i="17" s="1"/>
  <c r="EC148" i="17"/>
  <c r="DS160" i="17"/>
  <c r="EY155" i="17"/>
  <c r="EB164" i="17"/>
  <c r="FG164" i="17"/>
  <c r="EA163" i="17"/>
  <c r="GL163" i="17"/>
  <c r="HR164" i="17"/>
  <c r="HR163" i="17" s="1"/>
  <c r="EB165" i="17"/>
  <c r="FG165" i="17"/>
  <c r="GN166" i="17"/>
  <c r="HS166" i="17"/>
  <c r="HT166" i="17" s="1"/>
  <c r="HE167" i="17"/>
  <c r="HU167" i="17" s="1"/>
  <c r="GO167" i="17"/>
  <c r="HC209" i="17"/>
  <c r="HA211" i="17"/>
  <c r="C18" i="60" s="1"/>
  <c r="EZ170" i="17"/>
  <c r="DU170" i="17"/>
  <c r="EZ172" i="17"/>
  <c r="DU172" i="17"/>
  <c r="FZ143" i="17"/>
  <c r="ET147" i="17"/>
  <c r="C7" i="45"/>
  <c r="DV244" i="17"/>
  <c r="EY149" i="17"/>
  <c r="DS154" i="17"/>
  <c r="GA132" i="17"/>
  <c r="EU138" i="17"/>
  <c r="GM192" i="17"/>
  <c r="FH192" i="17"/>
  <c r="FI189" i="17"/>
  <c r="FY189" i="17"/>
  <c r="FH52" i="17"/>
  <c r="GM52" i="17"/>
  <c r="FA53" i="17"/>
  <c r="GF53" i="17"/>
  <c r="FH54" i="17"/>
  <c r="GM54" i="17"/>
  <c r="FA55" i="17"/>
  <c r="GF55" i="17"/>
  <c r="FA56" i="17"/>
  <c r="GF56" i="17"/>
  <c r="FH57" i="17"/>
  <c r="GM57" i="17"/>
  <c r="FH58" i="17"/>
  <c r="GM58" i="17"/>
  <c r="FA59" i="17"/>
  <c r="GF59" i="17"/>
  <c r="FH60" i="17"/>
  <c r="GM60" i="17"/>
  <c r="FH62" i="17"/>
  <c r="GM62" i="17"/>
  <c r="FA63" i="17"/>
  <c r="GF63" i="17"/>
  <c r="FH64" i="17"/>
  <c r="GM64" i="17"/>
  <c r="FH65" i="17"/>
  <c r="GM65" i="17"/>
  <c r="FH66" i="17"/>
  <c r="GM66" i="17"/>
  <c r="FH67" i="17"/>
  <c r="GM67" i="17"/>
  <c r="FA68" i="17"/>
  <c r="GF68" i="17"/>
  <c r="FH69" i="17"/>
  <c r="GM69" i="17"/>
  <c r="FH70" i="17"/>
  <c r="GM70" i="17"/>
  <c r="FA71" i="17"/>
  <c r="GF71" i="17"/>
  <c r="FH72" i="17"/>
  <c r="GM72" i="17"/>
  <c r="FH73" i="17"/>
  <c r="GM73" i="17"/>
  <c r="DU75" i="17"/>
  <c r="EZ75" i="17"/>
  <c r="DU76" i="17"/>
  <c r="EZ76" i="17"/>
  <c r="EB77" i="17"/>
  <c r="FG77" i="17"/>
  <c r="DU78" i="17"/>
  <c r="EZ78" i="17"/>
  <c r="DU80" i="17"/>
  <c r="EZ80" i="17"/>
  <c r="DU81" i="17"/>
  <c r="EZ81" i="17"/>
  <c r="EB82" i="17"/>
  <c r="FG82" i="17"/>
  <c r="DU83" i="17"/>
  <c r="EZ83" i="17"/>
  <c r="FA29" i="17"/>
  <c r="GF29" i="17"/>
  <c r="EB45" i="17"/>
  <c r="FG45" i="17"/>
  <c r="DU46" i="17"/>
  <c r="EZ46" i="17"/>
  <c r="EB47" i="17"/>
  <c r="FG47" i="17"/>
  <c r="DU48" i="17"/>
  <c r="EZ48" i="17"/>
  <c r="EB49" i="17"/>
  <c r="FG49" i="17"/>
  <c r="DU50" i="17"/>
  <c r="EZ50" i="17"/>
  <c r="FA45" i="17"/>
  <c r="GF45" i="17"/>
  <c r="FA47" i="17"/>
  <c r="GF47" i="17"/>
  <c r="FA49" i="17"/>
  <c r="GF49" i="17"/>
  <c r="FH84" i="17"/>
  <c r="GM84" i="17"/>
  <c r="DU85" i="17"/>
  <c r="EZ85" i="17"/>
  <c r="EB86" i="17"/>
  <c r="FG86" i="17"/>
  <c r="DU94" i="17"/>
  <c r="EZ94" i="17"/>
  <c r="FH184" i="17"/>
  <c r="GM184" i="17"/>
  <c r="EC185" i="17"/>
  <c r="ES185" i="17"/>
  <c r="ES173" i="17" s="1"/>
  <c r="FH188" i="17"/>
  <c r="GM188" i="17"/>
  <c r="DU190" i="17"/>
  <c r="EZ190" i="17"/>
  <c r="DU193" i="17"/>
  <c r="EZ193" i="17"/>
  <c r="DT191" i="17"/>
  <c r="DU191" i="17" s="1"/>
  <c r="DU207" i="17"/>
  <c r="EZ207" i="17"/>
  <c r="GN210" i="17"/>
  <c r="HS210" i="17"/>
  <c r="HT210" i="17" s="1"/>
  <c r="D53" i="48"/>
  <c r="DH246" i="17"/>
  <c r="DH248" i="17" s="1"/>
  <c r="G29" i="48"/>
  <c r="F28" i="48"/>
  <c r="G28" i="48" s="1"/>
  <c r="F50" i="48"/>
  <c r="G50" i="48" s="1"/>
  <c r="G51" i="48"/>
  <c r="DB246" i="17"/>
  <c r="DB248" i="17" s="1"/>
  <c r="GM141" i="17"/>
  <c r="FH141" i="17"/>
  <c r="GO155" i="17"/>
  <c r="HE155" i="17"/>
  <c r="GC160" i="17"/>
  <c r="HI155" i="17"/>
  <c r="HI160" i="17" s="1"/>
  <c r="GK160" i="17"/>
  <c r="HQ155" i="17"/>
  <c r="HQ160" i="17" s="1"/>
  <c r="DU180" i="17"/>
  <c r="EZ180" i="17"/>
  <c r="DU183" i="17"/>
  <c r="EZ183" i="17"/>
  <c r="FH167" i="17"/>
  <c r="GM167" i="17"/>
  <c r="FA175" i="17"/>
  <c r="GF175" i="17"/>
  <c r="FH176" i="17"/>
  <c r="GM176" i="17"/>
  <c r="GM179" i="17"/>
  <c r="FH179" i="17"/>
  <c r="FH180" i="17"/>
  <c r="GM180" i="17"/>
  <c r="DZ147" i="17"/>
  <c r="FF140" i="17"/>
  <c r="HT148" i="17"/>
  <c r="FI156" i="17"/>
  <c r="FY156" i="17"/>
  <c r="FA155" i="17"/>
  <c r="GF155" i="17"/>
  <c r="GF182" i="17"/>
  <c r="FA182" i="17"/>
  <c r="GN197" i="17"/>
  <c r="HS197" i="17"/>
  <c r="HT197" i="17" s="1"/>
  <c r="HL213" i="17"/>
  <c r="HL215" i="17" s="1"/>
  <c r="GF215" i="17"/>
  <c r="D38" i="57" s="1"/>
  <c r="GO146" i="17"/>
  <c r="HE146" i="17"/>
  <c r="HU146" i="17" s="1"/>
  <c r="HQ224" i="17"/>
  <c r="HQ226" i="17" s="1"/>
  <c r="GK226" i="17"/>
  <c r="HG240" i="17"/>
  <c r="HG241" i="17" s="1"/>
  <c r="GA241" i="17"/>
  <c r="HI240" i="17"/>
  <c r="HI241" i="17" s="1"/>
  <c r="GC241" i="17"/>
  <c r="C24" i="57"/>
  <c r="HR240" i="17"/>
  <c r="GL241" i="17"/>
  <c r="C14" i="57"/>
  <c r="HR224" i="17"/>
  <c r="GL226" i="17"/>
  <c r="FH189" i="17"/>
  <c r="GM189" i="17"/>
  <c r="HO224" i="17"/>
  <c r="HO226" i="17" s="1"/>
  <c r="GI226" i="17"/>
  <c r="HN240" i="17"/>
  <c r="HN241" i="17" s="1"/>
  <c r="GH241" i="17"/>
  <c r="HP240" i="17"/>
  <c r="HP241" i="17" s="1"/>
  <c r="GJ241" i="17"/>
  <c r="E33" i="57"/>
  <c r="EA123" i="17"/>
  <c r="DX161" i="17"/>
  <c r="C8" i="45" s="1"/>
  <c r="AY243" i="17"/>
  <c r="AY246" i="17" s="1"/>
  <c r="E19" i="57"/>
  <c r="CN129" i="17"/>
  <c r="CW173" i="17"/>
  <c r="CG211" i="17"/>
  <c r="CL70" i="11"/>
  <c r="CD72" i="11"/>
  <c r="CT76" i="11"/>
  <c r="CL78" i="11"/>
  <c r="CW139" i="17"/>
  <c r="CG161" i="17"/>
  <c r="DU16" i="17"/>
  <c r="EZ16" i="17"/>
  <c r="EB21" i="17"/>
  <c r="FG21" i="17"/>
  <c r="EB27" i="17"/>
  <c r="FG27" i="17"/>
  <c r="EB29" i="17"/>
  <c r="FG29" i="17"/>
  <c r="EB137" i="17"/>
  <c r="FG137" i="17"/>
  <c r="FI174" i="17"/>
  <c r="FY174" i="17"/>
  <c r="FA178" i="17"/>
  <c r="GF178" i="17"/>
  <c r="DU188" i="17"/>
  <c r="EZ188" i="17"/>
  <c r="DS191" i="17"/>
  <c r="C40" i="45" s="1"/>
  <c r="EY192" i="17"/>
  <c r="E18" i="41"/>
  <c r="C28" i="41"/>
  <c r="HK168" i="17"/>
  <c r="FI186" i="17"/>
  <c r="FY186" i="17"/>
  <c r="FA86" i="17"/>
  <c r="GF86" i="17"/>
  <c r="EV138" i="17"/>
  <c r="EV139" i="17" s="1"/>
  <c r="GB132" i="17"/>
  <c r="FG144" i="17"/>
  <c r="EB144" i="17"/>
  <c r="EA160" i="17"/>
  <c r="EB155" i="17"/>
  <c r="FG155" i="17"/>
  <c r="EZ158" i="17"/>
  <c r="DU158" i="17"/>
  <c r="GJ130" i="17"/>
  <c r="FD131" i="17"/>
  <c r="FD139" i="17" s="1"/>
  <c r="EZ133" i="17"/>
  <c r="DU133" i="17"/>
  <c r="GE125" i="17"/>
  <c r="EB149" i="17"/>
  <c r="FG149" i="17"/>
  <c r="EA154" i="17"/>
  <c r="EB154" i="17" s="1"/>
  <c r="EB153" i="17"/>
  <c r="FG153" i="17"/>
  <c r="DU157" i="17"/>
  <c r="EZ157" i="17"/>
  <c r="EB159" i="17"/>
  <c r="FG159" i="17"/>
  <c r="GG210" i="17"/>
  <c r="HL210" i="17"/>
  <c r="HM210" i="17" s="1"/>
  <c r="D26" i="57"/>
  <c r="HS221" i="17"/>
  <c r="DM139" i="17"/>
  <c r="EC129" i="17"/>
  <c r="GO39" i="17"/>
  <c r="HE39" i="17"/>
  <c r="HU39" i="17" s="1"/>
  <c r="GO41" i="17"/>
  <c r="HE41" i="17"/>
  <c r="HU41" i="17" s="1"/>
  <c r="EB126" i="17"/>
  <c r="FG126" i="17"/>
  <c r="DU127" i="17"/>
  <c r="EZ127" i="17"/>
  <c r="DT128" i="17"/>
  <c r="DU128" i="17" s="1"/>
  <c r="HE57" i="17"/>
  <c r="HU57" i="17" s="1"/>
  <c r="GO57" i="17"/>
  <c r="HE65" i="17"/>
  <c r="HU65" i="17" s="1"/>
  <c r="GO65" i="17"/>
  <c r="HE67" i="17"/>
  <c r="HU67" i="17" s="1"/>
  <c r="GO67" i="17"/>
  <c r="HE69" i="17"/>
  <c r="HU69" i="17" s="1"/>
  <c r="GO69" i="17"/>
  <c r="HE75" i="17"/>
  <c r="HU75" i="17" s="1"/>
  <c r="GO75" i="17"/>
  <c r="HE80" i="17"/>
  <c r="HU80" i="17" s="1"/>
  <c r="GO80" i="17"/>
  <c r="FT247" i="17"/>
  <c r="G28" i="56"/>
  <c r="D51" i="56"/>
  <c r="GL148" i="17"/>
  <c r="FF154" i="17"/>
  <c r="S160" i="17"/>
  <c r="AJ155" i="17"/>
  <c r="BP155" i="17"/>
  <c r="GL156" i="17"/>
  <c r="FF160" i="17"/>
  <c r="EB170" i="17"/>
  <c r="FG170" i="17"/>
  <c r="DT173" i="17"/>
  <c r="DU173" i="17" s="1"/>
  <c r="DU174" i="17"/>
  <c r="EZ174" i="17"/>
  <c r="F12" i="52"/>
  <c r="C12" i="52" s="1"/>
  <c r="F13" i="52"/>
  <c r="C13" i="52" s="1"/>
  <c r="FZ123" i="17"/>
  <c r="EX129" i="17"/>
  <c r="EX139" i="17" s="1"/>
  <c r="GD123" i="17"/>
  <c r="EZ142" i="17"/>
  <c r="DU142" i="17"/>
  <c r="EB175" i="17"/>
  <c r="FG175" i="17"/>
  <c r="EA173" i="17"/>
  <c r="EB173" i="17" s="1"/>
  <c r="EB177" i="17"/>
  <c r="FG177" i="17"/>
  <c r="FH181" i="17"/>
  <c r="GM181" i="17"/>
  <c r="EB182" i="17"/>
  <c r="FG182" i="17"/>
  <c r="FH183" i="17"/>
  <c r="GM183" i="17"/>
  <c r="GB163" i="17"/>
  <c r="HH164" i="17"/>
  <c r="HH163" i="17" s="1"/>
  <c r="GD163" i="17"/>
  <c r="GD211" i="17" s="1"/>
  <c r="HJ164" i="17"/>
  <c r="HJ163" i="17" s="1"/>
  <c r="HJ211" i="17" s="1"/>
  <c r="GH163" i="17"/>
  <c r="HN164" i="17"/>
  <c r="HN163" i="17" s="1"/>
  <c r="GJ163" i="17"/>
  <c r="GJ211" i="17" s="1"/>
  <c r="C18" i="57" s="1"/>
  <c r="HP164" i="17"/>
  <c r="HP163" i="17" s="1"/>
  <c r="HP211" i="17" s="1"/>
  <c r="GO180" i="17"/>
  <c r="HE180" i="17"/>
  <c r="HU180" i="17" s="1"/>
  <c r="DU181" i="17"/>
  <c r="EZ181" i="17"/>
  <c r="HH130" i="17"/>
  <c r="HH131" i="17" s="1"/>
  <c r="GB131" i="17"/>
  <c r="DU141" i="17"/>
  <c r="EZ141" i="17"/>
  <c r="HL136" i="17"/>
  <c r="HM136" i="17" s="1"/>
  <c r="GG136" i="17"/>
  <c r="FA179" i="17"/>
  <c r="GF179" i="17"/>
  <c r="D32" i="42"/>
  <c r="CJ244" i="17"/>
  <c r="FH16" i="17"/>
  <c r="GM16" i="17"/>
  <c r="FA18" i="17"/>
  <c r="GF18" i="17"/>
  <c r="DU19" i="17"/>
  <c r="EZ19" i="17"/>
  <c r="EB20" i="17"/>
  <c r="FG20" i="17"/>
  <c r="FA20" i="17"/>
  <c r="GF20" i="17"/>
  <c r="FH22" i="17"/>
  <c r="GM22" i="17"/>
  <c r="DU23" i="17"/>
  <c r="EZ23" i="17"/>
  <c r="EB24" i="17"/>
  <c r="FG24" i="17"/>
  <c r="FA24" i="17"/>
  <c r="GF24" i="17"/>
  <c r="DU25" i="17"/>
  <c r="EZ25" i="17"/>
  <c r="EB26" i="17"/>
  <c r="FG26" i="17"/>
  <c r="FA26" i="17"/>
  <c r="GF26" i="17"/>
  <c r="EB28" i="17"/>
  <c r="FG28" i="17"/>
  <c r="FA28" i="17"/>
  <c r="GF28" i="17"/>
  <c r="FH30" i="17"/>
  <c r="GM30" i="17"/>
  <c r="DU31" i="17"/>
  <c r="EZ31" i="17"/>
  <c r="EB32" i="17"/>
  <c r="FG32" i="17"/>
  <c r="FA32" i="17"/>
  <c r="GF32" i="17"/>
  <c r="DU33" i="17"/>
  <c r="EZ33" i="17"/>
  <c r="EB34" i="17"/>
  <c r="FG34" i="17"/>
  <c r="FA34" i="17"/>
  <c r="GF34" i="17"/>
  <c r="DU35" i="17"/>
  <c r="EZ35" i="17"/>
  <c r="EB36" i="17"/>
  <c r="FG36" i="17"/>
  <c r="FA36" i="17"/>
  <c r="GF36" i="17"/>
  <c r="DU37" i="17"/>
  <c r="EZ37" i="17"/>
  <c r="EB38" i="17"/>
  <c r="FG38" i="17"/>
  <c r="DU39" i="17"/>
  <c r="EZ39" i="17"/>
  <c r="EB40" i="17"/>
  <c r="FG40" i="17"/>
  <c r="DU41" i="17"/>
  <c r="EZ41" i="17"/>
  <c r="EB43" i="17"/>
  <c r="FG43" i="17"/>
  <c r="EB44" i="17"/>
  <c r="FG44" i="17"/>
  <c r="DU52" i="17"/>
  <c r="EZ52" i="17"/>
  <c r="EB53" i="17"/>
  <c r="FG53" i="17"/>
  <c r="DU54" i="17"/>
  <c r="EZ54" i="17"/>
  <c r="EB55" i="17"/>
  <c r="FG55" i="17"/>
  <c r="EB56" i="17"/>
  <c r="FG56" i="17"/>
  <c r="DU57" i="17"/>
  <c r="EZ57" i="17"/>
  <c r="DU58" i="17"/>
  <c r="EZ58" i="17"/>
  <c r="EB59" i="17"/>
  <c r="FG59" i="17"/>
  <c r="DU60" i="17"/>
  <c r="EZ60" i="17"/>
  <c r="DU62" i="17"/>
  <c r="EZ62" i="17"/>
  <c r="EB63" i="17"/>
  <c r="FG63" i="17"/>
  <c r="DU64" i="17"/>
  <c r="EZ64" i="17"/>
  <c r="DU65" i="17"/>
  <c r="EZ65" i="17"/>
  <c r="DU66" i="17"/>
  <c r="EZ66" i="17"/>
  <c r="DU67" i="17"/>
  <c r="EZ67" i="17"/>
  <c r="EB68" i="17"/>
  <c r="FG68" i="17"/>
  <c r="DU69" i="17"/>
  <c r="EZ69" i="17"/>
  <c r="DU70" i="17"/>
  <c r="EZ70" i="17"/>
  <c r="EB71" i="17"/>
  <c r="FG71" i="17"/>
  <c r="DU72" i="17"/>
  <c r="EZ72" i="17"/>
  <c r="DU73" i="17"/>
  <c r="EZ73" i="17"/>
  <c r="FH75" i="17"/>
  <c r="GM75" i="17"/>
  <c r="FH76" i="17"/>
  <c r="GM76" i="17"/>
  <c r="FA77" i="17"/>
  <c r="GF77" i="17"/>
  <c r="FH78" i="17"/>
  <c r="GM78" i="17"/>
  <c r="FH80" i="17"/>
  <c r="GM80" i="17"/>
  <c r="FH81" i="17"/>
  <c r="GM81" i="17"/>
  <c r="FA82" i="17"/>
  <c r="GF82" i="17"/>
  <c r="FH83" i="17"/>
  <c r="GM83" i="17"/>
  <c r="D51" i="35"/>
  <c r="D55" i="35" s="1"/>
  <c r="G27" i="35"/>
  <c r="E7" i="41"/>
  <c r="D28" i="41"/>
  <c r="D29" i="41"/>
  <c r="CW128" i="17"/>
  <c r="CF129" i="17"/>
  <c r="FA15" i="17"/>
  <c r="GF15" i="17"/>
  <c r="FH17" i="17"/>
  <c r="GM17" i="17"/>
  <c r="FH19" i="17"/>
  <c r="GM19" i="17"/>
  <c r="DU22" i="17"/>
  <c r="EZ22" i="17"/>
  <c r="FH23" i="17"/>
  <c r="GM23" i="17"/>
  <c r="FH25" i="17"/>
  <c r="GM25" i="17"/>
  <c r="DU30" i="17"/>
  <c r="EZ30" i="17"/>
  <c r="FH31" i="17"/>
  <c r="GM31" i="17"/>
  <c r="FH33" i="17"/>
  <c r="GM33" i="17"/>
  <c r="FH35" i="17"/>
  <c r="GM35" i="17"/>
  <c r="DU84" i="17"/>
  <c r="EZ84" i="17"/>
  <c r="FH85" i="17"/>
  <c r="GM85" i="17"/>
  <c r="FH94" i="17"/>
  <c r="GM94" i="17"/>
  <c r="FY152" i="17"/>
  <c r="FI152" i="17"/>
  <c r="DT163" i="17"/>
  <c r="DU164" i="17"/>
  <c r="EZ164" i="17"/>
  <c r="D40" i="42"/>
  <c r="CO163" i="17"/>
  <c r="CN211" i="17"/>
  <c r="CO211" i="17" s="1"/>
  <c r="DU203" i="17"/>
  <c r="EZ203" i="17"/>
  <c r="DU204" i="17"/>
  <c r="EZ204" i="17"/>
  <c r="FN246" i="17"/>
  <c r="G49" i="56"/>
  <c r="GB129" i="17"/>
  <c r="HH123" i="17"/>
  <c r="HH129" i="17" s="1"/>
  <c r="HE96" i="17"/>
  <c r="HU96" i="17" s="1"/>
  <c r="GO96" i="17"/>
  <c r="HE104" i="17"/>
  <c r="HU104" i="17" s="1"/>
  <c r="GO104" i="17"/>
  <c r="HE106" i="17"/>
  <c r="HU106" i="17" s="1"/>
  <c r="GO106" i="17"/>
  <c r="HE112" i="17"/>
  <c r="HU112" i="17" s="1"/>
  <c r="GO112" i="17"/>
  <c r="HE114" i="17"/>
  <c r="HU114" i="17" s="1"/>
  <c r="GO114" i="17"/>
  <c r="HE116" i="17"/>
  <c r="HU116" i="17" s="1"/>
  <c r="GO116" i="17"/>
  <c r="HE118" i="17"/>
  <c r="HU118" i="17" s="1"/>
  <c r="GO118" i="17"/>
  <c r="HE120" i="17"/>
  <c r="HU120" i="17" s="1"/>
  <c r="GO120" i="17"/>
  <c r="HU125" i="17"/>
  <c r="ET138" i="17"/>
  <c r="FZ132" i="17"/>
  <c r="HE138" i="17"/>
  <c r="HU138" i="17" s="1"/>
  <c r="HU132" i="17"/>
  <c r="HI140" i="17"/>
  <c r="HI147" i="17" s="1"/>
  <c r="GC147" i="17"/>
  <c r="D20" i="42"/>
  <c r="E20" i="42" s="1"/>
  <c r="CV163" i="17"/>
  <c r="CU211" i="17"/>
  <c r="CV211" i="17" s="1"/>
  <c r="FF163" i="17"/>
  <c r="EU166" i="17"/>
  <c r="GA166" i="17" s="1"/>
  <c r="DO163" i="17"/>
  <c r="EZ169" i="17"/>
  <c r="DU169" i="17"/>
  <c r="GW211" i="17"/>
  <c r="GW243" i="17" s="1"/>
  <c r="HK140" i="17"/>
  <c r="GB143" i="17"/>
  <c r="EV147" i="17"/>
  <c r="GD143" i="17"/>
  <c r="EX147" i="17"/>
  <c r="GH143" i="17"/>
  <c r="FB147" i="17"/>
  <c r="FB161" i="17" s="1"/>
  <c r="GJ143" i="17"/>
  <c r="FD147" i="17"/>
  <c r="FA148" i="17"/>
  <c r="GF148" i="17"/>
  <c r="EZ154" i="17"/>
  <c r="FA154" i="17" s="1"/>
  <c r="FA149" i="17"/>
  <c r="GF149" i="17"/>
  <c r="EB152" i="17"/>
  <c r="FG152" i="17"/>
  <c r="FA152" i="17"/>
  <c r="GF152" i="17"/>
  <c r="FA153" i="17"/>
  <c r="GF153" i="17"/>
  <c r="DU156" i="17"/>
  <c r="EZ156" i="17"/>
  <c r="FH156" i="17"/>
  <c r="GM156" i="17"/>
  <c r="GN157" i="17"/>
  <c r="HS157" i="17"/>
  <c r="HT157" i="17" s="1"/>
  <c r="FH158" i="17"/>
  <c r="GM158" i="17"/>
  <c r="FA159" i="17"/>
  <c r="GF159" i="17"/>
  <c r="FA150" i="17"/>
  <c r="GF150" i="17"/>
  <c r="FA151" i="17"/>
  <c r="GF151" i="17"/>
  <c r="FA165" i="17"/>
  <c r="GF165" i="17"/>
  <c r="HG213" i="17"/>
  <c r="HG215" i="17" s="1"/>
  <c r="GA215" i="17"/>
  <c r="HI213" i="17"/>
  <c r="HI215" i="17" s="1"/>
  <c r="GC215" i="17"/>
  <c r="GO37" i="17"/>
  <c r="HE37" i="17"/>
  <c r="HU37" i="17" s="1"/>
  <c r="HI123" i="17"/>
  <c r="HI129" i="17" s="1"/>
  <c r="GC129" i="17"/>
  <c r="HN123" i="17"/>
  <c r="HN129" i="17" s="1"/>
  <c r="HN139" i="17" s="1"/>
  <c r="GH129" i="17"/>
  <c r="GH139" i="17" s="1"/>
  <c r="DU143" i="17"/>
  <c r="EZ143" i="17"/>
  <c r="DY163" i="17"/>
  <c r="FE164" i="17"/>
  <c r="GK164" i="17" s="1"/>
  <c r="EB186" i="17"/>
  <c r="FG186" i="17"/>
  <c r="F15" i="45"/>
  <c r="C15" i="45" s="1"/>
  <c r="F14" i="45"/>
  <c r="C14" i="45" s="1"/>
  <c r="F13" i="45"/>
  <c r="C13" i="45" s="1"/>
  <c r="DU140" i="17"/>
  <c r="DT147" i="17"/>
  <c r="DU147" i="17" s="1"/>
  <c r="EZ140" i="17"/>
  <c r="G28" i="60"/>
  <c r="G27" i="60"/>
  <c r="G25" i="60" s="1"/>
  <c r="D51" i="60"/>
  <c r="DS166" i="17"/>
  <c r="CM163" i="17"/>
  <c r="EZ171" i="17"/>
  <c r="DU171" i="17"/>
  <c r="C16" i="52"/>
  <c r="GH168" i="17"/>
  <c r="HN168" i="17" s="1"/>
  <c r="GA130" i="17"/>
  <c r="EU131" i="17"/>
  <c r="HO140" i="17"/>
  <c r="HO147" i="17" s="1"/>
  <c r="GI147" i="17"/>
  <c r="EB145" i="17"/>
  <c r="FG145" i="17"/>
  <c r="FA145" i="17"/>
  <c r="GF145" i="17"/>
  <c r="GA160" i="17"/>
  <c r="HG155" i="17"/>
  <c r="HG160" i="17" s="1"/>
  <c r="GI160" i="17"/>
  <c r="HO155" i="17"/>
  <c r="HO160" i="17" s="1"/>
  <c r="HS196" i="17"/>
  <c r="HT196" i="17" s="1"/>
  <c r="GN196" i="17"/>
  <c r="GM199" i="17"/>
  <c r="FH199" i="17"/>
  <c r="GN201" i="17"/>
  <c r="HS201" i="17"/>
  <c r="HT201" i="17" s="1"/>
  <c r="HS208" i="17"/>
  <c r="HT208" i="17" s="1"/>
  <c r="GN208" i="17"/>
  <c r="FI181" i="17"/>
  <c r="FY181" i="17"/>
  <c r="GA147" i="17"/>
  <c r="HG140" i="17"/>
  <c r="HG147" i="17" s="1"/>
  <c r="HE103" i="17"/>
  <c r="HU103" i="17" s="1"/>
  <c r="GO103" i="17"/>
  <c r="HE105" i="17"/>
  <c r="HU105" i="17" s="1"/>
  <c r="GO105" i="17"/>
  <c r="HE109" i="17"/>
  <c r="HU109" i="17" s="1"/>
  <c r="GO109" i="17"/>
  <c r="HE121" i="17"/>
  <c r="HU121" i="17" s="1"/>
  <c r="GO121" i="17"/>
  <c r="GO188" i="17"/>
  <c r="HE188" i="17"/>
  <c r="HU188" i="17" s="1"/>
  <c r="GM194" i="17"/>
  <c r="FH194" i="17"/>
  <c r="GM198" i="17"/>
  <c r="FH198" i="17"/>
  <c r="FH202" i="17"/>
  <c r="GM202" i="17"/>
  <c r="GM205" i="17"/>
  <c r="FH205" i="17"/>
  <c r="GM206" i="17"/>
  <c r="FH206" i="17"/>
  <c r="C45" i="57"/>
  <c r="HK240" i="17"/>
  <c r="GE241" i="17"/>
  <c r="GG125" i="17"/>
  <c r="HL125" i="17"/>
  <c r="E26" i="52"/>
  <c r="S147" i="17"/>
  <c r="D26" i="35"/>
  <c r="BI160" i="17"/>
  <c r="F12" i="45"/>
  <c r="C12" i="45" s="1"/>
  <c r="EB141" i="17"/>
  <c r="DT160" i="17"/>
  <c r="DU160" i="17" s="1"/>
  <c r="E14" i="52"/>
  <c r="D7" i="42"/>
  <c r="CQ244" i="17"/>
  <c r="CV132" i="17"/>
  <c r="EA132" i="17"/>
  <c r="FC135" i="17"/>
  <c r="DW138" i="17"/>
  <c r="GI130" i="17"/>
  <c r="FC131" i="17"/>
  <c r="GN125" i="17"/>
  <c r="HS125" i="17"/>
  <c r="D11" i="57"/>
  <c r="HS222" i="17"/>
  <c r="G48" i="53"/>
  <c r="G47" i="53"/>
  <c r="CV131" i="17"/>
  <c r="FG130" i="17"/>
  <c r="D26" i="34"/>
  <c r="E5" i="34"/>
  <c r="D27" i="34"/>
  <c r="D51" i="34" s="1"/>
  <c r="D55" i="34" s="1"/>
  <c r="G55" i="34" s="1"/>
  <c r="D39" i="45"/>
  <c r="EZ228" i="17"/>
  <c r="F11" i="52"/>
  <c r="C11" i="52" s="1"/>
  <c r="DW139" i="17"/>
  <c r="DW161" i="17" s="1"/>
  <c r="HE49" i="17" l="1"/>
  <c r="HU49" i="17" s="1"/>
  <c r="GO49" i="17"/>
  <c r="EC158" i="17"/>
  <c r="ES158" i="17"/>
  <c r="DM160" i="17"/>
  <c r="EC160" i="17" s="1"/>
  <c r="HR241" i="17"/>
  <c r="FG191" i="17"/>
  <c r="FH191" i="17" s="1"/>
  <c r="EY127" i="17"/>
  <c r="DS128" i="17"/>
  <c r="DS129" i="17" s="1"/>
  <c r="DS139" i="17" s="1"/>
  <c r="GO24" i="17"/>
  <c r="HE24" i="17"/>
  <c r="HU24" i="17" s="1"/>
  <c r="HH189" i="17"/>
  <c r="HH173" i="17" s="1"/>
  <c r="HH211" i="17" s="1"/>
  <c r="GB173" i="17"/>
  <c r="GB211" i="17" s="1"/>
  <c r="FH190" i="17"/>
  <c r="GM190" i="17"/>
  <c r="HL241" i="17"/>
  <c r="GO63" i="17"/>
  <c r="HE63" i="17"/>
  <c r="HU63" i="17" s="1"/>
  <c r="C44" i="57"/>
  <c r="E44" i="57" s="1"/>
  <c r="HK239" i="17"/>
  <c r="HK241" i="17" s="1"/>
  <c r="C22" i="57"/>
  <c r="E22" i="57" s="1"/>
  <c r="HR238" i="17"/>
  <c r="GM220" i="17"/>
  <c r="D25" i="52"/>
  <c r="E25" i="52" s="1"/>
  <c r="HE131" i="17"/>
  <c r="HU131" i="17" s="1"/>
  <c r="HU130" i="17"/>
  <c r="GL125" i="17"/>
  <c r="FF128" i="17"/>
  <c r="E45" i="57"/>
  <c r="EA131" i="17"/>
  <c r="EB131" i="17" s="1"/>
  <c r="CF139" i="17"/>
  <c r="CF161" i="17" s="1"/>
  <c r="CF243" i="17" s="1"/>
  <c r="DU138" i="17"/>
  <c r="D24" i="52"/>
  <c r="E24" i="52" s="1"/>
  <c r="FG241" i="17"/>
  <c r="GM240" i="17"/>
  <c r="GF187" i="17"/>
  <c r="FA187" i="17"/>
  <c r="EU139" i="17"/>
  <c r="EU161" i="17" s="1"/>
  <c r="DS161" i="17"/>
  <c r="ES129" i="17"/>
  <c r="CU136" i="17"/>
  <c r="CV136" i="17" s="1"/>
  <c r="GN195" i="17"/>
  <c r="HS195" i="17"/>
  <c r="HT195" i="17" s="1"/>
  <c r="HR225" i="17"/>
  <c r="HR226" i="17" s="1"/>
  <c r="C9" i="57"/>
  <c r="E9" i="57"/>
  <c r="E14" i="57"/>
  <c r="HS193" i="17"/>
  <c r="HT193" i="17" s="1"/>
  <c r="GN193" i="17"/>
  <c r="FA195" i="17"/>
  <c r="GF195" i="17"/>
  <c r="HS203" i="17"/>
  <c r="HT203" i="17" s="1"/>
  <c r="GN203" i="17"/>
  <c r="HS11" i="17"/>
  <c r="HT11" i="17" s="1"/>
  <c r="GN11" i="17"/>
  <c r="HJ130" i="17"/>
  <c r="HJ131" i="17" s="1"/>
  <c r="GD131" i="17"/>
  <c r="HE10" i="17"/>
  <c r="HU10" i="17" s="1"/>
  <c r="GO10" i="17"/>
  <c r="DU123" i="17"/>
  <c r="HL189" i="17"/>
  <c r="HM189" i="17" s="1"/>
  <c r="GG189" i="17"/>
  <c r="FA194" i="17"/>
  <c r="GF194" i="17"/>
  <c r="GN200" i="17"/>
  <c r="HS200" i="17"/>
  <c r="HT200" i="17" s="1"/>
  <c r="FH204" i="17"/>
  <c r="GM204" i="17"/>
  <c r="GO61" i="17"/>
  <c r="HE61" i="17"/>
  <c r="HU61" i="17" s="1"/>
  <c r="FA198" i="17"/>
  <c r="GF198" i="17"/>
  <c r="D39" i="52"/>
  <c r="E39" i="52" s="1"/>
  <c r="GF216" i="17"/>
  <c r="GG200" i="17"/>
  <c r="HL200" i="17"/>
  <c r="HM200" i="17" s="1"/>
  <c r="D21" i="57"/>
  <c r="E21" i="57" s="1"/>
  <c r="HS236" i="17"/>
  <c r="FA14" i="17"/>
  <c r="GF14" i="17"/>
  <c r="GG10" i="17"/>
  <c r="HL10" i="17"/>
  <c r="HM10" i="17" s="1"/>
  <c r="HE17" i="17"/>
  <c r="HU17" i="17" s="1"/>
  <c r="GO17" i="17"/>
  <c r="GG13" i="17"/>
  <c r="HL13" i="17"/>
  <c r="HM13" i="17" s="1"/>
  <c r="CD12" i="11"/>
  <c r="CL10" i="11"/>
  <c r="HE33" i="17"/>
  <c r="HU33" i="17" s="1"/>
  <c r="GO33" i="17"/>
  <c r="GO25" i="17"/>
  <c r="HE25" i="17"/>
  <c r="HU25" i="17" s="1"/>
  <c r="GG12" i="17"/>
  <c r="HL12" i="17"/>
  <c r="HM12" i="17" s="1"/>
  <c r="GM15" i="17"/>
  <c r="FH15" i="17"/>
  <c r="GG11" i="17"/>
  <c r="HL11" i="17"/>
  <c r="HM11" i="17" s="1"/>
  <c r="HE177" i="17"/>
  <c r="HU177" i="17" s="1"/>
  <c r="GO177" i="17"/>
  <c r="GM108" i="17"/>
  <c r="FH108" i="17"/>
  <c r="E12" i="45"/>
  <c r="HE175" i="17"/>
  <c r="HU175" i="17" s="1"/>
  <c r="GO175" i="17"/>
  <c r="CU135" i="17"/>
  <c r="BP135" i="17"/>
  <c r="BO138" i="17"/>
  <c r="HL146" i="17"/>
  <c r="HM146" i="17" s="1"/>
  <c r="GG146" i="17"/>
  <c r="FA205" i="17"/>
  <c r="GF205" i="17"/>
  <c r="FA202" i="17"/>
  <c r="GF202" i="17"/>
  <c r="GG199" i="17"/>
  <c r="HL199" i="17"/>
  <c r="HM199" i="17" s="1"/>
  <c r="GG196" i="17"/>
  <c r="HL196" i="17"/>
  <c r="HM196" i="17" s="1"/>
  <c r="GN171" i="17"/>
  <c r="HS171" i="17"/>
  <c r="HT171" i="17" s="1"/>
  <c r="GE131" i="17"/>
  <c r="HK130" i="17"/>
  <c r="HK131" i="17" s="1"/>
  <c r="FZ127" i="17"/>
  <c r="ET128" i="17"/>
  <c r="ET129" i="17" s="1"/>
  <c r="ET139" i="17" s="1"/>
  <c r="ET161" i="17" s="1"/>
  <c r="R129" i="17"/>
  <c r="CO129" i="17" s="1"/>
  <c r="AC123" i="17"/>
  <c r="BI123" i="17"/>
  <c r="FH42" i="17"/>
  <c r="GN42" i="17"/>
  <c r="HT42" i="17"/>
  <c r="S123" i="17"/>
  <c r="EB123" i="17" s="1"/>
  <c r="AJ42" i="17"/>
  <c r="BP42" i="17"/>
  <c r="CV42" i="17"/>
  <c r="EB42" i="17"/>
  <c r="GG186" i="17"/>
  <c r="HL186" i="17"/>
  <c r="HM186" i="17" s="1"/>
  <c r="HL185" i="17"/>
  <c r="HM185" i="17" s="1"/>
  <c r="GG185" i="17"/>
  <c r="GM174" i="17"/>
  <c r="FH174" i="17"/>
  <c r="FY128" i="17"/>
  <c r="GO128" i="17" s="1"/>
  <c r="HE127" i="17"/>
  <c r="GO127" i="17"/>
  <c r="GM92" i="17"/>
  <c r="FH92" i="17"/>
  <c r="GC131" i="17"/>
  <c r="HI130" i="17"/>
  <c r="HI131" i="17" s="1"/>
  <c r="HI139" i="17" s="1"/>
  <c r="HI161" i="17" s="1"/>
  <c r="GM117" i="17"/>
  <c r="FH117" i="17"/>
  <c r="FI141" i="17"/>
  <c r="FY141" i="17"/>
  <c r="ES147" i="17"/>
  <c r="FI147" i="17" s="1"/>
  <c r="GO86" i="17"/>
  <c r="HE86" i="17"/>
  <c r="HU86" i="17" s="1"/>
  <c r="AJ138" i="17"/>
  <c r="AI139" i="17"/>
  <c r="AI161" i="17" s="1"/>
  <c r="AI243" i="17" s="1"/>
  <c r="AZ246" i="17" s="1"/>
  <c r="GO164" i="17"/>
  <c r="HE164" i="17"/>
  <c r="HU164" i="17" s="1"/>
  <c r="FY163" i="17"/>
  <c r="GO163" i="17" s="1"/>
  <c r="GE143" i="17"/>
  <c r="EY147" i="17"/>
  <c r="GM98" i="17"/>
  <c r="FH98" i="17"/>
  <c r="HS102" i="17"/>
  <c r="HT102" i="17" s="1"/>
  <c r="GN102" i="17"/>
  <c r="BN25" i="11"/>
  <c r="BF34" i="11"/>
  <c r="BF35" i="11" s="1"/>
  <c r="BF37" i="11" s="1"/>
  <c r="GM89" i="17"/>
  <c r="FH89" i="17"/>
  <c r="GM61" i="17"/>
  <c r="FH61" i="17"/>
  <c r="GO142" i="17"/>
  <c r="HE142" i="17"/>
  <c r="HU142" i="17" s="1"/>
  <c r="GG117" i="17"/>
  <c r="HL117" i="17"/>
  <c r="HM117" i="17" s="1"/>
  <c r="GG98" i="17"/>
  <c r="HL98" i="17"/>
  <c r="HM98" i="17" s="1"/>
  <c r="GG208" i="17"/>
  <c r="HL208" i="17"/>
  <c r="HM208" i="17" s="1"/>
  <c r="FA206" i="17"/>
  <c r="GF206" i="17"/>
  <c r="HL201" i="17"/>
  <c r="HM201" i="17" s="1"/>
  <c r="GG201" i="17"/>
  <c r="HL197" i="17"/>
  <c r="HM197" i="17" s="1"/>
  <c r="GG197" i="17"/>
  <c r="GF192" i="17"/>
  <c r="FA192" i="17"/>
  <c r="FH172" i="17"/>
  <c r="GM172" i="17"/>
  <c r="GN169" i="17"/>
  <c r="HS169" i="17"/>
  <c r="HT169" i="17" s="1"/>
  <c r="GG89" i="17"/>
  <c r="HL89" i="17"/>
  <c r="HM89" i="17" s="1"/>
  <c r="FA61" i="17"/>
  <c r="GF61" i="17"/>
  <c r="CS138" i="17"/>
  <c r="CS139" i="17" s="1"/>
  <c r="CS161" i="17" s="1"/>
  <c r="D8" i="42" s="1"/>
  <c r="E8" i="42" s="1"/>
  <c r="DY135" i="17"/>
  <c r="G28" i="53"/>
  <c r="G27" i="53"/>
  <c r="GK131" i="17"/>
  <c r="HQ130" i="17"/>
  <c r="HQ131" i="17" s="1"/>
  <c r="GC139" i="17"/>
  <c r="GC161" i="17" s="1"/>
  <c r="C32" i="57" s="1"/>
  <c r="F12" i="42"/>
  <c r="C12" i="42" s="1"/>
  <c r="F15" i="42"/>
  <c r="C15" i="42" s="1"/>
  <c r="F14" i="42"/>
  <c r="C14" i="42" s="1"/>
  <c r="F13" i="42"/>
  <c r="C13" i="42" s="1"/>
  <c r="C31" i="52"/>
  <c r="AJ147" i="17"/>
  <c r="BP147" i="17"/>
  <c r="HS206" i="17"/>
  <c r="HT206" i="17" s="1"/>
  <c r="GN206" i="17"/>
  <c r="HS205" i="17"/>
  <c r="HT205" i="17" s="1"/>
  <c r="GN205" i="17"/>
  <c r="HS198" i="17"/>
  <c r="HT198" i="17" s="1"/>
  <c r="GN198" i="17"/>
  <c r="HS194" i="17"/>
  <c r="HT194" i="17" s="1"/>
  <c r="GN194" i="17"/>
  <c r="HS199" i="17"/>
  <c r="HT199" i="17" s="1"/>
  <c r="GN199" i="17"/>
  <c r="GA131" i="17"/>
  <c r="HG130" i="17"/>
  <c r="HG131" i="17" s="1"/>
  <c r="F17" i="52"/>
  <c r="GF171" i="17"/>
  <c r="FA171" i="17"/>
  <c r="EY166" i="17"/>
  <c r="GE166" i="17" s="1"/>
  <c r="DS163" i="17"/>
  <c r="FA140" i="17"/>
  <c r="EZ147" i="17"/>
  <c r="FA147" i="17" s="1"/>
  <c r="GF140" i="17"/>
  <c r="FH186" i="17"/>
  <c r="GM186" i="17"/>
  <c r="HQ164" i="17"/>
  <c r="HQ163" i="17" s="1"/>
  <c r="HQ211" i="17" s="1"/>
  <c r="GK163" i="17"/>
  <c r="GK211" i="17" s="1"/>
  <c r="D18" i="57" s="1"/>
  <c r="E18" i="57" s="1"/>
  <c r="FA143" i="17"/>
  <c r="GF143" i="17"/>
  <c r="GG165" i="17"/>
  <c r="HL165" i="17"/>
  <c r="HM165" i="17" s="1"/>
  <c r="GG151" i="17"/>
  <c r="HL151" i="17"/>
  <c r="HM151" i="17" s="1"/>
  <c r="GG150" i="17"/>
  <c r="HL150" i="17"/>
  <c r="HM150" i="17" s="1"/>
  <c r="GG159" i="17"/>
  <c r="HL159" i="17"/>
  <c r="HM159" i="17" s="1"/>
  <c r="GN158" i="17"/>
  <c r="HS158" i="17"/>
  <c r="HT158" i="17" s="1"/>
  <c r="GN156" i="17"/>
  <c r="HS156" i="17"/>
  <c r="HT156" i="17" s="1"/>
  <c r="FA156" i="17"/>
  <c r="GF156" i="17"/>
  <c r="GG153" i="17"/>
  <c r="HL153" i="17"/>
  <c r="HM153" i="17" s="1"/>
  <c r="GG152" i="17"/>
  <c r="HL152" i="17"/>
  <c r="HM152" i="17" s="1"/>
  <c r="FH152" i="17"/>
  <c r="GM152" i="17"/>
  <c r="GG149" i="17"/>
  <c r="HL149" i="17"/>
  <c r="HM149" i="17" s="1"/>
  <c r="HP143" i="17"/>
  <c r="HP147" i="17" s="1"/>
  <c r="GJ147" i="17"/>
  <c r="HN143" i="17"/>
  <c r="HN147" i="17" s="1"/>
  <c r="HN161" i="17" s="1"/>
  <c r="GH147" i="17"/>
  <c r="GH161" i="17" s="1"/>
  <c r="HJ143" i="17"/>
  <c r="HJ147" i="17" s="1"/>
  <c r="GD147" i="17"/>
  <c r="GB147" i="17"/>
  <c r="HH143" i="17"/>
  <c r="HH147" i="17" s="1"/>
  <c r="GF169" i="17"/>
  <c r="FA169" i="17"/>
  <c r="HG166" i="17"/>
  <c r="HG163" i="17" s="1"/>
  <c r="HG211" i="17" s="1"/>
  <c r="GA163" i="17"/>
  <c r="GA211" i="17" s="1"/>
  <c r="HF132" i="17"/>
  <c r="HF138" i="17" s="1"/>
  <c r="FZ138" i="17"/>
  <c r="FA204" i="17"/>
  <c r="GF204" i="17"/>
  <c r="FA203" i="17"/>
  <c r="GF203" i="17"/>
  <c r="GN94" i="17"/>
  <c r="HS94" i="17"/>
  <c r="HT94" i="17" s="1"/>
  <c r="GN85" i="17"/>
  <c r="HS85" i="17"/>
  <c r="HT85" i="17" s="1"/>
  <c r="FA84" i="17"/>
  <c r="GF84" i="17"/>
  <c r="GN35" i="17"/>
  <c r="HS35" i="17"/>
  <c r="HT35" i="17" s="1"/>
  <c r="GN33" i="17"/>
  <c r="HS33" i="17"/>
  <c r="HT33" i="17" s="1"/>
  <c r="GN31" i="17"/>
  <c r="HS31" i="17"/>
  <c r="HT31" i="17" s="1"/>
  <c r="FA30" i="17"/>
  <c r="GF30" i="17"/>
  <c r="GN25" i="17"/>
  <c r="HS25" i="17"/>
  <c r="HT25" i="17" s="1"/>
  <c r="GN23" i="17"/>
  <c r="HS23" i="17"/>
  <c r="HT23" i="17" s="1"/>
  <c r="FA22" i="17"/>
  <c r="GF22" i="17"/>
  <c r="GN19" i="17"/>
  <c r="HS19" i="17"/>
  <c r="HT19" i="17" s="1"/>
  <c r="GN17" i="17"/>
  <c r="HS17" i="17"/>
  <c r="HT17" i="17" s="1"/>
  <c r="GG15" i="17"/>
  <c r="HL15" i="17"/>
  <c r="HM15" i="17" s="1"/>
  <c r="G29" i="41"/>
  <c r="D53" i="41"/>
  <c r="G55" i="35"/>
  <c r="D55" i="41"/>
  <c r="D51" i="42"/>
  <c r="D50" i="42"/>
  <c r="GM175" i="17"/>
  <c r="FH175" i="17"/>
  <c r="FG173" i="17"/>
  <c r="FH173" i="17" s="1"/>
  <c r="GD129" i="17"/>
  <c r="GD139" i="17" s="1"/>
  <c r="GD161" i="17" s="1"/>
  <c r="D32" i="57" s="1"/>
  <c r="HJ123" i="17"/>
  <c r="HJ129" i="17" s="1"/>
  <c r="FA174" i="17"/>
  <c r="EZ173" i="17"/>
  <c r="FA173" i="17" s="1"/>
  <c r="GF174" i="17"/>
  <c r="HR156" i="17"/>
  <c r="HR160" i="17" s="1"/>
  <c r="GL160" i="17"/>
  <c r="FA127" i="17"/>
  <c r="GF127" i="17"/>
  <c r="EC139" i="17"/>
  <c r="DM161" i="17"/>
  <c r="FH149" i="17"/>
  <c r="GM149" i="17"/>
  <c r="FG154" i="17"/>
  <c r="FH154" i="17" s="1"/>
  <c r="HK125" i="17"/>
  <c r="FH155" i="17"/>
  <c r="GM155" i="17"/>
  <c r="FG160" i="17"/>
  <c r="FH160" i="17" s="1"/>
  <c r="FH144" i="17"/>
  <c r="GM144" i="17"/>
  <c r="GM137" i="17"/>
  <c r="FH137" i="17"/>
  <c r="FH29" i="17"/>
  <c r="GM29" i="17"/>
  <c r="FH27" i="17"/>
  <c r="GM27" i="17"/>
  <c r="FH21" i="17"/>
  <c r="GM21" i="17"/>
  <c r="FA16" i="17"/>
  <c r="GF16" i="17"/>
  <c r="CN139" i="17"/>
  <c r="GN189" i="17"/>
  <c r="HS189" i="17"/>
  <c r="HT189" i="17" s="1"/>
  <c r="GG155" i="17"/>
  <c r="HL155" i="17"/>
  <c r="GN179" i="17"/>
  <c r="HS179" i="17"/>
  <c r="HT179" i="17" s="1"/>
  <c r="FA193" i="17"/>
  <c r="GF193" i="17"/>
  <c r="EZ191" i="17"/>
  <c r="FA191" i="17" s="1"/>
  <c r="FA190" i="17"/>
  <c r="GF190" i="17"/>
  <c r="GN188" i="17"/>
  <c r="HS188" i="17"/>
  <c r="HT188" i="17" s="1"/>
  <c r="FI185" i="17"/>
  <c r="FY185" i="17"/>
  <c r="GN184" i="17"/>
  <c r="HS184" i="17"/>
  <c r="HT184" i="17" s="1"/>
  <c r="FA94" i="17"/>
  <c r="GF94" i="17"/>
  <c r="FH86" i="17"/>
  <c r="GM86" i="17"/>
  <c r="FA85" i="17"/>
  <c r="GF85" i="17"/>
  <c r="GN84" i="17"/>
  <c r="HS84" i="17"/>
  <c r="HT84" i="17" s="1"/>
  <c r="GG49" i="17"/>
  <c r="HL49" i="17"/>
  <c r="HM49" i="17" s="1"/>
  <c r="GG47" i="17"/>
  <c r="HL47" i="17"/>
  <c r="HM47" i="17" s="1"/>
  <c r="GG45" i="17"/>
  <c r="HL45" i="17"/>
  <c r="HM45" i="17" s="1"/>
  <c r="FA50" i="17"/>
  <c r="GF50" i="17"/>
  <c r="FH49" i="17"/>
  <c r="GM49" i="17"/>
  <c r="FA48" i="17"/>
  <c r="GF48" i="17"/>
  <c r="FH47" i="17"/>
  <c r="GM47" i="17"/>
  <c r="FA46" i="17"/>
  <c r="GF46" i="17"/>
  <c r="FH45" i="17"/>
  <c r="GM45" i="17"/>
  <c r="GG29" i="17"/>
  <c r="HL29" i="17"/>
  <c r="HM29" i="17" s="1"/>
  <c r="FA83" i="17"/>
  <c r="GF83" i="17"/>
  <c r="FH82" i="17"/>
  <c r="GM82" i="17"/>
  <c r="FA81" i="17"/>
  <c r="GF81" i="17"/>
  <c r="FA80" i="17"/>
  <c r="GF80" i="17"/>
  <c r="FA78" i="17"/>
  <c r="GF78" i="17"/>
  <c r="FH77" i="17"/>
  <c r="GM77" i="17"/>
  <c r="FA76" i="17"/>
  <c r="GF76" i="17"/>
  <c r="FA75" i="17"/>
  <c r="GF75" i="17"/>
  <c r="GN73" i="17"/>
  <c r="HS73" i="17"/>
  <c r="HT73" i="17" s="1"/>
  <c r="GN72" i="17"/>
  <c r="HS72" i="17"/>
  <c r="HT72" i="17" s="1"/>
  <c r="GG71" i="17"/>
  <c r="HL71" i="17"/>
  <c r="HM71" i="17" s="1"/>
  <c r="GN70" i="17"/>
  <c r="HS70" i="17"/>
  <c r="HT70" i="17" s="1"/>
  <c r="GN69" i="17"/>
  <c r="HS69" i="17"/>
  <c r="HT69" i="17" s="1"/>
  <c r="GG68" i="17"/>
  <c r="HL68" i="17"/>
  <c r="HM68" i="17" s="1"/>
  <c r="GN67" i="17"/>
  <c r="HS67" i="17"/>
  <c r="HT67" i="17" s="1"/>
  <c r="GN66" i="17"/>
  <c r="HS66" i="17"/>
  <c r="HT66" i="17" s="1"/>
  <c r="GN65" i="17"/>
  <c r="HS65" i="17"/>
  <c r="HT65" i="17" s="1"/>
  <c r="GN64" i="17"/>
  <c r="HS64" i="17"/>
  <c r="HT64" i="17" s="1"/>
  <c r="GG63" i="17"/>
  <c r="HL63" i="17"/>
  <c r="HM63" i="17" s="1"/>
  <c r="GN62" i="17"/>
  <c r="HS62" i="17"/>
  <c r="HT62" i="17" s="1"/>
  <c r="GN60" i="17"/>
  <c r="HS60" i="17"/>
  <c r="HT60" i="17" s="1"/>
  <c r="GG59" i="17"/>
  <c r="HL59" i="17"/>
  <c r="HM59" i="17" s="1"/>
  <c r="GN58" i="17"/>
  <c r="HS58" i="17"/>
  <c r="HT58" i="17" s="1"/>
  <c r="GN57" i="17"/>
  <c r="HS57" i="17"/>
  <c r="HT57" i="17" s="1"/>
  <c r="GG56" i="17"/>
  <c r="HL56" i="17"/>
  <c r="HM56" i="17" s="1"/>
  <c r="GG55" i="17"/>
  <c r="HL55" i="17"/>
  <c r="HM55" i="17" s="1"/>
  <c r="GN54" i="17"/>
  <c r="HS54" i="17"/>
  <c r="HT54" i="17" s="1"/>
  <c r="GG53" i="17"/>
  <c r="HL53" i="17"/>
  <c r="HM53" i="17" s="1"/>
  <c r="GN52" i="17"/>
  <c r="HS52" i="17"/>
  <c r="HT52" i="17" s="1"/>
  <c r="HE189" i="17"/>
  <c r="HU189" i="17" s="1"/>
  <c r="GO189" i="17"/>
  <c r="GM191" i="17"/>
  <c r="GN191" i="17" s="1"/>
  <c r="HS192" i="17"/>
  <c r="GN192" i="17"/>
  <c r="HG132" i="17"/>
  <c r="HG138" i="17" s="1"/>
  <c r="GA138" i="17"/>
  <c r="GA139" i="17" s="1"/>
  <c r="GA161" i="17" s="1"/>
  <c r="GE149" i="17"/>
  <c r="EY154" i="17"/>
  <c r="HF143" i="17"/>
  <c r="HF147" i="17" s="1"/>
  <c r="FZ147" i="17"/>
  <c r="GF172" i="17"/>
  <c r="FA172" i="17"/>
  <c r="GF170" i="17"/>
  <c r="FA170" i="17"/>
  <c r="HC211" i="17"/>
  <c r="HC243" i="17" s="1"/>
  <c r="HR209" i="17"/>
  <c r="FH164" i="17"/>
  <c r="GM164" i="17"/>
  <c r="GE155" i="17"/>
  <c r="EY160" i="17"/>
  <c r="FI148" i="17"/>
  <c r="ES154" i="17"/>
  <c r="FI154" i="17" s="1"/>
  <c r="FY148" i="17"/>
  <c r="GB152" i="17"/>
  <c r="EV154" i="17"/>
  <c r="EV161" i="17" s="1"/>
  <c r="FG127" i="17"/>
  <c r="FG128" i="17" s="1"/>
  <c r="FH128" i="17" s="1"/>
  <c r="EB127" i="17"/>
  <c r="FH146" i="17"/>
  <c r="GM146" i="17"/>
  <c r="AC138" i="17"/>
  <c r="BI138" i="17"/>
  <c r="FH151" i="17"/>
  <c r="GM151" i="17"/>
  <c r="FH150" i="17"/>
  <c r="GM150" i="17"/>
  <c r="GF144" i="17"/>
  <c r="FA144" i="17"/>
  <c r="FH143" i="17"/>
  <c r="GM143" i="17"/>
  <c r="FG147" i="17"/>
  <c r="FH147" i="17" s="1"/>
  <c r="HT140" i="17"/>
  <c r="HL184" i="17"/>
  <c r="HM184" i="17" s="1"/>
  <c r="GG184" i="17"/>
  <c r="GG176" i="17"/>
  <c r="HL176" i="17"/>
  <c r="HM176" i="17" s="1"/>
  <c r="FH122" i="17"/>
  <c r="GM122" i="17"/>
  <c r="FA121" i="17"/>
  <c r="GF121" i="17"/>
  <c r="GN118" i="17"/>
  <c r="HS118" i="17"/>
  <c r="HT118" i="17" s="1"/>
  <c r="GN116" i="17"/>
  <c r="HS116" i="17"/>
  <c r="HT116" i="17" s="1"/>
  <c r="GG115" i="17"/>
  <c r="HL115" i="17"/>
  <c r="HM115" i="17" s="1"/>
  <c r="GN114" i="17"/>
  <c r="HS114" i="17"/>
  <c r="HT114" i="17" s="1"/>
  <c r="GG113" i="17"/>
  <c r="HL113" i="17"/>
  <c r="HM113" i="17" s="1"/>
  <c r="GN112" i="17"/>
  <c r="HS112" i="17"/>
  <c r="HT112" i="17" s="1"/>
  <c r="GG111" i="17"/>
  <c r="HL111" i="17"/>
  <c r="HM111" i="17" s="1"/>
  <c r="GG110" i="17"/>
  <c r="HL110" i="17"/>
  <c r="HM110" i="17" s="1"/>
  <c r="GN109" i="17"/>
  <c r="HS109" i="17"/>
  <c r="HT109" i="17" s="1"/>
  <c r="FA106" i="17"/>
  <c r="GF106" i="17"/>
  <c r="FA104" i="17"/>
  <c r="GF104" i="17"/>
  <c r="FA103" i="17"/>
  <c r="GF103" i="17"/>
  <c r="GG100" i="17"/>
  <c r="HL100" i="17"/>
  <c r="HM100" i="17" s="1"/>
  <c r="GG99" i="17"/>
  <c r="HL99" i="17"/>
  <c r="HM99" i="17" s="1"/>
  <c r="FI129" i="17"/>
  <c r="ES139" i="17"/>
  <c r="GG177" i="17"/>
  <c r="HL177" i="17"/>
  <c r="HM177" i="17" s="1"/>
  <c r="GN187" i="17"/>
  <c r="HS187" i="17"/>
  <c r="HT187" i="17" s="1"/>
  <c r="C18" i="42"/>
  <c r="DZ168" i="17"/>
  <c r="CT211" i="17"/>
  <c r="CT243" i="17" s="1"/>
  <c r="GG130" i="17"/>
  <c r="HL130" i="17"/>
  <c r="GF131" i="17"/>
  <c r="CT32" i="11"/>
  <c r="GG122" i="17"/>
  <c r="HL122" i="17"/>
  <c r="HM122" i="17" s="1"/>
  <c r="GN121" i="17"/>
  <c r="HS121" i="17"/>
  <c r="HT121" i="17" s="1"/>
  <c r="FA118" i="17"/>
  <c r="GF118" i="17"/>
  <c r="FA116" i="17"/>
  <c r="GF116" i="17"/>
  <c r="FH115" i="17"/>
  <c r="GM115" i="17"/>
  <c r="FA114" i="17"/>
  <c r="GF114" i="17"/>
  <c r="FH113" i="17"/>
  <c r="GM113" i="17"/>
  <c r="FA112" i="17"/>
  <c r="GF112" i="17"/>
  <c r="FH111" i="17"/>
  <c r="GM111" i="17"/>
  <c r="FH110" i="17"/>
  <c r="GM110" i="17"/>
  <c r="FA109" i="17"/>
  <c r="GF109" i="17"/>
  <c r="GN106" i="17"/>
  <c r="HS106" i="17"/>
  <c r="HT106" i="17" s="1"/>
  <c r="GN104" i="17"/>
  <c r="HS104" i="17"/>
  <c r="HT104" i="17" s="1"/>
  <c r="GN103" i="17"/>
  <c r="HS103" i="17"/>
  <c r="HT103" i="17" s="1"/>
  <c r="FH100" i="17"/>
  <c r="GM100" i="17"/>
  <c r="FH99" i="17"/>
  <c r="GM99" i="17"/>
  <c r="GN50" i="17"/>
  <c r="HS50" i="17"/>
  <c r="HT50" i="17" s="1"/>
  <c r="GN48" i="17"/>
  <c r="HS48" i="17"/>
  <c r="HT48" i="17" s="1"/>
  <c r="GN46" i="17"/>
  <c r="HS46" i="17"/>
  <c r="HT46" i="17" s="1"/>
  <c r="GG27" i="17"/>
  <c r="HL27" i="17"/>
  <c r="HM27" i="17" s="1"/>
  <c r="GG21" i="17"/>
  <c r="HL21" i="17"/>
  <c r="HM21" i="17" s="1"/>
  <c r="FH18" i="17"/>
  <c r="GM18" i="17"/>
  <c r="FA17" i="17"/>
  <c r="GF17" i="17"/>
  <c r="GF123" i="17"/>
  <c r="FA123" i="17"/>
  <c r="GH211" i="17"/>
  <c r="EB160" i="17"/>
  <c r="EZ160" i="17"/>
  <c r="FA160" i="17" s="1"/>
  <c r="E26" i="57"/>
  <c r="HE163" i="17"/>
  <c r="D33" i="45"/>
  <c r="E33" i="45" s="1"/>
  <c r="DP244" i="17"/>
  <c r="HM125" i="17"/>
  <c r="GN202" i="17"/>
  <c r="HS202" i="17"/>
  <c r="HT202" i="17" s="1"/>
  <c r="HE181" i="17"/>
  <c r="HU181" i="17" s="1"/>
  <c r="GO181" i="17"/>
  <c r="GG145" i="17"/>
  <c r="HL145" i="17"/>
  <c r="HM145" i="17" s="1"/>
  <c r="GM145" i="17"/>
  <c r="FH145" i="17"/>
  <c r="C40" i="42"/>
  <c r="CM211" i="17"/>
  <c r="CM243" i="17" s="1"/>
  <c r="DY211" i="17"/>
  <c r="D20" i="45" s="1"/>
  <c r="E20" i="45" s="1"/>
  <c r="FE163" i="17"/>
  <c r="FE211" i="17" s="1"/>
  <c r="D18" i="52" s="1"/>
  <c r="E18" i="52" s="1"/>
  <c r="GF154" i="17"/>
  <c r="GG154" i="17" s="1"/>
  <c r="GG148" i="17"/>
  <c r="HL148" i="17"/>
  <c r="C7" i="52"/>
  <c r="C28" i="52" s="1"/>
  <c r="FB244" i="17"/>
  <c r="EU163" i="17"/>
  <c r="EU211" i="17" s="1"/>
  <c r="EU244" i="17" s="1"/>
  <c r="DO211" i="17"/>
  <c r="DO244" i="17" s="1"/>
  <c r="FA164" i="17"/>
  <c r="GF164" i="17"/>
  <c r="D41" i="45"/>
  <c r="DU163" i="17"/>
  <c r="DT211" i="17"/>
  <c r="DU211" i="17" s="1"/>
  <c r="EZ163" i="17"/>
  <c r="GO152" i="17"/>
  <c r="HE152" i="17"/>
  <c r="HU152" i="17" s="1"/>
  <c r="GN83" i="17"/>
  <c r="HS83" i="17"/>
  <c r="HT83" i="17" s="1"/>
  <c r="GG82" i="17"/>
  <c r="HL82" i="17"/>
  <c r="HM82" i="17" s="1"/>
  <c r="GN81" i="17"/>
  <c r="HS81" i="17"/>
  <c r="HT81" i="17" s="1"/>
  <c r="GN80" i="17"/>
  <c r="HS80" i="17"/>
  <c r="HT80" i="17" s="1"/>
  <c r="GN78" i="17"/>
  <c r="HS78" i="17"/>
  <c r="HT78" i="17" s="1"/>
  <c r="GG77" i="17"/>
  <c r="HL77" i="17"/>
  <c r="HM77" i="17" s="1"/>
  <c r="GN76" i="17"/>
  <c r="HS76" i="17"/>
  <c r="HT76" i="17" s="1"/>
  <c r="GN75" i="17"/>
  <c r="HS75" i="17"/>
  <c r="HT75" i="17" s="1"/>
  <c r="FA73" i="17"/>
  <c r="GF73" i="17"/>
  <c r="FA72" i="17"/>
  <c r="GF72" i="17"/>
  <c r="FH71" i="17"/>
  <c r="GM71" i="17"/>
  <c r="FA70" i="17"/>
  <c r="GF70" i="17"/>
  <c r="FA69" i="17"/>
  <c r="GF69" i="17"/>
  <c r="FH68" i="17"/>
  <c r="GM68" i="17"/>
  <c r="FA67" i="17"/>
  <c r="GF67" i="17"/>
  <c r="FA66" i="17"/>
  <c r="GF66" i="17"/>
  <c r="FA65" i="17"/>
  <c r="GF65" i="17"/>
  <c r="FA64" i="17"/>
  <c r="GF64" i="17"/>
  <c r="FH63" i="17"/>
  <c r="GM63" i="17"/>
  <c r="FA62" i="17"/>
  <c r="GF62" i="17"/>
  <c r="FA60" i="17"/>
  <c r="GF60" i="17"/>
  <c r="FH59" i="17"/>
  <c r="GM59" i="17"/>
  <c r="FA58" i="17"/>
  <c r="GF58" i="17"/>
  <c r="FA57" i="17"/>
  <c r="GF57" i="17"/>
  <c r="FH56" i="17"/>
  <c r="GM56" i="17"/>
  <c r="FH55" i="17"/>
  <c r="GM55" i="17"/>
  <c r="FA54" i="17"/>
  <c r="GF54" i="17"/>
  <c r="FH53" i="17"/>
  <c r="GM53" i="17"/>
  <c r="FA52" i="17"/>
  <c r="GF52" i="17"/>
  <c r="FH44" i="17"/>
  <c r="GM44" i="17"/>
  <c r="FH43" i="17"/>
  <c r="GM43" i="17"/>
  <c r="FA41" i="17"/>
  <c r="GF41" i="17"/>
  <c r="FH40" i="17"/>
  <c r="GM40" i="17"/>
  <c r="FA39" i="17"/>
  <c r="GF39" i="17"/>
  <c r="FH38" i="17"/>
  <c r="GM38" i="17"/>
  <c r="FA37" i="17"/>
  <c r="GF37" i="17"/>
  <c r="GG36" i="17"/>
  <c r="HL36" i="17"/>
  <c r="HM36" i="17" s="1"/>
  <c r="FH36" i="17"/>
  <c r="GM36" i="17"/>
  <c r="FA35" i="17"/>
  <c r="GF35" i="17"/>
  <c r="GG34" i="17"/>
  <c r="HL34" i="17"/>
  <c r="HM34" i="17" s="1"/>
  <c r="FH34" i="17"/>
  <c r="GM34" i="17"/>
  <c r="FA33" i="17"/>
  <c r="GF33" i="17"/>
  <c r="GG32" i="17"/>
  <c r="HL32" i="17"/>
  <c r="HM32" i="17" s="1"/>
  <c r="FH32" i="17"/>
  <c r="GM32" i="17"/>
  <c r="FA31" i="17"/>
  <c r="GF31" i="17"/>
  <c r="GN30" i="17"/>
  <c r="HS30" i="17"/>
  <c r="HT30" i="17" s="1"/>
  <c r="GG28" i="17"/>
  <c r="HL28" i="17"/>
  <c r="HM28" i="17" s="1"/>
  <c r="FH28" i="17"/>
  <c r="GM28" i="17"/>
  <c r="GG26" i="17"/>
  <c r="HL26" i="17"/>
  <c r="HM26" i="17" s="1"/>
  <c r="FH26" i="17"/>
  <c r="GM26" i="17"/>
  <c r="FA25" i="17"/>
  <c r="GF25" i="17"/>
  <c r="GG24" i="17"/>
  <c r="HL24" i="17"/>
  <c r="HM24" i="17" s="1"/>
  <c r="FH24" i="17"/>
  <c r="GM24" i="17"/>
  <c r="FA23" i="17"/>
  <c r="GF23" i="17"/>
  <c r="GN22" i="17"/>
  <c r="HS22" i="17"/>
  <c r="HT22" i="17" s="1"/>
  <c r="GG20" i="17"/>
  <c r="HL20" i="17"/>
  <c r="HM20" i="17" s="1"/>
  <c r="FH20" i="17"/>
  <c r="GM20" i="17"/>
  <c r="FA19" i="17"/>
  <c r="GF19" i="17"/>
  <c r="GG18" i="17"/>
  <c r="HL18" i="17"/>
  <c r="HM18" i="17" s="1"/>
  <c r="GN16" i="17"/>
  <c r="HS16" i="17"/>
  <c r="HT16" i="17" s="1"/>
  <c r="GG179" i="17"/>
  <c r="HL179" i="17"/>
  <c r="HM179" i="17" s="1"/>
  <c r="FA141" i="17"/>
  <c r="GF141" i="17"/>
  <c r="FA181" i="17"/>
  <c r="GF181" i="17"/>
  <c r="GN183" i="17"/>
  <c r="HS183" i="17"/>
  <c r="HT183" i="17" s="1"/>
  <c r="FH182" i="17"/>
  <c r="GM182" i="17"/>
  <c r="GN181" i="17"/>
  <c r="HS181" i="17"/>
  <c r="HT181" i="17" s="1"/>
  <c r="GM177" i="17"/>
  <c r="FH177" i="17"/>
  <c r="GF142" i="17"/>
  <c r="FA142" i="17"/>
  <c r="HF123" i="17"/>
  <c r="FH170" i="17"/>
  <c r="GM170" i="17"/>
  <c r="AJ160" i="17"/>
  <c r="BP160" i="17"/>
  <c r="HR148" i="17"/>
  <c r="HR154" i="17" s="1"/>
  <c r="GL154" i="17"/>
  <c r="FH126" i="17"/>
  <c r="GM126" i="17"/>
  <c r="FH159" i="17"/>
  <c r="GM159" i="17"/>
  <c r="FA157" i="17"/>
  <c r="GF157" i="17"/>
  <c r="FH153" i="17"/>
  <c r="GM153" i="17"/>
  <c r="GF133" i="17"/>
  <c r="GF138" i="17" s="1"/>
  <c r="GG138" i="17" s="1"/>
  <c r="FA133" i="17"/>
  <c r="HP130" i="17"/>
  <c r="HP131" i="17" s="1"/>
  <c r="HP139" i="17" s="1"/>
  <c r="HP161" i="17" s="1"/>
  <c r="GJ131" i="17"/>
  <c r="GJ139" i="17" s="1"/>
  <c r="FA158" i="17"/>
  <c r="GF158" i="17"/>
  <c r="HH132" i="17"/>
  <c r="HH138" i="17" s="1"/>
  <c r="HH139" i="17" s="1"/>
  <c r="GB138" i="17"/>
  <c r="GB139" i="17" s="1"/>
  <c r="GG86" i="17"/>
  <c r="HL86" i="17"/>
  <c r="HM86" i="17" s="1"/>
  <c r="HE186" i="17"/>
  <c r="HU186" i="17" s="1"/>
  <c r="GO186" i="17"/>
  <c r="EY191" i="17"/>
  <c r="C36" i="52" s="1"/>
  <c r="GE192" i="17"/>
  <c r="GF188" i="17"/>
  <c r="FA188" i="17"/>
  <c r="GG178" i="17"/>
  <c r="HL178" i="17"/>
  <c r="HM178" i="17" s="1"/>
  <c r="FY173" i="17"/>
  <c r="GO174" i="17"/>
  <c r="HE174" i="17"/>
  <c r="FI173" i="17"/>
  <c r="ES211" i="17"/>
  <c r="DB76" i="11"/>
  <c r="CT78" i="11"/>
  <c r="CT70" i="11"/>
  <c r="CL72" i="11"/>
  <c r="FG123" i="17"/>
  <c r="EA129" i="17"/>
  <c r="GG182" i="17"/>
  <c r="HL182" i="17"/>
  <c r="HM182" i="17" s="1"/>
  <c r="HE156" i="17"/>
  <c r="HU156" i="17" s="1"/>
  <c r="GO156" i="17"/>
  <c r="FF147" i="17"/>
  <c r="GL140" i="17"/>
  <c r="GN180" i="17"/>
  <c r="HS180" i="17"/>
  <c r="HT180" i="17" s="1"/>
  <c r="GN176" i="17"/>
  <c r="HS176" i="17"/>
  <c r="HT176" i="17" s="1"/>
  <c r="GG175" i="17"/>
  <c r="HL175" i="17"/>
  <c r="HM175" i="17" s="1"/>
  <c r="GN167" i="17"/>
  <c r="HS167" i="17"/>
  <c r="HT167" i="17" s="1"/>
  <c r="GF183" i="17"/>
  <c r="FA183" i="17"/>
  <c r="GF180" i="17"/>
  <c r="FA180" i="17"/>
  <c r="HU155" i="17"/>
  <c r="GN141" i="17"/>
  <c r="HS141" i="17"/>
  <c r="HT141" i="17" s="1"/>
  <c r="FA207" i="17"/>
  <c r="GF207" i="17"/>
  <c r="E18" i="60"/>
  <c r="C27" i="60"/>
  <c r="FH165" i="17"/>
  <c r="GM165" i="17"/>
  <c r="EB163" i="17"/>
  <c r="FG163" i="17"/>
  <c r="EA211" i="17"/>
  <c r="EB211" i="17" s="1"/>
  <c r="HU140" i="17"/>
  <c r="HR130" i="17"/>
  <c r="HR131" i="17" s="1"/>
  <c r="GL131" i="17"/>
  <c r="C49" i="56"/>
  <c r="FM246" i="17" s="1"/>
  <c r="C48" i="56"/>
  <c r="E37" i="56"/>
  <c r="FA209" i="17"/>
  <c r="GF209" i="17"/>
  <c r="GN185" i="17"/>
  <c r="HS185" i="17"/>
  <c r="HT185" i="17" s="1"/>
  <c r="FA166" i="17"/>
  <c r="GF166" i="17"/>
  <c r="FH134" i="17"/>
  <c r="GM134" i="17"/>
  <c r="GG44" i="17"/>
  <c r="HL44" i="17"/>
  <c r="HM44" i="17" s="1"/>
  <c r="GG43" i="17"/>
  <c r="HL43" i="17"/>
  <c r="HM43" i="17" s="1"/>
  <c r="GN41" i="17"/>
  <c r="HS41" i="17"/>
  <c r="HT41" i="17" s="1"/>
  <c r="GG40" i="17"/>
  <c r="HL40" i="17"/>
  <c r="HM40" i="17" s="1"/>
  <c r="GN39" i="17"/>
  <c r="HS39" i="17"/>
  <c r="HT39" i="17" s="1"/>
  <c r="GG38" i="17"/>
  <c r="HL38" i="17"/>
  <c r="HM38" i="17" s="1"/>
  <c r="GN37" i="17"/>
  <c r="HS37" i="17"/>
  <c r="HT37" i="17" s="1"/>
  <c r="CT82" i="11"/>
  <c r="CL85" i="11"/>
  <c r="DN163" i="17"/>
  <c r="ET164" i="17"/>
  <c r="FZ164" i="17" s="1"/>
  <c r="GM178" i="17"/>
  <c r="FH178" i="17"/>
  <c r="D16" i="52"/>
  <c r="E16" i="52" s="1"/>
  <c r="GM168" i="17"/>
  <c r="FH168" i="17"/>
  <c r="GE136" i="17"/>
  <c r="EY138" i="17"/>
  <c r="GO123" i="17"/>
  <c r="HE123" i="17"/>
  <c r="E16" i="53"/>
  <c r="C27" i="53"/>
  <c r="C28" i="53"/>
  <c r="D40" i="45"/>
  <c r="E40" i="45" s="1"/>
  <c r="DU168" i="17"/>
  <c r="EZ168" i="17"/>
  <c r="HL132" i="17"/>
  <c r="GG132" i="17"/>
  <c r="FF138" i="17"/>
  <c r="GL132" i="17"/>
  <c r="GL173" i="17"/>
  <c r="HR174" i="17"/>
  <c r="HR173" i="17" s="1"/>
  <c r="FZ173" i="17"/>
  <c r="HF174" i="17"/>
  <c r="HF173" i="17" s="1"/>
  <c r="GK147" i="17"/>
  <c r="HQ144" i="17"/>
  <c r="HQ147" i="17" s="1"/>
  <c r="GG126" i="17"/>
  <c r="HL126" i="17"/>
  <c r="HM126" i="17" s="1"/>
  <c r="FF123" i="17"/>
  <c r="DZ129" i="17"/>
  <c r="DZ139" i="17" s="1"/>
  <c r="DZ161" i="17" s="1"/>
  <c r="FE128" i="17"/>
  <c r="FE129" i="17" s="1"/>
  <c r="GK127" i="17"/>
  <c r="DJ18" i="11"/>
  <c r="FD161" i="17"/>
  <c r="C8" i="52" s="1"/>
  <c r="HN211" i="17"/>
  <c r="EX161" i="17"/>
  <c r="D32" i="52" s="1"/>
  <c r="E32" i="52" s="1"/>
  <c r="EZ128" i="17"/>
  <c r="FA128" i="17" s="1"/>
  <c r="CV160" i="17"/>
  <c r="E32" i="42"/>
  <c r="HS226" i="17"/>
  <c r="EZ138" i="17"/>
  <c r="FA138" i="17" s="1"/>
  <c r="DT129" i="17"/>
  <c r="D7" i="45"/>
  <c r="DW244" i="17"/>
  <c r="GF228" i="17"/>
  <c r="D35" i="52"/>
  <c r="E39" i="45"/>
  <c r="G13" i="57"/>
  <c r="F11" i="57" s="1"/>
  <c r="C11" i="57" s="1"/>
  <c r="EB132" i="17"/>
  <c r="FG132" i="17"/>
  <c r="D28" i="42"/>
  <c r="E7" i="42"/>
  <c r="D29" i="42"/>
  <c r="E11" i="52"/>
  <c r="FG131" i="17"/>
  <c r="GM130" i="17"/>
  <c r="FH130" i="17"/>
  <c r="HT125" i="17"/>
  <c r="HO130" i="17"/>
  <c r="HO131" i="17" s="1"/>
  <c r="GI131" i="17"/>
  <c r="GI135" i="17"/>
  <c r="FC138" i="17"/>
  <c r="FC139" i="17" s="1"/>
  <c r="FC161" i="17" s="1"/>
  <c r="GL128" i="17" l="1"/>
  <c r="HR125" i="17"/>
  <c r="HR128" i="17" s="1"/>
  <c r="ES160" i="17"/>
  <c r="FI160" i="17" s="1"/>
  <c r="FI158" i="17"/>
  <c r="FY158" i="17"/>
  <c r="E32" i="57"/>
  <c r="HS190" i="17"/>
  <c r="HT190" i="17" s="1"/>
  <c r="GN190" i="17"/>
  <c r="GE127" i="17"/>
  <c r="EY128" i="17"/>
  <c r="EY129" i="17" s="1"/>
  <c r="EY139" i="17"/>
  <c r="EY161" i="17" s="1"/>
  <c r="D25" i="57"/>
  <c r="E25" i="57" s="1"/>
  <c r="HS220" i="17"/>
  <c r="GJ161" i="17"/>
  <c r="C8" i="57" s="1"/>
  <c r="R139" i="17"/>
  <c r="BI139" i="17" s="1"/>
  <c r="D57" i="41"/>
  <c r="G57" i="41" s="1"/>
  <c r="EA136" i="17"/>
  <c r="FG136" i="17" s="1"/>
  <c r="D24" i="57"/>
  <c r="E24" i="57" s="1"/>
  <c r="HS240" i="17"/>
  <c r="HS241" i="17" s="1"/>
  <c r="GM241" i="17"/>
  <c r="GG187" i="17"/>
  <c r="HL187" i="17"/>
  <c r="HM187" i="17" s="1"/>
  <c r="GM147" i="17"/>
  <c r="GN147" i="17" s="1"/>
  <c r="HG139" i="17"/>
  <c r="HG161" i="17" s="1"/>
  <c r="HG244" i="17" s="1"/>
  <c r="HL195" i="17"/>
  <c r="HM195" i="17" s="1"/>
  <c r="GG195" i="17"/>
  <c r="FY129" i="17"/>
  <c r="FY139" i="17" s="1"/>
  <c r="HJ139" i="17"/>
  <c r="HJ161" i="17" s="1"/>
  <c r="D52" i="45"/>
  <c r="G52" i="45" s="1"/>
  <c r="D51" i="45"/>
  <c r="DT247" i="17" s="1"/>
  <c r="HL198" i="17"/>
  <c r="HM198" i="17" s="1"/>
  <c r="GG198" i="17"/>
  <c r="GN204" i="17"/>
  <c r="HS204" i="17"/>
  <c r="HT204" i="17" s="1"/>
  <c r="HL194" i="17"/>
  <c r="HM194" i="17" s="1"/>
  <c r="GG194" i="17"/>
  <c r="HL216" i="17"/>
  <c r="D39" i="57"/>
  <c r="E39" i="57" s="1"/>
  <c r="GN15" i="17"/>
  <c r="HS15" i="17"/>
  <c r="HT15" i="17" s="1"/>
  <c r="CT10" i="11"/>
  <c r="CL12" i="11"/>
  <c r="GG14" i="17"/>
  <c r="HL14" i="17"/>
  <c r="HM14" i="17" s="1"/>
  <c r="HS108" i="17"/>
  <c r="HT108" i="17" s="1"/>
  <c r="GN108" i="17"/>
  <c r="D53" i="42"/>
  <c r="D57" i="42" s="1"/>
  <c r="G57" i="42" s="1"/>
  <c r="DY138" i="17"/>
  <c r="DY139" i="17" s="1"/>
  <c r="DY161" i="17" s="1"/>
  <c r="D8" i="45" s="1"/>
  <c r="E8" i="45" s="1"/>
  <c r="FE135" i="17"/>
  <c r="GG61" i="17"/>
  <c r="HL61" i="17"/>
  <c r="HM61" i="17" s="1"/>
  <c r="GN172" i="17"/>
  <c r="HS172" i="17"/>
  <c r="HT172" i="17" s="1"/>
  <c r="GG206" i="17"/>
  <c r="HL206" i="17"/>
  <c r="HM206" i="17" s="1"/>
  <c r="GO141" i="17"/>
  <c r="HE141" i="17"/>
  <c r="FY147" i="17"/>
  <c r="GO147" i="17" s="1"/>
  <c r="HS174" i="17"/>
  <c r="HT174" i="17" s="1"/>
  <c r="GN174" i="17"/>
  <c r="HL202" i="17"/>
  <c r="HM202" i="17" s="1"/>
  <c r="GG202" i="17"/>
  <c r="GG205" i="17"/>
  <c r="HL205" i="17"/>
  <c r="HM205" i="17" s="1"/>
  <c r="BP138" i="17"/>
  <c r="BO139" i="17"/>
  <c r="CV135" i="17"/>
  <c r="EA135" i="17"/>
  <c r="CU138" i="17"/>
  <c r="GG192" i="17"/>
  <c r="HL192" i="17"/>
  <c r="HM192" i="17" s="1"/>
  <c r="HS61" i="17"/>
  <c r="HT61" i="17" s="1"/>
  <c r="GN61" i="17"/>
  <c r="HS89" i="17"/>
  <c r="HT89" i="17" s="1"/>
  <c r="GN89" i="17"/>
  <c r="BV25" i="11"/>
  <c r="BN34" i="11"/>
  <c r="BN35" i="11" s="1"/>
  <c r="BN37" i="11" s="1"/>
  <c r="HS98" i="17"/>
  <c r="HT98" i="17" s="1"/>
  <c r="GN98" i="17"/>
  <c r="HK143" i="17"/>
  <c r="HK147" i="17" s="1"/>
  <c r="GE147" i="17"/>
  <c r="HS117" i="17"/>
  <c r="HT117" i="17" s="1"/>
  <c r="GN117" i="17"/>
  <c r="HS92" i="17"/>
  <c r="HT92" i="17" s="1"/>
  <c r="GN92" i="17"/>
  <c r="HU127" i="17"/>
  <c r="HE128" i="17"/>
  <c r="HU128" i="17" s="1"/>
  <c r="S129" i="17"/>
  <c r="CV123" i="17"/>
  <c r="BP123" i="17"/>
  <c r="AJ123" i="17"/>
  <c r="BI129" i="17"/>
  <c r="AC129" i="17"/>
  <c r="HF127" i="17"/>
  <c r="HF128" i="17" s="1"/>
  <c r="HF129" i="17" s="1"/>
  <c r="HF139" i="17" s="1"/>
  <c r="HF161" i="17" s="1"/>
  <c r="FZ128" i="17"/>
  <c r="FZ129" i="17" s="1"/>
  <c r="FZ139" i="17" s="1"/>
  <c r="FZ161" i="17" s="1"/>
  <c r="EB129" i="17"/>
  <c r="E12" i="42"/>
  <c r="D31" i="52"/>
  <c r="E31" i="52" s="1"/>
  <c r="EV244" i="17"/>
  <c r="DT139" i="17"/>
  <c r="DU129" i="17"/>
  <c r="GL123" i="17"/>
  <c r="FF129" i="17"/>
  <c r="FF139" i="17" s="1"/>
  <c r="FF161" i="17" s="1"/>
  <c r="D36" i="52"/>
  <c r="E36" i="52" s="1"/>
  <c r="FA168" i="17"/>
  <c r="EZ212" i="17"/>
  <c r="GF168" i="17"/>
  <c r="HK136" i="17"/>
  <c r="HK138" i="17" s="1"/>
  <c r="GE138" i="17"/>
  <c r="GN168" i="17"/>
  <c r="HS168" i="17"/>
  <c r="HT168" i="17" s="1"/>
  <c r="FZ163" i="17"/>
  <c r="FZ211" i="17" s="1"/>
  <c r="HF164" i="17"/>
  <c r="HF163" i="17" s="1"/>
  <c r="HF211" i="17" s="1"/>
  <c r="HS134" i="17"/>
  <c r="HT134" i="17" s="1"/>
  <c r="GN134" i="17"/>
  <c r="GG166" i="17"/>
  <c r="HL166" i="17"/>
  <c r="HM166" i="17" s="1"/>
  <c r="GG209" i="17"/>
  <c r="HL209" i="17"/>
  <c r="HM209" i="17" s="1"/>
  <c r="FH163" i="17"/>
  <c r="FG211" i="17"/>
  <c r="FH211" i="17" s="1"/>
  <c r="GN165" i="17"/>
  <c r="HS165" i="17"/>
  <c r="HT165" i="17" s="1"/>
  <c r="HL207" i="17"/>
  <c r="HM207" i="17" s="1"/>
  <c r="GG207" i="17"/>
  <c r="HR140" i="17"/>
  <c r="HR147" i="17" s="1"/>
  <c r="GL147" i="17"/>
  <c r="GM123" i="17"/>
  <c r="FH123" i="17"/>
  <c r="FG129" i="17"/>
  <c r="DB70" i="11"/>
  <c r="CT72" i="11"/>
  <c r="DB78" i="11"/>
  <c r="DJ76" i="11"/>
  <c r="DJ78" i="11" s="1"/>
  <c r="GE191" i="17"/>
  <c r="C36" i="57" s="1"/>
  <c r="HK192" i="17"/>
  <c r="HK191" i="17" s="1"/>
  <c r="GG158" i="17"/>
  <c r="HL158" i="17"/>
  <c r="HM158" i="17" s="1"/>
  <c r="GN153" i="17"/>
  <c r="HS153" i="17"/>
  <c r="HT153" i="17" s="1"/>
  <c r="GG157" i="17"/>
  <c r="HL157" i="17"/>
  <c r="HM157" i="17" s="1"/>
  <c r="GN159" i="17"/>
  <c r="HS159" i="17"/>
  <c r="HT159" i="17" s="1"/>
  <c r="HL142" i="17"/>
  <c r="HM142" i="17" s="1"/>
  <c r="GG142" i="17"/>
  <c r="HS177" i="17"/>
  <c r="HT177" i="17" s="1"/>
  <c r="GN177" i="17"/>
  <c r="HU163" i="17"/>
  <c r="HL123" i="17"/>
  <c r="GG123" i="17"/>
  <c r="DB32" i="11"/>
  <c r="HL131" i="17"/>
  <c r="HM131" i="17" s="1"/>
  <c r="HM130" i="17"/>
  <c r="C28" i="42"/>
  <c r="E18" i="42"/>
  <c r="C29" i="42"/>
  <c r="HS143" i="17"/>
  <c r="HT143" i="17" s="1"/>
  <c r="GN143" i="17"/>
  <c r="GN150" i="17"/>
  <c r="HS150" i="17"/>
  <c r="HT150" i="17" s="1"/>
  <c r="GN151" i="17"/>
  <c r="HS151" i="17"/>
  <c r="HT151" i="17" s="1"/>
  <c r="FH127" i="17"/>
  <c r="GM127" i="17"/>
  <c r="GM128" i="17" s="1"/>
  <c r="GN128" i="17" s="1"/>
  <c r="HH152" i="17"/>
  <c r="HH154" i="17" s="1"/>
  <c r="GB154" i="17"/>
  <c r="GB161" i="17" s="1"/>
  <c r="GM163" i="17"/>
  <c r="GN164" i="17"/>
  <c r="HS164" i="17"/>
  <c r="HL193" i="17"/>
  <c r="GG193" i="17"/>
  <c r="GF191" i="17"/>
  <c r="GG191" i="17" s="1"/>
  <c r="CN161" i="17"/>
  <c r="HS137" i="17"/>
  <c r="HT137" i="17" s="1"/>
  <c r="GN137" i="17"/>
  <c r="GM160" i="17"/>
  <c r="GN160" i="17" s="1"/>
  <c r="GN155" i="17"/>
  <c r="HS155" i="17"/>
  <c r="HS175" i="17"/>
  <c r="GN175" i="17"/>
  <c r="GM173" i="17"/>
  <c r="GN173" i="17" s="1"/>
  <c r="HL169" i="17"/>
  <c r="HM169" i="17" s="1"/>
  <c r="GG169" i="17"/>
  <c r="C41" i="45"/>
  <c r="DS211" i="17"/>
  <c r="DS243" i="17" s="1"/>
  <c r="EY163" i="17"/>
  <c r="C27" i="52"/>
  <c r="GF160" i="17"/>
  <c r="GG160" i="17" s="1"/>
  <c r="HN244" i="17"/>
  <c r="C31" i="57"/>
  <c r="GA244" i="17"/>
  <c r="HQ127" i="17"/>
  <c r="HQ128" i="17" s="1"/>
  <c r="HQ129" i="17" s="1"/>
  <c r="GK128" i="17"/>
  <c r="GK129" i="17" s="1"/>
  <c r="HR132" i="17"/>
  <c r="HR138" i="17" s="1"/>
  <c r="GL138" i="17"/>
  <c r="HM132" i="17"/>
  <c r="HU123" i="17"/>
  <c r="HS178" i="17"/>
  <c r="HT178" i="17" s="1"/>
  <c r="GN178" i="17"/>
  <c r="ET163" i="17"/>
  <c r="ET211" i="17" s="1"/>
  <c r="DN211" i="17"/>
  <c r="DB82" i="11"/>
  <c r="CT85" i="11"/>
  <c r="HL180" i="17"/>
  <c r="HM180" i="17" s="1"/>
  <c r="GG180" i="17"/>
  <c r="HL183" i="17"/>
  <c r="HM183" i="17" s="1"/>
  <c r="GG183" i="17"/>
  <c r="HU174" i="17"/>
  <c r="GO173" i="17"/>
  <c r="FY211" i="17"/>
  <c r="HL188" i="17"/>
  <c r="HM188" i="17" s="1"/>
  <c r="GG188" i="17"/>
  <c r="GG133" i="17"/>
  <c r="HL133" i="17"/>
  <c r="HM133" i="17" s="1"/>
  <c r="GN126" i="17"/>
  <c r="HS126" i="17"/>
  <c r="GN170" i="17"/>
  <c r="HS170" i="17"/>
  <c r="HT170" i="17" s="1"/>
  <c r="GN182" i="17"/>
  <c r="HS182" i="17"/>
  <c r="HT182" i="17" s="1"/>
  <c r="GG181" i="17"/>
  <c r="HL181" i="17"/>
  <c r="HM181" i="17" s="1"/>
  <c r="GG141" i="17"/>
  <c r="HL141" i="17"/>
  <c r="HM141" i="17" s="1"/>
  <c r="GG19" i="17"/>
  <c r="HL19" i="17"/>
  <c r="HM19" i="17" s="1"/>
  <c r="GN20" i="17"/>
  <c r="HS20" i="17"/>
  <c r="HT20" i="17" s="1"/>
  <c r="GG23" i="17"/>
  <c r="HL23" i="17"/>
  <c r="HM23" i="17" s="1"/>
  <c r="GN24" i="17"/>
  <c r="HS24" i="17"/>
  <c r="HT24" i="17" s="1"/>
  <c r="GG25" i="17"/>
  <c r="HL25" i="17"/>
  <c r="HM25" i="17" s="1"/>
  <c r="GN26" i="17"/>
  <c r="HS26" i="17"/>
  <c r="HT26" i="17" s="1"/>
  <c r="GN28" i="17"/>
  <c r="HS28" i="17"/>
  <c r="HT28" i="17" s="1"/>
  <c r="GG31" i="17"/>
  <c r="HL31" i="17"/>
  <c r="HM31" i="17" s="1"/>
  <c r="GN32" i="17"/>
  <c r="HS32" i="17"/>
  <c r="HT32" i="17" s="1"/>
  <c r="GG33" i="17"/>
  <c r="HL33" i="17"/>
  <c r="HM33" i="17" s="1"/>
  <c r="GN34" i="17"/>
  <c r="HS34" i="17"/>
  <c r="HT34" i="17" s="1"/>
  <c r="GG35" i="17"/>
  <c r="HL35" i="17"/>
  <c r="HM35" i="17" s="1"/>
  <c r="GN36" i="17"/>
  <c r="HS36" i="17"/>
  <c r="HT36" i="17" s="1"/>
  <c r="GG37" i="17"/>
  <c r="HL37" i="17"/>
  <c r="HM37" i="17" s="1"/>
  <c r="GN38" i="17"/>
  <c r="HS38" i="17"/>
  <c r="HT38" i="17" s="1"/>
  <c r="GG39" i="17"/>
  <c r="HL39" i="17"/>
  <c r="HM39" i="17" s="1"/>
  <c r="GN40" i="17"/>
  <c r="HS40" i="17"/>
  <c r="HT40" i="17" s="1"/>
  <c r="GG41" i="17"/>
  <c r="HL41" i="17"/>
  <c r="HM41" i="17" s="1"/>
  <c r="GN43" i="17"/>
  <c r="HS43" i="17"/>
  <c r="HT43" i="17" s="1"/>
  <c r="GN44" i="17"/>
  <c r="HS44" i="17"/>
  <c r="HT44" i="17" s="1"/>
  <c r="GG52" i="17"/>
  <c r="HL52" i="17"/>
  <c r="HM52" i="17" s="1"/>
  <c r="GN53" i="17"/>
  <c r="HS53" i="17"/>
  <c r="HT53" i="17" s="1"/>
  <c r="GG54" i="17"/>
  <c r="HL54" i="17"/>
  <c r="HM54" i="17" s="1"/>
  <c r="GN55" i="17"/>
  <c r="HS55" i="17"/>
  <c r="HT55" i="17" s="1"/>
  <c r="GN56" i="17"/>
  <c r="HS56" i="17"/>
  <c r="HT56" i="17" s="1"/>
  <c r="GG57" i="17"/>
  <c r="HL57" i="17"/>
  <c r="HM57" i="17" s="1"/>
  <c r="GG58" i="17"/>
  <c r="HL58" i="17"/>
  <c r="HM58" i="17" s="1"/>
  <c r="GN59" i="17"/>
  <c r="HS59" i="17"/>
  <c r="HT59" i="17" s="1"/>
  <c r="GG60" i="17"/>
  <c r="HL60" i="17"/>
  <c r="HM60" i="17" s="1"/>
  <c r="GG62" i="17"/>
  <c r="HL62" i="17"/>
  <c r="HM62" i="17" s="1"/>
  <c r="GN63" i="17"/>
  <c r="HS63" i="17"/>
  <c r="HT63" i="17" s="1"/>
  <c r="GG64" i="17"/>
  <c r="HL64" i="17"/>
  <c r="HM64" i="17" s="1"/>
  <c r="GG65" i="17"/>
  <c r="HL65" i="17"/>
  <c r="HM65" i="17" s="1"/>
  <c r="GG66" i="17"/>
  <c r="HL66" i="17"/>
  <c r="HM66" i="17" s="1"/>
  <c r="GG67" i="17"/>
  <c r="HL67" i="17"/>
  <c r="HM67" i="17" s="1"/>
  <c r="GN68" i="17"/>
  <c r="HS68" i="17"/>
  <c r="HT68" i="17" s="1"/>
  <c r="GG69" i="17"/>
  <c r="HL69" i="17"/>
  <c r="HM69" i="17" s="1"/>
  <c r="GG70" i="17"/>
  <c r="HL70" i="17"/>
  <c r="HM70" i="17" s="1"/>
  <c r="GN71" i="17"/>
  <c r="HS71" i="17"/>
  <c r="HT71" i="17" s="1"/>
  <c r="GG72" i="17"/>
  <c r="HL72" i="17"/>
  <c r="HM72" i="17" s="1"/>
  <c r="GG73" i="17"/>
  <c r="HL73" i="17"/>
  <c r="HM73" i="17" s="1"/>
  <c r="D37" i="52"/>
  <c r="EZ211" i="17"/>
  <c r="FA211" i="17" s="1"/>
  <c r="FA163" i="17"/>
  <c r="GF163" i="17"/>
  <c r="GG164" i="17"/>
  <c r="HL164" i="17"/>
  <c r="HM148" i="17"/>
  <c r="HL154" i="17"/>
  <c r="HM154" i="17" s="1"/>
  <c r="E40" i="42"/>
  <c r="C51" i="42"/>
  <c r="C50" i="42"/>
  <c r="HS145" i="17"/>
  <c r="HT145" i="17" s="1"/>
  <c r="GN145" i="17"/>
  <c r="GG17" i="17"/>
  <c r="HL17" i="17"/>
  <c r="HM17" i="17" s="1"/>
  <c r="GN18" i="17"/>
  <c r="HS18" i="17"/>
  <c r="HT18" i="17" s="1"/>
  <c r="GN99" i="17"/>
  <c r="HS99" i="17"/>
  <c r="HT99" i="17" s="1"/>
  <c r="GN100" i="17"/>
  <c r="HS100" i="17"/>
  <c r="HT100" i="17" s="1"/>
  <c r="GG109" i="17"/>
  <c r="HL109" i="17"/>
  <c r="HM109" i="17" s="1"/>
  <c r="GN110" i="17"/>
  <c r="HS110" i="17"/>
  <c r="HT110" i="17" s="1"/>
  <c r="GN111" i="17"/>
  <c r="HS111" i="17"/>
  <c r="HT111" i="17" s="1"/>
  <c r="GG112" i="17"/>
  <c r="HL112" i="17"/>
  <c r="HM112" i="17" s="1"/>
  <c r="GN113" i="17"/>
  <c r="HS113" i="17"/>
  <c r="HT113" i="17" s="1"/>
  <c r="GG114" i="17"/>
  <c r="HL114" i="17"/>
  <c r="HM114" i="17" s="1"/>
  <c r="GN115" i="17"/>
  <c r="HS115" i="17"/>
  <c r="HT115" i="17" s="1"/>
  <c r="GG116" i="17"/>
  <c r="HL116" i="17"/>
  <c r="HM116" i="17" s="1"/>
  <c r="GG118" i="17"/>
  <c r="HL118" i="17"/>
  <c r="HM118" i="17" s="1"/>
  <c r="C18" i="45"/>
  <c r="FF168" i="17"/>
  <c r="DZ211" i="17"/>
  <c r="ES161" i="17"/>
  <c r="FI139" i="17"/>
  <c r="GG103" i="17"/>
  <c r="HL103" i="17"/>
  <c r="HM103" i="17" s="1"/>
  <c r="GG104" i="17"/>
  <c r="HL104" i="17"/>
  <c r="HM104" i="17" s="1"/>
  <c r="GG106" i="17"/>
  <c r="HL106" i="17"/>
  <c r="HM106" i="17" s="1"/>
  <c r="GG121" i="17"/>
  <c r="HL121" i="17"/>
  <c r="HM121" i="17" s="1"/>
  <c r="GN122" i="17"/>
  <c r="HS122" i="17"/>
  <c r="HT122" i="17" s="1"/>
  <c r="HL144" i="17"/>
  <c r="HM144" i="17" s="1"/>
  <c r="GG144" i="17"/>
  <c r="GN146" i="17"/>
  <c r="HS146" i="17"/>
  <c r="HT146" i="17" s="1"/>
  <c r="HE148" i="17"/>
  <c r="FY154" i="17"/>
  <c r="GO154" i="17" s="1"/>
  <c r="GO148" i="17"/>
  <c r="GE160" i="17"/>
  <c r="HK155" i="17"/>
  <c r="HK160" i="17" s="1"/>
  <c r="HL170" i="17"/>
  <c r="HM170" i="17" s="1"/>
  <c r="GG170" i="17"/>
  <c r="HL172" i="17"/>
  <c r="HM172" i="17" s="1"/>
  <c r="GG172" i="17"/>
  <c r="HK149" i="17"/>
  <c r="HK154" i="17" s="1"/>
  <c r="GE154" i="17"/>
  <c r="HS191" i="17"/>
  <c r="HT191" i="17" s="1"/>
  <c r="HT192" i="17"/>
  <c r="GG75" i="17"/>
  <c r="HL75" i="17"/>
  <c r="HM75" i="17" s="1"/>
  <c r="GG76" i="17"/>
  <c r="HL76" i="17"/>
  <c r="HM76" i="17" s="1"/>
  <c r="GN77" i="17"/>
  <c r="HS77" i="17"/>
  <c r="HT77" i="17" s="1"/>
  <c r="GG78" i="17"/>
  <c r="HL78" i="17"/>
  <c r="HM78" i="17" s="1"/>
  <c r="GG80" i="17"/>
  <c r="HL80" i="17"/>
  <c r="HM80" i="17" s="1"/>
  <c r="GG81" i="17"/>
  <c r="HL81" i="17"/>
  <c r="HM81" i="17" s="1"/>
  <c r="GN82" i="17"/>
  <c r="HS82" i="17"/>
  <c r="HT82" i="17" s="1"/>
  <c r="GG83" i="17"/>
  <c r="HL83" i="17"/>
  <c r="HM83" i="17" s="1"/>
  <c r="GN45" i="17"/>
  <c r="HS45" i="17"/>
  <c r="HT45" i="17" s="1"/>
  <c r="GG46" i="17"/>
  <c r="HL46" i="17"/>
  <c r="HM46" i="17" s="1"/>
  <c r="GN47" i="17"/>
  <c r="HS47" i="17"/>
  <c r="HT47" i="17" s="1"/>
  <c r="GG48" i="17"/>
  <c r="HL48" i="17"/>
  <c r="HM48" i="17" s="1"/>
  <c r="GN49" i="17"/>
  <c r="HS49" i="17"/>
  <c r="HT49" i="17" s="1"/>
  <c r="GG50" i="17"/>
  <c r="HL50" i="17"/>
  <c r="HM50" i="17" s="1"/>
  <c r="GG85" i="17"/>
  <c r="HL85" i="17"/>
  <c r="HM85" i="17" s="1"/>
  <c r="GN86" i="17"/>
  <c r="HS86" i="17"/>
  <c r="HT86" i="17" s="1"/>
  <c r="GG94" i="17"/>
  <c r="HL94" i="17"/>
  <c r="HM94" i="17" s="1"/>
  <c r="GO185" i="17"/>
  <c r="HE185" i="17"/>
  <c r="HU185" i="17" s="1"/>
  <c r="GG190" i="17"/>
  <c r="HL190" i="17"/>
  <c r="HM190" i="17" s="1"/>
  <c r="HM155" i="17"/>
  <c r="GG16" i="17"/>
  <c r="HL16" i="17"/>
  <c r="HM16" i="17" s="1"/>
  <c r="GN21" i="17"/>
  <c r="HS21" i="17"/>
  <c r="HT21" i="17" s="1"/>
  <c r="GN27" i="17"/>
  <c r="HS27" i="17"/>
  <c r="HT27" i="17" s="1"/>
  <c r="GN29" i="17"/>
  <c r="HS29" i="17"/>
  <c r="HT29" i="17" s="1"/>
  <c r="HS144" i="17"/>
  <c r="HT144" i="17" s="1"/>
  <c r="GN144" i="17"/>
  <c r="GN149" i="17"/>
  <c r="HS149" i="17"/>
  <c r="GM154" i="17"/>
  <c r="GN154" i="17" s="1"/>
  <c r="GG127" i="17"/>
  <c r="HL127" i="17"/>
  <c r="HM127" i="17" s="1"/>
  <c r="GF128" i="17"/>
  <c r="GG128" i="17" s="1"/>
  <c r="GG174" i="17"/>
  <c r="GF173" i="17"/>
  <c r="GG173" i="17" s="1"/>
  <c r="HL174" i="17"/>
  <c r="GG22" i="17"/>
  <c r="HL22" i="17"/>
  <c r="HM22" i="17" s="1"/>
  <c r="GG30" i="17"/>
  <c r="HL30" i="17"/>
  <c r="HM30" i="17" s="1"/>
  <c r="GG84" i="17"/>
  <c r="HL84" i="17"/>
  <c r="HM84" i="17" s="1"/>
  <c r="HL203" i="17"/>
  <c r="HM203" i="17" s="1"/>
  <c r="GG203" i="17"/>
  <c r="HL204" i="17"/>
  <c r="HM204" i="17" s="1"/>
  <c r="GG204" i="17"/>
  <c r="C7" i="57"/>
  <c r="GH244" i="17"/>
  <c r="GN152" i="17"/>
  <c r="HS152" i="17"/>
  <c r="HT152" i="17" s="1"/>
  <c r="GG156" i="17"/>
  <c r="HL156" i="17"/>
  <c r="HM156" i="17" s="1"/>
  <c r="GG143" i="17"/>
  <c r="HL143" i="17"/>
  <c r="HM143" i="17" s="1"/>
  <c r="GN186" i="17"/>
  <c r="HS186" i="17"/>
  <c r="HT186" i="17" s="1"/>
  <c r="GG140" i="17"/>
  <c r="HL140" i="17"/>
  <c r="GF147" i="17"/>
  <c r="GG147" i="17" s="1"/>
  <c r="HK166" i="17"/>
  <c r="HK163" i="17" s="1"/>
  <c r="GE163" i="17"/>
  <c r="HL171" i="17"/>
  <c r="HM171" i="17" s="1"/>
  <c r="GG171" i="17"/>
  <c r="DZ243" i="17"/>
  <c r="HL128" i="17"/>
  <c r="HM128" i="17" s="1"/>
  <c r="EZ129" i="17"/>
  <c r="HH161" i="17"/>
  <c r="HH244" i="17" s="1"/>
  <c r="D7" i="52"/>
  <c r="FC244" i="17"/>
  <c r="FH132" i="17"/>
  <c r="GM132" i="17"/>
  <c r="F13" i="57"/>
  <c r="C13" i="57" s="1"/>
  <c r="F12" i="57"/>
  <c r="C12" i="57" s="1"/>
  <c r="DP247" i="17"/>
  <c r="DP249" i="17" s="1"/>
  <c r="D35" i="57"/>
  <c r="HL228" i="17"/>
  <c r="E7" i="45"/>
  <c r="D30" i="45"/>
  <c r="HO135" i="17"/>
  <c r="HO138" i="17" s="1"/>
  <c r="HO139" i="17" s="1"/>
  <c r="HO161" i="17" s="1"/>
  <c r="HO244" i="17" s="1"/>
  <c r="GI138" i="17"/>
  <c r="GI139" i="17" s="1"/>
  <c r="GI161" i="17" s="1"/>
  <c r="HS130" i="17"/>
  <c r="GN130" i="17"/>
  <c r="GM131" i="17"/>
  <c r="E35" i="52"/>
  <c r="HE129" i="17" l="1"/>
  <c r="R161" i="17"/>
  <c r="GO129" i="17"/>
  <c r="HK127" i="17"/>
  <c r="HK128" i="17" s="1"/>
  <c r="HK129" i="17" s="1"/>
  <c r="HK139" i="17" s="1"/>
  <c r="HK161" i="17" s="1"/>
  <c r="GE128" i="17"/>
  <c r="GE129" i="17" s="1"/>
  <c r="GE139" i="17" s="1"/>
  <c r="HE158" i="17"/>
  <c r="FY160" i="17"/>
  <c r="GO160" i="17" s="1"/>
  <c r="GO158" i="17"/>
  <c r="EB136" i="17"/>
  <c r="D55" i="48"/>
  <c r="D57" i="48" s="1"/>
  <c r="G57" i="48" s="1"/>
  <c r="AC139" i="17"/>
  <c r="CO139" i="17"/>
  <c r="FH129" i="17"/>
  <c r="D47" i="52"/>
  <c r="D29" i="45"/>
  <c r="EA247" i="17" s="1"/>
  <c r="HK211" i="17"/>
  <c r="D48" i="52"/>
  <c r="G48" i="52" s="1"/>
  <c r="DB10" i="11"/>
  <c r="CT12" i="11"/>
  <c r="HS147" i="17"/>
  <c r="HT147" i="17" s="1"/>
  <c r="HL160" i="17"/>
  <c r="HM160" i="17" s="1"/>
  <c r="BP129" i="17"/>
  <c r="AJ129" i="17"/>
  <c r="S139" i="17"/>
  <c r="BP139" i="17" s="1"/>
  <c r="CV129" i="17"/>
  <c r="CD25" i="11"/>
  <c r="BV34" i="11"/>
  <c r="BV35" i="11" s="1"/>
  <c r="BV37" i="11" s="1"/>
  <c r="EB135" i="17"/>
  <c r="FG135" i="17"/>
  <c r="EA138" i="17"/>
  <c r="BO161" i="17"/>
  <c r="GM136" i="17"/>
  <c r="FH136" i="17"/>
  <c r="CV138" i="17"/>
  <c r="CU139" i="17"/>
  <c r="HU141" i="17"/>
  <c r="HE147" i="17"/>
  <c r="HU147" i="17" s="1"/>
  <c r="GK135" i="17"/>
  <c r="FE138" i="17"/>
  <c r="FE139" i="17" s="1"/>
  <c r="FE161" i="17" s="1"/>
  <c r="D8" i="52" s="1"/>
  <c r="E8" i="52" s="1"/>
  <c r="C37" i="57"/>
  <c r="C49" i="57" s="1"/>
  <c r="GE211" i="17"/>
  <c r="HT149" i="17"/>
  <c r="HS154" i="17"/>
  <c r="HT154" i="17" s="1"/>
  <c r="HU148" i="17"/>
  <c r="HE154" i="17"/>
  <c r="HU154" i="17" s="1"/>
  <c r="GL168" i="17"/>
  <c r="FF211" i="17"/>
  <c r="HL163" i="17"/>
  <c r="HM164" i="17"/>
  <c r="D37" i="57"/>
  <c r="GG163" i="17"/>
  <c r="GF211" i="17"/>
  <c r="GG211" i="17" s="1"/>
  <c r="DB85" i="11"/>
  <c r="DJ82" i="11"/>
  <c r="DJ85" i="11" s="1"/>
  <c r="C37" i="52"/>
  <c r="EY211" i="17"/>
  <c r="EY243" i="17" s="1"/>
  <c r="E41" i="45"/>
  <c r="C51" i="45"/>
  <c r="DS247" i="17" s="1"/>
  <c r="DS249" i="17" s="1"/>
  <c r="C52" i="45"/>
  <c r="DO247" i="17" s="1"/>
  <c r="DO249" i="17" s="1"/>
  <c r="HT155" i="17"/>
  <c r="HS160" i="17"/>
  <c r="HT160" i="17" s="1"/>
  <c r="CN243" i="17"/>
  <c r="CO161" i="17"/>
  <c r="HT164" i="17"/>
  <c r="HS163" i="17"/>
  <c r="GN163" i="17"/>
  <c r="GM211" i="17"/>
  <c r="GN211" i="17" s="1"/>
  <c r="BI161" i="17"/>
  <c r="AC161" i="17"/>
  <c r="DJ32" i="11"/>
  <c r="HL129" i="17"/>
  <c r="HM123" i="17"/>
  <c r="HS123" i="17"/>
  <c r="GN123" i="17"/>
  <c r="GM129" i="17"/>
  <c r="GN129" i="17" s="1"/>
  <c r="HR123" i="17"/>
  <c r="HR129" i="17" s="1"/>
  <c r="HR139" i="17" s="1"/>
  <c r="HR161" i="17" s="1"/>
  <c r="GL129" i="17"/>
  <c r="GL139" i="17" s="1"/>
  <c r="GL161" i="17" s="1"/>
  <c r="DT161" i="17"/>
  <c r="DU139" i="17"/>
  <c r="HE173" i="17"/>
  <c r="HL138" i="17"/>
  <c r="HM138" i="17" s="1"/>
  <c r="GE161" i="17"/>
  <c r="EZ139" i="17"/>
  <c r="FA129" i="17"/>
  <c r="HM140" i="17"/>
  <c r="HL147" i="17"/>
  <c r="HM147" i="17" s="1"/>
  <c r="HM174" i="17"/>
  <c r="HL173" i="17"/>
  <c r="HM173" i="17" s="1"/>
  <c r="E18" i="45"/>
  <c r="C29" i="45"/>
  <c r="DZ247" i="17" s="1"/>
  <c r="DZ249" i="17" s="1"/>
  <c r="C30" i="45"/>
  <c r="DV247" i="17" s="1"/>
  <c r="DV249" i="17" s="1"/>
  <c r="HT126" i="17"/>
  <c r="HU129" i="17"/>
  <c r="HE139" i="17"/>
  <c r="D31" i="57"/>
  <c r="E31" i="57" s="1"/>
  <c r="GB244" i="17"/>
  <c r="HT175" i="17"/>
  <c r="HS173" i="17"/>
  <c r="HT173" i="17" s="1"/>
  <c r="HM193" i="17"/>
  <c r="HL191" i="17"/>
  <c r="HM191" i="17" s="1"/>
  <c r="GN127" i="17"/>
  <c r="HS127" i="17"/>
  <c r="HT127" i="17" s="1"/>
  <c r="DJ70" i="11"/>
  <c r="DJ72" i="11" s="1"/>
  <c r="DB72" i="11"/>
  <c r="GO139" i="17"/>
  <c r="D36" i="57"/>
  <c r="E36" i="57" s="1"/>
  <c r="GG168" i="17"/>
  <c r="HL168" i="17"/>
  <c r="HM168" i="17" s="1"/>
  <c r="E11" i="57"/>
  <c r="GF129" i="17"/>
  <c r="FF243" i="17"/>
  <c r="D7" i="57"/>
  <c r="GI244" i="17"/>
  <c r="HS131" i="17"/>
  <c r="HT131" i="17" s="1"/>
  <c r="HT130" i="17"/>
  <c r="D28" i="52"/>
  <c r="E7" i="52"/>
  <c r="DW247" i="17"/>
  <c r="DW249" i="17" s="1"/>
  <c r="G30" i="45"/>
  <c r="D54" i="45"/>
  <c r="D58" i="45" s="1"/>
  <c r="G58" i="45" s="1"/>
  <c r="E35" i="57"/>
  <c r="GN132" i="17"/>
  <c r="HS132" i="17"/>
  <c r="FY161" i="17" l="1"/>
  <c r="HU158" i="17"/>
  <c r="HE160" i="17"/>
  <c r="HU160" i="17" s="1"/>
  <c r="D52" i="53"/>
  <c r="D54" i="53" s="1"/>
  <c r="D53" i="56" s="1"/>
  <c r="D55" i="56" s="1"/>
  <c r="D27" i="52"/>
  <c r="C48" i="57"/>
  <c r="GE243" i="17"/>
  <c r="HK243" i="17"/>
  <c r="DB12" i="11"/>
  <c r="DJ10" i="11"/>
  <c r="DJ12" i="11" s="1"/>
  <c r="HQ135" i="17"/>
  <c r="HQ138" i="17" s="1"/>
  <c r="HQ139" i="17" s="1"/>
  <c r="HQ161" i="17" s="1"/>
  <c r="GK138" i="17"/>
  <c r="GK139" i="17" s="1"/>
  <c r="GK161" i="17" s="1"/>
  <c r="D8" i="57" s="1"/>
  <c r="E8" i="57" s="1"/>
  <c r="BO243" i="17"/>
  <c r="EB138" i="17"/>
  <c r="EA139" i="17"/>
  <c r="CL25" i="11"/>
  <c r="CD34" i="11"/>
  <c r="CD35" i="11" s="1"/>
  <c r="CD37" i="11" s="1"/>
  <c r="AJ139" i="17"/>
  <c r="S161" i="17"/>
  <c r="AJ161" i="17" s="1"/>
  <c r="CU161" i="17"/>
  <c r="CV139" i="17"/>
  <c r="HS136" i="17"/>
  <c r="HT136" i="17" s="1"/>
  <c r="GN136" i="17"/>
  <c r="GM135" i="17"/>
  <c r="FH135" i="17"/>
  <c r="FG138" i="17"/>
  <c r="D48" i="57"/>
  <c r="D49" i="57"/>
  <c r="G49" i="57" s="1"/>
  <c r="HU173" i="17"/>
  <c r="HE211" i="17"/>
  <c r="HT123" i="17"/>
  <c r="HL139" i="17"/>
  <c r="HM129" i="17"/>
  <c r="GF139" i="17"/>
  <c r="GG129" i="17"/>
  <c r="HE161" i="17"/>
  <c r="HU139" i="17"/>
  <c r="EZ161" i="17"/>
  <c r="FA139" i="17"/>
  <c r="DT243" i="17"/>
  <c r="DT249" i="17" s="1"/>
  <c r="DU161" i="17"/>
  <c r="HT163" i="17"/>
  <c r="HS211" i="17"/>
  <c r="HT211" i="17" s="1"/>
  <c r="E37" i="52"/>
  <c r="C47" i="52"/>
  <c r="C48" i="52"/>
  <c r="HM163" i="17"/>
  <c r="HL211" i="17"/>
  <c r="HM211" i="17" s="1"/>
  <c r="C16" i="57"/>
  <c r="HR168" i="17"/>
  <c r="HR211" i="17" s="1"/>
  <c r="HR243" i="17" s="1"/>
  <c r="GL211" i="17"/>
  <c r="GL243" i="17" s="1"/>
  <c r="HS128" i="17"/>
  <c r="HT128" i="17" s="1"/>
  <c r="E37" i="57"/>
  <c r="HT132" i="17"/>
  <c r="E7" i="57"/>
  <c r="D28" i="57"/>
  <c r="D50" i="52"/>
  <c r="D54" i="52" s="1"/>
  <c r="G54" i="52" s="1"/>
  <c r="G28" i="52"/>
  <c r="G54" i="53" l="1"/>
  <c r="D27" i="57"/>
  <c r="CT25" i="11"/>
  <c r="CL34" i="11"/>
  <c r="CL35" i="11" s="1"/>
  <c r="CL37" i="11" s="1"/>
  <c r="FG139" i="17"/>
  <c r="FH138" i="17"/>
  <c r="HS135" i="17"/>
  <c r="GN135" i="17"/>
  <c r="GM138" i="17"/>
  <c r="CU243" i="17"/>
  <c r="CV161" i="17"/>
  <c r="EA161" i="17"/>
  <c r="EB139" i="17"/>
  <c r="BP161" i="17"/>
  <c r="EZ243" i="17"/>
  <c r="FA161" i="17"/>
  <c r="GG139" i="17"/>
  <c r="GF161" i="17"/>
  <c r="HM139" i="17"/>
  <c r="HL161" i="17"/>
  <c r="F55" i="57"/>
  <c r="D53" i="60"/>
  <c r="D55" i="60" s="1"/>
  <c r="G55" i="60" s="1"/>
  <c r="G55" i="56"/>
  <c r="E16" i="57"/>
  <c r="F17" i="57"/>
  <c r="C28" i="57"/>
  <c r="C27" i="57"/>
  <c r="HS129" i="17"/>
  <c r="HT129" i="17" s="1"/>
  <c r="D51" i="57"/>
  <c r="D55" i="57" s="1"/>
  <c r="G55" i="57" s="1"/>
  <c r="G28" i="57"/>
  <c r="GM139" i="17" l="1"/>
  <c r="GN138" i="17"/>
  <c r="HT135" i="17"/>
  <c r="HS138" i="17"/>
  <c r="FH139" i="17"/>
  <c r="FG161" i="17"/>
  <c r="DB25" i="11"/>
  <c r="CT34" i="11"/>
  <c r="CT35" i="11" s="1"/>
  <c r="CT37" i="11" s="1"/>
  <c r="EA243" i="17"/>
  <c r="EA249" i="17" s="1"/>
  <c r="EB161" i="17"/>
  <c r="HL243" i="17"/>
  <c r="HM161" i="17"/>
  <c r="GG161" i="17"/>
  <c r="GF243" i="17"/>
  <c r="DJ25" i="11" l="1"/>
  <c r="DJ34" i="11" s="1"/>
  <c r="DJ35" i="11" s="1"/>
  <c r="DJ37" i="11" s="1"/>
  <c r="DB34" i="11"/>
  <c r="DB35" i="11" s="1"/>
  <c r="DB37" i="11" s="1"/>
  <c r="GM161" i="17"/>
  <c r="GN139" i="17"/>
  <c r="FG243" i="17"/>
  <c r="FH161" i="17"/>
  <c r="HT138" i="17"/>
  <c r="HS139" i="17"/>
  <c r="GN161" i="17" l="1"/>
  <c r="GM243" i="17"/>
  <c r="HT139" i="17"/>
  <c r="HS161" i="17"/>
  <c r="HT161" i="17" l="1"/>
  <c r="HS243" i="17"/>
</calcChain>
</file>

<file path=xl/comments1.xml><?xml version="1.0" encoding="utf-8"?>
<comments xmlns="http://schemas.openxmlformats.org/spreadsheetml/2006/main">
  <authors>
    <author>Korisnik</author>
    <author>Pavelic_Marijana</author>
    <author>Pavelić Marijana</author>
  </authors>
  <commentList>
    <comment ref="AA7" authorId="0" shapeId="0">
      <text>
        <r>
          <rPr>
            <b/>
            <sz val="8"/>
            <color indexed="81"/>
            <rFont val="Tahoma"/>
            <family val="2"/>
            <charset val="238"/>
          </rPr>
          <t>Korisnik:</t>
        </r>
        <r>
          <rPr>
            <sz val="8"/>
            <color indexed="81"/>
            <rFont val="Tahoma"/>
            <family val="2"/>
            <charset val="238"/>
          </rPr>
          <t xml:space="preserve">
Upisati stvarna plaćanja iz doznačenih poticaja (računovodstveni podatak)-slučaju potrebe -nema kupaca formirati rezervni fond </t>
        </r>
      </text>
    </comment>
    <comment ref="AB7" authorId="0" shapeId="0">
      <text>
        <r>
          <rPr>
            <b/>
            <sz val="8"/>
            <color indexed="81"/>
            <rFont val="Tahoma"/>
            <family val="2"/>
            <charset val="238"/>
          </rPr>
          <t>Korisnik:</t>
        </r>
        <r>
          <rPr>
            <sz val="8"/>
            <color indexed="81"/>
            <rFont val="Tahoma"/>
            <family val="2"/>
            <charset val="238"/>
          </rPr>
          <t xml:space="preserve">
Samo do iznosa umnoška realiziranog NKPx25%e.c.</t>
        </r>
      </text>
    </comment>
    <comment ref="AC7" authorId="0" shapeId="0">
      <text>
        <r>
          <rPr>
            <b/>
            <sz val="8"/>
            <color indexed="81"/>
            <rFont val="Tahoma"/>
            <family val="2"/>
            <charset val="238"/>
          </rPr>
          <t>Korisnik:</t>
        </r>
        <r>
          <rPr>
            <sz val="8"/>
            <color indexed="81"/>
            <rFont val="Tahoma"/>
            <family val="2"/>
            <charset val="238"/>
          </rPr>
          <t xml:space="preserve">
pojavljuje se samo kad su pripadajući poticaji/osnovni poticaji niži od stvarno potrošenih s nekog drugog objekta ili zbog manje realizacije od plana za isplatu poticaja</t>
        </r>
      </text>
    </comment>
    <comment ref="AD7" authorId="0" shapeId="0">
      <text>
        <r>
          <rPr>
            <b/>
            <sz val="8"/>
            <color indexed="81"/>
            <rFont val="Tahoma"/>
            <family val="2"/>
            <charset val="238"/>
          </rPr>
          <t>Korisnik:</t>
        </r>
        <r>
          <rPr>
            <sz val="8"/>
            <color indexed="81"/>
            <rFont val="Tahoma"/>
            <family val="2"/>
            <charset val="238"/>
          </rPr>
          <t xml:space="preserve">
Zbroj svih plaćenih troškova izgradnjeračunovodstveni podatak
</t>
        </r>
      </text>
    </comment>
    <comment ref="AF7" authorId="0" shapeId="0">
      <text>
        <r>
          <rPr>
            <b/>
            <sz val="8"/>
            <color indexed="81"/>
            <rFont val="Tahoma"/>
            <family val="2"/>
            <charset val="238"/>
          </rPr>
          <t xml:space="preserve">Korisnik:povrat 35% MPO od primljenih 1.i2.obroka - i povrat 3.obroka gotovinskih uplata kupaca
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I7" authorId="0" shapeId="0">
      <text>
        <r>
          <rPr>
            <b/>
            <sz val="8"/>
            <color indexed="81"/>
            <rFont val="Tahoma"/>
            <family val="2"/>
            <charset val="238"/>
          </rPr>
          <t xml:space="preserve">Korisnik: 1. i 2. i 3. obrok-gotovinske uplate kupaca i bankovnog keša na račun AGKC
 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J7" authorId="0" shapeId="0">
      <text>
        <r>
          <rPr>
            <b/>
            <sz val="8"/>
            <color indexed="81"/>
            <rFont val="Tahoma"/>
            <family val="2"/>
            <charset val="238"/>
          </rPr>
          <t xml:space="preserve">Korisnik: Samo primljene tromjesečne realizacije/uplate kupaca iz kreditnog dijela 3.OBROKA
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P7" authorId="0" shapeId="0">
      <text>
        <r>
          <rPr>
            <b/>
            <sz val="8"/>
            <color indexed="81"/>
            <rFont val="Tahoma"/>
            <family val="2"/>
            <charset val="238"/>
          </rPr>
          <t>Korisnik:</t>
        </r>
        <r>
          <rPr>
            <sz val="8"/>
            <color indexed="81"/>
            <rFont val="Tahoma"/>
            <family val="2"/>
            <charset val="238"/>
          </rPr>
          <t xml:space="preserve">
samo u slučaju kad Agencija kupuje zemljište/financira infrastrukturu
</t>
        </r>
      </text>
    </comment>
    <comment ref="AQ7" authorId="0" shapeId="0">
      <text>
        <r>
          <rPr>
            <b/>
            <sz val="8"/>
            <color indexed="81"/>
            <rFont val="Tahoma"/>
            <family val="2"/>
            <charset val="238"/>
          </rPr>
          <t xml:space="preserve">Korisnik:povrat 35% MPO od primljenih 1.i2.obroka - i povrat 3.obroka gotovinskih uplata kupaca
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U7" authorId="0" shapeId="0">
      <text>
        <r>
          <rPr>
            <b/>
            <sz val="8"/>
            <color indexed="81"/>
            <rFont val="Tahoma"/>
            <family val="2"/>
            <charset val="238"/>
          </rPr>
          <t>Korisnik: 1. i 2. obrok + 3. obrok samo ako je gotovinska uplata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V7" authorId="0" shapeId="0">
      <text>
        <r>
          <rPr>
            <b/>
            <sz val="8"/>
            <color indexed="81"/>
            <rFont val="Tahoma"/>
            <family val="2"/>
            <charset val="238"/>
          </rPr>
          <t>Korisnik:</t>
        </r>
        <r>
          <rPr>
            <sz val="8"/>
            <color indexed="81"/>
            <rFont val="Tahoma"/>
            <family val="2"/>
            <charset val="238"/>
          </rPr>
          <t xml:space="preserve">
SAMO UGOVORENI 3. OBROK NA KREDIT
</t>
        </r>
      </text>
    </comment>
    <comment ref="BB7" authorId="0" shapeId="0">
      <text>
        <r>
          <rPr>
            <b/>
            <sz val="8"/>
            <color indexed="81"/>
            <rFont val="Tahoma"/>
            <family val="2"/>
            <charset val="238"/>
          </rPr>
          <t>Korisnik:</t>
        </r>
        <r>
          <rPr>
            <sz val="8"/>
            <color indexed="81"/>
            <rFont val="Tahoma"/>
            <family val="2"/>
            <charset val="238"/>
          </rPr>
          <t xml:space="preserve">
samo u slučaju kad Agencija kupuje zemljište/financira infrastrukturu
</t>
        </r>
      </text>
    </comment>
    <comment ref="BC7" authorId="0" shapeId="0">
      <text>
        <r>
          <rPr>
            <b/>
            <sz val="8"/>
            <color indexed="81"/>
            <rFont val="Tahoma"/>
            <family val="2"/>
            <charset val="238"/>
          </rPr>
          <t xml:space="preserve">Korisnik:povrat 35% MPO od primljenih 1.i2.obroka - i povrat 3.obroka gotovinskih uplata kupaca
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BG7" authorId="0" shapeId="0">
      <text>
        <r>
          <rPr>
            <b/>
            <sz val="8"/>
            <color indexed="81"/>
            <rFont val="Tahoma"/>
            <family val="2"/>
            <charset val="238"/>
          </rPr>
          <t>Korisnik: 1. i 2. obrok + 3. obrok samo ako je gotovinska uplata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BH7" authorId="0" shapeId="0">
      <text>
        <r>
          <rPr>
            <b/>
            <sz val="8"/>
            <color indexed="81"/>
            <rFont val="Tahoma"/>
            <family val="2"/>
            <charset val="238"/>
          </rPr>
          <t>Korisnik:</t>
        </r>
        <r>
          <rPr>
            <sz val="8"/>
            <color indexed="81"/>
            <rFont val="Tahoma"/>
            <family val="2"/>
            <charset val="238"/>
          </rPr>
          <t xml:space="preserve">
SAMO UGOVORENI 3. OBROK NA KREDIT
</t>
        </r>
      </text>
    </comment>
    <comment ref="BO7" authorId="0" shapeId="0">
      <text>
        <r>
          <rPr>
            <b/>
            <sz val="8"/>
            <color indexed="81"/>
            <rFont val="Tahoma"/>
            <family val="2"/>
            <charset val="238"/>
          </rPr>
          <t xml:space="preserve">Korisnik:povrat 35% MPO od primljenih 1.i2.obroka - i povrat 3.obroka gotovinskih uplata kupaca
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BR7" authorId="0" shapeId="0">
      <text>
        <r>
          <rPr>
            <b/>
            <sz val="8"/>
            <color indexed="81"/>
            <rFont val="Tahoma"/>
            <family val="2"/>
            <charset val="238"/>
          </rPr>
          <t>Korisnik: 1. i 2. obrok + 3. obrok samo ako je gotovinska uplata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BS7" authorId="0" shapeId="0">
      <text>
        <r>
          <rPr>
            <b/>
            <sz val="8"/>
            <color indexed="81"/>
            <rFont val="Tahoma"/>
            <family val="2"/>
            <charset val="238"/>
          </rPr>
          <t>Korisnik:</t>
        </r>
        <r>
          <rPr>
            <sz val="8"/>
            <color indexed="81"/>
            <rFont val="Tahoma"/>
            <family val="2"/>
            <charset val="238"/>
          </rPr>
          <t xml:space="preserve">
SAMO UGOVORENI 3. OBROK NA KREDIT
</t>
        </r>
      </text>
    </comment>
    <comment ref="Z9" authorId="0" shapeId="0">
      <text>
        <r>
          <rPr>
            <b/>
            <sz val="8"/>
            <color indexed="81"/>
            <rFont val="Tahoma"/>
            <family val="2"/>
            <charset val="238"/>
          </rPr>
          <t>Korisnik:</t>
        </r>
        <r>
          <rPr>
            <sz val="8"/>
            <color indexed="81"/>
            <rFont val="Tahoma"/>
            <family val="2"/>
            <charset val="238"/>
          </rPr>
          <t xml:space="preserve">
E.C.=etalonska cijena od 25% do 45% u slučaju kad Agencija kupuje zemljište</t>
        </r>
      </text>
    </comment>
    <comment ref="D15" authorId="0" shapeId="0">
      <text>
        <r>
          <rPr>
            <b/>
            <sz val="8"/>
            <color indexed="81"/>
            <rFont val="Tahoma"/>
            <family val="2"/>
            <charset val="238"/>
          </rPr>
          <t>Korisnik:</t>
        </r>
        <r>
          <rPr>
            <sz val="8"/>
            <color indexed="81"/>
            <rFont val="Tahoma"/>
            <family val="2"/>
            <charset val="238"/>
          </rPr>
          <t xml:space="preserve">
Konačna kupoprodajna cijena-sklopljeni kupoprodajni ugovori</t>
        </r>
      </text>
    </comment>
    <comment ref="D18" authorId="0" shapeId="0">
      <text>
        <r>
          <rPr>
            <b/>
            <sz val="8"/>
            <color indexed="81"/>
            <rFont val="Tahoma"/>
            <family val="2"/>
            <charset val="238"/>
          </rPr>
          <t>Korisnik:</t>
        </r>
        <r>
          <rPr>
            <sz val="8"/>
            <color indexed="81"/>
            <rFont val="Tahoma"/>
            <family val="2"/>
            <charset val="238"/>
          </rPr>
          <t xml:space="preserve">
građevine čija je gradnja započela i sklapaju se predugovori (formirana predugovorna cijena)</t>
        </r>
      </text>
    </comment>
    <comment ref="D35" authorId="0" shapeId="0">
      <text>
        <r>
          <rPr>
            <b/>
            <sz val="8"/>
            <color indexed="81"/>
            <rFont val="Tahoma"/>
            <family val="2"/>
            <charset val="238"/>
          </rPr>
          <t>Korisnik:</t>
        </r>
        <r>
          <rPr>
            <sz val="8"/>
            <color indexed="81"/>
            <rFont val="Tahoma"/>
            <family val="2"/>
            <charset val="238"/>
          </rPr>
          <t xml:space="preserve">
FORMIRANA PREDUGOVORNA CIJENA</t>
        </r>
      </text>
    </comment>
    <comment ref="AE43" authorId="1" shapeId="0">
      <text>
        <r>
          <rPr>
            <b/>
            <sz val="9"/>
            <color indexed="81"/>
            <rFont val="Tahoma"/>
            <family val="2"/>
            <charset val="238"/>
          </rPr>
          <t>Pavelic_Marijana:</t>
        </r>
        <r>
          <rPr>
            <sz val="9"/>
            <color indexed="81"/>
            <rFont val="Tahoma"/>
            <family val="2"/>
            <charset val="238"/>
          </rPr>
          <t xml:space="preserve">
ZEMLJIŠTE+KOM.DOPRINOS</t>
        </r>
      </text>
    </comment>
    <comment ref="BM84" authorId="2" shapeId="0">
      <text>
        <r>
          <rPr>
            <b/>
            <sz val="9"/>
            <color indexed="81"/>
            <rFont val="Tahoma"/>
            <charset val="1"/>
          </rPr>
          <t>Pavelić Marijana:</t>
        </r>
        <r>
          <rPr>
            <sz val="9"/>
            <color indexed="81"/>
            <rFont val="Tahoma"/>
            <charset val="1"/>
          </rPr>
          <t xml:space="preserve">
POS Zamet</t>
        </r>
      </text>
    </comment>
    <comment ref="BR84" authorId="2" shapeId="0">
      <text>
        <r>
          <rPr>
            <b/>
            <sz val="9"/>
            <color indexed="81"/>
            <rFont val="Tahoma"/>
            <charset val="1"/>
          </rPr>
          <t>Pavelić Marijana:</t>
        </r>
        <r>
          <rPr>
            <sz val="9"/>
            <color indexed="81"/>
            <rFont val="Tahoma"/>
            <charset val="1"/>
          </rPr>
          <t xml:space="preserve">
POS Zamet</t>
        </r>
      </text>
    </comment>
  </commentList>
</comments>
</file>

<file path=xl/sharedStrings.xml><?xml version="1.0" encoding="utf-8"?>
<sst xmlns="http://schemas.openxmlformats.org/spreadsheetml/2006/main" count="4742" uniqueCount="685">
  <si>
    <t>R.B.</t>
  </si>
  <si>
    <t>NAZIV GRAĐEVINE</t>
  </si>
  <si>
    <t>TEHNIČKI PODACI</t>
  </si>
  <si>
    <t>UKUPNO</t>
  </si>
  <si>
    <t>(broj)</t>
  </si>
  <si>
    <t>(nkp)</t>
  </si>
  <si>
    <t>(~)</t>
  </si>
  <si>
    <t>VARAŽDIN</t>
  </si>
  <si>
    <t>BJELOVAR B1 I B2</t>
  </si>
  <si>
    <t>BUZET 1 I 2</t>
  </si>
  <si>
    <t>CESTICA</t>
  </si>
  <si>
    <t>CRES</t>
  </si>
  <si>
    <t>ČAKOVEC</t>
  </si>
  <si>
    <t>DARUVAR</t>
  </si>
  <si>
    <t>DELNICE</t>
  </si>
  <si>
    <t>DONJI MIHOLJAC</t>
  </si>
  <si>
    <t>GAREŠNICA</t>
  </si>
  <si>
    <t>GOSPIĆ</t>
  </si>
  <si>
    <t>IVANIĆ-GRAD</t>
  </si>
  <si>
    <t>KARLOVAC</t>
  </si>
  <si>
    <t>KOPRIVNICA</t>
  </si>
  <si>
    <t>KRAPINA 1</t>
  </si>
  <si>
    <t>KRAPINA 2</t>
  </si>
  <si>
    <t>KRIŽEVCI 1 I 2</t>
  </si>
  <si>
    <t>KRK</t>
  </si>
  <si>
    <t>LABIN</t>
  </si>
  <si>
    <t>LEPOGLAVA</t>
  </si>
  <si>
    <t>MALI LOŠINJ</t>
  </si>
  <si>
    <t>NIN</t>
  </si>
  <si>
    <t>NOVA GRADIŠKA</t>
  </si>
  <si>
    <t>NOVI VINODOLSKI</t>
  </si>
  <si>
    <t>OMIŠALJ A I B</t>
  </si>
  <si>
    <t>OSIJEK - USKE NJIVE 1</t>
  </si>
  <si>
    <t>OSIJEK - USKE NJIVE 2 A I B</t>
  </si>
  <si>
    <t>PITOMAČA</t>
  </si>
  <si>
    <t>PLOČE A I B</t>
  </si>
  <si>
    <t>POPOVAČA</t>
  </si>
  <si>
    <t>POŽEGA</t>
  </si>
  <si>
    <t>PRELOG</t>
  </si>
  <si>
    <t>RAB</t>
  </si>
  <si>
    <t>RIJEKA - SRDOČI 2P I 4P</t>
  </si>
  <si>
    <t>RIJEKA - SRDOČI 3P</t>
  </si>
  <si>
    <t>RIJEKA ŠKURINJE</t>
  </si>
  <si>
    <t>ROVINJ A I B</t>
  </si>
  <si>
    <t>SAMOBOR</t>
  </si>
  <si>
    <t>SINJ D1 I D2</t>
  </si>
  <si>
    <t>SLAVONSKI BROD</t>
  </si>
  <si>
    <t>SOLIN DV3 I DV4</t>
  </si>
  <si>
    <t>ŠIBENIK - METERIZE 1</t>
  </si>
  <si>
    <t>ŠIBENIK - METERIZE 2</t>
  </si>
  <si>
    <t>UMAG</t>
  </si>
  <si>
    <t>VELIKI BUKOVEC</t>
  </si>
  <si>
    <t>VINKOVCI - LOKACIJA 1</t>
  </si>
  <si>
    <t>VRBOVEC - PLAVI PIJETAO D.O.O.</t>
  </si>
  <si>
    <t>ZADAR - BILI BRIG</t>
  </si>
  <si>
    <t>ZADAR - SMILJEVAC A4</t>
  </si>
  <si>
    <t>ZADAR - SMILJEVAC B1</t>
  </si>
  <si>
    <t>ZAGREB - OPOROVEČKA JUG</t>
  </si>
  <si>
    <t>ĐAKOVO</t>
  </si>
  <si>
    <t>ĐURĐEVAC</t>
  </si>
  <si>
    <t>KONJŠČINA</t>
  </si>
  <si>
    <t>KRALJEVICA</t>
  </si>
  <si>
    <t>KRAPINSKE TOPLICE</t>
  </si>
  <si>
    <t>NOVIGRAD 1 I 2</t>
  </si>
  <si>
    <t>OPATIJA 1 I 2</t>
  </si>
  <si>
    <t>OROSLAVJE</t>
  </si>
  <si>
    <t>PAG</t>
  </si>
  <si>
    <t xml:space="preserve">ROVINJ 2 </t>
  </si>
  <si>
    <t>SISAK S1 I S2</t>
  </si>
  <si>
    <t>ZAGREB - ŠPANSKO S3</t>
  </si>
  <si>
    <t>ZAGREB - ŠPANSKO S4</t>
  </si>
  <si>
    <t>ZAGREB - ŠPANSKO S5</t>
  </si>
  <si>
    <t>ZAGREB - VRBANI 5-I-07</t>
  </si>
  <si>
    <t>ZAGREB - VRBANI 5-II-05</t>
  </si>
  <si>
    <t>BALE 1 I 2</t>
  </si>
  <si>
    <t>BIOGRAD NA MORU</t>
  </si>
  <si>
    <t>BUJE 1 I 2</t>
  </si>
  <si>
    <t xml:space="preserve">DUBROVNIK - MOKOŠICA A </t>
  </si>
  <si>
    <t>IMOTSKI - TOPOLA D.O.O.</t>
  </si>
  <si>
    <t>LUDBREG</t>
  </si>
  <si>
    <t>METKOVIĆ - DOBRANJE-ING D.O.O.</t>
  </si>
  <si>
    <t>OPUZEN - RECTUS D.O.O.</t>
  </si>
  <si>
    <t>PULA A, B I C</t>
  </si>
  <si>
    <t>SENJ</t>
  </si>
  <si>
    <t xml:space="preserve">SPLIT - BRODARICA </t>
  </si>
  <si>
    <t xml:space="preserve">VRBNIK </t>
  </si>
  <si>
    <t xml:space="preserve">DUBROVNIK - MOKOŠICA B </t>
  </si>
  <si>
    <t xml:space="preserve">DUGA RESA - KOLOS d.o.o. </t>
  </si>
  <si>
    <t xml:space="preserve">KUTINA 1 i 2 </t>
  </si>
  <si>
    <t xml:space="preserve">STAMBENI PROSTOR </t>
  </si>
  <si>
    <t xml:space="preserve">GARAŽNI PROSTOR </t>
  </si>
  <si>
    <t xml:space="preserve">POSLOVNI PROSTOR </t>
  </si>
  <si>
    <t>ZAGREB - VUKOMEREC A,B,C</t>
  </si>
  <si>
    <t>VARAŽDIN - JALKOVEČKA</t>
  </si>
  <si>
    <t>ZAGREB - VRBANI 5-II-08</t>
  </si>
  <si>
    <t>ZAGREB - VRBANI 5-II-22</t>
  </si>
  <si>
    <t>KREDITIRANJE PO ČLANKU 30.</t>
  </si>
  <si>
    <t>5=(4/3)</t>
  </si>
  <si>
    <t>8=(7/6)</t>
  </si>
  <si>
    <t>11=(10/9)</t>
  </si>
  <si>
    <t>12=(4+7+10)</t>
  </si>
  <si>
    <t>VRIJEDNOST INVESTICIJE</t>
  </si>
  <si>
    <t>(kn)</t>
  </si>
  <si>
    <t>ZAGREB - ŠPANSKO 1.1.</t>
  </si>
  <si>
    <t>ZAGREB - ŠPANSKO 1.2.</t>
  </si>
  <si>
    <t>ZAGREB - ŠPANSKO 1.3.</t>
  </si>
  <si>
    <t>ZAGREB - ŠPANSKO 1.4.</t>
  </si>
  <si>
    <t>ZAGREB - ŠPANSKO 1.5.</t>
  </si>
  <si>
    <t>ZAGREB - ŠPANSKO 1.6.</t>
  </si>
  <si>
    <t>ZAGREB - ŠPANSKO 1.7.</t>
  </si>
  <si>
    <t>ZAGREB - ŠPANSKO 2.A.01.</t>
  </si>
  <si>
    <t>ZAGREB - ŠPANSKO 2.A.05.</t>
  </si>
  <si>
    <t>ZAGREB - ŠPANSKO 2.A.06.</t>
  </si>
  <si>
    <t>ZAGREB - ŠPANSKO 3.1.</t>
  </si>
  <si>
    <t>ZAGREB - ŠPANSKO 3.2.</t>
  </si>
  <si>
    <t>ZAGREB - ŠPANSKO 2.A.08.</t>
  </si>
  <si>
    <t>ZAGREB - ŠPANSKO 2.A.09.</t>
  </si>
  <si>
    <t>ZAGREB - ŠPANSKO 2.A.10.</t>
  </si>
  <si>
    <t>ZAGREB - ŠPANSKO 2.A.11.</t>
  </si>
  <si>
    <t>ZAGREB - ŠPANSKO 2.A.12.</t>
  </si>
  <si>
    <t>ZAGREB - ŠPANSKO 2.B.01.</t>
  </si>
  <si>
    <t>ZAGREB - ŠPANSKO 2.B.02.</t>
  </si>
  <si>
    <t>ZAGREB - ŠPANSKO 2.B.03.</t>
  </si>
  <si>
    <t>ZAGREB - ŠPANSKO 2.B.04.</t>
  </si>
  <si>
    <t>ZAGREB - ŠPANSKO 4.1.</t>
  </si>
  <si>
    <t>ZAGREB - ŠPANSKO 4.2.</t>
  </si>
  <si>
    <t>ZAGREB - ŠPANSKO 5.1.</t>
  </si>
  <si>
    <t>ZAGREB - ŠPANSKO 5.2.</t>
  </si>
  <si>
    <t>APN</t>
  </si>
  <si>
    <t>JLS I DRUGI</t>
  </si>
  <si>
    <t>NEPRODANI STANOVI U SUDSKOM POSTUPKU</t>
  </si>
  <si>
    <t>NEPRODANI PP U POSTUPKU PRODAJE</t>
  </si>
  <si>
    <t>GRAĐENJE</t>
  </si>
  <si>
    <t>APN + 
JLS I DRUGI</t>
  </si>
  <si>
    <t>−</t>
  </si>
  <si>
    <t>1.b. UKUPNO NEOBRAČUNATE GRAĐEVINE:</t>
  </si>
  <si>
    <t>1.c. UKUPNO NEPRODANI PROSTORI:</t>
  </si>
  <si>
    <t>USELJENI STANOVI U SUDSKOM POSTUPKU</t>
  </si>
  <si>
    <t xml:space="preserve">ZAGREB - ŠPANSKO 2.B.05. </t>
  </si>
  <si>
    <t xml:space="preserve">ZAGREB - ŠPANSKO 2.A.02. </t>
  </si>
  <si>
    <t>NEPRODANI STANOVI U POSTUPKU PRODAJE</t>
  </si>
  <si>
    <t>1.c. 
NEPRODANI PROSTORI</t>
  </si>
  <si>
    <t>1.a. UKUPNO OBRAČUNATE GRAĐEVINE:</t>
  </si>
  <si>
    <t>1. UKUPNO IZGRAĐENE GRAĐEVINE:
(1.a. + 1.b. + 1.c.)</t>
  </si>
  <si>
    <t>ZEMLJIŠTE I INFRASTRUKTURA</t>
  </si>
  <si>
    <t>(%)</t>
  </si>
  <si>
    <t>TROŠKOVI</t>
  </si>
  <si>
    <t>PRIHODI</t>
  </si>
  <si>
    <t>OSTVARENO KREDITIRANO
ZEMLJIŠTE I INFRASTRUK.</t>
  </si>
  <si>
    <t>PLANIRANO KREDITIRANO
ZEMLJIŠTE I INFRASTRUK.</t>
  </si>
  <si>
    <t>UKUPNO PLANIRANO</t>
  </si>
  <si>
    <t xml:space="preserve">
UKUPNO
OSTVARENO
</t>
  </si>
  <si>
    <t>PLANIRANI GOTOVINSKI DIO</t>
  </si>
  <si>
    <t>OSTVARENI GOTOVINSKI DIO</t>
  </si>
  <si>
    <t>PLANIRANI KREDITNI DIO</t>
  </si>
  <si>
    <t>OSTVARENI KREDITNI DIO</t>
  </si>
  <si>
    <t>UKUPNO OSTVARENO</t>
  </si>
  <si>
    <t>OSTVARENI 
GOTOVINSKI DIO</t>
  </si>
  <si>
    <t>RH</t>
  </si>
  <si>
    <t>PLANIRANI IZNOS POTICAJNIH SREDSTAVA</t>
  </si>
  <si>
    <t>POTICAJNA SREDSTVA REALIZIRANA KAO KREDIT</t>
  </si>
  <si>
    <t>AKTIVIRANA POTICAJNA SREDSTVA</t>
  </si>
  <si>
    <t>APN + JLS</t>
  </si>
  <si>
    <t>OSTVARENI
GOTOVINSKI DIO</t>
  </si>
  <si>
    <t>UKUPNO PRIHODI</t>
  </si>
  <si>
    <t>NOVE LOKACIJE</t>
  </si>
  <si>
    <t>SVEUKUPNO:
(1. + 2. + 3. + 4.)</t>
  </si>
  <si>
    <t xml:space="preserve">PLANIRANI IZNOS POTICAJNIH SREDSTAVA </t>
  </si>
  <si>
    <t>KAMATA NA UPLATE KUPACA (1,5%)</t>
  </si>
  <si>
    <t>7.1.</t>
  </si>
  <si>
    <t>7.2.</t>
  </si>
  <si>
    <t>8.</t>
  </si>
  <si>
    <t>6.1.</t>
  </si>
  <si>
    <t>6.2.</t>
  </si>
  <si>
    <t>6.</t>
  </si>
  <si>
    <t>POVRAT JLS-ima</t>
  </si>
  <si>
    <t>ZAGREB - SESVETE - JELKOVEC</t>
  </si>
  <si>
    <t>9.</t>
  </si>
  <si>
    <t>AGENCIJA ZA POTICANU STANOGRADNJU 
GRADA RIJEKE</t>
  </si>
  <si>
    <t>JAVNA USTANOVA "GRADSKI STANOVI" 
VARAŽDIN</t>
  </si>
  <si>
    <t>OTPLATE GLAVNICA KREDITA</t>
  </si>
  <si>
    <t>PRIHODI OD KAMATA OD OTPLAĆENIH KREDITA</t>
  </si>
  <si>
    <t>11.1.</t>
  </si>
  <si>
    <t>11.2.</t>
  </si>
  <si>
    <t>PRIHODI I RASHODI OD GARANCIJA I ZADUŽNICA</t>
  </si>
  <si>
    <t>r.b.</t>
  </si>
  <si>
    <t>KATEGORIJE PRIHODA</t>
  </si>
  <si>
    <t>PLANIRANI PRIHODI</t>
  </si>
  <si>
    <t xml:space="preserve">OSTVARENI PRIHODI </t>
  </si>
  <si>
    <t>%</t>
  </si>
  <si>
    <t>Prihodi od kamata na sredstva u bankama (1,5%)</t>
  </si>
  <si>
    <t>Prihodi od kamata na oročena sredstva u bankama</t>
  </si>
  <si>
    <t>Povrat PDV-a (potraživanje za PDV)</t>
  </si>
  <si>
    <t>Otplate na ime danih kredita (III. obrok - glavnica)</t>
  </si>
  <si>
    <t>Prihodi od Programa obnove pročelja (glavnica)</t>
  </si>
  <si>
    <t>Prihodi od Programa poboljšanja stanovanja (glavnica)</t>
  </si>
  <si>
    <t>Prihodi od danih kratkoročnih kredita JLS-ima (glavnica)</t>
  </si>
  <si>
    <t>Prihodi od kamata od otplaćenih kredita</t>
  </si>
  <si>
    <t>Prihodi sa naslova jamstava (garancije i zadužnice)</t>
  </si>
  <si>
    <t>Povrat od Agencije za poticanu stanogradnju Grada Rijeke</t>
  </si>
  <si>
    <t>Povrat od Javne ustanove „Gradski stanovi” Varaždin</t>
  </si>
  <si>
    <t>Prihodi od poticajnih sredstava RH (za APN)</t>
  </si>
  <si>
    <t>Prihodi od poticajnih sredstava RH (za ostale agencije)</t>
  </si>
  <si>
    <t>KATEGORIJE RASHODA</t>
  </si>
  <si>
    <t xml:space="preserve">PLANIRANI RASHODI </t>
  </si>
  <si>
    <t xml:space="preserve">OSTVARENI RASHODI </t>
  </si>
  <si>
    <t>Povrat JLS-ima</t>
  </si>
  <si>
    <t>Plaćeni PDV (obveza za PDV)</t>
  </si>
  <si>
    <t>Rashodi za Pogram obnove pročelja</t>
  </si>
  <si>
    <t>Rashodi za Program poboljšanja stanovanja</t>
  </si>
  <si>
    <t>Rashodi sa naslova jamstava (garancije i zadužnice)</t>
  </si>
  <si>
    <t>Ostali rashodi</t>
  </si>
  <si>
    <t>Plaćeno Agenciji za poticanu stanogradnju Grada Rijeke</t>
  </si>
  <si>
    <t>Plaćeno Javnoj ustanovi „Gradski stanovi” Varaždin</t>
  </si>
  <si>
    <t>Mjesečni saldo priljeva i odljeva sredstava:</t>
  </si>
  <si>
    <t xml:space="preserve">                                                         Voditelj Odjela za plan, analizu, 
                                                         razvoj i nadzor:</t>
  </si>
  <si>
    <t>Pomoćnik direktora 
Odjela za računovodstvo i financije:</t>
  </si>
  <si>
    <t xml:space="preserve">                                                         M. Beler, dipl. ing. građ.</t>
  </si>
  <si>
    <t>M. Šklebar, dipl. oec.</t>
  </si>
  <si>
    <t xml:space="preserve">Ostali prihodi </t>
  </si>
  <si>
    <t>Privremeno nepokriveni troškovi</t>
  </si>
  <si>
    <t>Povrat poticajnih sredstava RH (od ostalih agencija)</t>
  </si>
  <si>
    <t>Povrat poticajnih sredstava RH u proračun (od APN-a)</t>
  </si>
  <si>
    <t>PRIHODI OD POTICAJNIH SREDSTAVA RH
RASHODI OD POVRATA POT.SRED. RH (APN)</t>
  </si>
  <si>
    <t>OSTALI PRIHODI I RASHODI</t>
  </si>
  <si>
    <t>PRIHODI OD POTICAJNIH SREDSTAVA RH 
RASHODI OD POVRATA POT. SRED. RH 
(ostale agencije)</t>
  </si>
  <si>
    <t xml:space="preserve">DUGO SELO </t>
  </si>
  <si>
    <t>NEPRODANI PROSTORI U ZAVRŠENIM OBJEKTIMA 
(STANJE NA 31. 12. 2008.)</t>
  </si>
  <si>
    <t>do 31.12.2007.</t>
  </si>
  <si>
    <t>01.01.2008. - 31.12.2008.</t>
  </si>
  <si>
    <t>do 31.12.2008.</t>
  </si>
  <si>
    <t>Broj sklopljenih 
ugovora</t>
  </si>
  <si>
    <t>Broj preostalih
prostora za prodaju</t>
  </si>
  <si>
    <t>SIJEČANJ 2009.</t>
  </si>
  <si>
    <t>VELJAČA 2009.</t>
  </si>
  <si>
    <t>OŽUJAK 2009.</t>
  </si>
  <si>
    <t>TRAVANJ 2009.</t>
  </si>
  <si>
    <t>SVIBANJ 2009.</t>
  </si>
  <si>
    <t>LIPANJ 2009.</t>
  </si>
  <si>
    <t>SRPANJ 2009.</t>
  </si>
  <si>
    <t>KOLOVOZ 2009.</t>
  </si>
  <si>
    <t>Ukupna vrijednost</t>
  </si>
  <si>
    <t>Cash</t>
  </si>
  <si>
    <t>Kredit</t>
  </si>
  <si>
    <t>Ukupno</t>
  </si>
  <si>
    <t>Neprodani stanovi u postupku prodaje</t>
  </si>
  <si>
    <t>stanovi</t>
  </si>
  <si>
    <t>garaže</t>
  </si>
  <si>
    <t>ŠP. 1.1. (garaže)</t>
  </si>
  <si>
    <t>ŠP. 1.2. (garaže)</t>
  </si>
  <si>
    <t>ŠP. 1.3. (garaže)</t>
  </si>
  <si>
    <t>ŠP. 1.4. (garaže)</t>
  </si>
  <si>
    <t>ŠP. 1.5. (garaže)</t>
  </si>
  <si>
    <t>ŠP. 1.6. (garaže)</t>
  </si>
  <si>
    <t>ŠP. 1.7. (garaže)</t>
  </si>
  <si>
    <t>ŠP. 2.A.02. (stanovi)</t>
  </si>
  <si>
    <t>ŠP. 2.A.02. (garaže)</t>
  </si>
  <si>
    <t>ŠP. 2.A.05. (garaže)</t>
  </si>
  <si>
    <t>ŠP. 2.A.06. (garaže)</t>
  </si>
  <si>
    <t>ŠP. 2.A.08. (garaže)</t>
  </si>
  <si>
    <t>ŠP. 2.A.11. (garaže)</t>
  </si>
  <si>
    <t>ŠP. 2.A.12. (garaže)</t>
  </si>
  <si>
    <t>ŠP. 2.B.03. (garaže)</t>
  </si>
  <si>
    <t>ŠP. 2.B.05. (stanovi)</t>
  </si>
  <si>
    <t>ŠP. 2.B.05. (garaže)</t>
  </si>
  <si>
    <t>ŠP. 3.1. (garaže)</t>
  </si>
  <si>
    <t>Useljeni stanovi u sudskom postupku</t>
  </si>
  <si>
    <t>VRBANI 5-I-07</t>
  </si>
  <si>
    <t>VRBANI 5-II-08</t>
  </si>
  <si>
    <t>VRBANI 5-II-22</t>
  </si>
  <si>
    <t>Neprodani stanovi u sudskom postupku</t>
  </si>
  <si>
    <t>OPUZEN</t>
  </si>
  <si>
    <t>PULA</t>
  </si>
  <si>
    <t>VARAŽDIN B1</t>
  </si>
  <si>
    <t>Neprodani poslovni prostori u postupku prodaje</t>
  </si>
  <si>
    <t>NEPRODANI PROSTORI U OBJEKTIMA U IZGRADNJI 
(STANJE NA 31. 12. 2008.)</t>
  </si>
  <si>
    <t>PP</t>
  </si>
  <si>
    <t>razlika</t>
  </si>
  <si>
    <t>16=(13+14+15)</t>
  </si>
  <si>
    <t>27=(26/16)</t>
  </si>
  <si>
    <t>subvencija 
€/m2</t>
  </si>
  <si>
    <t>tečaj na prvi dan
građenja</t>
  </si>
  <si>
    <t>ukupna puna 
rezervni fond 
subvencija</t>
  </si>
  <si>
    <t>razlika za PNT</t>
  </si>
  <si>
    <t>cijena (JLS) zem+infra
(anita) (€/m2)</t>
  </si>
  <si>
    <t>cijena (APN) zem+infra
(anita) (€/m2)</t>
  </si>
  <si>
    <t>ukupni 
trošak</t>
  </si>
  <si>
    <t>ukupna investicija</t>
  </si>
  <si>
    <t>trošak 
građenja</t>
  </si>
  <si>
    <t>trošak 
zemljišta (JLS)</t>
  </si>
  <si>
    <t>trošak 
zemljišta (APN)</t>
  </si>
  <si>
    <t>NEPRODANE GARAŽE U POSTUPKU PRODAJE (ST)</t>
  </si>
  <si>
    <t>NEPRODANE GARAŽE U POSTUPKU PRODAJE (ZG)</t>
  </si>
  <si>
    <t>PRIVREMENO NEPOKRIVENI TROŠKOVI 
PO RAZNIM OSNOVAMA</t>
  </si>
  <si>
    <t>PRIVREMENO NEPOKRIVENI TROŠKOVI PO
OSNOVI NEPRODANIH PROSTORA</t>
  </si>
  <si>
    <t>pravo na subvenciju za garaže</t>
  </si>
  <si>
    <t>UKUPNO:</t>
  </si>
  <si>
    <t>ZAGREB - MALEŠNICA</t>
  </si>
  <si>
    <t>–</t>
  </si>
  <si>
    <t>SPLIT (stanovi)</t>
  </si>
  <si>
    <t>SPLIT (garaže)</t>
  </si>
  <si>
    <t>SVEUKUPNO:</t>
  </si>
  <si>
    <t>Broj S, GPM, PP</t>
  </si>
  <si>
    <t xml:space="preserve">NKP </t>
  </si>
  <si>
    <t>Cijena</t>
  </si>
  <si>
    <t>Broj stanova</t>
  </si>
  <si>
    <t>Neprodana garažno-parkirna mjesta u postupku prodaje</t>
  </si>
  <si>
    <t>Broj GPM</t>
  </si>
  <si>
    <t>Broj PP</t>
  </si>
  <si>
    <t>Ukupno Zagreb</t>
  </si>
  <si>
    <t>UKUPNO ZG i ST:</t>
  </si>
  <si>
    <t xml:space="preserve">SVEUKUPNO: </t>
  </si>
  <si>
    <t>ZAGREB ŠP. 2.A.07.</t>
  </si>
  <si>
    <t>Udio RH 
u kreditu</t>
  </si>
  <si>
    <t>Udio JLS-a
u kreditu</t>
  </si>
  <si>
    <t xml:space="preserve">ZAGREB - ŠPANSKO 2.A.07. </t>
  </si>
  <si>
    <t xml:space="preserve">ZAGREB - MALEŠNICA </t>
  </si>
  <si>
    <t xml:space="preserve">MAKARSKA </t>
  </si>
  <si>
    <t xml:space="preserve">SAMOBOR 2 </t>
  </si>
  <si>
    <t xml:space="preserve">VRGORAC </t>
  </si>
  <si>
    <t xml:space="preserve">ZADAR CRVENE KUĆE </t>
  </si>
  <si>
    <t xml:space="preserve">BJELOVAR 2 </t>
  </si>
  <si>
    <t xml:space="preserve">KAŠTELA  </t>
  </si>
  <si>
    <t xml:space="preserve">VIROVITICA </t>
  </si>
  <si>
    <t xml:space="preserve">ZAGREB - DUBOKI JARAK </t>
  </si>
  <si>
    <t>PLANIRANO KREDITIRANO ZEMLJIŠTE I INFRASTRUK.</t>
  </si>
  <si>
    <t>Stanje na žiro-računima u bankama na datum 01. 01. 2009.</t>
  </si>
  <si>
    <t>43=(39+41)</t>
  </si>
  <si>
    <t>25=(21+23)</t>
  </si>
  <si>
    <t>44=(40+42)</t>
  </si>
  <si>
    <t>2009.</t>
  </si>
  <si>
    <t>64=(60+62)</t>
  </si>
  <si>
    <t>57=(53+55)</t>
  </si>
  <si>
    <t>32=(28+30)</t>
  </si>
  <si>
    <t>49=(45+47)</t>
  </si>
  <si>
    <t>—</t>
  </si>
  <si>
    <t>CRES 2</t>
  </si>
  <si>
    <t>4. UKUPNO U PRIPREMI ZA IZGRADNJU U 2010. I DALJE:</t>
  </si>
  <si>
    <t>Iveković Krunoslav</t>
  </si>
  <si>
    <t>Petak Samardžić Sandra</t>
  </si>
  <si>
    <t>Sambolec Alen</t>
  </si>
  <si>
    <t>KOMIŽA</t>
  </si>
  <si>
    <t>Barišić Ivica</t>
  </si>
  <si>
    <t>Došen Svebor</t>
  </si>
  <si>
    <t>Jerković Anto</t>
  </si>
  <si>
    <t>Tomas Bosiljka</t>
  </si>
  <si>
    <t>Šumiga Krunoslav</t>
  </si>
  <si>
    <t>Romac Ivica</t>
  </si>
  <si>
    <t>Prihodi od kredita banaka za Programe B i C (bankovna sredstva)</t>
  </si>
  <si>
    <t>Rashodi od kredita banaka za Programe B i C (bankovna sredstva)</t>
  </si>
  <si>
    <t>Rashodi od Programa B i C (državna sredstva)</t>
  </si>
  <si>
    <t>OBITELJSKE KUĆE (u izgradnji)</t>
  </si>
  <si>
    <t>OBITELJSKE KUĆE (u pripremi)</t>
  </si>
  <si>
    <t>2008.</t>
  </si>
  <si>
    <t>6. 
OSTALI PRIHODI I 
RASHODI POTICAJNIH SREDSTAVA</t>
  </si>
  <si>
    <t>6.3.</t>
  </si>
  <si>
    <t>6.4.</t>
  </si>
  <si>
    <t>6.5.</t>
  </si>
  <si>
    <t>6.6.</t>
  </si>
  <si>
    <t>6.7.</t>
  </si>
  <si>
    <t>6.8.</t>
  </si>
  <si>
    <t>6.9.</t>
  </si>
  <si>
    <t>7. 
PRIHODI 
APN-a</t>
  </si>
  <si>
    <t>7.</t>
  </si>
  <si>
    <t>UKUPNI PRIHODI:
(7.1.+ 7.2.)</t>
  </si>
  <si>
    <t>8. GARANCIJE</t>
  </si>
  <si>
    <t>9. PDV</t>
  </si>
  <si>
    <t>10. JLS</t>
  </si>
  <si>
    <t>12. 
MEĐUAGENCIJSKI TRANSFERI</t>
  </si>
  <si>
    <t>12.1.</t>
  </si>
  <si>
    <t>12.2.</t>
  </si>
  <si>
    <t>NEPOKRIVENI TROŠKOVI 
PO RAZNIM OSNOVAMA</t>
  </si>
  <si>
    <t>NEPOKRIVENI TROŠKOVI KAO 
REZULTAT KONAČNOG OBRAČUNA OBJEKATA</t>
  </si>
  <si>
    <t>MEĐUBANKOVNI TRANSFERI</t>
  </si>
  <si>
    <t>A</t>
  </si>
  <si>
    <t>3. UKUPNO U PRIPREMI ZA IZGRADNJU U 2009.:</t>
  </si>
  <si>
    <t>2. UKUPNO U IZGRADNJI :</t>
  </si>
  <si>
    <t>12.</t>
  </si>
  <si>
    <t>OBVEZA ZA PDV / POTRAŽIVANJE ZA PLAĆENI PRETPOREZ</t>
  </si>
  <si>
    <t>RAZLIKA OBVEZE I POTRAŽIVANJA ZA PDV-a:</t>
  </si>
  <si>
    <t>Međubankovni transferi</t>
  </si>
  <si>
    <r>
      <t xml:space="preserve">UKUPNI RASHODI:
</t>
    </r>
    <r>
      <rPr>
        <sz val="8"/>
        <rFont val="Arial"/>
        <family val="2"/>
        <charset val="238"/>
      </rPr>
      <t>(1+2+3+4+7+8+9+10+11+12)</t>
    </r>
  </si>
  <si>
    <t>UKUPNI NEPOKRIVENI TROŠKOVI:
(6.1. + 6.2.)</t>
  </si>
  <si>
    <t>Nepokriveni troškovi</t>
  </si>
  <si>
    <t>Saldo priljeva i odljeva sredstava:</t>
  </si>
  <si>
    <t>Prihodi od poticaja za programe B i C (državna sredstva)</t>
  </si>
  <si>
    <t>Kreditni dio prihoda od Programa B i C</t>
  </si>
  <si>
    <r>
      <t xml:space="preserve">UKUPNI PRIHODI:
</t>
    </r>
    <r>
      <rPr>
        <sz val="8"/>
        <rFont val="Arial"/>
        <family val="2"/>
        <charset val="238"/>
      </rPr>
      <t>(1+2+3+4+5+10+11+12+14+15)</t>
    </r>
  </si>
  <si>
    <t>UVEĆANI TROŠKOVI - UVEĆANA VRIJEDNOST ZA ZGUBU
(TONA OSNOVNA VRIJEDNOST JE U REBALANSU)</t>
  </si>
  <si>
    <t xml:space="preserve">ZAGREB - SOPNICA JUG </t>
  </si>
  <si>
    <t>GOSPIĆ  2</t>
  </si>
  <si>
    <t>IVANIĆ GRAD  2</t>
  </si>
  <si>
    <t>OGULIN  2</t>
  </si>
  <si>
    <t>OROSLAVJE  2</t>
  </si>
  <si>
    <t>BIOGRAD  2</t>
  </si>
  <si>
    <t xml:space="preserve">2. 
GRAĐEVNE U IZGRADNJI </t>
  </si>
  <si>
    <t>1. 
IZGRAĐENE GRAĐEVINE</t>
  </si>
  <si>
    <t>4.
GRAĐEVINE U PRIPREMI ZA IZGRADNJU U 2010. I DALJE</t>
  </si>
  <si>
    <t>1.a.</t>
  </si>
  <si>
    <t>SVIBANJ 2009.
IZVRŠENJE GODIŠNJEG PLANA POS-a ZA 2009.</t>
  </si>
  <si>
    <t>NEREŽIŠĆA</t>
  </si>
  <si>
    <t>5. 
PROGRAM  B i C</t>
  </si>
  <si>
    <t>12.3.</t>
  </si>
  <si>
    <t>UKUPNO:
(12.1. + 12.2. + 12.3.)</t>
  </si>
  <si>
    <t>AGENCIJA ZA POTICANU STANOGRADNJU 
GRADA DUBROVNIKA</t>
  </si>
  <si>
    <t>26=(22+24)</t>
  </si>
  <si>
    <t>33=(29+31)</t>
  </si>
  <si>
    <t>34=(33/17)</t>
  </si>
  <si>
    <t>35=(19/18)</t>
  </si>
  <si>
    <t>50=(46+48)</t>
  </si>
  <si>
    <t>58=(54+56)</t>
  </si>
  <si>
    <t>59=(58/16)</t>
  </si>
  <si>
    <t>65=(61+63)</t>
  </si>
  <si>
    <t>66=(65/17)</t>
  </si>
  <si>
    <t>67=(51/18)</t>
  </si>
  <si>
    <t>11. OSTALI PRIHODI I RASHODI I MEĐUBANKOVNI TRANSFERI</t>
  </si>
  <si>
    <t>PRODAJNA VRIJEDNOST</t>
  </si>
  <si>
    <t>Kardum Predrag</t>
  </si>
  <si>
    <t>Smetko Lidija</t>
  </si>
  <si>
    <r>
      <t xml:space="preserve">UKUPNI ODLJEV SREDSTAVA SA ŽIRORAČUNA:
</t>
    </r>
    <r>
      <rPr>
        <b/>
        <sz val="8"/>
        <rFont val="Arial"/>
        <family val="2"/>
        <charset val="238"/>
      </rPr>
      <t>(1+3+4+7+8+9+10+11+12+13+14+15+16+17+18)</t>
    </r>
  </si>
  <si>
    <t>Plaćeno Agenciji za poticanu stanogradnju Grada Dubrovnika</t>
  </si>
  <si>
    <r>
      <t xml:space="preserve">UKUPNI PRILJEV SREDSTAVA NA ŽIRORAČUN:
</t>
    </r>
    <r>
      <rPr>
        <b/>
        <sz val="8"/>
        <rFont val="Arial"/>
        <family val="2"/>
        <charset val="238"/>
      </rPr>
      <t>(1+3+4+5+6+7+8+9+10+11+12+15+16+17+18+19+20+21)</t>
    </r>
  </si>
  <si>
    <t>Povrat od Agencije za poticanu stanogradnju Grada Dubrovnika</t>
  </si>
  <si>
    <t>OSTVARENI KREDITNI 
DIO</t>
  </si>
  <si>
    <t>OSTVARENO KREDITIRANO 
ZEMLJIŠTE I INFRASTRUK.</t>
  </si>
  <si>
    <r>
      <t xml:space="preserve">UKUPNI PRILJEV SREDSTAVA NA ŽIRORAČUN:
</t>
    </r>
    <r>
      <rPr>
        <b/>
        <sz val="8"/>
        <rFont val="Arial"/>
        <family val="2"/>
        <charset val="238"/>
      </rPr>
      <t>(1+3+4+5+6+10+14+15+16+17+18+19+20+21)</t>
    </r>
  </si>
  <si>
    <t>Zagreb, 15. srpnja 2009.</t>
  </si>
  <si>
    <t>Stanje na žiro-računima u bankama na datum 30. 06. 2009.</t>
  </si>
  <si>
    <t>REALIZACIJA PLANA PROGRAMA POS-a 
ZA PERIOD SIJEČANJ - LIPANJ 2009., 
PO KATEGORIJAMA PRIHODA I RASHODA</t>
  </si>
  <si>
    <t>Gotovinski dio prihoda iz priloga 6</t>
  </si>
  <si>
    <t>Ukupni kreditni dio prihoda iz priloga 6</t>
  </si>
  <si>
    <t>Gotovinski dio rashoda iz priloga 6</t>
  </si>
  <si>
    <t>Ukupni kreditni dio rashoda iz priloga 6</t>
  </si>
  <si>
    <t>01. 01. 2009. - 30. 06. 2009.</t>
  </si>
  <si>
    <t>Udio 
JLS-a
u kreditu</t>
  </si>
  <si>
    <t>Uplate 
1. i 2. obroka</t>
  </si>
  <si>
    <t>Potraživanje za plaćeni pretporez</t>
  </si>
  <si>
    <t>Obveza za porez na dodanu vrijednost</t>
  </si>
  <si>
    <t>SREDSTVA ZA KUPNJU ZEMLJIŠTA PRENAMIJENJENA 
ZA IZGRADNJU</t>
  </si>
  <si>
    <t>REALIZACIJA PLANA PROGRAMA POS-a 
ZA MJESEC SRPANJ 2009., 
PO KATEGORIJAMA PRIHODA I RASHODA</t>
  </si>
  <si>
    <t>Stanje na žiro-računima u bankama na datum 01. 07. 2009.</t>
  </si>
  <si>
    <t>Stanje na žiro-računima u bankama na datum 31. 07. 2009.</t>
  </si>
  <si>
    <t>Gotovinski dio prihoda iz priloga 7</t>
  </si>
  <si>
    <t>Ukupni kreditni dio prihoda iz priloga 7</t>
  </si>
  <si>
    <t>Gotovinski dio rashoda iz priloga 7</t>
  </si>
  <si>
    <t>Ukupni kreditni dio rashoda iz priloga 7</t>
  </si>
  <si>
    <t>Zagreb, 15. kolovoz 2009.</t>
  </si>
  <si>
    <t>REALIZACIJA PLANA PROGRAMA POS-a 
ZA PERIOD SIJEČANJ - SRPANJ 2009., 
PO KATEGORIJAMA PRIHODA I RASHODA</t>
  </si>
  <si>
    <t>01. 07. 2009. - 31. 07. 2009.</t>
  </si>
  <si>
    <t>REKAPITULACIJA GOTOVINSKOG POSLOVANJA
(A+ 5.1.+5.2.+6.1.+6.3.+6.5.+6.7.+6.8.+6.9.+7.+8.+9.+10.+11.1.+11.2.+12)</t>
  </si>
  <si>
    <t>REKAPITULACIJA UKUPNOG POSLOVANJA
( A+5.1.+5.2.+6.1.+6.3.+6.5.+7.+8.+9.+10.+11.1.)</t>
  </si>
  <si>
    <t>01. 01. 2009. - 31. 07. 2009.</t>
  </si>
  <si>
    <r>
      <t xml:space="preserve">UKUPNI PRILJEV SREDSTAVA NA ŽIRORAČUN:
</t>
    </r>
    <r>
      <rPr>
        <b/>
        <sz val="8"/>
        <rFont val="Arial"/>
        <family val="2"/>
        <charset val="238"/>
      </rPr>
      <t>(1+3+4+5+6+7+8+9+10+14+15+16+17+18+19+20+21)</t>
    </r>
  </si>
  <si>
    <t>REALIZACIJA PLANA PROGRAMA POS-a 
ZA MJESEC KOLOVOZ 2009., 
PO KATEGORIJAMA PRIHODA I RASHODA</t>
  </si>
  <si>
    <t>Zagreb, 15. rujan 2009.</t>
  </si>
  <si>
    <t>REALIZACIJA PLANA PROGRAMA POS-a 
ZA PERIOD SIJEČANJ - KOLOVOZ 2009., 
PO KATEGORIJAMA PRIHODA I RASHODA</t>
  </si>
  <si>
    <t>Gotovinski dio prihoda iz priloga 8</t>
  </si>
  <si>
    <t>Ukupni kreditni dio prihoda iz priloga 8</t>
  </si>
  <si>
    <t>Gotovinski dio rashoda iz priloga 8</t>
  </si>
  <si>
    <t>Ukupni kreditni dio rashoda iz priloga 8</t>
  </si>
  <si>
    <t>Stanje na žiro-računima u bankama na datum 01. 08. 2009.</t>
  </si>
  <si>
    <t>Stanje na žiro-računima u bankama na datum 31. 08. 2009.</t>
  </si>
  <si>
    <r>
      <t xml:space="preserve">UKUPNI RASHODI:
</t>
    </r>
    <r>
      <rPr>
        <sz val="8"/>
        <rFont val="Times New Roman"/>
        <family val="1"/>
        <charset val="238"/>
      </rPr>
      <t>(1+2+3+4+7+8+9+10+11+12)</t>
    </r>
  </si>
  <si>
    <r>
      <t xml:space="preserve">UKUPNI ODLJEV SREDSTAVA SA ŽIRORAČUNA:
</t>
    </r>
    <r>
      <rPr>
        <b/>
        <sz val="8"/>
        <rFont val="Times New Roman"/>
        <family val="1"/>
        <charset val="238"/>
      </rPr>
      <t>(1+3+4+7+8+9+10+11+12+13+14+15+16+17+18)</t>
    </r>
  </si>
  <si>
    <r>
      <t>UTROŠENA</t>
    </r>
    <r>
      <rPr>
        <u/>
        <sz val="8"/>
        <rFont val="Times New Roman"/>
        <family val="1"/>
        <charset val="238"/>
      </rPr>
      <t xml:space="preserve"> SUBVENCIJA
</t>
    </r>
    <r>
      <rPr>
        <sz val="8"/>
        <rFont val="Times New Roman"/>
        <family val="1"/>
        <charset val="238"/>
      </rPr>
      <t>UKUPNO PLANIRANA SUBVENCIJA</t>
    </r>
  </si>
  <si>
    <t>Devčić Ivana</t>
  </si>
  <si>
    <t>OBITELJSKE KUĆE (završen obračun)</t>
  </si>
  <si>
    <t>Tokić Josipa</t>
  </si>
  <si>
    <t>01. 01. 2009. - 31. 08. 2009.</t>
  </si>
  <si>
    <t>01. 08. 2009. - 31. 08. 2009</t>
  </si>
  <si>
    <t>VIROVITICA</t>
  </si>
  <si>
    <r>
      <t xml:space="preserve">UKUPNI PRIHODI:
</t>
    </r>
    <r>
      <rPr>
        <sz val="8"/>
        <rFont val="Times New Roman"/>
        <family val="1"/>
        <charset val="238"/>
      </rPr>
      <t>(1+2+3+4+5+10+11+12+14+15+16)</t>
    </r>
  </si>
  <si>
    <r>
      <t xml:space="preserve">UKUPNI PRILJEV SREDSTAVA NA ŽIRORAČUN:
</t>
    </r>
    <r>
      <rPr>
        <b/>
        <sz val="8"/>
        <rFont val="Times New Roman"/>
        <family val="1"/>
        <charset val="238"/>
      </rPr>
      <t>(1+3+4+5+6+7+8+9+10+14+15+16+17+18+19+20+21+22)</t>
    </r>
  </si>
  <si>
    <t>Zagreb, 10. rujan 2009.</t>
  </si>
  <si>
    <t>1a</t>
  </si>
  <si>
    <t>2a</t>
  </si>
  <si>
    <t>BANKOVNI DIO KREDITA OBITELJSKIH KUĆA (završen obračun)</t>
  </si>
  <si>
    <t>BANKOVNI DIO KREDITA OBITELJSKIH KUĆA (u izgradnji)</t>
  </si>
  <si>
    <t>3a</t>
  </si>
  <si>
    <t>5.</t>
  </si>
  <si>
    <t>BANKOVNI DIO KREDITA OBITELJSKIH KUĆA (u pripremi)</t>
  </si>
  <si>
    <t>GRAĐEVINE SA ZAVRŠENIM OBRAČUNOM U 2009.</t>
  </si>
  <si>
    <t>GRAĐEVINE SA ZAVRŠENIM OBRAČUNOM DO 31. 12. 2008.</t>
  </si>
  <si>
    <t>1.a.
ZAVRŠEN OBRAČUN</t>
  </si>
  <si>
    <t>KOREKCIJA ZAVRŠENOG OBRAČUNA DO 31. 12. 2008.</t>
  </si>
  <si>
    <t>REALIZACIJA PLANA PROGRAMA POS-a 
ZA MJESEC RUJAN 2009., 
PO KATEGORIJAMA PRIHODA I RASHODA</t>
  </si>
  <si>
    <t>Stanje na žiro-računima u bankama na datum 01. 09. 2009.</t>
  </si>
  <si>
    <t>Stanje na žiro-računima u bankama na datum 30. 09. 2009.</t>
  </si>
  <si>
    <t>REALIZACIJA PLANA PROGRAMA POS-a 
ZA PERIOD SIJEČANJ - RUJAN 2009., 
PO KATEGORIJAMA PRIHODA I RASHODA</t>
  </si>
  <si>
    <t>Zagreb, 10. listopad 2009.</t>
  </si>
  <si>
    <t>Gotovinski dio prihoda po objektima iz Programa A POS-a</t>
  </si>
  <si>
    <t>Kreditni dio prihoda po objektima iz Programa A POS-a</t>
  </si>
  <si>
    <t>Gotovinski dio rashoda po objektima iz Programa A POS-a</t>
  </si>
  <si>
    <t>Kreditni dio rashoda po objektima iz Programa A POS-a</t>
  </si>
  <si>
    <t>01. 09. 2009. - 30. 09. 2009</t>
  </si>
  <si>
    <t>01. 01. 2009. - 30. 09. 2009.</t>
  </si>
  <si>
    <t>RUJAN 2009.</t>
  </si>
  <si>
    <t>LISTOPAD 2009.</t>
  </si>
  <si>
    <t>STUDENI 2009.</t>
  </si>
  <si>
    <t>Grubeša Oliver</t>
  </si>
  <si>
    <t>1.b.
NEZAVRŠEN
OBRAČUN</t>
  </si>
  <si>
    <t>Prihodi od kompenzacija za objekt na lokaciji Zagreb - Sopnica - Jelkovec</t>
  </si>
  <si>
    <r>
      <t xml:space="preserve">UKUPNI PRIHODI:
</t>
    </r>
    <r>
      <rPr>
        <sz val="8"/>
        <rFont val="Times New Roman"/>
        <family val="1"/>
        <charset val="238"/>
      </rPr>
      <t>(1+2+3+4+5+10+11+12+14+15)</t>
    </r>
  </si>
  <si>
    <r>
      <t xml:space="preserve">UKUPNI PRILJEV SREDSTAVA NA ŽIRORAČUN:
</t>
    </r>
    <r>
      <rPr>
        <b/>
        <sz val="8"/>
        <rFont val="Times New Roman"/>
        <family val="1"/>
        <charset val="238"/>
      </rPr>
      <t>(1+3+4+5+6+7+8+9+10+11+12+15+16+17+18+19+20+21)</t>
    </r>
  </si>
  <si>
    <r>
      <t xml:space="preserve">UKUPNI PRILJEV SREDSTAVA NA ŽIRORAČUN:
</t>
    </r>
    <r>
      <rPr>
        <b/>
        <sz val="8"/>
        <rFont val="Times New Roman"/>
        <family val="1"/>
        <charset val="238"/>
      </rPr>
      <t>(1+3+4+5+6+7+8+9+10+11+12+15+17+18+19+20+21+22)</t>
    </r>
  </si>
  <si>
    <t>Pole Dario</t>
  </si>
  <si>
    <t>01. 10. 2009. - 31. 10. 2009</t>
  </si>
  <si>
    <t>01. 01. 2009. - 31. 10. 2009.</t>
  </si>
  <si>
    <r>
      <t xml:space="preserve">UKUPNI RASHODI:
</t>
    </r>
    <r>
      <rPr>
        <sz val="8"/>
        <rFont val="Times New Roman"/>
        <family val="1"/>
        <charset val="238"/>
      </rPr>
      <t>(1+2+3+4+5+6+7+8+9+10)</t>
    </r>
  </si>
  <si>
    <t>Zagreb, 10. studeni 2009.</t>
  </si>
  <si>
    <t>REALIZACIJA PLANA PROGRAMA POS-a 
ZA PERIOD SIJEČANJ - LISTOPAD 2009., 
PO KATEGORIJAMA PRIHODA I RASHODA</t>
  </si>
  <si>
    <t>Stanje na žiro-računima u bankama na datum 31. 10. 2009.</t>
  </si>
  <si>
    <t>REALIZACIJA PLANA PROGRAMA POS-a 
ZA MJESEC LISTOPAD 2009., 
PO KATEGORIJAMA PRIHODA I RASHODA</t>
  </si>
  <si>
    <t>Stanje na žiro-računima u bankama na datum 01. 10. 2009.</t>
  </si>
  <si>
    <t>VRGORAC</t>
  </si>
  <si>
    <t>Idžaković Tomislav</t>
  </si>
  <si>
    <t>Kuščević Paula</t>
  </si>
  <si>
    <t>Vujaković Kata i Dušan</t>
  </si>
  <si>
    <r>
      <t xml:space="preserve">UKUPNI ODLJEV SREDSTAVA SA ŽIRORAČUNA:
</t>
    </r>
    <r>
      <rPr>
        <b/>
        <sz val="8"/>
        <rFont val="Times New Roman"/>
        <family val="1"/>
        <charset val="238"/>
      </rPr>
      <t>(1+3+4+7+8+9+10+11+12+13+14+15+16)</t>
    </r>
  </si>
  <si>
    <r>
      <t xml:space="preserve">UKUPNI PRIHODI:
</t>
    </r>
    <r>
      <rPr>
        <sz val="8"/>
        <rFont val="Times New Roman"/>
        <family val="1"/>
        <charset val="238"/>
      </rPr>
      <t>(1+2+3+4+8+9+10+12+14)</t>
    </r>
  </si>
  <si>
    <r>
      <t xml:space="preserve">UKUPNI PRILJEV SREDSTAVA NA ŽIRORAČUN:
</t>
    </r>
    <r>
      <rPr>
        <b/>
        <sz val="8"/>
        <rFont val="Times New Roman"/>
        <family val="1"/>
        <charset val="238"/>
      </rPr>
      <t>(1+3+4+5+6+7+8+9+10+15+16+17+18+19+20)</t>
    </r>
  </si>
  <si>
    <t>01. 01. 2009. - 30. 11. 2009.</t>
  </si>
  <si>
    <t>Zagreb, 10. prosinac 2009.</t>
  </si>
  <si>
    <t>Stanje na žiro-računima u bankama na datum 01. 11. 2009.</t>
  </si>
  <si>
    <t>Stanje na žiro-računima u bankama na datum 30. 11. 2009.</t>
  </si>
  <si>
    <t>REALIZACIJA PLANA PROGRAMA POS-a 
ZA MJESEC STUDENI 2009., 
PO KATEGORIJAMA PRIHODA I RASHODA</t>
  </si>
  <si>
    <t>PROSINAC 2009.</t>
  </si>
  <si>
    <t>REALIZACIJA PLANA PROGRAMA POS-a 
ZA PERIOD SIJEČANJ - STUDENI 2009., 
PO KATEGORIJAMA PRIHODA I RASHODA</t>
  </si>
  <si>
    <t>Rashodi na objektu Zagreb - Sesvete - Jelkovec</t>
  </si>
  <si>
    <r>
      <t xml:space="preserve">UKUPNI ODLJEV SREDSTAVA SA ŽIRORAČUNA:
</t>
    </r>
    <r>
      <rPr>
        <b/>
        <sz val="8"/>
        <rFont val="Times New Roman"/>
        <family val="1"/>
        <charset val="238"/>
      </rPr>
      <t>(1+3+4+7+8+9+10+11+12+13+14+15+16+17)</t>
    </r>
  </si>
  <si>
    <r>
      <t xml:space="preserve">UKUPNI RASHODI:
</t>
    </r>
    <r>
      <rPr>
        <sz val="8"/>
        <rFont val="Times New Roman"/>
        <family val="1"/>
        <charset val="238"/>
      </rPr>
      <t>(1+2+3+4+5+6+7+8+9+10+11)</t>
    </r>
  </si>
  <si>
    <r>
      <t xml:space="preserve">UKUPNI PRIHODI:
</t>
    </r>
    <r>
      <rPr>
        <sz val="8"/>
        <rFont val="Times New Roman"/>
        <family val="1"/>
        <charset val="238"/>
      </rPr>
      <t>(1+2+3+4+8+9+10+12+14+15)</t>
    </r>
  </si>
  <si>
    <r>
      <t xml:space="preserve">UKUPNI PRILJEV SREDSTAVA NA ŽIRORAČUN:
</t>
    </r>
    <r>
      <rPr>
        <b/>
        <sz val="8"/>
        <rFont val="Times New Roman"/>
        <family val="1"/>
        <charset val="238"/>
      </rPr>
      <t>(1+3+4+5+6+7+8+9+10+15+16+17+18+19+20+21)</t>
    </r>
  </si>
  <si>
    <t>3. 
GRAĐEVINE U PRIPREMI ZA IZGRADNJU ZA 2009.</t>
  </si>
  <si>
    <t>Ištuk Mladen</t>
  </si>
  <si>
    <t>Zagreb, 10. siječanj 2010.</t>
  </si>
  <si>
    <t>01. 12. 2009. - 31. 12. 2009</t>
  </si>
  <si>
    <t>01. 11. 2009. - 30. 11. 2009</t>
  </si>
  <si>
    <t>01. 01. 2009. - 31. 12. 2009.</t>
  </si>
  <si>
    <t>BJELOVAR 2</t>
  </si>
  <si>
    <t>Miočić Mario (C Program)</t>
  </si>
  <si>
    <t>Teskera Nikola (C Program)</t>
  </si>
  <si>
    <t>OGULIN</t>
  </si>
  <si>
    <t>Stanje na žiro-računima u bankama na datum 01. 12. 2009.</t>
  </si>
  <si>
    <t>Stanje na žiro-računima u bankama na datum 31. 12. 2009.</t>
  </si>
  <si>
    <t>REALIZACIJA OPERATIVNO FINANCIJSKOG PLANA PROGRAMA POS-a 
ZA MJESEC PROSINAC 2009., 
PO KATEGORIJAMA PRIHODA I RASHODA</t>
  </si>
  <si>
    <t>UKUPNO 2009.</t>
  </si>
  <si>
    <t>―</t>
  </si>
  <si>
    <t>PROGRAM 
B I C</t>
  </si>
  <si>
    <t>PKS</t>
  </si>
  <si>
    <t>1</t>
  </si>
  <si>
    <t>3b</t>
  </si>
  <si>
    <t>3c</t>
  </si>
  <si>
    <t>OBITELJSKE KUĆE KREDIT APN-a (završen obračun)</t>
  </si>
  <si>
    <t>OBITELJSKE KUĆE KREDIT APN-a (u izgradnji)</t>
  </si>
  <si>
    <t>3. UKUPNO PROGRAM B I C: (1 + 1a + 2 + 2a)</t>
  </si>
  <si>
    <t>PROGRAM UREĐENJA PROČELJA</t>
  </si>
  <si>
    <t>PROGRAM POBOLJŠANJA KVALITETE STANOVANJA</t>
  </si>
  <si>
    <t>SVEKUPNO PROGRAM PO ČL. 30: (3a + 3b + 3c)</t>
  </si>
  <si>
    <t>PLAĆENI PDV / NAPLAĆENI PRETPOREZ</t>
  </si>
  <si>
    <t>ZATEZNE KAMATE</t>
  </si>
  <si>
    <t>STAMBENI PROSTOR</t>
  </si>
  <si>
    <t>GARAŽNI PROSTOR</t>
  </si>
  <si>
    <t>POSLOVNI PROSTOR</t>
  </si>
  <si>
    <t>UKUPNO
BEZ
PP</t>
  </si>
  <si>
    <t>PROJEKTIRANJE</t>
  </si>
  <si>
    <t>NADZOR</t>
  </si>
  <si>
    <t>OSTALO</t>
  </si>
  <si>
    <t>VRIJEDNOST
INVESTICIJE</t>
  </si>
  <si>
    <t>AKTIVIRANA POTICAJNA SREDSTVA RH</t>
  </si>
  <si>
    <t>PLANIRANI
GOTOVINSKI DIO</t>
  </si>
  <si>
    <t xml:space="preserve"> </t>
  </si>
  <si>
    <t>1.1.c. 
NEPRODANI PROSTORI</t>
  </si>
  <si>
    <t>2. PROGRAMI PO ČL. 30</t>
  </si>
  <si>
    <t>3. UKUPNO OTPLATA KREDITA:</t>
  </si>
  <si>
    <t>OSNOVNA POTICAJNA SREDSTVA</t>
  </si>
  <si>
    <t xml:space="preserve">             (%)</t>
  </si>
  <si>
    <t>1.1. IZGRAĐENI OBJEKTI</t>
  </si>
  <si>
    <t>1.1.A
ZAVRŠEN OBRAČUN</t>
  </si>
  <si>
    <t xml:space="preserve">PRODANI STANOVI </t>
  </si>
  <si>
    <t>OBITELJSKE KUĆE  KREDIT APN-a ( u pripremi)</t>
  </si>
  <si>
    <t>BANKOVNI DIO KREDITA OBITELJSKIH KUĆA  ( u pripremi)</t>
  </si>
  <si>
    <t>SVEUKUPNO PROGRAMI POS-a  (1 + 2)</t>
  </si>
  <si>
    <t>4. UKUPNO NEPOKRIVENI TROŠKOVI:</t>
  </si>
  <si>
    <t>5 A. POTICAJI</t>
  </si>
  <si>
    <t>1A</t>
  </si>
  <si>
    <t>1B</t>
  </si>
  <si>
    <t>POVRAT III OBROKA  IZ KREDITA I PRIPADNE GOTOVINE</t>
  </si>
  <si>
    <t>1. UKUPNO JLS</t>
  </si>
  <si>
    <t>9. SVEUKUPNO RAZNI RASHODI I PRIHODI</t>
  </si>
  <si>
    <t>UKUPNO UTROŠENA OSNOVNA POTICAJNA SREDSTVA</t>
  </si>
  <si>
    <t xml:space="preserve">UTROŠENI POTICAJI
 REZERVNI FOND
</t>
  </si>
  <si>
    <t xml:space="preserve">     11.      SVEUKUPNI POTICAJI</t>
  </si>
  <si>
    <t>PLAĆANJE  35%  VRIJED. ZEMLJIŠTA I INFRAST. KAD IH FINANCIRA JLS</t>
  </si>
  <si>
    <t>2b</t>
  </si>
  <si>
    <t>11. SVEUKUPNI POTICAJI</t>
  </si>
  <si>
    <t>MEĐUBANKARSKI TRANSFERI</t>
  </si>
  <si>
    <t>UTROŠENI POTICAJI   REZERVNI FOND</t>
  </si>
  <si>
    <t>2.
OTPLATE KREDITA</t>
  </si>
  <si>
    <t>3. 
NEPOKRIVENI TROŠKOVI</t>
  </si>
  <si>
    <t>4. 
POTICAJNA SREDSTVA</t>
  </si>
  <si>
    <t>5. GARANCIJE</t>
  </si>
  <si>
    <t>6. PDV</t>
  </si>
  <si>
    <t>7. JLS</t>
  </si>
  <si>
    <t>9. TRANSFERI</t>
  </si>
  <si>
    <t>UKUPNO PROGRAM 1: (1.1. + 1. 2. +1.3.)</t>
  </si>
  <si>
    <t>POTPISANI PREDUGOVORI</t>
  </si>
  <si>
    <t>UKUPNO TROŠKOVI</t>
  </si>
  <si>
    <t xml:space="preserve">IZNAJMLJENA GPM </t>
  </si>
  <si>
    <t>13=(4+7)</t>
  </si>
  <si>
    <t>20=(14+15+16+17+18+19)</t>
  </si>
  <si>
    <t>24=(22-23)</t>
  </si>
  <si>
    <t>30=28+29</t>
  </si>
  <si>
    <t>41=(39+40)</t>
  </si>
  <si>
    <t>33=31-32</t>
  </si>
  <si>
    <t>PlAĆENI TROŠKOVI IZGRADNJE</t>
  </si>
  <si>
    <t xml:space="preserve">UPLATE KUPACA/BANAKA </t>
  </si>
  <si>
    <t>PLAĆENO ZEMLJIŠTE(INFRASTRUKTURA</t>
  </si>
  <si>
    <t>20a</t>
  </si>
  <si>
    <t>20b</t>
  </si>
  <si>
    <t>20c</t>
  </si>
  <si>
    <t>PRIPADNI POSTOTAK POTICAJNIH SREDSTAVA RH</t>
  </si>
  <si>
    <t>PLAĆENI TROŠKOVI GRAĐENJA I DRUGI</t>
  </si>
  <si>
    <t xml:space="preserve">ZEMLJIŠTE I/ILI INFRASTRUKTURA 
</t>
  </si>
  <si>
    <t>38=(34+35+36+37)</t>
  </si>
  <si>
    <t>AKTIVIRANA  POTICAJNA SREDSTAVA RH</t>
  </si>
  <si>
    <t>UKUPNO DOZNAČENA POTICAJNA SREDSTVA RH</t>
  </si>
  <si>
    <t xml:space="preserve">GOTOVINSKE UPLATE KUPACA/BANAKA </t>
  </si>
  <si>
    <t xml:space="preserve">KREDITNI DIO </t>
  </si>
  <si>
    <t xml:space="preserve">DOZNAČENA POTICAJNA SREDSTVA RH
</t>
  </si>
  <si>
    <t xml:space="preserve">POVRAT JLS-u 35% MPO I GOTOVINSKOG 3.OBROKA </t>
  </si>
  <si>
    <t xml:space="preserve">POVRAT 35% MPO JLS-u I GOTOVINSKOG 3.OBROKA </t>
  </si>
  <si>
    <t xml:space="preserve">KVARTALNI POVRAT OTPLATA IZ KREDITNOG DIJELA 3. OBROKA ZA JLS I ZA RH  </t>
  </si>
  <si>
    <t xml:space="preserve">KREDITNI DIO ZA RH I JLS </t>
  </si>
  <si>
    <t>UTROŠENI POTICAJI  REZEVNI FOND</t>
  </si>
  <si>
    <t>Agencija 
JLS I DRUGI</t>
  </si>
  <si>
    <t>Agencija</t>
  </si>
  <si>
    <t>21=(13) x % E.C.</t>
  </si>
  <si>
    <t>1.1.a. UKUPNO IZGRAĐENE GRAĐEVINE ZAVRŠEN OBRAČUN:</t>
  </si>
  <si>
    <t>1.1.b IZGRAĐENE GRAĐEVINE NEZAVRŠEN OBRAČUN</t>
  </si>
  <si>
    <t>1.1. UKUPNO IZGRAĐENE GRAĐEVINE: (1.1.a. + 1.1.b. +1. 1.c.+1.1.d.)</t>
  </si>
  <si>
    <t>1.1.c. ZAVRŠEN OBRAČUN - NEPRODANI PROSTORI:</t>
  </si>
  <si>
    <t>1.1.d.UKUPNO PROSTORI U SUDSKOM POSTUPKU</t>
  </si>
  <si>
    <t>1.1.d. 
NEPRODANI PROSTORI</t>
  </si>
  <si>
    <t>10. 
POTICAJI RH</t>
  </si>
  <si>
    <t>11. UKUPNO  -  POTICAJI RH</t>
  </si>
  <si>
    <t>5. SVEUKUPNO PRIHODI AENCIJE</t>
  </si>
  <si>
    <t xml:space="preserve">7. 
RAZNI
PRIHODI I  RASHODI </t>
  </si>
  <si>
    <t>Aencija</t>
  </si>
  <si>
    <t>Aencija + JLS</t>
  </si>
  <si>
    <t>Agencija za društveno poticanu stanogradnju Grada Rijeke</t>
  </si>
  <si>
    <t>GRAĐEVINE SA ZAVRŠENIM OBRAČUNOM DO 2009.-Rujevica I.faza</t>
  </si>
  <si>
    <t>GRAĐEVINE SA ZAVRŠENIM OBRAČUNOM DO 2010.-Rujevica II.faza</t>
  </si>
  <si>
    <t>27a</t>
  </si>
  <si>
    <t>AGENCIJA</t>
  </si>
  <si>
    <t>GRAĐEVINE SA ZAVRŠENIM OBRAČUNOM DO 2014.-Donja Drenova</t>
  </si>
  <si>
    <t>GRAĐEVINE SA ZAVRŠENIM OBRAČUNOM DO 2014.-Hostov breg</t>
  </si>
  <si>
    <t>2.</t>
  </si>
  <si>
    <t>53=(51+52)</t>
  </si>
  <si>
    <t>44=42-43</t>
  </si>
  <si>
    <t>27c=25+26+27+27a</t>
  </si>
  <si>
    <t>Martinkovac I. faza -rezervni fond</t>
  </si>
  <si>
    <t>,</t>
  </si>
  <si>
    <t>OSTALI PRIHODI I RASHODI (povrat APOS-u vl. sred. kojim su fin. izgrađene, a neprodane nekretnine)</t>
  </si>
  <si>
    <t>Zamet</t>
  </si>
  <si>
    <t>49=(45+46+47+48)</t>
  </si>
  <si>
    <t xml:space="preserve">1.1.b.
NEZAVRŠENI OBRAČUN 
</t>
  </si>
  <si>
    <t>61=(57+58+59+60)</t>
  </si>
  <si>
    <t>64=(62+63)</t>
  </si>
  <si>
    <t>(EUR)</t>
  </si>
  <si>
    <t xml:space="preserve">1.3.a-UKUPNO ZA IZGRADNJU 2022. </t>
  </si>
  <si>
    <t>GRAĐEVINE SA ZAVRŠENIM OBRAČUNOM DO 2023.-Martinkovac I. faza</t>
  </si>
  <si>
    <t>01.01.2025. - 31.12.2025.</t>
  </si>
  <si>
    <t>1.2.b. 
GRAĐEVINE U PRIPREMI 
ZA IZGRADNJU
2025. I DALJE</t>
  </si>
  <si>
    <t>POS Zamet</t>
  </si>
  <si>
    <t>Rebalans Operativno financijskog plana provedbenog programa POS-a za 2025. god. i Plan za 2026. godinu</t>
  </si>
  <si>
    <t>01.01.2006. - 31.12.2025.</t>
  </si>
  <si>
    <t>01.01.2026. - 31.12.2026.</t>
  </si>
  <si>
    <t xml:space="preserve">1.2. U IZGRADNJI 2025. </t>
  </si>
  <si>
    <t xml:space="preserve">1.2. UKUPNO U IZGRADNJI 2025. </t>
  </si>
  <si>
    <t>1.3.b-UKUPNO U PRIPREMI ZA IZGRADNJU 2025. I DALJE</t>
  </si>
  <si>
    <t>1.3.c-UKUPNO U PRIPREMI ZA IZGRADNJU 2026. I DALJE</t>
  </si>
  <si>
    <t>1.3 UKUPNO U PRIPREMI ZA IZGRADNJU U 2025. I DALJE:</t>
  </si>
  <si>
    <t>UKUPNO U IZGRADNJI I PRIPREMI ZA IZGRADNJU 2025. I DALJE</t>
  </si>
  <si>
    <t>POTREBNI POTICAJI U 2025. I 2026. GODINI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</si>
</sst>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41" formatCode="_-* #,##0\ _k_n_-;\-* #,##0\ _k_n_-;_-* &quot;-&quot;\ _k_n_-;_-@_-"/>
    <numFmt numFmtId="43" formatCode="_-* #,##0.00\ _k_n_-;\-* #,##0.00\ _k_n_-;_-* &quot;-&quot;??\ _k_n_-;_-@_-"/>
    <numFmt numFmtId="164" formatCode="#,##0.00\ &quot;kn&quot;"/>
    <numFmt numFmtId="165" formatCode="#,##0.00\ &quot;m2&quot;"/>
    <numFmt numFmtId="166" formatCode="#,##0.00\ &quot;kn/m2&quot;"/>
    <numFmt numFmtId="167" formatCode="#,##0.000000\ &quot;kn&quot;"/>
    <numFmt numFmtId="168" formatCode="#,##0.000"/>
    <numFmt numFmtId="169" formatCode="#,##0.00000"/>
    <numFmt numFmtId="170" formatCode="#,##0.0000"/>
    <numFmt numFmtId="171" formatCode="#,##0_ ;\-#,##0\ "/>
    <numFmt numFmtId="172" formatCode="#,##0.00_ ;\-#,##0.00\ "/>
    <numFmt numFmtId="173" formatCode="#,##0.00\ _k_n"/>
    <numFmt numFmtId="174" formatCode="0.00000"/>
  </numFmts>
  <fonts count="157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color theme="1"/>
      <name val="Times New Roman"/>
      <family val="2"/>
      <charset val="238"/>
    </font>
    <font>
      <sz val="8"/>
      <color theme="1"/>
      <name val="Times New Roman"/>
      <family val="2"/>
      <charset val="238"/>
    </font>
    <font>
      <sz val="8"/>
      <color indexed="8"/>
      <name val="Times New Roman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0"/>
      <name val="Arial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sz val="10"/>
      <name val="Arial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12"/>
      <name val="Arial"/>
      <family val="2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color indexed="8"/>
      <name val="Times New Roman"/>
      <family val="1"/>
      <charset val="238"/>
    </font>
    <font>
      <sz val="8"/>
      <name val="Times New Roman"/>
      <family val="1"/>
      <charset val="238"/>
    </font>
    <font>
      <sz val="8"/>
      <color indexed="8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indexed="8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0"/>
      <color indexed="17"/>
      <name val="Times New Roman"/>
      <family val="1"/>
      <charset val="238"/>
    </font>
    <font>
      <b/>
      <sz val="8"/>
      <color indexed="10"/>
      <name val="Times New Roman"/>
      <family val="1"/>
      <charset val="238"/>
    </font>
    <font>
      <b/>
      <sz val="24"/>
      <name val="Times New Roman"/>
      <family val="1"/>
      <charset val="238"/>
    </font>
    <font>
      <u/>
      <sz val="8"/>
      <name val="Times New Roman"/>
      <family val="1"/>
      <charset val="238"/>
    </font>
    <font>
      <b/>
      <sz val="15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8"/>
      <color indexed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i/>
      <sz val="10"/>
      <name val="Times New Roman"/>
      <family val="1"/>
      <charset val="238"/>
    </font>
    <font>
      <i/>
      <sz val="8"/>
      <name val="Times New Roman"/>
      <family val="1"/>
      <charset val="238"/>
    </font>
    <font>
      <i/>
      <sz val="8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sz val="8"/>
      <color indexed="8"/>
      <name val="Times New Roman"/>
      <family val="1"/>
      <charset val="238"/>
    </font>
    <font>
      <sz val="7"/>
      <name val="Times New Roman"/>
      <family val="1"/>
      <charset val="238"/>
    </font>
    <font>
      <b/>
      <i/>
      <sz val="8"/>
      <name val="Times New Roman"/>
      <family val="1"/>
      <charset val="238"/>
    </font>
    <font>
      <sz val="10"/>
      <color indexed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8"/>
      <color indexed="8"/>
      <name val="Times New Roman"/>
      <family val="1"/>
      <charset val="238"/>
    </font>
    <font>
      <sz val="8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i/>
      <sz val="8"/>
      <color indexed="8"/>
      <name val="Times New Roman"/>
      <family val="1"/>
      <charset val="238"/>
    </font>
    <font>
      <b/>
      <sz val="15"/>
      <color indexed="62"/>
      <name val="Times New Roman"/>
      <family val="2"/>
      <charset val="238"/>
    </font>
    <font>
      <b/>
      <sz val="13"/>
      <color indexed="62"/>
      <name val="Times New Roman"/>
      <family val="2"/>
      <charset val="238"/>
    </font>
    <font>
      <b/>
      <sz val="11"/>
      <color indexed="62"/>
      <name val="Times New Roman"/>
      <family val="2"/>
      <charset val="238"/>
    </font>
    <font>
      <sz val="8"/>
      <color indexed="36"/>
      <name val="Times New Roman"/>
      <family val="2"/>
      <charset val="238"/>
    </font>
    <font>
      <b/>
      <sz val="18"/>
      <color indexed="62"/>
      <name val="Cambria"/>
      <family val="2"/>
      <charset val="238"/>
    </font>
    <font>
      <sz val="8"/>
      <color theme="1"/>
      <name val="Times New Roman"/>
      <family val="2"/>
      <charset val="238"/>
    </font>
    <font>
      <sz val="8"/>
      <color theme="0"/>
      <name val="Times New Roman"/>
      <family val="2"/>
      <charset val="238"/>
    </font>
    <font>
      <b/>
      <sz val="8"/>
      <color rgb="FFFA7D00"/>
      <name val="Times New Roman"/>
      <family val="2"/>
      <charset val="238"/>
    </font>
    <font>
      <b/>
      <sz val="8"/>
      <color theme="0"/>
      <name val="Times New Roman"/>
      <family val="2"/>
      <charset val="238"/>
    </font>
    <font>
      <i/>
      <sz val="8"/>
      <color rgb="FF7F7F7F"/>
      <name val="Times New Roman"/>
      <family val="2"/>
      <charset val="238"/>
    </font>
    <font>
      <sz val="8"/>
      <color rgb="FF006100"/>
      <name val="Times New Roman"/>
      <family val="2"/>
      <charset val="238"/>
    </font>
    <font>
      <sz val="8"/>
      <color rgb="FF3F3F76"/>
      <name val="Times New Roman"/>
      <family val="2"/>
      <charset val="238"/>
    </font>
    <font>
      <sz val="8"/>
      <color rgb="FFFA7D00"/>
      <name val="Times New Roman"/>
      <family val="2"/>
      <charset val="238"/>
    </font>
    <font>
      <sz val="8"/>
      <color rgb="FF9C6500"/>
      <name val="Times New Roman"/>
      <family val="2"/>
      <charset val="238"/>
    </font>
    <font>
      <b/>
      <sz val="8"/>
      <color rgb="FF3F3F3F"/>
      <name val="Times New Roman"/>
      <family val="2"/>
      <charset val="238"/>
    </font>
    <font>
      <b/>
      <sz val="8"/>
      <color theme="1"/>
      <name val="Times New Roman"/>
      <family val="2"/>
      <charset val="238"/>
    </font>
    <font>
      <sz val="8"/>
      <color rgb="FFFF0000"/>
      <name val="Times New Roman"/>
      <family val="2"/>
      <charset val="238"/>
    </font>
    <font>
      <b/>
      <sz val="8"/>
      <color rgb="FFFF0000"/>
      <name val="Times New Roman"/>
      <family val="1"/>
      <charset val="238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Times New Roman"/>
      <family val="2"/>
      <charset val="238"/>
    </font>
    <font>
      <b/>
      <sz val="13"/>
      <color theme="3"/>
      <name val="Times New Roman"/>
      <family val="2"/>
      <charset val="238"/>
    </font>
    <font>
      <b/>
      <sz val="11"/>
      <color theme="3"/>
      <name val="Times New Roman"/>
      <family val="2"/>
      <charset val="238"/>
    </font>
    <font>
      <sz val="8"/>
      <color rgb="FF9C0006"/>
      <name val="Times New Roman"/>
      <family val="2"/>
      <charset val="238"/>
    </font>
    <font>
      <i/>
      <sz val="11"/>
      <name val="Times New Roman"/>
      <family val="1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Calibri"/>
      <family val="2"/>
      <charset val="238"/>
    </font>
    <font>
      <b/>
      <sz val="22"/>
      <name val="Times New Roman"/>
      <family val="1"/>
      <charset val="238"/>
    </font>
    <font>
      <b/>
      <sz val="28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sz val="18"/>
      <name val="Times New Roman"/>
      <family val="1"/>
      <charset val="238"/>
    </font>
    <font>
      <b/>
      <sz val="26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i/>
      <sz val="1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0"/>
      <name val="Times New Roman"/>
      <family val="1"/>
    </font>
    <font>
      <b/>
      <sz val="11"/>
      <name val="Times New Roman"/>
      <family val="1"/>
    </font>
    <font>
      <sz val="10"/>
      <color theme="0"/>
      <name val="Times New Roman"/>
      <family val="1"/>
      <charset val="238"/>
    </font>
    <font>
      <sz val="12"/>
      <color theme="0"/>
      <name val="Times New Roman"/>
      <family val="1"/>
      <charset val="238"/>
    </font>
    <font>
      <sz val="11"/>
      <name val="Times New Roman"/>
      <family val="1"/>
    </font>
    <font>
      <b/>
      <sz val="10"/>
      <color theme="0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sz val="14"/>
      <name val="Times New Roman"/>
      <family val="1"/>
      <charset val="238"/>
    </font>
    <font>
      <b/>
      <sz val="18"/>
      <name val="Times New Roman"/>
      <family val="1"/>
      <charset val="238"/>
    </font>
    <font>
      <b/>
      <sz val="10"/>
      <color rgb="FFFF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0"/>
      <color rgb="FFFF0066"/>
      <name val="Times New Roman"/>
      <family val="1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sz val="15"/>
      <name val="Times New Roman"/>
      <family val="1"/>
      <charset val="238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8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9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59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22"/>
      </patternFill>
    </fill>
    <fill>
      <patternFill patternType="solid">
        <fgColor indexed="5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22"/>
      </patternFill>
    </fill>
    <fill>
      <patternFill patternType="solid">
        <fgColor theme="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CC"/>
        <bgColor rgb="FFFF0000"/>
      </patternFill>
    </fill>
  </fills>
  <borders count="5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10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10"/>
      </right>
      <top/>
      <bottom/>
      <diagonal/>
    </border>
    <border>
      <left/>
      <right style="double">
        <color indexed="10"/>
      </right>
      <top/>
      <bottom style="medium">
        <color indexed="64"/>
      </bottom>
      <diagonal/>
    </border>
    <border>
      <left style="thin">
        <color indexed="64"/>
      </left>
      <right style="double">
        <color indexed="10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10"/>
      </right>
      <top/>
      <bottom style="thin">
        <color indexed="64"/>
      </bottom>
      <diagonal/>
    </border>
    <border>
      <left style="thin">
        <color indexed="64"/>
      </left>
      <right style="double">
        <color indexed="10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10"/>
      </right>
      <top/>
      <bottom style="medium">
        <color indexed="64"/>
      </bottom>
      <diagonal/>
    </border>
    <border>
      <left/>
      <right style="double">
        <color indexed="1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double">
        <color indexed="10"/>
      </right>
      <top/>
      <bottom style="thin">
        <color indexed="64"/>
      </bottom>
      <diagonal/>
    </border>
    <border>
      <left style="medium">
        <color indexed="64"/>
      </left>
      <right style="double">
        <color indexed="10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10"/>
      </right>
      <top style="medium">
        <color indexed="64"/>
      </top>
      <bottom style="thin">
        <color indexed="64"/>
      </bottom>
      <diagonal/>
    </border>
    <border>
      <left/>
      <right style="double">
        <color indexed="1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10"/>
      </right>
      <top/>
      <bottom style="thin">
        <color indexed="64"/>
      </bottom>
      <diagonal/>
    </border>
    <border>
      <left style="medium">
        <color indexed="64"/>
      </left>
      <right style="double">
        <color indexed="10"/>
      </right>
      <top style="thin">
        <color indexed="64"/>
      </top>
      <bottom style="thin">
        <color indexed="64"/>
      </bottom>
      <diagonal/>
    </border>
    <border>
      <left/>
      <right style="double">
        <color indexed="10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10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10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10"/>
      </right>
      <top/>
      <bottom/>
      <diagonal/>
    </border>
    <border>
      <left style="thin">
        <color indexed="64"/>
      </left>
      <right style="double">
        <color indexed="10"/>
      </right>
      <top style="thin">
        <color indexed="64"/>
      </top>
      <bottom/>
      <diagonal/>
    </border>
    <border>
      <left/>
      <right style="double">
        <color indexed="10"/>
      </right>
      <top style="medium">
        <color indexed="64"/>
      </top>
      <bottom/>
      <diagonal/>
    </border>
    <border>
      <left style="thin">
        <color indexed="64"/>
      </left>
      <right style="double">
        <color indexed="10"/>
      </right>
      <top style="thin">
        <color indexed="64"/>
      </top>
      <bottom style="mediumDashed">
        <color indexed="64"/>
      </bottom>
      <diagonal/>
    </border>
    <border>
      <left/>
      <right style="thin">
        <color indexed="64"/>
      </right>
      <top style="thin">
        <color indexed="64"/>
      </top>
      <bottom style="medium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Dashed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1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1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10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double">
        <color indexed="10"/>
      </right>
      <top/>
      <bottom/>
      <diagonal/>
    </border>
    <border>
      <left style="double">
        <color indexed="10"/>
      </left>
      <right/>
      <top style="medium">
        <color indexed="64"/>
      </top>
      <bottom style="medium">
        <color indexed="64"/>
      </bottom>
      <diagonal/>
    </border>
    <border>
      <left style="double">
        <color indexed="10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1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1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10"/>
      </left>
      <right style="thin">
        <color indexed="64"/>
      </right>
      <top/>
      <bottom style="thin">
        <color indexed="64"/>
      </bottom>
      <diagonal/>
    </border>
    <border>
      <left style="double">
        <color indexed="10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uble">
        <color indexed="10"/>
      </left>
      <right style="thin">
        <color indexed="64"/>
      </right>
      <top style="medium">
        <color indexed="64"/>
      </top>
      <bottom/>
      <diagonal/>
    </border>
    <border>
      <left style="double">
        <color indexed="10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double">
        <color indexed="10"/>
      </left>
      <right style="thin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FF0000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hair">
        <color auto="1"/>
      </left>
      <right style="double">
        <color rgb="FFFF0000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double">
        <color rgb="FFFF0000"/>
      </right>
      <top style="hair">
        <color auto="1"/>
      </top>
      <bottom style="thin">
        <color auto="1"/>
      </bottom>
      <diagonal/>
    </border>
    <border>
      <left/>
      <right style="double">
        <color rgb="FFFF0000"/>
      </right>
      <top/>
      <bottom style="thin">
        <color auto="1"/>
      </bottom>
      <diagonal/>
    </border>
    <border>
      <left/>
      <right style="double">
        <color rgb="FFFF0000"/>
      </right>
      <top/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 style="double">
        <color rgb="FFFF0000"/>
      </left>
      <right style="double">
        <color rgb="FFFF0000"/>
      </right>
      <top style="hair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double">
        <color rgb="FFFF0000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auto="1"/>
      </left>
      <right/>
      <top/>
      <bottom/>
      <diagonal/>
    </border>
    <border>
      <left style="double">
        <color indexed="10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indexed="64"/>
      </left>
      <right style="double">
        <color rgb="FFFF0000"/>
      </right>
      <top style="hair">
        <color indexed="64"/>
      </top>
      <bottom/>
      <diagonal/>
    </border>
    <border>
      <left style="double">
        <color indexed="10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rgb="FFFF0000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double">
        <color rgb="FFFF0000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double">
        <color rgb="FFFF0000"/>
      </left>
      <right/>
      <top style="hair">
        <color indexed="64"/>
      </top>
      <bottom style="hair">
        <color indexed="64"/>
      </bottom>
      <diagonal/>
    </border>
    <border>
      <left/>
      <right style="thin">
        <color auto="1"/>
      </right>
      <top/>
      <bottom style="hair">
        <color indexed="64"/>
      </bottom>
      <diagonal/>
    </border>
    <border>
      <left style="hair">
        <color indexed="64"/>
      </left>
      <right style="double">
        <color rgb="FFFF0000"/>
      </right>
      <top/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double">
        <color rgb="FFFF0000"/>
      </left>
      <right style="double">
        <color rgb="FFFF0000"/>
      </right>
      <top style="hair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rgb="FFFF0000"/>
      </left>
      <right style="hair">
        <color auto="1"/>
      </right>
      <top style="hair">
        <color auto="1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FF0000"/>
      </left>
      <right style="hair">
        <color auto="1"/>
      </right>
      <top/>
      <bottom style="hair">
        <color auto="1"/>
      </bottom>
      <diagonal/>
    </border>
    <border>
      <left style="hair">
        <color indexed="64"/>
      </left>
      <right style="double">
        <color rgb="FFFF0000"/>
      </right>
      <top style="thin">
        <color indexed="64"/>
      </top>
      <bottom style="hair">
        <color indexed="64"/>
      </bottom>
      <diagonal/>
    </border>
    <border>
      <left style="double">
        <color rgb="FFFF0000"/>
      </left>
      <right style="double">
        <color rgb="FFFF0000"/>
      </right>
      <top style="thin">
        <color auto="1"/>
      </top>
      <bottom style="hair">
        <color indexed="64"/>
      </bottom>
      <diagonal/>
    </border>
    <border>
      <left style="double">
        <color rgb="FFFF0000"/>
      </left>
      <right style="double">
        <color rgb="FFFF0000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indexed="64"/>
      </left>
      <right style="double">
        <color rgb="FFFF0000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 style="double">
        <color rgb="FFFF0000"/>
      </left>
      <right style="hair">
        <color auto="1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hair">
        <color indexed="64"/>
      </left>
      <right style="double">
        <color rgb="FFFF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auto="1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 style="double">
        <color rgb="FFFF0000"/>
      </left>
      <right style="hair">
        <color auto="1"/>
      </right>
      <top/>
      <bottom style="thin">
        <color auto="1"/>
      </bottom>
      <diagonal/>
    </border>
    <border>
      <left/>
      <right style="hair">
        <color indexed="64"/>
      </right>
      <top style="thin">
        <color indexed="64"/>
      </top>
      <bottom style="thin">
        <color auto="1"/>
      </bottom>
      <diagonal/>
    </border>
    <border>
      <left style="double">
        <color indexed="10"/>
      </left>
      <right style="hair">
        <color auto="1"/>
      </right>
      <top/>
      <bottom style="hair">
        <color auto="1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rgb="FFFF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rgb="FFFF0000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rgb="FFFF0000"/>
      </left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double">
        <color rgb="FFFF0000"/>
      </left>
      <right style="double">
        <color rgb="FFFF0000"/>
      </right>
      <top/>
      <bottom style="hair">
        <color indexed="64"/>
      </bottom>
      <diagonal/>
    </border>
    <border>
      <left/>
      <right style="double">
        <color rgb="FFFF0000"/>
      </right>
      <top style="hair">
        <color auto="1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double">
        <color rgb="FFFF0000"/>
      </right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rgb="FFFF0000"/>
      </left>
      <right/>
      <top/>
      <bottom style="double">
        <color indexed="64"/>
      </bottom>
      <diagonal/>
    </border>
    <border>
      <left style="double">
        <color rgb="FFFF0000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rgb="FFFF0000"/>
      </right>
      <top style="hair">
        <color auto="1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double">
        <color indexed="10"/>
      </right>
      <top style="hair">
        <color indexed="64"/>
      </top>
      <bottom style="hair">
        <color indexed="64"/>
      </bottom>
      <diagonal/>
    </border>
    <border>
      <left/>
      <right style="double">
        <color indexed="10"/>
      </right>
      <top style="thin">
        <color auto="1"/>
      </top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rgb="FFFF0000"/>
      </right>
      <top style="hair">
        <color auto="1"/>
      </top>
      <bottom style="thin">
        <color auto="1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FF0000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FF0000"/>
      </left>
      <right style="hair">
        <color indexed="64"/>
      </right>
      <top style="thin">
        <color auto="1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10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10"/>
      </right>
      <top style="thin">
        <color indexed="64"/>
      </top>
      <bottom/>
      <diagonal/>
    </border>
    <border>
      <left style="thin">
        <color indexed="64"/>
      </left>
      <right style="double">
        <color rgb="FFFF0000"/>
      </right>
      <top style="thin">
        <color indexed="64"/>
      </top>
      <bottom style="thin">
        <color indexed="64"/>
      </bottom>
      <diagonal/>
    </border>
    <border>
      <left style="double">
        <color rgb="FFFF0000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double">
        <color indexed="10"/>
      </left>
      <right style="thin">
        <color indexed="64"/>
      </right>
      <top style="thin">
        <color auto="1"/>
      </top>
      <bottom/>
      <diagonal/>
    </border>
    <border>
      <left style="double">
        <color rgb="FFFF0000"/>
      </left>
      <right style="hair">
        <color indexed="64"/>
      </right>
      <top style="thin">
        <color auto="1"/>
      </top>
      <bottom/>
      <diagonal/>
    </border>
    <border>
      <left style="double">
        <color indexed="10"/>
      </left>
      <right style="hair">
        <color indexed="64"/>
      </right>
      <top style="hair">
        <color auto="1"/>
      </top>
      <bottom/>
      <diagonal/>
    </border>
    <border>
      <left style="double">
        <color rgb="FFFF0000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double">
        <color rgb="FFFF0000"/>
      </left>
      <right style="double">
        <color rgb="FFFF0000"/>
      </right>
      <top style="hair">
        <color auto="1"/>
      </top>
      <bottom/>
      <diagonal/>
    </border>
    <border>
      <left style="double">
        <color rgb="FFFF0000"/>
      </left>
      <right style="double">
        <color rgb="FFFF0000"/>
      </right>
      <top style="thin">
        <color indexed="64"/>
      </top>
      <bottom/>
      <diagonal/>
    </border>
    <border>
      <left style="double">
        <color rgb="FFFF0000"/>
      </left>
      <right style="double">
        <color rgb="FFFF0000"/>
      </right>
      <top/>
      <bottom/>
      <diagonal/>
    </border>
    <border>
      <left style="double">
        <color rgb="FFFF0000"/>
      </left>
      <right style="double">
        <color rgb="FFFF0000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double">
        <color indexed="10"/>
      </right>
      <top style="hair">
        <color indexed="64"/>
      </top>
      <bottom style="thin">
        <color indexed="64"/>
      </bottom>
      <diagonal/>
    </border>
    <border>
      <left style="double">
        <color indexed="10"/>
      </left>
      <right style="hair">
        <color auto="1"/>
      </right>
      <top/>
      <bottom style="thin">
        <color indexed="64"/>
      </bottom>
      <diagonal/>
    </border>
    <border>
      <left style="hair">
        <color indexed="64"/>
      </left>
      <right style="double">
        <color rgb="FFFF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double">
        <color indexed="10"/>
      </right>
      <top/>
      <bottom style="hair">
        <color indexed="64"/>
      </bottom>
      <diagonal/>
    </border>
    <border>
      <left style="double">
        <color rgb="FFFF0000"/>
      </left>
      <right/>
      <top/>
      <bottom style="thin">
        <color theme="1"/>
      </bottom>
      <diagonal/>
    </border>
    <border>
      <left/>
      <right style="thin">
        <color auto="1"/>
      </right>
      <top/>
      <bottom style="thin">
        <color theme="1"/>
      </bottom>
      <diagonal/>
    </border>
    <border>
      <left/>
      <right style="hair">
        <color indexed="64"/>
      </right>
      <top style="thin">
        <color theme="1"/>
      </top>
      <bottom style="thin">
        <color theme="1"/>
      </bottom>
      <diagonal/>
    </border>
    <border>
      <left/>
      <right style="double">
        <color rgb="FFFF0000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indexed="64"/>
      </bottom>
      <diagonal/>
    </border>
    <border>
      <left/>
      <right style="hair">
        <color theme="1"/>
      </right>
      <top style="hair">
        <color theme="1"/>
      </top>
      <bottom style="thin">
        <color auto="1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double">
        <color rgb="FFFF0000"/>
      </right>
      <top style="thin">
        <color indexed="64"/>
      </top>
      <bottom/>
      <diagonal/>
    </border>
    <border>
      <left style="thin">
        <color theme="1"/>
      </left>
      <right style="double">
        <color rgb="FFFF0000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indexed="64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FF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rgb="FFFF0000"/>
      </right>
      <top/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double">
        <color rgb="FFFF0000"/>
      </right>
      <top style="thin">
        <color indexed="64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double">
        <color rgb="FFFF0000"/>
      </right>
      <top/>
      <bottom style="thin">
        <color indexed="64"/>
      </bottom>
      <diagonal/>
    </border>
    <border>
      <left/>
      <right style="double">
        <color rgb="FFFF0000"/>
      </right>
      <top style="thin">
        <color indexed="64"/>
      </top>
      <bottom style="double">
        <color indexed="64"/>
      </bottom>
      <diagonal/>
    </border>
    <border>
      <left/>
      <right style="double">
        <color rgb="FFFF0000"/>
      </right>
      <top style="double">
        <color indexed="64"/>
      </top>
      <bottom style="double">
        <color indexed="64"/>
      </bottom>
      <diagonal/>
    </border>
    <border>
      <left/>
      <right style="double">
        <color rgb="FFFF0000"/>
      </right>
      <top style="thin">
        <color indexed="64"/>
      </top>
      <bottom style="hair">
        <color indexed="64"/>
      </bottom>
      <diagonal/>
    </border>
    <border>
      <left style="thin">
        <color theme="1"/>
      </left>
      <right style="hair">
        <color indexed="64"/>
      </right>
      <top style="thin">
        <color theme="1"/>
      </top>
      <bottom style="thin">
        <color theme="1"/>
      </bottom>
      <diagonal/>
    </border>
    <border>
      <left style="hair">
        <color indexed="64"/>
      </left>
      <right style="hair">
        <color indexed="64"/>
      </right>
      <top style="thin">
        <color theme="1"/>
      </top>
      <bottom style="thin">
        <color theme="1"/>
      </bottom>
      <diagonal/>
    </border>
    <border>
      <left style="hair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 style="thin">
        <color theme="1"/>
      </bottom>
      <diagonal/>
    </border>
    <border>
      <left style="thin">
        <color auto="1"/>
      </left>
      <right/>
      <top style="thin">
        <color theme="1"/>
      </top>
      <bottom style="thin">
        <color theme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hair">
        <color theme="1"/>
      </left>
      <right style="hair">
        <color theme="1"/>
      </right>
      <top style="thin">
        <color indexed="64"/>
      </top>
      <bottom style="thin">
        <color indexed="64"/>
      </bottom>
      <diagonal/>
    </border>
    <border>
      <left style="hair">
        <color theme="1"/>
      </left>
      <right style="double">
        <color rgb="FFFF0000"/>
      </right>
      <top style="thin">
        <color indexed="64"/>
      </top>
      <bottom style="thin">
        <color indexed="64"/>
      </bottom>
      <diagonal/>
    </border>
    <border>
      <left/>
      <right style="hair">
        <color theme="1"/>
      </right>
      <top style="thin">
        <color indexed="64"/>
      </top>
      <bottom style="thin">
        <color indexed="64"/>
      </bottom>
      <diagonal/>
    </border>
    <border>
      <left style="hair">
        <color theme="1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theme="1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indexed="64"/>
      </top>
      <bottom style="thin">
        <color indexed="64"/>
      </bottom>
      <diagonal/>
    </border>
    <border>
      <left style="hair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rgb="FFC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rgb="FFC00000"/>
      </right>
      <top style="thin">
        <color auto="1"/>
      </top>
      <bottom style="hair">
        <color auto="1"/>
      </bottom>
      <diagonal/>
    </border>
    <border>
      <left/>
      <right style="double">
        <color rgb="FFC00000"/>
      </right>
      <top style="thin">
        <color indexed="64"/>
      </top>
      <bottom style="hair">
        <color indexed="64"/>
      </bottom>
      <diagonal/>
    </border>
    <border>
      <left/>
      <right style="double">
        <color rgb="FFC00000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double">
        <color rgb="FFC00000"/>
      </right>
      <top style="thin">
        <color indexed="64"/>
      </top>
      <bottom style="hair">
        <color indexed="64"/>
      </bottom>
      <diagonal/>
    </border>
    <border>
      <left style="hair">
        <color auto="1"/>
      </left>
      <right style="double">
        <color rgb="FFC00000"/>
      </right>
      <top style="thin">
        <color indexed="64"/>
      </top>
      <bottom style="thin">
        <color indexed="64"/>
      </bottom>
      <diagonal/>
    </border>
    <border>
      <left/>
      <right style="double">
        <color rgb="FFC00000"/>
      </right>
      <top/>
      <bottom style="hair">
        <color indexed="64"/>
      </bottom>
      <diagonal/>
    </border>
    <border>
      <left/>
      <right style="double">
        <color rgb="FFC00000"/>
      </right>
      <top/>
      <bottom style="thin">
        <color auto="1"/>
      </bottom>
      <diagonal/>
    </border>
    <border>
      <left/>
      <right style="double">
        <color rgb="FFC00000"/>
      </right>
      <top style="hair">
        <color indexed="64"/>
      </top>
      <bottom style="hair">
        <color indexed="64"/>
      </bottom>
      <diagonal/>
    </border>
    <border>
      <left/>
      <right style="double">
        <color rgb="FFC00000"/>
      </right>
      <top style="hair">
        <color auto="1"/>
      </top>
      <bottom/>
      <diagonal/>
    </border>
    <border>
      <left style="hair">
        <color auto="1"/>
      </left>
      <right style="double">
        <color rgb="FFC00000"/>
      </right>
      <top style="hair">
        <color auto="1"/>
      </top>
      <bottom style="hair">
        <color auto="1"/>
      </bottom>
      <diagonal/>
    </border>
    <border>
      <left/>
      <right style="double">
        <color rgb="FFC00000"/>
      </right>
      <top/>
      <bottom/>
      <diagonal/>
    </border>
    <border>
      <left/>
      <right style="double">
        <color rgb="FFC00000"/>
      </right>
      <top style="hair">
        <color auto="1"/>
      </top>
      <bottom style="thin">
        <color auto="1"/>
      </bottom>
      <diagonal/>
    </border>
    <border>
      <left/>
      <right style="double">
        <color rgb="FFC00000"/>
      </right>
      <top style="thin">
        <color indexed="64"/>
      </top>
      <bottom style="double">
        <color indexed="64"/>
      </bottom>
      <diagonal/>
    </border>
    <border>
      <left/>
      <right style="double">
        <color rgb="FFC00000"/>
      </right>
      <top/>
      <bottom style="double">
        <color indexed="64"/>
      </bottom>
      <diagonal/>
    </border>
    <border>
      <left style="double">
        <color rgb="FFC00000"/>
      </left>
      <right/>
      <top style="thin">
        <color indexed="64"/>
      </top>
      <bottom style="thin">
        <color indexed="64"/>
      </bottom>
      <diagonal/>
    </border>
    <border>
      <left/>
      <right style="double">
        <color rgb="FFC00000"/>
      </right>
      <top style="thin">
        <color indexed="64"/>
      </top>
      <bottom/>
      <diagonal/>
    </border>
    <border>
      <left/>
      <right style="double">
        <color rgb="FFC00000"/>
      </right>
      <top style="thin">
        <color theme="1"/>
      </top>
      <bottom style="thin">
        <color theme="1"/>
      </bottom>
      <diagonal/>
    </border>
    <border>
      <left style="hair">
        <color indexed="64"/>
      </left>
      <right style="double">
        <color rgb="FFC00000"/>
      </right>
      <top style="hair">
        <color indexed="64"/>
      </top>
      <bottom style="thin">
        <color auto="1"/>
      </bottom>
      <diagonal/>
    </border>
    <border>
      <left style="double">
        <color rgb="FFC00000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rgb="FFFF0000"/>
      </right>
      <top style="thin">
        <color theme="1"/>
      </top>
      <bottom style="thin">
        <color indexed="64"/>
      </bottom>
      <diagonal/>
    </border>
    <border>
      <left style="double">
        <color rgb="FFFF0000"/>
      </left>
      <right style="double">
        <color rgb="FFFF0000"/>
      </right>
      <top style="hair">
        <color auto="1"/>
      </top>
      <bottom style="hair">
        <color theme="1"/>
      </bottom>
      <diagonal/>
    </border>
    <border>
      <left style="double">
        <color rgb="FFFF0000"/>
      </left>
      <right style="double">
        <color rgb="FFFF0000"/>
      </right>
      <top style="hair">
        <color theme="1"/>
      </top>
      <bottom/>
      <diagonal/>
    </border>
    <border>
      <left style="double">
        <color rgb="FFFF0000"/>
      </left>
      <right style="double">
        <color rgb="FFFF0000"/>
      </right>
      <top style="thin">
        <color theme="1"/>
      </top>
      <bottom style="thin">
        <color indexed="64"/>
      </bottom>
      <diagonal/>
    </border>
    <border>
      <left style="double">
        <color rgb="FFFF0000"/>
      </left>
      <right style="double">
        <color rgb="FFFF0000"/>
      </right>
      <top style="thin">
        <color indexed="64"/>
      </top>
      <bottom style="double">
        <color indexed="64"/>
      </bottom>
      <diagonal/>
    </border>
    <border>
      <left style="double">
        <color rgb="FFFF0000"/>
      </left>
      <right style="double">
        <color rgb="FFFF0000"/>
      </right>
      <top style="double">
        <color indexed="64"/>
      </top>
      <bottom style="double">
        <color indexed="64"/>
      </bottom>
      <diagonal/>
    </border>
    <border>
      <left style="thin">
        <color theme="1"/>
      </left>
      <right style="double">
        <color rgb="FFFF0000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double">
        <color rgb="FFFF0000"/>
      </right>
      <top style="thin">
        <color theme="1"/>
      </top>
      <bottom style="thin">
        <color theme="1"/>
      </bottom>
      <diagonal/>
    </border>
    <border>
      <left style="double">
        <color rgb="FFFF0000"/>
      </left>
      <right/>
      <top style="double">
        <color indexed="64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theme="1"/>
      </left>
      <right style="hair">
        <color indexed="64"/>
      </right>
      <top style="thin">
        <color indexed="64"/>
      </top>
      <bottom style="thin">
        <color auto="1"/>
      </bottom>
      <diagonal/>
    </border>
    <border>
      <left/>
      <right style="hair">
        <color theme="1"/>
      </right>
      <top/>
      <bottom style="hair">
        <color indexed="64"/>
      </bottom>
      <diagonal/>
    </border>
    <border>
      <left/>
      <right style="hair">
        <color theme="1"/>
      </right>
      <top style="hair">
        <color indexed="64"/>
      </top>
      <bottom style="hair">
        <color indexed="64"/>
      </bottom>
      <diagonal/>
    </border>
    <border>
      <left style="hair">
        <color theme="1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theme="1"/>
      </right>
      <top style="thin">
        <color indexed="64"/>
      </top>
      <bottom style="hair">
        <color indexed="64"/>
      </bottom>
      <diagonal/>
    </border>
    <border>
      <left style="hair">
        <color theme="1"/>
      </left>
      <right style="double">
        <color rgb="FFFF0000"/>
      </right>
      <top style="thin">
        <color auto="1"/>
      </top>
      <bottom style="hair">
        <color indexed="64"/>
      </bottom>
      <diagonal/>
    </border>
    <border>
      <left style="hair">
        <color theme="1"/>
      </left>
      <right style="double">
        <color rgb="FFFF0000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theme="1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theme="1"/>
      </right>
      <top/>
      <bottom/>
      <diagonal/>
    </border>
    <border>
      <left style="hair">
        <color indexed="64"/>
      </left>
      <right style="hair">
        <color theme="1"/>
      </right>
      <top style="hair">
        <color indexed="64"/>
      </top>
      <bottom/>
      <diagonal/>
    </border>
    <border>
      <left style="hair">
        <color indexed="64"/>
      </left>
      <right style="hair">
        <color theme="1"/>
      </right>
      <top/>
      <bottom style="hair">
        <color indexed="64"/>
      </bottom>
      <diagonal/>
    </border>
    <border>
      <left style="double">
        <color indexed="10"/>
      </left>
      <right style="thin">
        <color theme="1"/>
      </right>
      <top style="thin">
        <color indexed="64"/>
      </top>
      <bottom style="thin">
        <color auto="1"/>
      </bottom>
      <diagonal/>
    </border>
    <border>
      <left style="double">
        <color rgb="FFFF0000"/>
      </left>
      <right style="thin">
        <color theme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auto="1"/>
      </bottom>
      <diagonal/>
    </border>
    <border>
      <left style="thin">
        <color theme="1"/>
      </left>
      <right style="thin">
        <color theme="1"/>
      </right>
      <top/>
      <bottom style="thin">
        <color auto="1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theme="1"/>
      </bottom>
      <diagonal/>
    </border>
    <border>
      <left style="hair">
        <color indexed="64"/>
      </left>
      <right style="hair">
        <color indexed="64"/>
      </right>
      <top style="hair">
        <color theme="1"/>
      </top>
      <bottom style="hair">
        <color indexed="64"/>
      </bottom>
      <diagonal/>
    </border>
    <border>
      <left style="hair">
        <color indexed="64"/>
      </left>
      <right style="double">
        <color indexed="10"/>
      </right>
      <top style="hair">
        <color indexed="64"/>
      </top>
      <bottom style="hair">
        <color theme="1"/>
      </bottom>
      <diagonal/>
    </border>
    <border>
      <left style="thin">
        <color indexed="64"/>
      </left>
      <right/>
      <top/>
      <bottom style="hair">
        <color theme="1"/>
      </bottom>
      <diagonal/>
    </border>
    <border>
      <left style="thin">
        <color theme="1"/>
      </left>
      <right style="hair">
        <color indexed="64"/>
      </right>
      <top style="hair">
        <color theme="1"/>
      </top>
      <bottom style="thin">
        <color indexed="64"/>
      </bottom>
      <diagonal/>
    </border>
    <border>
      <left style="thin">
        <color theme="1"/>
      </left>
      <right/>
      <top/>
      <bottom style="thin">
        <color auto="1"/>
      </bottom>
      <diagonal/>
    </border>
    <border>
      <left style="hair">
        <color theme="1"/>
      </left>
      <right style="double">
        <color rgb="FFC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1"/>
      </top>
      <bottom/>
      <diagonal/>
    </border>
    <border>
      <left style="double">
        <color rgb="FFC00000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theme="1"/>
      </bottom>
      <diagonal/>
    </border>
    <border>
      <left style="thin">
        <color indexed="64"/>
      </left>
      <right style="hair">
        <color indexed="64"/>
      </right>
      <top style="thin">
        <color theme="1"/>
      </top>
      <bottom style="hair">
        <color indexed="64"/>
      </bottom>
      <diagonal/>
    </border>
    <border>
      <left style="hair">
        <color theme="1"/>
      </left>
      <right/>
      <top style="hair">
        <color indexed="64"/>
      </top>
      <bottom style="thin">
        <color indexed="64"/>
      </bottom>
      <diagonal/>
    </border>
    <border>
      <left style="thin">
        <color theme="1"/>
      </left>
      <right style="hair">
        <color theme="1"/>
      </right>
      <top style="hair">
        <color indexed="64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theme="1"/>
      </bottom>
      <diagonal/>
    </border>
    <border>
      <left style="double">
        <color rgb="FFFF0000"/>
      </left>
      <right/>
      <top style="hair">
        <color auto="1"/>
      </top>
      <bottom style="thin">
        <color indexed="64"/>
      </bottom>
      <diagonal/>
    </border>
    <border>
      <left style="hair">
        <color indexed="64"/>
      </left>
      <right style="hair">
        <color auto="1"/>
      </right>
      <top style="hair">
        <color auto="1"/>
      </top>
      <bottom style="hair">
        <color theme="1"/>
      </bottom>
      <diagonal/>
    </border>
    <border>
      <left style="hair">
        <color indexed="64"/>
      </left>
      <right style="hair">
        <color indexed="64"/>
      </right>
      <top style="hair">
        <color theme="1"/>
      </top>
      <bottom style="thin">
        <color indexed="64"/>
      </bottom>
      <diagonal/>
    </border>
    <border>
      <left style="double">
        <color rgb="FFFF0000"/>
      </left>
      <right style="hair">
        <color auto="1"/>
      </right>
      <top style="thin">
        <color indexed="64"/>
      </top>
      <bottom style="hair">
        <color theme="1"/>
      </bottom>
      <diagonal/>
    </border>
    <border>
      <left style="hair">
        <color theme="1"/>
      </left>
      <right style="hair">
        <color indexed="64"/>
      </right>
      <top/>
      <bottom style="thin">
        <color auto="1"/>
      </bottom>
      <diagonal/>
    </border>
    <border>
      <left style="double">
        <color rgb="FFFF0000"/>
      </left>
      <right style="hair">
        <color auto="1"/>
      </right>
      <top style="hair">
        <color auto="1"/>
      </top>
      <bottom style="hair">
        <color rgb="FFFF0000"/>
      </bottom>
      <diagonal/>
    </border>
    <border>
      <left style="thin">
        <color auto="1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ck">
        <color rgb="FFFF0000"/>
      </right>
      <top style="thin">
        <color indexed="64"/>
      </top>
      <bottom style="hair">
        <color indexed="64"/>
      </bottom>
      <diagonal/>
    </border>
    <border>
      <left/>
      <right style="thick">
        <color rgb="FFFF0000"/>
      </right>
      <top style="hair">
        <color auto="1"/>
      </top>
      <bottom/>
      <diagonal/>
    </border>
    <border>
      <left/>
      <right style="thick">
        <color rgb="FFFF0000"/>
      </right>
      <top style="hair">
        <color indexed="64"/>
      </top>
      <bottom style="hair">
        <color indexed="64"/>
      </bottom>
      <diagonal/>
    </border>
    <border>
      <left/>
      <right style="thick">
        <color rgb="FFFF0000"/>
      </right>
      <top/>
      <bottom style="hair">
        <color indexed="64"/>
      </bottom>
      <diagonal/>
    </border>
    <border>
      <left/>
      <right style="thick">
        <color rgb="FFFF0000"/>
      </right>
      <top/>
      <bottom/>
      <diagonal/>
    </border>
    <border>
      <left style="double">
        <color rgb="FFFF0000"/>
      </left>
      <right style="hair">
        <color theme="1"/>
      </right>
      <top style="thin">
        <color auto="1"/>
      </top>
      <bottom style="hair">
        <color indexed="64"/>
      </bottom>
      <diagonal/>
    </border>
    <border>
      <left style="double">
        <color rgb="FFFF0000"/>
      </left>
      <right style="hair">
        <color theme="1"/>
      </right>
      <top/>
      <bottom style="hair">
        <color auto="1"/>
      </bottom>
      <diagonal/>
    </border>
    <border>
      <left style="double">
        <color rgb="FFFF0000"/>
      </left>
      <right style="hair">
        <color theme="1"/>
      </right>
      <top style="hair">
        <color auto="1"/>
      </top>
      <bottom style="hair">
        <color auto="1"/>
      </bottom>
      <diagonal/>
    </border>
    <border>
      <left style="double">
        <color rgb="FFFF0000"/>
      </left>
      <right style="hair">
        <color theme="1"/>
      </right>
      <top style="hair">
        <color indexed="64"/>
      </top>
      <bottom/>
      <diagonal/>
    </border>
    <border>
      <left style="double">
        <color rgb="FFFF0000"/>
      </left>
      <right style="hair">
        <color theme="1"/>
      </right>
      <top/>
      <bottom style="thin">
        <color indexed="64"/>
      </bottom>
      <diagonal/>
    </border>
    <border>
      <left style="hair">
        <color theme="1"/>
      </left>
      <right style="hair">
        <color theme="1"/>
      </right>
      <top style="hair">
        <color indexed="64"/>
      </top>
      <bottom style="hair">
        <color indexed="64"/>
      </bottom>
      <diagonal/>
    </border>
    <border>
      <left style="hair">
        <color theme="1"/>
      </left>
      <right style="hair">
        <color theme="1"/>
      </right>
      <top/>
      <bottom style="hair">
        <color indexed="64"/>
      </bottom>
      <diagonal/>
    </border>
    <border>
      <left style="hair">
        <color theme="1"/>
      </left>
      <right style="hair">
        <color theme="1"/>
      </right>
      <top style="hair">
        <color indexed="64"/>
      </top>
      <bottom/>
      <diagonal/>
    </border>
    <border>
      <left style="hair">
        <color theme="1"/>
      </left>
      <right style="hair">
        <color theme="1"/>
      </right>
      <top/>
      <bottom style="thin">
        <color indexed="64"/>
      </bottom>
      <diagonal/>
    </border>
    <border>
      <left style="hair">
        <color theme="1"/>
      </left>
      <right style="thin">
        <color indexed="64"/>
      </right>
      <top style="hair">
        <color indexed="64"/>
      </top>
      <bottom style="hair">
        <color theme="1"/>
      </bottom>
      <diagonal/>
    </border>
    <border>
      <left style="hair">
        <color theme="1"/>
      </left>
      <right/>
      <top style="thin">
        <color indexed="64"/>
      </top>
      <bottom/>
      <diagonal/>
    </border>
    <border>
      <left style="hair">
        <color theme="1"/>
      </left>
      <right style="hair">
        <color theme="1"/>
      </right>
      <top style="thin">
        <color indexed="64"/>
      </top>
      <bottom/>
      <diagonal/>
    </border>
    <border>
      <left style="hair">
        <color theme="1"/>
      </left>
      <right/>
      <top style="hair">
        <color auto="1"/>
      </top>
      <bottom style="hair">
        <color auto="1"/>
      </bottom>
      <diagonal/>
    </border>
    <border>
      <left style="thin">
        <color theme="1"/>
      </left>
      <right style="hair">
        <color indexed="64"/>
      </right>
      <top style="thin">
        <color theme="1"/>
      </top>
      <bottom style="hair">
        <color indexed="64"/>
      </bottom>
      <diagonal/>
    </border>
    <border>
      <left style="thin">
        <color theme="1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auto="1"/>
      </top>
      <bottom/>
      <diagonal/>
    </border>
    <border>
      <left style="thin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/>
      <right style="hair">
        <color theme="1"/>
      </right>
      <top style="hair">
        <color theme="1"/>
      </top>
      <bottom style="hair">
        <color theme="1"/>
      </bottom>
      <diagonal/>
    </border>
    <border>
      <left style="double">
        <color rgb="FFC00000"/>
      </left>
      <right/>
      <top style="thin">
        <color rgb="FFFF0000"/>
      </top>
      <bottom style="thin">
        <color indexed="64"/>
      </bottom>
      <diagonal/>
    </border>
    <border>
      <left style="double">
        <color rgb="FFC00000"/>
      </left>
      <right/>
      <top style="thin">
        <color indexed="64"/>
      </top>
      <bottom/>
      <diagonal/>
    </border>
    <border>
      <left style="double">
        <color rgb="FFFF0000"/>
      </left>
      <right style="hair">
        <color theme="1"/>
      </right>
      <top style="hair">
        <color theme="1"/>
      </top>
      <bottom style="thin">
        <color auto="1"/>
      </bottom>
      <diagonal/>
    </border>
    <border>
      <left style="hair">
        <color theme="1"/>
      </left>
      <right/>
      <top style="hair">
        <color theme="1"/>
      </top>
      <bottom style="hair">
        <color theme="1"/>
      </bottom>
      <diagonal/>
    </border>
    <border>
      <left style="hair">
        <color theme="1"/>
      </left>
      <right/>
      <top style="hair">
        <color theme="1"/>
      </top>
      <bottom style="thin">
        <color auto="1"/>
      </bottom>
      <diagonal/>
    </border>
    <border>
      <left style="double">
        <color rgb="FFFF0000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thick">
        <color rgb="FFFF0000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ck">
        <color rgb="FFFF0000"/>
      </left>
      <right style="hair">
        <color auto="1"/>
      </right>
      <top style="hair">
        <color auto="1"/>
      </top>
      <bottom/>
      <diagonal/>
    </border>
    <border>
      <left style="thick">
        <color rgb="FFFF0000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thick">
        <color rgb="FFFF0000"/>
      </left>
      <right/>
      <top style="thin">
        <color indexed="64"/>
      </top>
      <bottom style="thin">
        <color indexed="64"/>
      </bottom>
      <diagonal/>
    </border>
    <border>
      <left style="thick">
        <color rgb="FFFF0000"/>
      </left>
      <right/>
      <top style="hair">
        <color theme="1"/>
      </top>
      <bottom/>
      <diagonal/>
    </border>
    <border>
      <left style="thin">
        <color theme="1"/>
      </left>
      <right style="hair">
        <color indexed="64"/>
      </right>
      <top style="hair">
        <color theme="1"/>
      </top>
      <bottom style="hair">
        <color theme="1"/>
      </bottom>
      <diagonal/>
    </border>
    <border>
      <left style="thin">
        <color theme="1"/>
      </left>
      <right style="hair">
        <color indexed="64"/>
      </right>
      <top style="thin">
        <color theme="1"/>
      </top>
      <bottom/>
      <diagonal/>
    </border>
    <border>
      <left style="double">
        <color rgb="FFFF0000"/>
      </left>
      <right style="double">
        <color rgb="FFFF0000"/>
      </right>
      <top style="hair">
        <color theme="1"/>
      </top>
      <bottom style="hair">
        <color theme="1"/>
      </bottom>
      <diagonal/>
    </border>
    <border>
      <left style="thin">
        <color indexed="64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thin">
        <color indexed="64"/>
      </left>
      <right style="hair">
        <color theme="1"/>
      </right>
      <top style="hair">
        <color theme="1"/>
      </top>
      <bottom style="thin">
        <color auto="1"/>
      </bottom>
      <diagonal/>
    </border>
    <border>
      <left style="thin">
        <color theme="1"/>
      </left>
      <right style="hair">
        <color theme="1"/>
      </right>
      <top style="hair">
        <color theme="1"/>
      </top>
      <bottom style="thin">
        <color auto="1"/>
      </bottom>
      <diagonal/>
    </border>
    <border>
      <left style="hair">
        <color indexed="64"/>
      </left>
      <right/>
      <top style="hair">
        <color indexed="64"/>
      </top>
      <bottom style="hair">
        <color theme="1"/>
      </bottom>
      <diagonal/>
    </border>
    <border>
      <left style="hair">
        <color auto="1"/>
      </left>
      <right/>
      <top style="hair">
        <color theme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theme="1"/>
      </right>
      <top style="thin">
        <color indexed="64"/>
      </top>
      <bottom/>
      <diagonal/>
    </border>
    <border>
      <left/>
      <right style="hair">
        <color indexed="64"/>
      </right>
      <top style="hair">
        <color theme="1"/>
      </top>
      <bottom style="hair">
        <color theme="1"/>
      </bottom>
      <diagonal/>
    </border>
    <border>
      <left style="hair">
        <color indexed="64"/>
      </left>
      <right style="thin">
        <color indexed="64"/>
      </right>
      <top/>
      <bottom style="hair">
        <color theme="1"/>
      </bottom>
      <diagonal/>
    </border>
    <border>
      <left style="hair">
        <color theme="1"/>
      </left>
      <right/>
      <top style="hair">
        <color auto="1"/>
      </top>
      <bottom/>
      <diagonal/>
    </border>
    <border>
      <left/>
      <right style="hair">
        <color theme="1"/>
      </right>
      <top/>
      <bottom/>
      <diagonal/>
    </border>
    <border>
      <left style="hair">
        <color theme="1"/>
      </left>
      <right/>
      <top/>
      <bottom style="hair">
        <color auto="1"/>
      </bottom>
      <diagonal/>
    </border>
    <border>
      <left style="hair">
        <color theme="1"/>
      </left>
      <right style="hair">
        <color theme="1"/>
      </right>
      <top/>
      <bottom/>
      <diagonal/>
    </border>
    <border>
      <left style="hair">
        <color theme="1"/>
      </left>
      <right style="hair">
        <color indexed="64"/>
      </right>
      <top style="hair">
        <color indexed="64"/>
      </top>
      <bottom style="hair">
        <color theme="1"/>
      </bottom>
      <diagonal/>
    </border>
    <border>
      <left style="hair">
        <color theme="1"/>
      </left>
      <right style="hair">
        <color indexed="64"/>
      </right>
      <top style="hair">
        <color theme="1"/>
      </top>
      <bottom style="hair">
        <color theme="1"/>
      </bottom>
      <diagonal/>
    </border>
    <border>
      <left style="hair">
        <color theme="1"/>
      </left>
      <right style="hair">
        <color indexed="64"/>
      </right>
      <top/>
      <bottom style="hair">
        <color theme="1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hair">
        <color theme="1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theme="1"/>
      </top>
      <bottom style="hair">
        <color theme="1"/>
      </bottom>
      <diagonal/>
    </border>
    <border>
      <left style="hair">
        <color theme="1"/>
      </left>
      <right style="hair">
        <color theme="1"/>
      </right>
      <top style="thin">
        <color indexed="64"/>
      </top>
      <bottom style="hair">
        <color theme="1"/>
      </bottom>
      <diagonal/>
    </border>
    <border>
      <left style="double">
        <color rgb="FFFF0000"/>
      </left>
      <right style="thin">
        <color indexed="64"/>
      </right>
      <top style="thin">
        <color indexed="64"/>
      </top>
      <bottom/>
      <diagonal/>
    </border>
    <border>
      <left style="double">
        <color rgb="FFFF0000"/>
      </left>
      <right style="thin">
        <color indexed="64"/>
      </right>
      <top/>
      <bottom/>
      <diagonal/>
    </border>
    <border>
      <left style="thin">
        <color auto="1"/>
      </left>
      <right/>
      <top style="hair">
        <color theme="1"/>
      </top>
      <bottom/>
      <diagonal/>
    </border>
    <border>
      <left style="thin">
        <color indexed="64"/>
      </left>
      <right style="thin">
        <color indexed="64"/>
      </right>
      <top/>
      <bottom style="hair">
        <color theme="1"/>
      </bottom>
      <diagonal/>
    </border>
    <border>
      <left style="double">
        <color rgb="FFFF0000"/>
      </left>
      <right style="double">
        <color rgb="FFFF0000"/>
      </right>
      <top/>
      <bottom style="hair">
        <color theme="1"/>
      </bottom>
      <diagonal/>
    </border>
    <border>
      <left style="double">
        <color rgb="FFFF0000"/>
      </left>
      <right style="double">
        <color rgb="FFFF0000"/>
      </right>
      <top style="hair">
        <color theme="1"/>
      </top>
      <bottom style="hair">
        <color indexed="64"/>
      </bottom>
      <diagonal/>
    </border>
  </borders>
  <cellStyleXfs count="15795">
    <xf numFmtId="0" fontId="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2" fillId="2" borderId="0" applyNumberFormat="0" applyBorder="0" applyAlignment="0" applyProtection="0"/>
    <xf numFmtId="0" fontId="84" fillId="3" borderId="0" applyNumberFormat="0" applyBorder="0" applyAlignment="0" applyProtection="0"/>
    <xf numFmtId="0" fontId="84" fillId="3" borderId="0" applyNumberFormat="0" applyBorder="0" applyAlignment="0" applyProtection="0"/>
    <xf numFmtId="0" fontId="84" fillId="3" borderId="0" applyNumberFormat="0" applyBorder="0" applyAlignment="0" applyProtection="0"/>
    <xf numFmtId="0" fontId="22" fillId="4" borderId="0" applyNumberFormat="0" applyBorder="0" applyAlignment="0" applyProtection="0"/>
    <xf numFmtId="0" fontId="84" fillId="5" borderId="0" applyNumberFormat="0" applyBorder="0" applyAlignment="0" applyProtection="0"/>
    <xf numFmtId="0" fontId="84" fillId="5" borderId="0" applyNumberFormat="0" applyBorder="0" applyAlignment="0" applyProtection="0"/>
    <xf numFmtId="0" fontId="84" fillId="5" borderId="0" applyNumberFormat="0" applyBorder="0" applyAlignment="0" applyProtection="0"/>
    <xf numFmtId="0" fontId="22" fillId="6" borderId="0" applyNumberFormat="0" applyBorder="0" applyAlignment="0" applyProtection="0"/>
    <xf numFmtId="0" fontId="84" fillId="7" borderId="0" applyNumberFormat="0" applyBorder="0" applyAlignment="0" applyProtection="0"/>
    <xf numFmtId="0" fontId="84" fillId="7" borderId="0" applyNumberFormat="0" applyBorder="0" applyAlignment="0" applyProtection="0"/>
    <xf numFmtId="0" fontId="84" fillId="7" borderId="0" applyNumberFormat="0" applyBorder="0" applyAlignment="0" applyProtection="0"/>
    <xf numFmtId="0" fontId="22" fillId="8" borderId="0" applyNumberFormat="0" applyBorder="0" applyAlignment="0" applyProtection="0"/>
    <xf numFmtId="0" fontId="84" fillId="3" borderId="0" applyNumberFormat="0" applyBorder="0" applyAlignment="0" applyProtection="0"/>
    <xf numFmtId="0" fontId="84" fillId="3" borderId="0" applyNumberFormat="0" applyBorder="0" applyAlignment="0" applyProtection="0"/>
    <xf numFmtId="0" fontId="84" fillId="3" borderId="0" applyNumberFormat="0" applyBorder="0" applyAlignment="0" applyProtection="0"/>
    <xf numFmtId="0" fontId="22" fillId="9" borderId="0" applyNumberFormat="0" applyBorder="0" applyAlignment="0" applyProtection="0"/>
    <xf numFmtId="0" fontId="84" fillId="7" borderId="0" applyNumberFormat="0" applyBorder="0" applyAlignment="0" applyProtection="0"/>
    <xf numFmtId="0" fontId="84" fillId="7" borderId="0" applyNumberFormat="0" applyBorder="0" applyAlignment="0" applyProtection="0"/>
    <xf numFmtId="0" fontId="84" fillId="7" borderId="0" applyNumberFormat="0" applyBorder="0" applyAlignment="0" applyProtection="0"/>
    <xf numFmtId="0" fontId="22" fillId="5" borderId="0" applyNumberFormat="0" applyBorder="0" applyAlignment="0" applyProtection="0"/>
    <xf numFmtId="0" fontId="84" fillId="45" borderId="0" applyNumberFormat="0" applyBorder="0" applyAlignment="0" applyProtection="0"/>
    <xf numFmtId="0" fontId="84" fillId="45" borderId="0" applyNumberFormat="0" applyBorder="0" applyAlignment="0" applyProtection="0"/>
    <xf numFmtId="0" fontId="84" fillId="45" borderId="0" applyNumberFormat="0" applyBorder="0" applyAlignment="0" applyProtection="0"/>
    <xf numFmtId="0" fontId="22" fillId="10" borderId="0" applyNumberFormat="0" applyBorder="0" applyAlignment="0" applyProtection="0"/>
    <xf numFmtId="0" fontId="84" fillId="11" borderId="0" applyNumberFormat="0" applyBorder="0" applyAlignment="0" applyProtection="0"/>
    <xf numFmtId="0" fontId="84" fillId="11" borderId="0" applyNumberFormat="0" applyBorder="0" applyAlignment="0" applyProtection="0"/>
    <xf numFmtId="0" fontId="84" fillId="11" borderId="0" applyNumberFormat="0" applyBorder="0" applyAlignment="0" applyProtection="0"/>
    <xf numFmtId="0" fontId="22" fillId="12" borderId="0" applyNumberFormat="0" applyBorder="0" applyAlignment="0" applyProtection="0"/>
    <xf numFmtId="0" fontId="84" fillId="46" borderId="0" applyNumberFormat="0" applyBorder="0" applyAlignment="0" applyProtection="0"/>
    <xf numFmtId="0" fontId="84" fillId="46" borderId="0" applyNumberFormat="0" applyBorder="0" applyAlignment="0" applyProtection="0"/>
    <xf numFmtId="0" fontId="84" fillId="46" borderId="0" applyNumberFormat="0" applyBorder="0" applyAlignment="0" applyProtection="0"/>
    <xf numFmtId="0" fontId="22" fillId="13" borderId="0" applyNumberFormat="0" applyBorder="0" applyAlignment="0" applyProtection="0"/>
    <xf numFmtId="0" fontId="84" fillId="7" borderId="0" applyNumberFormat="0" applyBorder="0" applyAlignment="0" applyProtection="0"/>
    <xf numFmtId="0" fontId="84" fillId="7" borderId="0" applyNumberFormat="0" applyBorder="0" applyAlignment="0" applyProtection="0"/>
    <xf numFmtId="0" fontId="84" fillId="7" borderId="0" applyNumberFormat="0" applyBorder="0" applyAlignment="0" applyProtection="0"/>
    <xf numFmtId="0" fontId="22" fillId="8" borderId="0" applyNumberFormat="0" applyBorder="0" applyAlignment="0" applyProtection="0"/>
    <xf numFmtId="0" fontId="84" fillId="11" borderId="0" applyNumberFormat="0" applyBorder="0" applyAlignment="0" applyProtection="0"/>
    <xf numFmtId="0" fontId="84" fillId="11" borderId="0" applyNumberFormat="0" applyBorder="0" applyAlignment="0" applyProtection="0"/>
    <xf numFmtId="0" fontId="84" fillId="11" borderId="0" applyNumberFormat="0" applyBorder="0" applyAlignment="0" applyProtection="0"/>
    <xf numFmtId="0" fontId="22" fillId="10" borderId="0" applyNumberFormat="0" applyBorder="0" applyAlignment="0" applyProtection="0"/>
    <xf numFmtId="0" fontId="84" fillId="7" borderId="0" applyNumberFormat="0" applyBorder="0" applyAlignment="0" applyProtection="0"/>
    <xf numFmtId="0" fontId="84" fillId="7" borderId="0" applyNumberFormat="0" applyBorder="0" applyAlignment="0" applyProtection="0"/>
    <xf numFmtId="0" fontId="84" fillId="7" borderId="0" applyNumberFormat="0" applyBorder="0" applyAlignment="0" applyProtection="0"/>
    <xf numFmtId="0" fontId="22" fillId="14" borderId="0" applyNumberFormat="0" applyBorder="0" applyAlignment="0" applyProtection="0"/>
    <xf numFmtId="0" fontId="84" fillId="5" borderId="0" applyNumberFormat="0" applyBorder="0" applyAlignment="0" applyProtection="0"/>
    <xf numFmtId="0" fontId="84" fillId="5" borderId="0" applyNumberFormat="0" applyBorder="0" applyAlignment="0" applyProtection="0"/>
    <xf numFmtId="0" fontId="84" fillId="5" borderId="0" applyNumberFormat="0" applyBorder="0" applyAlignment="0" applyProtection="0"/>
    <xf numFmtId="0" fontId="23" fillId="15" borderId="0" applyNumberFormat="0" applyBorder="0" applyAlignment="0" applyProtection="0"/>
    <xf numFmtId="0" fontId="85" fillId="16" borderId="0" applyNumberFormat="0" applyBorder="0" applyAlignment="0" applyProtection="0"/>
    <xf numFmtId="0" fontId="85" fillId="16" borderId="0" applyNumberFormat="0" applyBorder="0" applyAlignment="0" applyProtection="0"/>
    <xf numFmtId="0" fontId="85" fillId="16" borderId="0" applyNumberFormat="0" applyBorder="0" applyAlignment="0" applyProtection="0"/>
    <xf numFmtId="0" fontId="23" fillId="12" borderId="0" applyNumberFormat="0" applyBorder="0" applyAlignment="0" applyProtection="0"/>
    <xf numFmtId="0" fontId="85" fillId="47" borderId="0" applyNumberFormat="0" applyBorder="0" applyAlignment="0" applyProtection="0"/>
    <xf numFmtId="0" fontId="85" fillId="47" borderId="0" applyNumberFormat="0" applyBorder="0" applyAlignment="0" applyProtection="0"/>
    <xf numFmtId="0" fontId="85" fillId="47" borderId="0" applyNumberFormat="0" applyBorder="0" applyAlignment="0" applyProtection="0"/>
    <xf numFmtId="0" fontId="23" fillId="13" borderId="0" applyNumberFormat="0" applyBorder="0" applyAlignment="0" applyProtection="0"/>
    <xf numFmtId="0" fontId="85" fillId="7" borderId="0" applyNumberFormat="0" applyBorder="0" applyAlignment="0" applyProtection="0"/>
    <xf numFmtId="0" fontId="85" fillId="7" borderId="0" applyNumberFormat="0" applyBorder="0" applyAlignment="0" applyProtection="0"/>
    <xf numFmtId="0" fontId="85" fillId="7" borderId="0" applyNumberFormat="0" applyBorder="0" applyAlignment="0" applyProtection="0"/>
    <xf numFmtId="0" fontId="23" fillId="17" borderId="0" applyNumberFormat="0" applyBorder="0" applyAlignment="0" applyProtection="0"/>
    <xf numFmtId="0" fontId="85" fillId="11" borderId="0" applyNumberFormat="0" applyBorder="0" applyAlignment="0" applyProtection="0"/>
    <xf numFmtId="0" fontId="85" fillId="11" borderId="0" applyNumberFormat="0" applyBorder="0" applyAlignment="0" applyProtection="0"/>
    <xf numFmtId="0" fontId="85" fillId="11" borderId="0" applyNumberFormat="0" applyBorder="0" applyAlignment="0" applyProtection="0"/>
    <xf numFmtId="0" fontId="23" fillId="16" borderId="0" applyNumberFormat="0" applyBorder="0" applyAlignment="0" applyProtection="0"/>
    <xf numFmtId="0" fontId="85" fillId="48" borderId="0" applyNumberFormat="0" applyBorder="0" applyAlignment="0" applyProtection="0"/>
    <xf numFmtId="0" fontId="85" fillId="48" borderId="0" applyNumberFormat="0" applyBorder="0" applyAlignment="0" applyProtection="0"/>
    <xf numFmtId="0" fontId="85" fillId="48" borderId="0" applyNumberFormat="0" applyBorder="0" applyAlignment="0" applyProtection="0"/>
    <xf numFmtId="0" fontId="23" fillId="18" borderId="0" applyNumberFormat="0" applyBorder="0" applyAlignment="0" applyProtection="0"/>
    <xf numFmtId="0" fontId="85" fillId="5" borderId="0" applyNumberFormat="0" applyBorder="0" applyAlignment="0" applyProtection="0"/>
    <xf numFmtId="0" fontId="85" fillId="5" borderId="0" applyNumberFormat="0" applyBorder="0" applyAlignment="0" applyProtection="0"/>
    <xf numFmtId="0" fontId="85" fillId="5" borderId="0" applyNumberFormat="0" applyBorder="0" applyAlignment="0" applyProtection="0"/>
    <xf numFmtId="0" fontId="23" fillId="19" borderId="0" applyNumberFormat="0" applyBorder="0" applyAlignment="0" applyProtection="0"/>
    <xf numFmtId="0" fontId="85" fillId="16" borderId="0" applyNumberFormat="0" applyBorder="0" applyAlignment="0" applyProtection="0"/>
    <xf numFmtId="0" fontId="85" fillId="16" borderId="0" applyNumberFormat="0" applyBorder="0" applyAlignment="0" applyProtection="0"/>
    <xf numFmtId="0" fontId="85" fillId="16" borderId="0" applyNumberFormat="0" applyBorder="0" applyAlignment="0" applyProtection="0"/>
    <xf numFmtId="0" fontId="23" fillId="20" borderId="0" applyNumberFormat="0" applyBorder="0" applyAlignment="0" applyProtection="0"/>
    <xf numFmtId="0" fontId="85" fillId="49" borderId="0" applyNumberFormat="0" applyBorder="0" applyAlignment="0" applyProtection="0"/>
    <xf numFmtId="0" fontId="85" fillId="49" borderId="0" applyNumberFormat="0" applyBorder="0" applyAlignment="0" applyProtection="0"/>
    <xf numFmtId="0" fontId="85" fillId="49" borderId="0" applyNumberFormat="0" applyBorder="0" applyAlignment="0" applyProtection="0"/>
    <xf numFmtId="0" fontId="23" fillId="21" borderId="0" applyNumberFormat="0" applyBorder="0" applyAlignment="0" applyProtection="0"/>
    <xf numFmtId="0" fontId="85" fillId="50" borderId="0" applyNumberFormat="0" applyBorder="0" applyAlignment="0" applyProtection="0"/>
    <xf numFmtId="0" fontId="85" fillId="50" borderId="0" applyNumberFormat="0" applyBorder="0" applyAlignment="0" applyProtection="0"/>
    <xf numFmtId="0" fontId="85" fillId="50" borderId="0" applyNumberFormat="0" applyBorder="0" applyAlignment="0" applyProtection="0"/>
    <xf numFmtId="0" fontId="23" fillId="17" borderId="0" applyNumberFormat="0" applyBorder="0" applyAlignment="0" applyProtection="0"/>
    <xf numFmtId="0" fontId="85" fillId="22" borderId="0" applyNumberFormat="0" applyBorder="0" applyAlignment="0" applyProtection="0"/>
    <xf numFmtId="0" fontId="85" fillId="22" borderId="0" applyNumberFormat="0" applyBorder="0" applyAlignment="0" applyProtection="0"/>
    <xf numFmtId="0" fontId="85" fillId="22" borderId="0" applyNumberFormat="0" applyBorder="0" applyAlignment="0" applyProtection="0"/>
    <xf numFmtId="0" fontId="23" fillId="16" borderId="0" applyNumberFormat="0" applyBorder="0" applyAlignment="0" applyProtection="0"/>
    <xf numFmtId="0" fontId="85" fillId="51" borderId="0" applyNumberFormat="0" applyBorder="0" applyAlignment="0" applyProtection="0"/>
    <xf numFmtId="0" fontId="85" fillId="51" borderId="0" applyNumberFormat="0" applyBorder="0" applyAlignment="0" applyProtection="0"/>
    <xf numFmtId="0" fontId="85" fillId="51" borderId="0" applyNumberFormat="0" applyBorder="0" applyAlignment="0" applyProtection="0"/>
    <xf numFmtId="0" fontId="23" fillId="23" borderId="0" applyNumberFormat="0" applyBorder="0" applyAlignment="0" applyProtection="0"/>
    <xf numFmtId="0" fontId="85" fillId="52" borderId="0" applyNumberFormat="0" applyBorder="0" applyAlignment="0" applyProtection="0"/>
    <xf numFmtId="0" fontId="85" fillId="52" borderId="0" applyNumberFormat="0" applyBorder="0" applyAlignment="0" applyProtection="0"/>
    <xf numFmtId="0" fontId="85" fillId="52" borderId="0" applyNumberFormat="0" applyBorder="0" applyAlignment="0" applyProtection="0"/>
    <xf numFmtId="0" fontId="24" fillId="4" borderId="0" applyNumberFormat="0" applyBorder="0" applyAlignment="0" applyProtection="0"/>
    <xf numFmtId="0" fontId="82" fillId="53" borderId="0" applyNumberFormat="0" applyBorder="0" applyAlignment="0" applyProtection="0"/>
    <xf numFmtId="0" fontId="82" fillId="53" borderId="0" applyNumberFormat="0" applyBorder="0" applyAlignment="0" applyProtection="0"/>
    <xf numFmtId="0" fontId="82" fillId="53" borderId="0" applyNumberFormat="0" applyBorder="0" applyAlignment="0" applyProtection="0"/>
    <xf numFmtId="0" fontId="25" fillId="11" borderId="1" applyNumberFormat="0" applyAlignment="0" applyProtection="0"/>
    <xf numFmtId="0" fontId="86" fillId="3" borderId="167" applyNumberFormat="0" applyAlignment="0" applyProtection="0"/>
    <xf numFmtId="0" fontId="86" fillId="3" borderId="167" applyNumberFormat="0" applyAlignment="0" applyProtection="0"/>
    <xf numFmtId="0" fontId="86" fillId="3" borderId="167" applyNumberFormat="0" applyAlignment="0" applyProtection="0"/>
    <xf numFmtId="0" fontId="26" fillId="24" borderId="2" applyNumberFormat="0" applyAlignment="0" applyProtection="0"/>
    <xf numFmtId="0" fontId="87" fillId="54" borderId="168" applyNumberFormat="0" applyAlignment="0" applyProtection="0"/>
    <xf numFmtId="0" fontId="87" fillId="54" borderId="168" applyNumberFormat="0" applyAlignment="0" applyProtection="0"/>
    <xf numFmtId="0" fontId="87" fillId="54" borderId="168" applyNumberFormat="0" applyAlignment="0" applyProtection="0"/>
    <xf numFmtId="0" fontId="2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29" fillId="6" borderId="0" applyNumberFormat="0" applyBorder="0" applyAlignment="0" applyProtection="0"/>
    <xf numFmtId="0" fontId="89" fillId="7" borderId="0" applyNumberFormat="0" applyBorder="0" applyAlignment="0" applyProtection="0"/>
    <xf numFmtId="0" fontId="89" fillId="7" borderId="0" applyNumberFormat="0" applyBorder="0" applyAlignment="0" applyProtection="0"/>
    <xf numFmtId="0" fontId="89" fillId="7" borderId="0" applyNumberFormat="0" applyBorder="0" applyAlignment="0" applyProtection="0"/>
    <xf numFmtId="0" fontId="30" fillId="0" borderId="3" applyNumberFormat="0" applyFill="0" applyAlignment="0" applyProtection="0"/>
    <xf numFmtId="0" fontId="79" fillId="0" borderId="4" applyNumberFormat="0" applyFill="0" applyAlignment="0" applyProtection="0"/>
    <xf numFmtId="0" fontId="79" fillId="0" borderId="4" applyNumberFormat="0" applyFill="0" applyAlignment="0" applyProtection="0"/>
    <xf numFmtId="0" fontId="79" fillId="0" borderId="4" applyNumberFormat="0" applyFill="0" applyAlignment="0" applyProtection="0"/>
    <xf numFmtId="0" fontId="31" fillId="0" borderId="5" applyNumberFormat="0" applyFill="0" applyAlignment="0" applyProtection="0"/>
    <xf numFmtId="0" fontId="80" fillId="0" borderId="169" applyNumberFormat="0" applyFill="0" applyAlignment="0" applyProtection="0"/>
    <xf numFmtId="0" fontId="80" fillId="0" borderId="169" applyNumberFormat="0" applyFill="0" applyAlignment="0" applyProtection="0"/>
    <xf numFmtId="0" fontId="80" fillId="0" borderId="169" applyNumberFormat="0" applyFill="0" applyAlignment="0" applyProtection="0"/>
    <xf numFmtId="0" fontId="32" fillId="0" borderId="6" applyNumberFormat="0" applyFill="0" applyAlignment="0" applyProtection="0"/>
    <xf numFmtId="0" fontId="81" fillId="0" borderId="7" applyNumberFormat="0" applyFill="0" applyAlignment="0" applyProtection="0"/>
    <xf numFmtId="0" fontId="81" fillId="0" borderId="7" applyNumberFormat="0" applyFill="0" applyAlignment="0" applyProtection="0"/>
    <xf numFmtId="0" fontId="81" fillId="0" borderId="7" applyNumberFormat="0" applyFill="0" applyAlignment="0" applyProtection="0"/>
    <xf numFmtId="0" fontId="32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33" fillId="5" borderId="1" applyNumberFormat="0" applyAlignment="0" applyProtection="0"/>
    <xf numFmtId="0" fontId="90" fillId="55" borderId="167" applyNumberFormat="0" applyAlignment="0" applyProtection="0"/>
    <xf numFmtId="0" fontId="90" fillId="55" borderId="167" applyNumberFormat="0" applyAlignment="0" applyProtection="0"/>
    <xf numFmtId="0" fontId="90" fillId="55" borderId="167" applyNumberFormat="0" applyAlignment="0" applyProtection="0"/>
    <xf numFmtId="0" fontId="34" fillId="0" borderId="8" applyNumberFormat="0" applyFill="0" applyAlignment="0" applyProtection="0"/>
    <xf numFmtId="0" fontId="91" fillId="0" borderId="170" applyNumberFormat="0" applyFill="0" applyAlignment="0" applyProtection="0"/>
    <xf numFmtId="0" fontId="91" fillId="0" borderId="170" applyNumberFormat="0" applyFill="0" applyAlignment="0" applyProtection="0"/>
    <xf numFmtId="0" fontId="91" fillId="0" borderId="170" applyNumberFormat="0" applyFill="0" applyAlignment="0" applyProtection="0"/>
    <xf numFmtId="0" fontId="35" fillId="25" borderId="0" applyNumberFormat="0" applyBorder="0" applyAlignment="0" applyProtection="0"/>
    <xf numFmtId="0" fontId="92" fillId="56" borderId="0" applyNumberFormat="0" applyBorder="0" applyAlignment="0" applyProtection="0"/>
    <xf numFmtId="0" fontId="92" fillId="56" borderId="0" applyNumberFormat="0" applyBorder="0" applyAlignment="0" applyProtection="0"/>
    <xf numFmtId="0" fontId="92" fillId="56" borderId="0" applyNumberFormat="0" applyBorder="0" applyAlignment="0" applyProtection="0"/>
    <xf numFmtId="0" fontId="36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21" fillId="0" borderId="0"/>
    <xf numFmtId="0" fontId="36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21" fillId="0" borderId="0"/>
    <xf numFmtId="0" fontId="36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21" fillId="0" borderId="0"/>
    <xf numFmtId="0" fontId="21" fillId="0" borderId="0"/>
    <xf numFmtId="0" fontId="36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21" fillId="0" borderId="0"/>
    <xf numFmtId="0" fontId="36" fillId="0" borderId="0"/>
    <xf numFmtId="0" fontId="21" fillId="0" borderId="0"/>
    <xf numFmtId="0" fontId="84" fillId="0" borderId="0"/>
    <xf numFmtId="0" fontId="36" fillId="0" borderId="0"/>
    <xf numFmtId="0" fontId="21" fillId="0" borderId="0"/>
    <xf numFmtId="0" fontId="52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69" fillId="0" borderId="0"/>
    <xf numFmtId="0" fontId="36" fillId="0" borderId="0"/>
    <xf numFmtId="0" fontId="21" fillId="0" borderId="0"/>
    <xf numFmtId="0" fontId="21" fillId="0" borderId="0"/>
    <xf numFmtId="0" fontId="36" fillId="0" borderId="0"/>
    <xf numFmtId="0" fontId="36" fillId="0" borderId="0"/>
    <xf numFmtId="0" fontId="36" fillId="0" borderId="0"/>
    <xf numFmtId="0" fontId="21" fillId="26" borderId="9" applyNumberFormat="0" applyFont="0" applyAlignment="0" applyProtection="0"/>
    <xf numFmtId="0" fontId="36" fillId="26" borderId="9" applyNumberFormat="0" applyFont="0" applyAlignment="0" applyProtection="0"/>
    <xf numFmtId="0" fontId="36" fillId="26" borderId="9" applyNumberFormat="0" applyFont="0" applyAlignment="0" applyProtection="0"/>
    <xf numFmtId="0" fontId="20" fillId="57" borderId="171" applyNumberFormat="0" applyFont="0" applyAlignment="0" applyProtection="0"/>
    <xf numFmtId="0" fontId="20" fillId="57" borderId="171" applyNumberFormat="0" applyFont="0" applyAlignment="0" applyProtection="0"/>
    <xf numFmtId="0" fontId="20" fillId="57" borderId="171" applyNumberFormat="0" applyFont="0" applyAlignment="0" applyProtection="0"/>
    <xf numFmtId="0" fontId="37" fillId="11" borderId="10" applyNumberFormat="0" applyAlignment="0" applyProtection="0"/>
    <xf numFmtId="0" fontId="93" fillId="3" borderId="172" applyNumberFormat="0" applyAlignment="0" applyProtection="0"/>
    <xf numFmtId="0" fontId="93" fillId="3" borderId="172" applyNumberFormat="0" applyAlignment="0" applyProtection="0"/>
    <xf numFmtId="0" fontId="93" fillId="3" borderId="172" applyNumberFormat="0" applyAlignment="0" applyProtection="0"/>
    <xf numFmtId="0" fontId="38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39" fillId="0" borderId="11" applyNumberFormat="0" applyFill="0" applyAlignment="0" applyProtection="0"/>
    <xf numFmtId="0" fontId="94" fillId="0" borderId="12" applyNumberFormat="0" applyFill="0" applyAlignment="0" applyProtection="0"/>
    <xf numFmtId="0" fontId="94" fillId="0" borderId="12" applyNumberFormat="0" applyFill="0" applyAlignment="0" applyProtection="0"/>
    <xf numFmtId="0" fontId="94" fillId="0" borderId="12" applyNumberFormat="0" applyFill="0" applyAlignment="0" applyProtection="0"/>
    <xf numFmtId="0" fontId="40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8" fillId="0" borderId="0" applyNumberFormat="0" applyFill="0" applyBorder="0" applyAlignment="0" applyProtection="0"/>
    <xf numFmtId="0" fontId="99" fillId="0" borderId="179" applyNumberFormat="0" applyFill="0" applyAlignment="0" applyProtection="0"/>
    <xf numFmtId="0" fontId="100" fillId="0" borderId="169" applyNumberFormat="0" applyFill="0" applyAlignment="0" applyProtection="0"/>
    <xf numFmtId="0" fontId="101" fillId="0" borderId="180" applyNumberFormat="0" applyFill="0" applyAlignment="0" applyProtection="0"/>
    <xf numFmtId="0" fontId="101" fillId="0" borderId="0" applyNumberFormat="0" applyFill="0" applyBorder="0" applyAlignment="0" applyProtection="0"/>
    <xf numFmtId="0" fontId="89" fillId="65" borderId="0" applyNumberFormat="0" applyBorder="0" applyAlignment="0" applyProtection="0"/>
    <xf numFmtId="0" fontId="102" fillId="53" borderId="0" applyNumberFormat="0" applyBorder="0" applyAlignment="0" applyProtection="0"/>
    <xf numFmtId="0" fontId="92" fillId="56" borderId="0" applyNumberFormat="0" applyBorder="0" applyAlignment="0" applyProtection="0"/>
    <xf numFmtId="0" fontId="90" fillId="55" borderId="167" applyNumberFormat="0" applyAlignment="0" applyProtection="0"/>
    <xf numFmtId="0" fontId="93" fillId="66" borderId="172" applyNumberFormat="0" applyAlignment="0" applyProtection="0"/>
    <xf numFmtId="0" fontId="86" fillId="66" borderId="167" applyNumberFormat="0" applyAlignment="0" applyProtection="0"/>
    <xf numFmtId="0" fontId="91" fillId="0" borderId="170" applyNumberFormat="0" applyFill="0" applyAlignment="0" applyProtection="0"/>
    <xf numFmtId="0" fontId="87" fillId="54" borderId="168" applyNumberFormat="0" applyAlignment="0" applyProtection="0"/>
    <xf numFmtId="0" fontId="95" fillId="0" borderId="0" applyNumberFormat="0" applyFill="0" applyBorder="0" applyAlignment="0" applyProtection="0"/>
    <xf numFmtId="0" fontId="19" fillId="57" borderId="171" applyNumberFormat="0" applyFont="0" applyAlignment="0" applyProtection="0"/>
    <xf numFmtId="0" fontId="88" fillId="0" borderId="0" applyNumberFormat="0" applyFill="0" applyBorder="0" applyAlignment="0" applyProtection="0"/>
    <xf numFmtId="0" fontId="94" fillId="0" borderId="181" applyNumberFormat="0" applyFill="0" applyAlignment="0" applyProtection="0"/>
    <xf numFmtId="0" fontId="85" fillId="67" borderId="0" applyNumberFormat="0" applyBorder="0" applyAlignment="0" applyProtection="0"/>
    <xf numFmtId="0" fontId="19" fillId="68" borderId="0" applyNumberFormat="0" applyBorder="0" applyAlignment="0" applyProtection="0"/>
    <xf numFmtId="0" fontId="19" fillId="69" borderId="0" applyNumberFormat="0" applyBorder="0" applyAlignment="0" applyProtection="0"/>
    <xf numFmtId="0" fontId="85" fillId="70" borderId="0" applyNumberFormat="0" applyBorder="0" applyAlignment="0" applyProtection="0"/>
    <xf numFmtId="0" fontId="85" fillId="49" borderId="0" applyNumberFormat="0" applyBorder="0" applyAlignment="0" applyProtection="0"/>
    <xf numFmtId="0" fontId="19" fillId="71" borderId="0" applyNumberFormat="0" applyBorder="0" applyAlignment="0" applyProtection="0"/>
    <xf numFmtId="0" fontId="19" fillId="46" borderId="0" applyNumberFormat="0" applyBorder="0" applyAlignment="0" applyProtection="0"/>
    <xf numFmtId="0" fontId="85" fillId="47" borderId="0" applyNumberFormat="0" applyBorder="0" applyAlignment="0" applyProtection="0"/>
    <xf numFmtId="0" fontId="85" fillId="50" borderId="0" applyNumberFormat="0" applyBorder="0" applyAlignment="0" applyProtection="0"/>
    <xf numFmtId="0" fontId="19" fillId="72" borderId="0" applyNumberFormat="0" applyBorder="0" applyAlignment="0" applyProtection="0"/>
    <xf numFmtId="0" fontId="19" fillId="73" borderId="0" applyNumberFormat="0" applyBorder="0" applyAlignment="0" applyProtection="0"/>
    <xf numFmtId="0" fontId="85" fillId="74" borderId="0" applyNumberFormat="0" applyBorder="0" applyAlignment="0" applyProtection="0"/>
    <xf numFmtId="0" fontId="85" fillId="75" borderId="0" applyNumberFormat="0" applyBorder="0" applyAlignment="0" applyProtection="0"/>
    <xf numFmtId="0" fontId="19" fillId="76" borderId="0" applyNumberFormat="0" applyBorder="0" applyAlignment="0" applyProtection="0"/>
    <xf numFmtId="0" fontId="19" fillId="77" borderId="0" applyNumberFormat="0" applyBorder="0" applyAlignment="0" applyProtection="0"/>
    <xf numFmtId="0" fontId="85" fillId="78" borderId="0" applyNumberFormat="0" applyBorder="0" applyAlignment="0" applyProtection="0"/>
    <xf numFmtId="0" fontId="85" fillId="51" borderId="0" applyNumberFormat="0" applyBorder="0" applyAlignment="0" applyProtection="0"/>
    <xf numFmtId="0" fontId="19" fillId="79" borderId="0" applyNumberFormat="0" applyBorder="0" applyAlignment="0" applyProtection="0"/>
    <xf numFmtId="0" fontId="19" fillId="80" borderId="0" applyNumberFormat="0" applyBorder="0" applyAlignment="0" applyProtection="0"/>
    <xf numFmtId="0" fontId="85" fillId="48" borderId="0" applyNumberFormat="0" applyBorder="0" applyAlignment="0" applyProtection="0"/>
    <xf numFmtId="0" fontId="85" fillId="52" borderId="0" applyNumberFormat="0" applyBorder="0" applyAlignment="0" applyProtection="0"/>
    <xf numFmtId="0" fontId="19" fillId="45" borderId="0" applyNumberFormat="0" applyBorder="0" applyAlignment="0" applyProtection="0"/>
    <xf numFmtId="0" fontId="19" fillId="81" borderId="0" applyNumberFormat="0" applyBorder="0" applyAlignment="0" applyProtection="0"/>
    <xf numFmtId="0" fontId="85" fillId="82" borderId="0" applyNumberFormat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8" fillId="0" borderId="0" applyNumberFormat="0" applyFill="0" applyBorder="0" applyAlignment="0" applyProtection="0"/>
    <xf numFmtId="0" fontId="99" fillId="0" borderId="179" applyNumberFormat="0" applyFill="0" applyAlignment="0" applyProtection="0"/>
    <xf numFmtId="0" fontId="100" fillId="0" borderId="169" applyNumberFormat="0" applyFill="0" applyAlignment="0" applyProtection="0"/>
    <xf numFmtId="0" fontId="101" fillId="0" borderId="180" applyNumberFormat="0" applyFill="0" applyAlignment="0" applyProtection="0"/>
    <xf numFmtId="0" fontId="101" fillId="0" borderId="0" applyNumberFormat="0" applyFill="0" applyBorder="0" applyAlignment="0" applyProtection="0"/>
    <xf numFmtId="0" fontId="89" fillId="65" borderId="0" applyNumberFormat="0" applyBorder="0" applyAlignment="0" applyProtection="0"/>
    <xf numFmtId="0" fontId="102" fillId="53" borderId="0" applyNumberFormat="0" applyBorder="0" applyAlignment="0" applyProtection="0"/>
    <xf numFmtId="0" fontId="92" fillId="56" borderId="0" applyNumberFormat="0" applyBorder="0" applyAlignment="0" applyProtection="0"/>
    <xf numFmtId="0" fontId="90" fillId="55" borderId="167" applyNumberFormat="0" applyAlignment="0" applyProtection="0"/>
    <xf numFmtId="0" fontId="93" fillId="66" borderId="172" applyNumberFormat="0" applyAlignment="0" applyProtection="0"/>
    <xf numFmtId="0" fontId="86" fillId="66" borderId="167" applyNumberFormat="0" applyAlignment="0" applyProtection="0"/>
    <xf numFmtId="0" fontId="91" fillId="0" borderId="170" applyNumberFormat="0" applyFill="0" applyAlignment="0" applyProtection="0"/>
    <xf numFmtId="0" fontId="87" fillId="54" borderId="168" applyNumberFormat="0" applyAlignment="0" applyProtection="0"/>
    <xf numFmtId="0" fontId="95" fillId="0" borderId="0" applyNumberFormat="0" applyFill="0" applyBorder="0" applyAlignment="0" applyProtection="0"/>
    <xf numFmtId="0" fontId="18" fillId="57" borderId="171" applyNumberFormat="0" applyFont="0" applyAlignment="0" applyProtection="0"/>
    <xf numFmtId="0" fontId="88" fillId="0" borderId="0" applyNumberFormat="0" applyFill="0" applyBorder="0" applyAlignment="0" applyProtection="0"/>
    <xf numFmtId="0" fontId="94" fillId="0" borderId="181" applyNumberFormat="0" applyFill="0" applyAlignment="0" applyProtection="0"/>
    <xf numFmtId="0" fontId="85" fillId="67" borderId="0" applyNumberFormat="0" applyBorder="0" applyAlignment="0" applyProtection="0"/>
    <xf numFmtId="0" fontId="18" fillId="68" borderId="0" applyNumberFormat="0" applyBorder="0" applyAlignment="0" applyProtection="0"/>
    <xf numFmtId="0" fontId="18" fillId="69" borderId="0" applyNumberFormat="0" applyBorder="0" applyAlignment="0" applyProtection="0"/>
    <xf numFmtId="0" fontId="85" fillId="70" borderId="0" applyNumberFormat="0" applyBorder="0" applyAlignment="0" applyProtection="0"/>
    <xf numFmtId="0" fontId="85" fillId="49" borderId="0" applyNumberFormat="0" applyBorder="0" applyAlignment="0" applyProtection="0"/>
    <xf numFmtId="0" fontId="18" fillId="71" borderId="0" applyNumberFormat="0" applyBorder="0" applyAlignment="0" applyProtection="0"/>
    <xf numFmtId="0" fontId="18" fillId="46" borderId="0" applyNumberFormat="0" applyBorder="0" applyAlignment="0" applyProtection="0"/>
    <xf numFmtId="0" fontId="85" fillId="47" borderId="0" applyNumberFormat="0" applyBorder="0" applyAlignment="0" applyProtection="0"/>
    <xf numFmtId="0" fontId="85" fillId="50" borderId="0" applyNumberFormat="0" applyBorder="0" applyAlignment="0" applyProtection="0"/>
    <xf numFmtId="0" fontId="18" fillId="72" borderId="0" applyNumberFormat="0" applyBorder="0" applyAlignment="0" applyProtection="0"/>
    <xf numFmtId="0" fontId="18" fillId="73" borderId="0" applyNumberFormat="0" applyBorder="0" applyAlignment="0" applyProtection="0"/>
    <xf numFmtId="0" fontId="85" fillId="74" borderId="0" applyNumberFormat="0" applyBorder="0" applyAlignment="0" applyProtection="0"/>
    <xf numFmtId="0" fontId="85" fillId="75" borderId="0" applyNumberFormat="0" applyBorder="0" applyAlignment="0" applyProtection="0"/>
    <xf numFmtId="0" fontId="18" fillId="76" borderId="0" applyNumberFormat="0" applyBorder="0" applyAlignment="0" applyProtection="0"/>
    <xf numFmtId="0" fontId="18" fillId="77" borderId="0" applyNumberFormat="0" applyBorder="0" applyAlignment="0" applyProtection="0"/>
    <xf numFmtId="0" fontId="85" fillId="78" borderId="0" applyNumberFormat="0" applyBorder="0" applyAlignment="0" applyProtection="0"/>
    <xf numFmtId="0" fontId="85" fillId="51" borderId="0" applyNumberFormat="0" applyBorder="0" applyAlignment="0" applyProtection="0"/>
    <xf numFmtId="0" fontId="18" fillId="79" borderId="0" applyNumberFormat="0" applyBorder="0" applyAlignment="0" applyProtection="0"/>
    <xf numFmtId="0" fontId="18" fillId="80" borderId="0" applyNumberFormat="0" applyBorder="0" applyAlignment="0" applyProtection="0"/>
    <xf numFmtId="0" fontId="85" fillId="48" borderId="0" applyNumberFormat="0" applyBorder="0" applyAlignment="0" applyProtection="0"/>
    <xf numFmtId="0" fontId="85" fillId="52" borderId="0" applyNumberFormat="0" applyBorder="0" applyAlignment="0" applyProtection="0"/>
    <xf numFmtId="0" fontId="18" fillId="45" borderId="0" applyNumberFormat="0" applyBorder="0" applyAlignment="0" applyProtection="0"/>
    <xf numFmtId="0" fontId="18" fillId="81" borderId="0" applyNumberFormat="0" applyBorder="0" applyAlignment="0" applyProtection="0"/>
    <xf numFmtId="0" fontId="85" fillId="82" borderId="0" applyNumberFormat="0" applyBorder="0" applyAlignment="0" applyProtection="0"/>
    <xf numFmtId="0" fontId="98" fillId="0" borderId="0" applyNumberFormat="0" applyFill="0" applyBorder="0" applyAlignment="0" applyProtection="0"/>
    <xf numFmtId="0" fontId="104" fillId="0" borderId="179" applyNumberFormat="0" applyFill="0" applyAlignment="0" applyProtection="0"/>
    <xf numFmtId="0" fontId="105" fillId="0" borderId="169" applyNumberFormat="0" applyFill="0" applyAlignment="0" applyProtection="0"/>
    <xf numFmtId="0" fontId="106" fillId="0" borderId="180" applyNumberFormat="0" applyFill="0" applyAlignment="0" applyProtection="0"/>
    <xf numFmtId="0" fontId="106" fillId="0" borderId="0" applyNumberFormat="0" applyFill="0" applyBorder="0" applyAlignment="0" applyProtection="0"/>
    <xf numFmtId="0" fontId="107" fillId="65" borderId="0" applyNumberFormat="0" applyBorder="0" applyAlignment="0" applyProtection="0"/>
    <xf numFmtId="0" fontId="108" fillId="53" borderId="0" applyNumberFormat="0" applyBorder="0" applyAlignment="0" applyProtection="0"/>
    <xf numFmtId="0" fontId="109" fillId="56" borderId="0" applyNumberFormat="0" applyBorder="0" applyAlignment="0" applyProtection="0"/>
    <xf numFmtId="0" fontId="110" fillId="55" borderId="167" applyNumberFormat="0" applyAlignment="0" applyProtection="0"/>
    <xf numFmtId="0" fontId="111" fillId="66" borderId="172" applyNumberFormat="0" applyAlignment="0" applyProtection="0"/>
    <xf numFmtId="0" fontId="112" fillId="66" borderId="167" applyNumberFormat="0" applyAlignment="0" applyProtection="0"/>
    <xf numFmtId="0" fontId="113" fillId="0" borderId="170" applyNumberFormat="0" applyFill="0" applyAlignment="0" applyProtection="0"/>
    <xf numFmtId="0" fontId="114" fillId="54" borderId="168" applyNumberFormat="0" applyAlignment="0" applyProtection="0"/>
    <xf numFmtId="0" fontId="115" fillId="0" borderId="0" applyNumberFormat="0" applyFill="0" applyBorder="0" applyAlignment="0" applyProtection="0"/>
    <xf numFmtId="0" fontId="17" fillId="57" borderId="171" applyNumberFormat="0" applyFont="0" applyAlignment="0" applyProtection="0"/>
    <xf numFmtId="0" fontId="116" fillId="0" borderId="0" applyNumberFormat="0" applyFill="0" applyBorder="0" applyAlignment="0" applyProtection="0"/>
    <xf numFmtId="0" fontId="117" fillId="0" borderId="181" applyNumberFormat="0" applyFill="0" applyAlignment="0" applyProtection="0"/>
    <xf numFmtId="0" fontId="118" fillId="67" borderId="0" applyNumberFormat="0" applyBorder="0" applyAlignment="0" applyProtection="0"/>
    <xf numFmtId="0" fontId="17" fillId="68" borderId="0" applyNumberFormat="0" applyBorder="0" applyAlignment="0" applyProtection="0"/>
    <xf numFmtId="0" fontId="17" fillId="69" borderId="0" applyNumberFormat="0" applyBorder="0" applyAlignment="0" applyProtection="0"/>
    <xf numFmtId="0" fontId="118" fillId="70" borderId="0" applyNumberFormat="0" applyBorder="0" applyAlignment="0" applyProtection="0"/>
    <xf numFmtId="0" fontId="118" fillId="49" borderId="0" applyNumberFormat="0" applyBorder="0" applyAlignment="0" applyProtection="0"/>
    <xf numFmtId="0" fontId="17" fillId="71" borderId="0" applyNumberFormat="0" applyBorder="0" applyAlignment="0" applyProtection="0"/>
    <xf numFmtId="0" fontId="17" fillId="46" borderId="0" applyNumberFormat="0" applyBorder="0" applyAlignment="0" applyProtection="0"/>
    <xf numFmtId="0" fontId="118" fillId="47" borderId="0" applyNumberFormat="0" applyBorder="0" applyAlignment="0" applyProtection="0"/>
    <xf numFmtId="0" fontId="118" fillId="50" borderId="0" applyNumberFormat="0" applyBorder="0" applyAlignment="0" applyProtection="0"/>
    <xf numFmtId="0" fontId="17" fillId="72" borderId="0" applyNumberFormat="0" applyBorder="0" applyAlignment="0" applyProtection="0"/>
    <xf numFmtId="0" fontId="17" fillId="73" borderId="0" applyNumberFormat="0" applyBorder="0" applyAlignment="0" applyProtection="0"/>
    <xf numFmtId="0" fontId="118" fillId="74" borderId="0" applyNumberFormat="0" applyBorder="0" applyAlignment="0" applyProtection="0"/>
    <xf numFmtId="0" fontId="118" fillId="75" borderId="0" applyNumberFormat="0" applyBorder="0" applyAlignment="0" applyProtection="0"/>
    <xf numFmtId="0" fontId="17" fillId="76" borderId="0" applyNumberFormat="0" applyBorder="0" applyAlignment="0" applyProtection="0"/>
    <xf numFmtId="0" fontId="17" fillId="77" borderId="0" applyNumberFormat="0" applyBorder="0" applyAlignment="0" applyProtection="0"/>
    <xf numFmtId="0" fontId="118" fillId="78" borderId="0" applyNumberFormat="0" applyBorder="0" applyAlignment="0" applyProtection="0"/>
    <xf numFmtId="0" fontId="118" fillId="51" borderId="0" applyNumberFormat="0" applyBorder="0" applyAlignment="0" applyProtection="0"/>
    <xf numFmtId="0" fontId="17" fillId="79" borderId="0" applyNumberFormat="0" applyBorder="0" applyAlignment="0" applyProtection="0"/>
    <xf numFmtId="0" fontId="17" fillId="80" borderId="0" applyNumberFormat="0" applyBorder="0" applyAlignment="0" applyProtection="0"/>
    <xf numFmtId="0" fontId="118" fillId="48" borderId="0" applyNumberFormat="0" applyBorder="0" applyAlignment="0" applyProtection="0"/>
    <xf numFmtId="0" fontId="118" fillId="52" borderId="0" applyNumberFormat="0" applyBorder="0" applyAlignment="0" applyProtection="0"/>
    <xf numFmtId="0" fontId="17" fillId="45" borderId="0" applyNumberFormat="0" applyBorder="0" applyAlignment="0" applyProtection="0"/>
    <xf numFmtId="0" fontId="17" fillId="81" borderId="0" applyNumberFormat="0" applyBorder="0" applyAlignment="0" applyProtection="0"/>
    <xf numFmtId="0" fontId="118" fillId="82" borderId="0" applyNumberFormat="0" applyBorder="0" applyAlignment="0" applyProtection="0"/>
    <xf numFmtId="0" fontId="98" fillId="0" borderId="0" applyNumberFormat="0" applyFill="0" applyBorder="0" applyAlignment="0" applyProtection="0"/>
    <xf numFmtId="0" fontId="104" fillId="0" borderId="179" applyNumberFormat="0" applyFill="0" applyAlignment="0" applyProtection="0"/>
    <xf numFmtId="0" fontId="105" fillId="0" borderId="169" applyNumberFormat="0" applyFill="0" applyAlignment="0" applyProtection="0"/>
    <xf numFmtId="0" fontId="106" fillId="0" borderId="180" applyNumberFormat="0" applyFill="0" applyAlignment="0" applyProtection="0"/>
    <xf numFmtId="0" fontId="106" fillId="0" borderId="0" applyNumberFormat="0" applyFill="0" applyBorder="0" applyAlignment="0" applyProtection="0"/>
    <xf numFmtId="0" fontId="107" fillId="65" borderId="0" applyNumberFormat="0" applyBorder="0" applyAlignment="0" applyProtection="0"/>
    <xf numFmtId="0" fontId="108" fillId="53" borderId="0" applyNumberFormat="0" applyBorder="0" applyAlignment="0" applyProtection="0"/>
    <xf numFmtId="0" fontId="109" fillId="56" borderId="0" applyNumberFormat="0" applyBorder="0" applyAlignment="0" applyProtection="0"/>
    <xf numFmtId="0" fontId="110" fillId="55" borderId="167" applyNumberFormat="0" applyAlignment="0" applyProtection="0"/>
    <xf numFmtId="0" fontId="111" fillId="66" borderId="172" applyNumberFormat="0" applyAlignment="0" applyProtection="0"/>
    <xf numFmtId="0" fontId="112" fillId="66" borderId="167" applyNumberFormat="0" applyAlignment="0" applyProtection="0"/>
    <xf numFmtId="0" fontId="113" fillId="0" borderId="170" applyNumberFormat="0" applyFill="0" applyAlignment="0" applyProtection="0"/>
    <xf numFmtId="0" fontId="114" fillId="54" borderId="168" applyNumberFormat="0" applyAlignment="0" applyProtection="0"/>
    <xf numFmtId="0" fontId="115" fillId="0" borderId="0" applyNumberFormat="0" applyFill="0" applyBorder="0" applyAlignment="0" applyProtection="0"/>
    <xf numFmtId="0" fontId="17" fillId="57" borderId="171" applyNumberFormat="0" applyFont="0" applyAlignment="0" applyProtection="0"/>
    <xf numFmtId="0" fontId="116" fillId="0" borderId="0" applyNumberFormat="0" applyFill="0" applyBorder="0" applyAlignment="0" applyProtection="0"/>
    <xf numFmtId="0" fontId="117" fillId="0" borderId="181" applyNumberFormat="0" applyFill="0" applyAlignment="0" applyProtection="0"/>
    <xf numFmtId="0" fontId="118" fillId="67" borderId="0" applyNumberFormat="0" applyBorder="0" applyAlignment="0" applyProtection="0"/>
    <xf numFmtId="0" fontId="17" fillId="68" borderId="0" applyNumberFormat="0" applyBorder="0" applyAlignment="0" applyProtection="0"/>
    <xf numFmtId="0" fontId="17" fillId="69" borderId="0" applyNumberFormat="0" applyBorder="0" applyAlignment="0" applyProtection="0"/>
    <xf numFmtId="0" fontId="118" fillId="70" borderId="0" applyNumberFormat="0" applyBorder="0" applyAlignment="0" applyProtection="0"/>
    <xf numFmtId="0" fontId="118" fillId="49" borderId="0" applyNumberFormat="0" applyBorder="0" applyAlignment="0" applyProtection="0"/>
    <xf numFmtId="0" fontId="17" fillId="71" borderId="0" applyNumberFormat="0" applyBorder="0" applyAlignment="0" applyProtection="0"/>
    <xf numFmtId="0" fontId="17" fillId="46" borderId="0" applyNumberFormat="0" applyBorder="0" applyAlignment="0" applyProtection="0"/>
    <xf numFmtId="0" fontId="118" fillId="47" borderId="0" applyNumberFormat="0" applyBorder="0" applyAlignment="0" applyProtection="0"/>
    <xf numFmtId="0" fontId="118" fillId="50" borderId="0" applyNumberFormat="0" applyBorder="0" applyAlignment="0" applyProtection="0"/>
    <xf numFmtId="0" fontId="17" fillId="72" borderId="0" applyNumberFormat="0" applyBorder="0" applyAlignment="0" applyProtection="0"/>
    <xf numFmtId="0" fontId="17" fillId="73" borderId="0" applyNumberFormat="0" applyBorder="0" applyAlignment="0" applyProtection="0"/>
    <xf numFmtId="0" fontId="118" fillId="74" borderId="0" applyNumberFormat="0" applyBorder="0" applyAlignment="0" applyProtection="0"/>
    <xf numFmtId="0" fontId="118" fillId="75" borderId="0" applyNumberFormat="0" applyBorder="0" applyAlignment="0" applyProtection="0"/>
    <xf numFmtId="0" fontId="17" fillId="76" borderId="0" applyNumberFormat="0" applyBorder="0" applyAlignment="0" applyProtection="0"/>
    <xf numFmtId="0" fontId="17" fillId="77" borderId="0" applyNumberFormat="0" applyBorder="0" applyAlignment="0" applyProtection="0"/>
    <xf numFmtId="0" fontId="118" fillId="78" borderId="0" applyNumberFormat="0" applyBorder="0" applyAlignment="0" applyProtection="0"/>
    <xf numFmtId="0" fontId="118" fillId="51" borderId="0" applyNumberFormat="0" applyBorder="0" applyAlignment="0" applyProtection="0"/>
    <xf numFmtId="0" fontId="17" fillId="79" borderId="0" applyNumberFormat="0" applyBorder="0" applyAlignment="0" applyProtection="0"/>
    <xf numFmtId="0" fontId="17" fillId="80" borderId="0" applyNumberFormat="0" applyBorder="0" applyAlignment="0" applyProtection="0"/>
    <xf numFmtId="0" fontId="118" fillId="48" borderId="0" applyNumberFormat="0" applyBorder="0" applyAlignment="0" applyProtection="0"/>
    <xf numFmtId="0" fontId="118" fillId="52" borderId="0" applyNumberFormat="0" applyBorder="0" applyAlignment="0" applyProtection="0"/>
    <xf numFmtId="0" fontId="17" fillId="45" borderId="0" applyNumberFormat="0" applyBorder="0" applyAlignment="0" applyProtection="0"/>
    <xf numFmtId="0" fontId="17" fillId="81" borderId="0" applyNumberFormat="0" applyBorder="0" applyAlignment="0" applyProtection="0"/>
    <xf numFmtId="0" fontId="118" fillId="82" borderId="0" applyNumberFormat="0" applyBorder="0" applyAlignment="0" applyProtection="0"/>
    <xf numFmtId="0" fontId="98" fillId="0" borderId="0" applyNumberFormat="0" applyFill="0" applyBorder="0" applyAlignment="0" applyProtection="0"/>
    <xf numFmtId="0" fontId="104" fillId="0" borderId="179" applyNumberFormat="0" applyFill="0" applyAlignment="0" applyProtection="0"/>
    <xf numFmtId="0" fontId="105" fillId="0" borderId="169" applyNumberFormat="0" applyFill="0" applyAlignment="0" applyProtection="0"/>
    <xf numFmtId="0" fontId="106" fillId="0" borderId="180" applyNumberFormat="0" applyFill="0" applyAlignment="0" applyProtection="0"/>
    <xf numFmtId="0" fontId="106" fillId="0" borderId="0" applyNumberFormat="0" applyFill="0" applyBorder="0" applyAlignment="0" applyProtection="0"/>
    <xf numFmtId="0" fontId="107" fillId="65" borderId="0" applyNumberFormat="0" applyBorder="0" applyAlignment="0" applyProtection="0"/>
    <xf numFmtId="0" fontId="108" fillId="53" borderId="0" applyNumberFormat="0" applyBorder="0" applyAlignment="0" applyProtection="0"/>
    <xf numFmtId="0" fontId="109" fillId="56" borderId="0" applyNumberFormat="0" applyBorder="0" applyAlignment="0" applyProtection="0"/>
    <xf numFmtId="0" fontId="110" fillId="55" borderId="167" applyNumberFormat="0" applyAlignment="0" applyProtection="0"/>
    <xf numFmtId="0" fontId="111" fillId="66" borderId="172" applyNumberFormat="0" applyAlignment="0" applyProtection="0"/>
    <xf numFmtId="0" fontId="112" fillId="66" borderId="167" applyNumberFormat="0" applyAlignment="0" applyProtection="0"/>
    <xf numFmtId="0" fontId="113" fillId="0" borderId="170" applyNumberFormat="0" applyFill="0" applyAlignment="0" applyProtection="0"/>
    <xf numFmtId="0" fontId="114" fillId="54" borderId="168" applyNumberFormat="0" applyAlignment="0" applyProtection="0"/>
    <xf numFmtId="0" fontId="115" fillId="0" borderId="0" applyNumberFormat="0" applyFill="0" applyBorder="0" applyAlignment="0" applyProtection="0"/>
    <xf numFmtId="0" fontId="16" fillId="57" borderId="171" applyNumberFormat="0" applyFont="0" applyAlignment="0" applyProtection="0"/>
    <xf numFmtId="0" fontId="116" fillId="0" borderId="0" applyNumberFormat="0" applyFill="0" applyBorder="0" applyAlignment="0" applyProtection="0"/>
    <xf numFmtId="0" fontId="117" fillId="0" borderId="181" applyNumberFormat="0" applyFill="0" applyAlignment="0" applyProtection="0"/>
    <xf numFmtId="0" fontId="118" fillId="67" borderId="0" applyNumberFormat="0" applyBorder="0" applyAlignment="0" applyProtection="0"/>
    <xf numFmtId="0" fontId="16" fillId="68" borderId="0" applyNumberFormat="0" applyBorder="0" applyAlignment="0" applyProtection="0"/>
    <xf numFmtId="0" fontId="16" fillId="69" borderId="0" applyNumberFormat="0" applyBorder="0" applyAlignment="0" applyProtection="0"/>
    <xf numFmtId="0" fontId="118" fillId="70" borderId="0" applyNumberFormat="0" applyBorder="0" applyAlignment="0" applyProtection="0"/>
    <xf numFmtId="0" fontId="118" fillId="49" borderId="0" applyNumberFormat="0" applyBorder="0" applyAlignment="0" applyProtection="0"/>
    <xf numFmtId="0" fontId="16" fillId="71" borderId="0" applyNumberFormat="0" applyBorder="0" applyAlignment="0" applyProtection="0"/>
    <xf numFmtId="0" fontId="16" fillId="46" borderId="0" applyNumberFormat="0" applyBorder="0" applyAlignment="0" applyProtection="0"/>
    <xf numFmtId="0" fontId="118" fillId="47" borderId="0" applyNumberFormat="0" applyBorder="0" applyAlignment="0" applyProtection="0"/>
    <xf numFmtId="0" fontId="118" fillId="50" borderId="0" applyNumberFormat="0" applyBorder="0" applyAlignment="0" applyProtection="0"/>
    <xf numFmtId="0" fontId="16" fillId="72" borderId="0" applyNumberFormat="0" applyBorder="0" applyAlignment="0" applyProtection="0"/>
    <xf numFmtId="0" fontId="16" fillId="73" borderId="0" applyNumberFormat="0" applyBorder="0" applyAlignment="0" applyProtection="0"/>
    <xf numFmtId="0" fontId="118" fillId="74" borderId="0" applyNumberFormat="0" applyBorder="0" applyAlignment="0" applyProtection="0"/>
    <xf numFmtId="0" fontId="118" fillId="75" borderId="0" applyNumberFormat="0" applyBorder="0" applyAlignment="0" applyProtection="0"/>
    <xf numFmtId="0" fontId="16" fillId="76" borderId="0" applyNumberFormat="0" applyBorder="0" applyAlignment="0" applyProtection="0"/>
    <xf numFmtId="0" fontId="16" fillId="77" borderId="0" applyNumberFormat="0" applyBorder="0" applyAlignment="0" applyProtection="0"/>
    <xf numFmtId="0" fontId="118" fillId="78" borderId="0" applyNumberFormat="0" applyBorder="0" applyAlignment="0" applyProtection="0"/>
    <xf numFmtId="0" fontId="118" fillId="51" borderId="0" applyNumberFormat="0" applyBorder="0" applyAlignment="0" applyProtection="0"/>
    <xf numFmtId="0" fontId="16" fillId="79" borderId="0" applyNumberFormat="0" applyBorder="0" applyAlignment="0" applyProtection="0"/>
    <xf numFmtId="0" fontId="16" fillId="80" borderId="0" applyNumberFormat="0" applyBorder="0" applyAlignment="0" applyProtection="0"/>
    <xf numFmtId="0" fontId="118" fillId="48" borderId="0" applyNumberFormat="0" applyBorder="0" applyAlignment="0" applyProtection="0"/>
    <xf numFmtId="0" fontId="118" fillId="52" borderId="0" applyNumberFormat="0" applyBorder="0" applyAlignment="0" applyProtection="0"/>
    <xf numFmtId="0" fontId="16" fillId="45" borderId="0" applyNumberFormat="0" applyBorder="0" applyAlignment="0" applyProtection="0"/>
    <xf numFmtId="0" fontId="16" fillId="81" borderId="0" applyNumberFormat="0" applyBorder="0" applyAlignment="0" applyProtection="0"/>
    <xf numFmtId="0" fontId="118" fillId="82" borderId="0" applyNumberFormat="0" applyBorder="0" applyAlignment="0" applyProtection="0"/>
    <xf numFmtId="0" fontId="119" fillId="0" borderId="0"/>
    <xf numFmtId="0" fontId="98" fillId="0" borderId="0" applyNumberFormat="0" applyFill="0" applyBorder="0" applyAlignment="0" applyProtection="0"/>
    <xf numFmtId="0" fontId="104" fillId="0" borderId="179" applyNumberFormat="0" applyFill="0" applyAlignment="0" applyProtection="0"/>
    <xf numFmtId="0" fontId="105" fillId="0" borderId="169" applyNumberFormat="0" applyFill="0" applyAlignment="0" applyProtection="0"/>
    <xf numFmtId="0" fontId="106" fillId="0" borderId="180" applyNumberFormat="0" applyFill="0" applyAlignment="0" applyProtection="0"/>
    <xf numFmtId="0" fontId="106" fillId="0" borderId="0" applyNumberFormat="0" applyFill="0" applyBorder="0" applyAlignment="0" applyProtection="0"/>
    <xf numFmtId="0" fontId="107" fillId="65" borderId="0" applyNumberFormat="0" applyBorder="0" applyAlignment="0" applyProtection="0"/>
    <xf numFmtId="0" fontId="108" fillId="53" borderId="0" applyNumberFormat="0" applyBorder="0" applyAlignment="0" applyProtection="0"/>
    <xf numFmtId="0" fontId="109" fillId="56" borderId="0" applyNumberFormat="0" applyBorder="0" applyAlignment="0" applyProtection="0"/>
    <xf numFmtId="0" fontId="110" fillId="55" borderId="167" applyNumberFormat="0" applyAlignment="0" applyProtection="0"/>
    <xf numFmtId="0" fontId="111" fillId="66" borderId="172" applyNumberFormat="0" applyAlignment="0" applyProtection="0"/>
    <xf numFmtId="0" fontId="112" fillId="66" borderId="167" applyNumberFormat="0" applyAlignment="0" applyProtection="0"/>
    <xf numFmtId="0" fontId="113" fillId="0" borderId="170" applyNumberFormat="0" applyFill="0" applyAlignment="0" applyProtection="0"/>
    <xf numFmtId="0" fontId="114" fillId="54" borderId="168" applyNumberFormat="0" applyAlignment="0" applyProtection="0"/>
    <xf numFmtId="0" fontId="115" fillId="0" borderId="0" applyNumberFormat="0" applyFill="0" applyBorder="0" applyAlignment="0" applyProtection="0"/>
    <xf numFmtId="0" fontId="15" fillId="57" borderId="171" applyNumberFormat="0" applyFont="0" applyAlignment="0" applyProtection="0"/>
    <xf numFmtId="0" fontId="116" fillId="0" borderId="0" applyNumberFormat="0" applyFill="0" applyBorder="0" applyAlignment="0" applyProtection="0"/>
    <xf numFmtId="0" fontId="117" fillId="0" borderId="181" applyNumberFormat="0" applyFill="0" applyAlignment="0" applyProtection="0"/>
    <xf numFmtId="0" fontId="118" fillId="67" borderId="0" applyNumberFormat="0" applyBorder="0" applyAlignment="0" applyProtection="0"/>
    <xf numFmtId="0" fontId="15" fillId="68" borderId="0" applyNumberFormat="0" applyBorder="0" applyAlignment="0" applyProtection="0"/>
    <xf numFmtId="0" fontId="15" fillId="69" borderId="0" applyNumberFormat="0" applyBorder="0" applyAlignment="0" applyProtection="0"/>
    <xf numFmtId="0" fontId="118" fillId="70" borderId="0" applyNumberFormat="0" applyBorder="0" applyAlignment="0" applyProtection="0"/>
    <xf numFmtId="0" fontId="118" fillId="49" borderId="0" applyNumberFormat="0" applyBorder="0" applyAlignment="0" applyProtection="0"/>
    <xf numFmtId="0" fontId="15" fillId="71" borderId="0" applyNumberFormat="0" applyBorder="0" applyAlignment="0" applyProtection="0"/>
    <xf numFmtId="0" fontId="15" fillId="46" borderId="0" applyNumberFormat="0" applyBorder="0" applyAlignment="0" applyProtection="0"/>
    <xf numFmtId="0" fontId="118" fillId="47" borderId="0" applyNumberFormat="0" applyBorder="0" applyAlignment="0" applyProtection="0"/>
    <xf numFmtId="0" fontId="118" fillId="50" borderId="0" applyNumberFormat="0" applyBorder="0" applyAlignment="0" applyProtection="0"/>
    <xf numFmtId="0" fontId="15" fillId="72" borderId="0" applyNumberFormat="0" applyBorder="0" applyAlignment="0" applyProtection="0"/>
    <xf numFmtId="0" fontId="15" fillId="73" borderId="0" applyNumberFormat="0" applyBorder="0" applyAlignment="0" applyProtection="0"/>
    <xf numFmtId="0" fontId="118" fillId="74" borderId="0" applyNumberFormat="0" applyBorder="0" applyAlignment="0" applyProtection="0"/>
    <xf numFmtId="0" fontId="118" fillId="75" borderId="0" applyNumberFormat="0" applyBorder="0" applyAlignment="0" applyProtection="0"/>
    <xf numFmtId="0" fontId="15" fillId="76" borderId="0" applyNumberFormat="0" applyBorder="0" applyAlignment="0" applyProtection="0"/>
    <xf numFmtId="0" fontId="15" fillId="77" borderId="0" applyNumberFormat="0" applyBorder="0" applyAlignment="0" applyProtection="0"/>
    <xf numFmtId="0" fontId="118" fillId="78" borderId="0" applyNumberFormat="0" applyBorder="0" applyAlignment="0" applyProtection="0"/>
    <xf numFmtId="0" fontId="118" fillId="51" borderId="0" applyNumberFormat="0" applyBorder="0" applyAlignment="0" applyProtection="0"/>
    <xf numFmtId="0" fontId="15" fillId="79" borderId="0" applyNumberFormat="0" applyBorder="0" applyAlignment="0" applyProtection="0"/>
    <xf numFmtId="0" fontId="15" fillId="80" borderId="0" applyNumberFormat="0" applyBorder="0" applyAlignment="0" applyProtection="0"/>
    <xf numFmtId="0" fontId="118" fillId="48" borderId="0" applyNumberFormat="0" applyBorder="0" applyAlignment="0" applyProtection="0"/>
    <xf numFmtId="0" fontId="118" fillId="52" borderId="0" applyNumberFormat="0" applyBorder="0" applyAlignment="0" applyProtection="0"/>
    <xf numFmtId="0" fontId="15" fillId="45" borderId="0" applyNumberFormat="0" applyBorder="0" applyAlignment="0" applyProtection="0"/>
    <xf numFmtId="0" fontId="15" fillId="81" borderId="0" applyNumberFormat="0" applyBorder="0" applyAlignment="0" applyProtection="0"/>
    <xf numFmtId="0" fontId="118" fillId="82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25" fillId="11" borderId="182" applyNumberFormat="0" applyAlignment="0" applyProtection="0"/>
    <xf numFmtId="0" fontId="33" fillId="5" borderId="182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26" borderId="183" applyNumberFormat="0" applyFont="0" applyAlignment="0" applyProtection="0"/>
    <xf numFmtId="0" fontId="21" fillId="26" borderId="183" applyNumberFormat="0" applyFont="0" applyAlignment="0" applyProtection="0"/>
    <xf numFmtId="0" fontId="21" fillId="26" borderId="183" applyNumberFormat="0" applyFont="0" applyAlignment="0" applyProtection="0"/>
    <xf numFmtId="0" fontId="37" fillId="11" borderId="184" applyNumberFormat="0" applyAlignment="0" applyProtection="0"/>
    <xf numFmtId="0" fontId="39" fillId="0" borderId="185" applyNumberFormat="0" applyFill="0" applyAlignment="0" applyProtection="0"/>
    <xf numFmtId="0" fontId="94" fillId="0" borderId="186" applyNumberFormat="0" applyFill="0" applyAlignment="0" applyProtection="0"/>
    <xf numFmtId="0" fontId="94" fillId="0" borderId="186" applyNumberFormat="0" applyFill="0" applyAlignment="0" applyProtection="0"/>
    <xf numFmtId="0" fontId="94" fillId="0" borderId="186" applyNumberFormat="0" applyFill="0" applyAlignment="0" applyProtection="0"/>
    <xf numFmtId="0" fontId="18" fillId="57" borderId="171" applyNumberFormat="0" applyFont="0" applyAlignment="0" applyProtection="0"/>
    <xf numFmtId="0" fontId="18" fillId="68" borderId="0" applyNumberFormat="0" applyBorder="0" applyAlignment="0" applyProtection="0"/>
    <xf numFmtId="0" fontId="18" fillId="69" borderId="0" applyNumberFormat="0" applyBorder="0" applyAlignment="0" applyProtection="0"/>
    <xf numFmtId="0" fontId="18" fillId="71" borderId="0" applyNumberFormat="0" applyBorder="0" applyAlignment="0" applyProtection="0"/>
    <xf numFmtId="0" fontId="18" fillId="46" borderId="0" applyNumberFormat="0" applyBorder="0" applyAlignment="0" applyProtection="0"/>
    <xf numFmtId="0" fontId="18" fillId="72" borderId="0" applyNumberFormat="0" applyBorder="0" applyAlignment="0" applyProtection="0"/>
    <xf numFmtId="0" fontId="18" fillId="73" borderId="0" applyNumberFormat="0" applyBorder="0" applyAlignment="0" applyProtection="0"/>
    <xf numFmtId="0" fontId="18" fillId="76" borderId="0" applyNumberFormat="0" applyBorder="0" applyAlignment="0" applyProtection="0"/>
    <xf numFmtId="0" fontId="18" fillId="77" borderId="0" applyNumberFormat="0" applyBorder="0" applyAlignment="0" applyProtection="0"/>
    <xf numFmtId="0" fontId="18" fillId="79" borderId="0" applyNumberFormat="0" applyBorder="0" applyAlignment="0" applyProtection="0"/>
    <xf numFmtId="0" fontId="18" fillId="80" borderId="0" applyNumberFormat="0" applyBorder="0" applyAlignment="0" applyProtection="0"/>
    <xf numFmtId="0" fontId="18" fillId="45" borderId="0" applyNumberFormat="0" applyBorder="0" applyAlignment="0" applyProtection="0"/>
    <xf numFmtId="0" fontId="18" fillId="81" borderId="0" applyNumberFormat="0" applyBorder="0" applyAlignment="0" applyProtection="0"/>
    <xf numFmtId="0" fontId="14" fillId="57" borderId="171" applyNumberFormat="0" applyFont="0" applyAlignment="0" applyProtection="0"/>
    <xf numFmtId="0" fontId="14" fillId="68" borderId="0" applyNumberFormat="0" applyBorder="0" applyAlignment="0" applyProtection="0"/>
    <xf numFmtId="0" fontId="14" fillId="69" borderId="0" applyNumberFormat="0" applyBorder="0" applyAlignment="0" applyProtection="0"/>
    <xf numFmtId="0" fontId="14" fillId="71" borderId="0" applyNumberFormat="0" applyBorder="0" applyAlignment="0" applyProtection="0"/>
    <xf numFmtId="0" fontId="14" fillId="46" borderId="0" applyNumberFormat="0" applyBorder="0" applyAlignment="0" applyProtection="0"/>
    <xf numFmtId="0" fontId="14" fillId="72" borderId="0" applyNumberFormat="0" applyBorder="0" applyAlignment="0" applyProtection="0"/>
    <xf numFmtId="0" fontId="14" fillId="73" borderId="0" applyNumberFormat="0" applyBorder="0" applyAlignment="0" applyProtection="0"/>
    <xf numFmtId="0" fontId="14" fillId="76" borderId="0" applyNumberFormat="0" applyBorder="0" applyAlignment="0" applyProtection="0"/>
    <xf numFmtId="0" fontId="14" fillId="77" borderId="0" applyNumberFormat="0" applyBorder="0" applyAlignment="0" applyProtection="0"/>
    <xf numFmtId="0" fontId="14" fillId="79" borderId="0" applyNumberFormat="0" applyBorder="0" applyAlignment="0" applyProtection="0"/>
    <xf numFmtId="0" fontId="14" fillId="80" borderId="0" applyNumberFormat="0" applyBorder="0" applyAlignment="0" applyProtection="0"/>
    <xf numFmtId="0" fontId="14" fillId="45" borderId="0" applyNumberFormat="0" applyBorder="0" applyAlignment="0" applyProtection="0"/>
    <xf numFmtId="0" fontId="14" fillId="81" borderId="0" applyNumberFormat="0" applyBorder="0" applyAlignment="0" applyProtection="0"/>
    <xf numFmtId="0" fontId="14" fillId="57" borderId="171" applyNumberFormat="0" applyFont="0" applyAlignment="0" applyProtection="0"/>
    <xf numFmtId="0" fontId="14" fillId="68" borderId="0" applyNumberFormat="0" applyBorder="0" applyAlignment="0" applyProtection="0"/>
    <xf numFmtId="0" fontId="14" fillId="69" borderId="0" applyNumberFormat="0" applyBorder="0" applyAlignment="0" applyProtection="0"/>
    <xf numFmtId="0" fontId="14" fillId="71" borderId="0" applyNumberFormat="0" applyBorder="0" applyAlignment="0" applyProtection="0"/>
    <xf numFmtId="0" fontId="14" fillId="46" borderId="0" applyNumberFormat="0" applyBorder="0" applyAlignment="0" applyProtection="0"/>
    <xf numFmtId="0" fontId="14" fillId="72" borderId="0" applyNumberFormat="0" applyBorder="0" applyAlignment="0" applyProtection="0"/>
    <xf numFmtId="0" fontId="14" fillId="73" borderId="0" applyNumberFormat="0" applyBorder="0" applyAlignment="0" applyProtection="0"/>
    <xf numFmtId="0" fontId="14" fillId="76" borderId="0" applyNumberFormat="0" applyBorder="0" applyAlignment="0" applyProtection="0"/>
    <xf numFmtId="0" fontId="14" fillId="77" borderId="0" applyNumberFormat="0" applyBorder="0" applyAlignment="0" applyProtection="0"/>
    <xf numFmtId="0" fontId="14" fillId="79" borderId="0" applyNumberFormat="0" applyBorder="0" applyAlignment="0" applyProtection="0"/>
    <xf numFmtId="0" fontId="14" fillId="80" borderId="0" applyNumberFormat="0" applyBorder="0" applyAlignment="0" applyProtection="0"/>
    <xf numFmtId="0" fontId="14" fillId="45" borderId="0" applyNumberFormat="0" applyBorder="0" applyAlignment="0" applyProtection="0"/>
    <xf numFmtId="0" fontId="14" fillId="81" borderId="0" applyNumberFormat="0" applyBorder="0" applyAlignment="0" applyProtection="0"/>
    <xf numFmtId="0" fontId="14" fillId="57" borderId="171" applyNumberFormat="0" applyFont="0" applyAlignment="0" applyProtection="0"/>
    <xf numFmtId="0" fontId="14" fillId="68" borderId="0" applyNumberFormat="0" applyBorder="0" applyAlignment="0" applyProtection="0"/>
    <xf numFmtId="0" fontId="14" fillId="69" borderId="0" applyNumberFormat="0" applyBorder="0" applyAlignment="0" applyProtection="0"/>
    <xf numFmtId="0" fontId="14" fillId="71" borderId="0" applyNumberFormat="0" applyBorder="0" applyAlignment="0" applyProtection="0"/>
    <xf numFmtId="0" fontId="14" fillId="46" borderId="0" applyNumberFormat="0" applyBorder="0" applyAlignment="0" applyProtection="0"/>
    <xf numFmtId="0" fontId="14" fillId="72" borderId="0" applyNumberFormat="0" applyBorder="0" applyAlignment="0" applyProtection="0"/>
    <xf numFmtId="0" fontId="14" fillId="73" borderId="0" applyNumberFormat="0" applyBorder="0" applyAlignment="0" applyProtection="0"/>
    <xf numFmtId="0" fontId="14" fillId="76" borderId="0" applyNumberFormat="0" applyBorder="0" applyAlignment="0" applyProtection="0"/>
    <xf numFmtId="0" fontId="14" fillId="77" borderId="0" applyNumberFormat="0" applyBorder="0" applyAlignment="0" applyProtection="0"/>
    <xf numFmtId="0" fontId="14" fillId="79" borderId="0" applyNumberFormat="0" applyBorder="0" applyAlignment="0" applyProtection="0"/>
    <xf numFmtId="0" fontId="14" fillId="80" borderId="0" applyNumberFormat="0" applyBorder="0" applyAlignment="0" applyProtection="0"/>
    <xf numFmtId="0" fontId="14" fillId="45" borderId="0" applyNumberFormat="0" applyBorder="0" applyAlignment="0" applyProtection="0"/>
    <xf numFmtId="0" fontId="14" fillId="81" borderId="0" applyNumberFormat="0" applyBorder="0" applyAlignment="0" applyProtection="0"/>
    <xf numFmtId="0" fontId="14" fillId="57" borderId="171" applyNumberFormat="0" applyFont="0" applyAlignment="0" applyProtection="0"/>
    <xf numFmtId="0" fontId="14" fillId="68" borderId="0" applyNumberFormat="0" applyBorder="0" applyAlignment="0" applyProtection="0"/>
    <xf numFmtId="0" fontId="14" fillId="69" borderId="0" applyNumberFormat="0" applyBorder="0" applyAlignment="0" applyProtection="0"/>
    <xf numFmtId="0" fontId="14" fillId="71" borderId="0" applyNumberFormat="0" applyBorder="0" applyAlignment="0" applyProtection="0"/>
    <xf numFmtId="0" fontId="14" fillId="46" borderId="0" applyNumberFormat="0" applyBorder="0" applyAlignment="0" applyProtection="0"/>
    <xf numFmtId="0" fontId="14" fillId="72" borderId="0" applyNumberFormat="0" applyBorder="0" applyAlignment="0" applyProtection="0"/>
    <xf numFmtId="0" fontId="14" fillId="73" borderId="0" applyNumberFormat="0" applyBorder="0" applyAlignment="0" applyProtection="0"/>
    <xf numFmtId="0" fontId="14" fillId="76" borderId="0" applyNumberFormat="0" applyBorder="0" applyAlignment="0" applyProtection="0"/>
    <xf numFmtId="0" fontId="14" fillId="77" borderId="0" applyNumberFormat="0" applyBorder="0" applyAlignment="0" applyProtection="0"/>
    <xf numFmtId="0" fontId="14" fillId="79" borderId="0" applyNumberFormat="0" applyBorder="0" applyAlignment="0" applyProtection="0"/>
    <xf numFmtId="0" fontId="14" fillId="80" borderId="0" applyNumberFormat="0" applyBorder="0" applyAlignment="0" applyProtection="0"/>
    <xf numFmtId="0" fontId="14" fillId="45" borderId="0" applyNumberFormat="0" applyBorder="0" applyAlignment="0" applyProtection="0"/>
    <xf numFmtId="0" fontId="14" fillId="81" borderId="0" applyNumberFormat="0" applyBorder="0" applyAlignment="0" applyProtection="0"/>
    <xf numFmtId="0" fontId="98" fillId="0" borderId="0" applyNumberFormat="0" applyFill="0" applyBorder="0" applyAlignment="0" applyProtection="0"/>
    <xf numFmtId="0" fontId="104" fillId="0" borderId="179" applyNumberFormat="0" applyFill="0" applyAlignment="0" applyProtection="0"/>
    <xf numFmtId="0" fontId="105" fillId="0" borderId="169" applyNumberFormat="0" applyFill="0" applyAlignment="0" applyProtection="0"/>
    <xf numFmtId="0" fontId="106" fillId="0" borderId="180" applyNumberFormat="0" applyFill="0" applyAlignment="0" applyProtection="0"/>
    <xf numFmtId="0" fontId="106" fillId="0" borderId="0" applyNumberFormat="0" applyFill="0" applyBorder="0" applyAlignment="0" applyProtection="0"/>
    <xf numFmtId="0" fontId="107" fillId="65" borderId="0" applyNumberFormat="0" applyBorder="0" applyAlignment="0" applyProtection="0"/>
    <xf numFmtId="0" fontId="108" fillId="53" borderId="0" applyNumberFormat="0" applyBorder="0" applyAlignment="0" applyProtection="0"/>
    <xf numFmtId="0" fontId="109" fillId="56" borderId="0" applyNumberFormat="0" applyBorder="0" applyAlignment="0" applyProtection="0"/>
    <xf numFmtId="0" fontId="110" fillId="55" borderId="167" applyNumberFormat="0" applyAlignment="0" applyProtection="0"/>
    <xf numFmtId="0" fontId="111" fillId="66" borderId="172" applyNumberFormat="0" applyAlignment="0" applyProtection="0"/>
    <xf numFmtId="0" fontId="112" fillId="66" borderId="167" applyNumberFormat="0" applyAlignment="0" applyProtection="0"/>
    <xf numFmtId="0" fontId="113" fillId="0" borderId="170" applyNumberFormat="0" applyFill="0" applyAlignment="0" applyProtection="0"/>
    <xf numFmtId="0" fontId="114" fillId="54" borderId="168" applyNumberFormat="0" applyAlignment="0" applyProtection="0"/>
    <xf numFmtId="0" fontId="115" fillId="0" borderId="0" applyNumberFormat="0" applyFill="0" applyBorder="0" applyAlignment="0" applyProtection="0"/>
    <xf numFmtId="0" fontId="13" fillId="57" borderId="171" applyNumberFormat="0" applyFont="0" applyAlignment="0" applyProtection="0"/>
    <xf numFmtId="0" fontId="116" fillId="0" borderId="0" applyNumberFormat="0" applyFill="0" applyBorder="0" applyAlignment="0" applyProtection="0"/>
    <xf numFmtId="0" fontId="117" fillId="0" borderId="181" applyNumberFormat="0" applyFill="0" applyAlignment="0" applyProtection="0"/>
    <xf numFmtId="0" fontId="118" fillId="67" borderId="0" applyNumberFormat="0" applyBorder="0" applyAlignment="0" applyProtection="0"/>
    <xf numFmtId="0" fontId="13" fillId="68" borderId="0" applyNumberFormat="0" applyBorder="0" applyAlignment="0" applyProtection="0"/>
    <xf numFmtId="0" fontId="13" fillId="69" borderId="0" applyNumberFormat="0" applyBorder="0" applyAlignment="0" applyProtection="0"/>
    <xf numFmtId="0" fontId="118" fillId="70" borderId="0" applyNumberFormat="0" applyBorder="0" applyAlignment="0" applyProtection="0"/>
    <xf numFmtId="0" fontId="118" fillId="49" borderId="0" applyNumberFormat="0" applyBorder="0" applyAlignment="0" applyProtection="0"/>
    <xf numFmtId="0" fontId="13" fillId="71" borderId="0" applyNumberFormat="0" applyBorder="0" applyAlignment="0" applyProtection="0"/>
    <xf numFmtId="0" fontId="13" fillId="46" borderId="0" applyNumberFormat="0" applyBorder="0" applyAlignment="0" applyProtection="0"/>
    <xf numFmtId="0" fontId="118" fillId="47" borderId="0" applyNumberFormat="0" applyBorder="0" applyAlignment="0" applyProtection="0"/>
    <xf numFmtId="0" fontId="118" fillId="50" borderId="0" applyNumberFormat="0" applyBorder="0" applyAlignment="0" applyProtection="0"/>
    <xf numFmtId="0" fontId="13" fillId="72" borderId="0" applyNumberFormat="0" applyBorder="0" applyAlignment="0" applyProtection="0"/>
    <xf numFmtId="0" fontId="13" fillId="73" borderId="0" applyNumberFormat="0" applyBorder="0" applyAlignment="0" applyProtection="0"/>
    <xf numFmtId="0" fontId="118" fillId="74" borderId="0" applyNumberFormat="0" applyBorder="0" applyAlignment="0" applyProtection="0"/>
    <xf numFmtId="0" fontId="118" fillId="75" borderId="0" applyNumberFormat="0" applyBorder="0" applyAlignment="0" applyProtection="0"/>
    <xf numFmtId="0" fontId="13" fillId="76" borderId="0" applyNumberFormat="0" applyBorder="0" applyAlignment="0" applyProtection="0"/>
    <xf numFmtId="0" fontId="13" fillId="77" borderId="0" applyNumberFormat="0" applyBorder="0" applyAlignment="0" applyProtection="0"/>
    <xf numFmtId="0" fontId="118" fillId="78" borderId="0" applyNumberFormat="0" applyBorder="0" applyAlignment="0" applyProtection="0"/>
    <xf numFmtId="0" fontId="118" fillId="51" borderId="0" applyNumberFormat="0" applyBorder="0" applyAlignment="0" applyProtection="0"/>
    <xf numFmtId="0" fontId="13" fillId="79" borderId="0" applyNumberFormat="0" applyBorder="0" applyAlignment="0" applyProtection="0"/>
    <xf numFmtId="0" fontId="13" fillId="80" borderId="0" applyNumberFormat="0" applyBorder="0" applyAlignment="0" applyProtection="0"/>
    <xf numFmtId="0" fontId="118" fillId="48" borderId="0" applyNumberFormat="0" applyBorder="0" applyAlignment="0" applyProtection="0"/>
    <xf numFmtId="0" fontId="118" fillId="52" borderId="0" applyNumberFormat="0" applyBorder="0" applyAlignment="0" applyProtection="0"/>
    <xf numFmtId="0" fontId="13" fillId="45" borderId="0" applyNumberFormat="0" applyBorder="0" applyAlignment="0" applyProtection="0"/>
    <xf numFmtId="0" fontId="13" fillId="81" borderId="0" applyNumberFormat="0" applyBorder="0" applyAlignment="0" applyProtection="0"/>
    <xf numFmtId="0" fontId="118" fillId="82" borderId="0" applyNumberFormat="0" applyBorder="0" applyAlignment="0" applyProtection="0"/>
    <xf numFmtId="0" fontId="119" fillId="0" borderId="0"/>
    <xf numFmtId="0" fontId="119" fillId="0" borderId="0"/>
    <xf numFmtId="0" fontId="119" fillId="0" borderId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25" fillId="11" borderId="182" applyNumberFormat="0" applyAlignment="0" applyProtection="0"/>
    <xf numFmtId="0" fontId="33" fillId="5" borderId="182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26" borderId="183" applyNumberFormat="0" applyFont="0" applyAlignment="0" applyProtection="0"/>
    <xf numFmtId="0" fontId="21" fillId="26" borderId="183" applyNumberFormat="0" applyFont="0" applyAlignment="0" applyProtection="0"/>
    <xf numFmtId="0" fontId="21" fillId="26" borderId="183" applyNumberFormat="0" applyFont="0" applyAlignment="0" applyProtection="0"/>
    <xf numFmtId="0" fontId="37" fillId="11" borderId="184" applyNumberFormat="0" applyAlignment="0" applyProtection="0"/>
    <xf numFmtId="0" fontId="39" fillId="0" borderId="185" applyNumberFormat="0" applyFill="0" applyAlignment="0" applyProtection="0"/>
    <xf numFmtId="0" fontId="94" fillId="0" borderId="186" applyNumberFormat="0" applyFill="0" applyAlignment="0" applyProtection="0"/>
    <xf numFmtId="0" fontId="94" fillId="0" borderId="186" applyNumberFormat="0" applyFill="0" applyAlignment="0" applyProtection="0"/>
    <xf numFmtId="0" fontId="94" fillId="0" borderId="186" applyNumberFormat="0" applyFill="0" applyAlignment="0" applyProtection="0"/>
    <xf numFmtId="0" fontId="18" fillId="57" borderId="171" applyNumberFormat="0" applyFont="0" applyAlignment="0" applyProtection="0"/>
    <xf numFmtId="0" fontId="18" fillId="68" borderId="0" applyNumberFormat="0" applyBorder="0" applyAlignment="0" applyProtection="0"/>
    <xf numFmtId="0" fontId="18" fillId="69" borderId="0" applyNumberFormat="0" applyBorder="0" applyAlignment="0" applyProtection="0"/>
    <xf numFmtId="0" fontId="18" fillId="71" borderId="0" applyNumberFormat="0" applyBorder="0" applyAlignment="0" applyProtection="0"/>
    <xf numFmtId="0" fontId="18" fillId="46" borderId="0" applyNumberFormat="0" applyBorder="0" applyAlignment="0" applyProtection="0"/>
    <xf numFmtId="0" fontId="18" fillId="72" borderId="0" applyNumberFormat="0" applyBorder="0" applyAlignment="0" applyProtection="0"/>
    <xf numFmtId="0" fontId="18" fillId="73" borderId="0" applyNumberFormat="0" applyBorder="0" applyAlignment="0" applyProtection="0"/>
    <xf numFmtId="0" fontId="18" fillId="76" borderId="0" applyNumberFormat="0" applyBorder="0" applyAlignment="0" applyProtection="0"/>
    <xf numFmtId="0" fontId="18" fillId="77" borderId="0" applyNumberFormat="0" applyBorder="0" applyAlignment="0" applyProtection="0"/>
    <xf numFmtId="0" fontId="18" fillId="79" borderId="0" applyNumberFormat="0" applyBorder="0" applyAlignment="0" applyProtection="0"/>
    <xf numFmtId="0" fontId="18" fillId="80" borderId="0" applyNumberFormat="0" applyBorder="0" applyAlignment="0" applyProtection="0"/>
    <xf numFmtId="0" fontId="18" fillId="45" borderId="0" applyNumberFormat="0" applyBorder="0" applyAlignment="0" applyProtection="0"/>
    <xf numFmtId="0" fontId="18" fillId="81" borderId="0" applyNumberFormat="0" applyBorder="0" applyAlignment="0" applyProtection="0"/>
    <xf numFmtId="0" fontId="12" fillId="57" borderId="171" applyNumberFormat="0" applyFont="0" applyAlignment="0" applyProtection="0"/>
    <xf numFmtId="0" fontId="12" fillId="68" borderId="0" applyNumberFormat="0" applyBorder="0" applyAlignment="0" applyProtection="0"/>
    <xf numFmtId="0" fontId="12" fillId="69" borderId="0" applyNumberFormat="0" applyBorder="0" applyAlignment="0" applyProtection="0"/>
    <xf numFmtId="0" fontId="12" fillId="71" borderId="0" applyNumberFormat="0" applyBorder="0" applyAlignment="0" applyProtection="0"/>
    <xf numFmtId="0" fontId="12" fillId="46" borderId="0" applyNumberFormat="0" applyBorder="0" applyAlignment="0" applyProtection="0"/>
    <xf numFmtId="0" fontId="12" fillId="72" borderId="0" applyNumberFormat="0" applyBorder="0" applyAlignment="0" applyProtection="0"/>
    <xf numFmtId="0" fontId="12" fillId="73" borderId="0" applyNumberFormat="0" applyBorder="0" applyAlignment="0" applyProtection="0"/>
    <xf numFmtId="0" fontId="12" fillId="76" borderId="0" applyNumberFormat="0" applyBorder="0" applyAlignment="0" applyProtection="0"/>
    <xf numFmtId="0" fontId="12" fillId="77" borderId="0" applyNumberFormat="0" applyBorder="0" applyAlignment="0" applyProtection="0"/>
    <xf numFmtId="0" fontId="12" fillId="79" borderId="0" applyNumberFormat="0" applyBorder="0" applyAlignment="0" applyProtection="0"/>
    <xf numFmtId="0" fontId="12" fillId="80" borderId="0" applyNumberFormat="0" applyBorder="0" applyAlignment="0" applyProtection="0"/>
    <xf numFmtId="0" fontId="12" fillId="45" borderId="0" applyNumberFormat="0" applyBorder="0" applyAlignment="0" applyProtection="0"/>
    <xf numFmtId="0" fontId="12" fillId="81" borderId="0" applyNumberFormat="0" applyBorder="0" applyAlignment="0" applyProtection="0"/>
    <xf numFmtId="0" fontId="12" fillId="57" borderId="171" applyNumberFormat="0" applyFont="0" applyAlignment="0" applyProtection="0"/>
    <xf numFmtId="0" fontId="12" fillId="68" borderId="0" applyNumberFormat="0" applyBorder="0" applyAlignment="0" applyProtection="0"/>
    <xf numFmtId="0" fontId="12" fillId="69" borderId="0" applyNumberFormat="0" applyBorder="0" applyAlignment="0" applyProtection="0"/>
    <xf numFmtId="0" fontId="12" fillId="71" borderId="0" applyNumberFormat="0" applyBorder="0" applyAlignment="0" applyProtection="0"/>
    <xf numFmtId="0" fontId="12" fillId="46" borderId="0" applyNumberFormat="0" applyBorder="0" applyAlignment="0" applyProtection="0"/>
    <xf numFmtId="0" fontId="12" fillId="72" borderId="0" applyNumberFormat="0" applyBorder="0" applyAlignment="0" applyProtection="0"/>
    <xf numFmtId="0" fontId="12" fillId="73" borderId="0" applyNumberFormat="0" applyBorder="0" applyAlignment="0" applyProtection="0"/>
    <xf numFmtId="0" fontId="12" fillId="76" borderId="0" applyNumberFormat="0" applyBorder="0" applyAlignment="0" applyProtection="0"/>
    <xf numFmtId="0" fontId="12" fillId="77" borderId="0" applyNumberFormat="0" applyBorder="0" applyAlignment="0" applyProtection="0"/>
    <xf numFmtId="0" fontId="12" fillId="79" borderId="0" applyNumberFormat="0" applyBorder="0" applyAlignment="0" applyProtection="0"/>
    <xf numFmtId="0" fontId="12" fillId="80" borderId="0" applyNumberFormat="0" applyBorder="0" applyAlignment="0" applyProtection="0"/>
    <xf numFmtId="0" fontId="12" fillId="45" borderId="0" applyNumberFormat="0" applyBorder="0" applyAlignment="0" applyProtection="0"/>
    <xf numFmtId="0" fontId="12" fillId="81" borderId="0" applyNumberFormat="0" applyBorder="0" applyAlignment="0" applyProtection="0"/>
    <xf numFmtId="0" fontId="12" fillId="57" borderId="171" applyNumberFormat="0" applyFont="0" applyAlignment="0" applyProtection="0"/>
    <xf numFmtId="0" fontId="12" fillId="68" borderId="0" applyNumberFormat="0" applyBorder="0" applyAlignment="0" applyProtection="0"/>
    <xf numFmtId="0" fontId="12" fillId="69" borderId="0" applyNumberFormat="0" applyBorder="0" applyAlignment="0" applyProtection="0"/>
    <xf numFmtId="0" fontId="12" fillId="71" borderId="0" applyNumberFormat="0" applyBorder="0" applyAlignment="0" applyProtection="0"/>
    <xf numFmtId="0" fontId="12" fillId="46" borderId="0" applyNumberFormat="0" applyBorder="0" applyAlignment="0" applyProtection="0"/>
    <xf numFmtId="0" fontId="12" fillId="72" borderId="0" applyNumberFormat="0" applyBorder="0" applyAlignment="0" applyProtection="0"/>
    <xf numFmtId="0" fontId="12" fillId="73" borderId="0" applyNumberFormat="0" applyBorder="0" applyAlignment="0" applyProtection="0"/>
    <xf numFmtId="0" fontId="12" fillId="76" borderId="0" applyNumberFormat="0" applyBorder="0" applyAlignment="0" applyProtection="0"/>
    <xf numFmtId="0" fontId="12" fillId="77" borderId="0" applyNumberFormat="0" applyBorder="0" applyAlignment="0" applyProtection="0"/>
    <xf numFmtId="0" fontId="12" fillId="79" borderId="0" applyNumberFormat="0" applyBorder="0" applyAlignment="0" applyProtection="0"/>
    <xf numFmtId="0" fontId="12" fillId="80" borderId="0" applyNumberFormat="0" applyBorder="0" applyAlignment="0" applyProtection="0"/>
    <xf numFmtId="0" fontId="12" fillId="45" borderId="0" applyNumberFormat="0" applyBorder="0" applyAlignment="0" applyProtection="0"/>
    <xf numFmtId="0" fontId="12" fillId="81" borderId="0" applyNumberFormat="0" applyBorder="0" applyAlignment="0" applyProtection="0"/>
    <xf numFmtId="0" fontId="12" fillId="57" borderId="171" applyNumberFormat="0" applyFont="0" applyAlignment="0" applyProtection="0"/>
    <xf numFmtId="0" fontId="12" fillId="68" borderId="0" applyNumberFormat="0" applyBorder="0" applyAlignment="0" applyProtection="0"/>
    <xf numFmtId="0" fontId="12" fillId="69" borderId="0" applyNumberFormat="0" applyBorder="0" applyAlignment="0" applyProtection="0"/>
    <xf numFmtId="0" fontId="12" fillId="71" borderId="0" applyNumberFormat="0" applyBorder="0" applyAlignment="0" applyProtection="0"/>
    <xf numFmtId="0" fontId="12" fillId="46" borderId="0" applyNumberFormat="0" applyBorder="0" applyAlignment="0" applyProtection="0"/>
    <xf numFmtId="0" fontId="12" fillId="72" borderId="0" applyNumberFormat="0" applyBorder="0" applyAlignment="0" applyProtection="0"/>
    <xf numFmtId="0" fontId="12" fillId="73" borderId="0" applyNumberFormat="0" applyBorder="0" applyAlignment="0" applyProtection="0"/>
    <xf numFmtId="0" fontId="12" fillId="76" borderId="0" applyNumberFormat="0" applyBorder="0" applyAlignment="0" applyProtection="0"/>
    <xf numFmtId="0" fontId="12" fillId="77" borderId="0" applyNumberFormat="0" applyBorder="0" applyAlignment="0" applyProtection="0"/>
    <xf numFmtId="0" fontId="12" fillId="79" borderId="0" applyNumberFormat="0" applyBorder="0" applyAlignment="0" applyProtection="0"/>
    <xf numFmtId="0" fontId="12" fillId="80" borderId="0" applyNumberFormat="0" applyBorder="0" applyAlignment="0" applyProtection="0"/>
    <xf numFmtId="0" fontId="12" fillId="45" borderId="0" applyNumberFormat="0" applyBorder="0" applyAlignment="0" applyProtection="0"/>
    <xf numFmtId="0" fontId="12" fillId="81" borderId="0" applyNumberFormat="0" applyBorder="0" applyAlignment="0" applyProtection="0"/>
    <xf numFmtId="0" fontId="12" fillId="57" borderId="171" applyNumberFormat="0" applyFont="0" applyAlignment="0" applyProtection="0"/>
    <xf numFmtId="0" fontId="12" fillId="68" borderId="0" applyNumberFormat="0" applyBorder="0" applyAlignment="0" applyProtection="0"/>
    <xf numFmtId="0" fontId="12" fillId="69" borderId="0" applyNumberFormat="0" applyBorder="0" applyAlignment="0" applyProtection="0"/>
    <xf numFmtId="0" fontId="12" fillId="71" borderId="0" applyNumberFormat="0" applyBorder="0" applyAlignment="0" applyProtection="0"/>
    <xf numFmtId="0" fontId="12" fillId="46" borderId="0" applyNumberFormat="0" applyBorder="0" applyAlignment="0" applyProtection="0"/>
    <xf numFmtId="0" fontId="12" fillId="72" borderId="0" applyNumberFormat="0" applyBorder="0" applyAlignment="0" applyProtection="0"/>
    <xf numFmtId="0" fontId="12" fillId="73" borderId="0" applyNumberFormat="0" applyBorder="0" applyAlignment="0" applyProtection="0"/>
    <xf numFmtId="0" fontId="12" fillId="76" borderId="0" applyNumberFormat="0" applyBorder="0" applyAlignment="0" applyProtection="0"/>
    <xf numFmtId="0" fontId="12" fillId="77" borderId="0" applyNumberFormat="0" applyBorder="0" applyAlignment="0" applyProtection="0"/>
    <xf numFmtId="0" fontId="12" fillId="79" borderId="0" applyNumberFormat="0" applyBorder="0" applyAlignment="0" applyProtection="0"/>
    <xf numFmtId="0" fontId="12" fillId="80" borderId="0" applyNumberFormat="0" applyBorder="0" applyAlignment="0" applyProtection="0"/>
    <xf numFmtId="0" fontId="12" fillId="45" borderId="0" applyNumberFormat="0" applyBorder="0" applyAlignment="0" applyProtection="0"/>
    <xf numFmtId="0" fontId="12" fillId="81" borderId="0" applyNumberFormat="0" applyBorder="0" applyAlignment="0" applyProtection="0"/>
    <xf numFmtId="0" fontId="12" fillId="57" borderId="171" applyNumberFormat="0" applyFont="0" applyAlignment="0" applyProtection="0"/>
    <xf numFmtId="0" fontId="12" fillId="68" borderId="0" applyNumberFormat="0" applyBorder="0" applyAlignment="0" applyProtection="0"/>
    <xf numFmtId="0" fontId="12" fillId="69" borderId="0" applyNumberFormat="0" applyBorder="0" applyAlignment="0" applyProtection="0"/>
    <xf numFmtId="0" fontId="12" fillId="71" borderId="0" applyNumberFormat="0" applyBorder="0" applyAlignment="0" applyProtection="0"/>
    <xf numFmtId="0" fontId="12" fillId="46" borderId="0" applyNumberFormat="0" applyBorder="0" applyAlignment="0" applyProtection="0"/>
    <xf numFmtId="0" fontId="12" fillId="72" borderId="0" applyNumberFormat="0" applyBorder="0" applyAlignment="0" applyProtection="0"/>
    <xf numFmtId="0" fontId="12" fillId="73" borderId="0" applyNumberFormat="0" applyBorder="0" applyAlignment="0" applyProtection="0"/>
    <xf numFmtId="0" fontId="12" fillId="76" borderId="0" applyNumberFormat="0" applyBorder="0" applyAlignment="0" applyProtection="0"/>
    <xf numFmtId="0" fontId="12" fillId="77" borderId="0" applyNumberFormat="0" applyBorder="0" applyAlignment="0" applyProtection="0"/>
    <xf numFmtId="0" fontId="12" fillId="79" borderId="0" applyNumberFormat="0" applyBorder="0" applyAlignment="0" applyProtection="0"/>
    <xf numFmtId="0" fontId="12" fillId="80" borderId="0" applyNumberFormat="0" applyBorder="0" applyAlignment="0" applyProtection="0"/>
    <xf numFmtId="0" fontId="12" fillId="45" borderId="0" applyNumberFormat="0" applyBorder="0" applyAlignment="0" applyProtection="0"/>
    <xf numFmtId="0" fontId="12" fillId="81" borderId="0" applyNumberFormat="0" applyBorder="0" applyAlignment="0" applyProtection="0"/>
    <xf numFmtId="0" fontId="12" fillId="57" borderId="171" applyNumberFormat="0" applyFont="0" applyAlignment="0" applyProtection="0"/>
    <xf numFmtId="0" fontId="12" fillId="68" borderId="0" applyNumberFormat="0" applyBorder="0" applyAlignment="0" applyProtection="0"/>
    <xf numFmtId="0" fontId="12" fillId="69" borderId="0" applyNumberFormat="0" applyBorder="0" applyAlignment="0" applyProtection="0"/>
    <xf numFmtId="0" fontId="12" fillId="71" borderId="0" applyNumberFormat="0" applyBorder="0" applyAlignment="0" applyProtection="0"/>
    <xf numFmtId="0" fontId="12" fillId="46" borderId="0" applyNumberFormat="0" applyBorder="0" applyAlignment="0" applyProtection="0"/>
    <xf numFmtId="0" fontId="12" fillId="72" borderId="0" applyNumberFormat="0" applyBorder="0" applyAlignment="0" applyProtection="0"/>
    <xf numFmtId="0" fontId="12" fillId="73" borderId="0" applyNumberFormat="0" applyBorder="0" applyAlignment="0" applyProtection="0"/>
    <xf numFmtId="0" fontId="12" fillId="76" borderId="0" applyNumberFormat="0" applyBorder="0" applyAlignment="0" applyProtection="0"/>
    <xf numFmtId="0" fontId="12" fillId="77" borderId="0" applyNumberFormat="0" applyBorder="0" applyAlignment="0" applyProtection="0"/>
    <xf numFmtId="0" fontId="12" fillId="79" borderId="0" applyNumberFormat="0" applyBorder="0" applyAlignment="0" applyProtection="0"/>
    <xf numFmtId="0" fontId="12" fillId="80" borderId="0" applyNumberFormat="0" applyBorder="0" applyAlignment="0" applyProtection="0"/>
    <xf numFmtId="0" fontId="12" fillId="45" borderId="0" applyNumberFormat="0" applyBorder="0" applyAlignment="0" applyProtection="0"/>
    <xf numFmtId="0" fontId="12" fillId="81" borderId="0" applyNumberFormat="0" applyBorder="0" applyAlignment="0" applyProtection="0"/>
    <xf numFmtId="0" fontId="12" fillId="57" borderId="171" applyNumberFormat="0" applyFont="0" applyAlignment="0" applyProtection="0"/>
    <xf numFmtId="0" fontId="12" fillId="68" borderId="0" applyNumberFormat="0" applyBorder="0" applyAlignment="0" applyProtection="0"/>
    <xf numFmtId="0" fontId="12" fillId="69" borderId="0" applyNumberFormat="0" applyBorder="0" applyAlignment="0" applyProtection="0"/>
    <xf numFmtId="0" fontId="12" fillId="71" borderId="0" applyNumberFormat="0" applyBorder="0" applyAlignment="0" applyProtection="0"/>
    <xf numFmtId="0" fontId="12" fillId="46" borderId="0" applyNumberFormat="0" applyBorder="0" applyAlignment="0" applyProtection="0"/>
    <xf numFmtId="0" fontId="12" fillId="72" borderId="0" applyNumberFormat="0" applyBorder="0" applyAlignment="0" applyProtection="0"/>
    <xf numFmtId="0" fontId="12" fillId="73" borderId="0" applyNumberFormat="0" applyBorder="0" applyAlignment="0" applyProtection="0"/>
    <xf numFmtId="0" fontId="12" fillId="76" borderId="0" applyNumberFormat="0" applyBorder="0" applyAlignment="0" applyProtection="0"/>
    <xf numFmtId="0" fontId="12" fillId="77" borderId="0" applyNumberFormat="0" applyBorder="0" applyAlignment="0" applyProtection="0"/>
    <xf numFmtId="0" fontId="12" fillId="79" borderId="0" applyNumberFormat="0" applyBorder="0" applyAlignment="0" applyProtection="0"/>
    <xf numFmtId="0" fontId="12" fillId="80" borderId="0" applyNumberFormat="0" applyBorder="0" applyAlignment="0" applyProtection="0"/>
    <xf numFmtId="0" fontId="12" fillId="45" borderId="0" applyNumberFormat="0" applyBorder="0" applyAlignment="0" applyProtection="0"/>
    <xf numFmtId="0" fontId="12" fillId="81" borderId="0" applyNumberFormat="0" applyBorder="0" applyAlignment="0" applyProtection="0"/>
    <xf numFmtId="0" fontId="12" fillId="57" borderId="171" applyNumberFormat="0" applyFont="0" applyAlignment="0" applyProtection="0"/>
    <xf numFmtId="0" fontId="12" fillId="68" borderId="0" applyNumberFormat="0" applyBorder="0" applyAlignment="0" applyProtection="0"/>
    <xf numFmtId="0" fontId="12" fillId="69" borderId="0" applyNumberFormat="0" applyBorder="0" applyAlignment="0" applyProtection="0"/>
    <xf numFmtId="0" fontId="12" fillId="71" borderId="0" applyNumberFormat="0" applyBorder="0" applyAlignment="0" applyProtection="0"/>
    <xf numFmtId="0" fontId="12" fillId="46" borderId="0" applyNumberFormat="0" applyBorder="0" applyAlignment="0" applyProtection="0"/>
    <xf numFmtId="0" fontId="12" fillId="72" borderId="0" applyNumberFormat="0" applyBorder="0" applyAlignment="0" applyProtection="0"/>
    <xf numFmtId="0" fontId="12" fillId="73" borderId="0" applyNumberFormat="0" applyBorder="0" applyAlignment="0" applyProtection="0"/>
    <xf numFmtId="0" fontId="12" fillId="76" borderId="0" applyNumberFormat="0" applyBorder="0" applyAlignment="0" applyProtection="0"/>
    <xf numFmtId="0" fontId="12" fillId="77" borderId="0" applyNumberFormat="0" applyBorder="0" applyAlignment="0" applyProtection="0"/>
    <xf numFmtId="0" fontId="12" fillId="79" borderId="0" applyNumberFormat="0" applyBorder="0" applyAlignment="0" applyProtection="0"/>
    <xf numFmtId="0" fontId="12" fillId="80" borderId="0" applyNumberFormat="0" applyBorder="0" applyAlignment="0" applyProtection="0"/>
    <xf numFmtId="0" fontId="12" fillId="45" borderId="0" applyNumberFormat="0" applyBorder="0" applyAlignment="0" applyProtection="0"/>
    <xf numFmtId="0" fontId="12" fillId="81" borderId="0" applyNumberFormat="0" applyBorder="0" applyAlignment="0" applyProtection="0"/>
    <xf numFmtId="0" fontId="98" fillId="0" borderId="0" applyNumberFormat="0" applyFill="0" applyBorder="0" applyAlignment="0" applyProtection="0"/>
    <xf numFmtId="0" fontId="104" fillId="0" borderId="179" applyNumberFormat="0" applyFill="0" applyAlignment="0" applyProtection="0"/>
    <xf numFmtId="0" fontId="105" fillId="0" borderId="169" applyNumberFormat="0" applyFill="0" applyAlignment="0" applyProtection="0"/>
    <xf numFmtId="0" fontId="106" fillId="0" borderId="180" applyNumberFormat="0" applyFill="0" applyAlignment="0" applyProtection="0"/>
    <xf numFmtId="0" fontId="106" fillId="0" borderId="0" applyNumberFormat="0" applyFill="0" applyBorder="0" applyAlignment="0" applyProtection="0"/>
    <xf numFmtId="0" fontId="107" fillId="65" borderId="0" applyNumberFormat="0" applyBorder="0" applyAlignment="0" applyProtection="0"/>
    <xf numFmtId="0" fontId="108" fillId="53" borderId="0" applyNumberFormat="0" applyBorder="0" applyAlignment="0" applyProtection="0"/>
    <xf numFmtId="0" fontId="109" fillId="56" borderId="0" applyNumberFormat="0" applyBorder="0" applyAlignment="0" applyProtection="0"/>
    <xf numFmtId="0" fontId="110" fillId="55" borderId="167" applyNumberFormat="0" applyAlignment="0" applyProtection="0"/>
    <xf numFmtId="0" fontId="111" fillId="66" borderId="172" applyNumberFormat="0" applyAlignment="0" applyProtection="0"/>
    <xf numFmtId="0" fontId="112" fillId="66" borderId="167" applyNumberFormat="0" applyAlignment="0" applyProtection="0"/>
    <xf numFmtId="0" fontId="113" fillId="0" borderId="170" applyNumberFormat="0" applyFill="0" applyAlignment="0" applyProtection="0"/>
    <xf numFmtId="0" fontId="114" fillId="54" borderId="168" applyNumberFormat="0" applyAlignment="0" applyProtection="0"/>
    <xf numFmtId="0" fontId="115" fillId="0" borderId="0" applyNumberFormat="0" applyFill="0" applyBorder="0" applyAlignment="0" applyProtection="0"/>
    <xf numFmtId="0" fontId="11" fillId="57" borderId="171" applyNumberFormat="0" applyFont="0" applyAlignment="0" applyProtection="0"/>
    <xf numFmtId="0" fontId="116" fillId="0" borderId="0" applyNumberFormat="0" applyFill="0" applyBorder="0" applyAlignment="0" applyProtection="0"/>
    <xf numFmtId="0" fontId="117" fillId="0" borderId="181" applyNumberFormat="0" applyFill="0" applyAlignment="0" applyProtection="0"/>
    <xf numFmtId="0" fontId="118" fillId="67" borderId="0" applyNumberFormat="0" applyBorder="0" applyAlignment="0" applyProtection="0"/>
    <xf numFmtId="0" fontId="11" fillId="68" borderId="0" applyNumberFormat="0" applyBorder="0" applyAlignment="0" applyProtection="0"/>
    <xf numFmtId="0" fontId="11" fillId="69" borderId="0" applyNumberFormat="0" applyBorder="0" applyAlignment="0" applyProtection="0"/>
    <xf numFmtId="0" fontId="118" fillId="70" borderId="0" applyNumberFormat="0" applyBorder="0" applyAlignment="0" applyProtection="0"/>
    <xf numFmtId="0" fontId="118" fillId="49" borderId="0" applyNumberFormat="0" applyBorder="0" applyAlignment="0" applyProtection="0"/>
    <xf numFmtId="0" fontId="11" fillId="71" borderId="0" applyNumberFormat="0" applyBorder="0" applyAlignment="0" applyProtection="0"/>
    <xf numFmtId="0" fontId="11" fillId="46" borderId="0" applyNumberFormat="0" applyBorder="0" applyAlignment="0" applyProtection="0"/>
    <xf numFmtId="0" fontId="118" fillId="47" borderId="0" applyNumberFormat="0" applyBorder="0" applyAlignment="0" applyProtection="0"/>
    <xf numFmtId="0" fontId="118" fillId="50" borderId="0" applyNumberFormat="0" applyBorder="0" applyAlignment="0" applyProtection="0"/>
    <xf numFmtId="0" fontId="11" fillId="72" borderId="0" applyNumberFormat="0" applyBorder="0" applyAlignment="0" applyProtection="0"/>
    <xf numFmtId="0" fontId="11" fillId="73" borderId="0" applyNumberFormat="0" applyBorder="0" applyAlignment="0" applyProtection="0"/>
    <xf numFmtId="0" fontId="118" fillId="74" borderId="0" applyNumberFormat="0" applyBorder="0" applyAlignment="0" applyProtection="0"/>
    <xf numFmtId="0" fontId="118" fillId="75" borderId="0" applyNumberFormat="0" applyBorder="0" applyAlignment="0" applyProtection="0"/>
    <xf numFmtId="0" fontId="11" fillId="76" borderId="0" applyNumberFormat="0" applyBorder="0" applyAlignment="0" applyProtection="0"/>
    <xf numFmtId="0" fontId="11" fillId="77" borderId="0" applyNumberFormat="0" applyBorder="0" applyAlignment="0" applyProtection="0"/>
    <xf numFmtId="0" fontId="118" fillId="78" borderId="0" applyNumberFormat="0" applyBorder="0" applyAlignment="0" applyProtection="0"/>
    <xf numFmtId="0" fontId="118" fillId="51" borderId="0" applyNumberFormat="0" applyBorder="0" applyAlignment="0" applyProtection="0"/>
    <xf numFmtId="0" fontId="11" fillId="79" borderId="0" applyNumberFormat="0" applyBorder="0" applyAlignment="0" applyProtection="0"/>
    <xf numFmtId="0" fontId="11" fillId="80" borderId="0" applyNumberFormat="0" applyBorder="0" applyAlignment="0" applyProtection="0"/>
    <xf numFmtId="0" fontId="118" fillId="48" borderId="0" applyNumberFormat="0" applyBorder="0" applyAlignment="0" applyProtection="0"/>
    <xf numFmtId="0" fontId="118" fillId="52" borderId="0" applyNumberFormat="0" applyBorder="0" applyAlignment="0" applyProtection="0"/>
    <xf numFmtId="0" fontId="11" fillId="45" borderId="0" applyNumberFormat="0" applyBorder="0" applyAlignment="0" applyProtection="0"/>
    <xf numFmtId="0" fontId="11" fillId="81" borderId="0" applyNumberFormat="0" applyBorder="0" applyAlignment="0" applyProtection="0"/>
    <xf numFmtId="0" fontId="118" fillId="82" borderId="0" applyNumberFormat="0" applyBorder="0" applyAlignment="0" applyProtection="0"/>
    <xf numFmtId="0" fontId="119" fillId="0" borderId="0"/>
    <xf numFmtId="0" fontId="119" fillId="0" borderId="0"/>
    <xf numFmtId="0" fontId="98" fillId="0" borderId="0" applyNumberFormat="0" applyFill="0" applyBorder="0" applyAlignment="0" applyProtection="0"/>
    <xf numFmtId="0" fontId="104" fillId="0" borderId="179" applyNumberFormat="0" applyFill="0" applyAlignment="0" applyProtection="0"/>
    <xf numFmtId="0" fontId="105" fillId="0" borderId="169" applyNumberFormat="0" applyFill="0" applyAlignment="0" applyProtection="0"/>
    <xf numFmtId="0" fontId="106" fillId="0" borderId="180" applyNumberFormat="0" applyFill="0" applyAlignment="0" applyProtection="0"/>
    <xf numFmtId="0" fontId="106" fillId="0" borderId="0" applyNumberFormat="0" applyFill="0" applyBorder="0" applyAlignment="0" applyProtection="0"/>
    <xf numFmtId="0" fontId="107" fillId="65" borderId="0" applyNumberFormat="0" applyBorder="0" applyAlignment="0" applyProtection="0"/>
    <xf numFmtId="0" fontId="108" fillId="53" borderId="0" applyNumberFormat="0" applyBorder="0" applyAlignment="0" applyProtection="0"/>
    <xf numFmtId="0" fontId="109" fillId="56" borderId="0" applyNumberFormat="0" applyBorder="0" applyAlignment="0" applyProtection="0"/>
    <xf numFmtId="0" fontId="110" fillId="55" borderId="167" applyNumberFormat="0" applyAlignment="0" applyProtection="0"/>
    <xf numFmtId="0" fontId="111" fillId="66" borderId="172" applyNumberFormat="0" applyAlignment="0" applyProtection="0"/>
    <xf numFmtId="0" fontId="112" fillId="66" borderId="167" applyNumberFormat="0" applyAlignment="0" applyProtection="0"/>
    <xf numFmtId="0" fontId="113" fillId="0" borderId="170" applyNumberFormat="0" applyFill="0" applyAlignment="0" applyProtection="0"/>
    <xf numFmtId="0" fontId="114" fillId="54" borderId="168" applyNumberFormat="0" applyAlignment="0" applyProtection="0"/>
    <xf numFmtId="0" fontId="115" fillId="0" borderId="0" applyNumberFormat="0" applyFill="0" applyBorder="0" applyAlignment="0" applyProtection="0"/>
    <xf numFmtId="0" fontId="10" fillId="57" borderId="171" applyNumberFormat="0" applyFont="0" applyAlignment="0" applyProtection="0"/>
    <xf numFmtId="0" fontId="116" fillId="0" borderId="0" applyNumberFormat="0" applyFill="0" applyBorder="0" applyAlignment="0" applyProtection="0"/>
    <xf numFmtId="0" fontId="117" fillId="0" borderId="181" applyNumberFormat="0" applyFill="0" applyAlignment="0" applyProtection="0"/>
    <xf numFmtId="0" fontId="118" fillId="67" borderId="0" applyNumberFormat="0" applyBorder="0" applyAlignment="0" applyProtection="0"/>
    <xf numFmtId="0" fontId="10" fillId="68" borderId="0" applyNumberFormat="0" applyBorder="0" applyAlignment="0" applyProtection="0"/>
    <xf numFmtId="0" fontId="10" fillId="69" borderId="0" applyNumberFormat="0" applyBorder="0" applyAlignment="0" applyProtection="0"/>
    <xf numFmtId="0" fontId="118" fillId="70" borderId="0" applyNumberFormat="0" applyBorder="0" applyAlignment="0" applyProtection="0"/>
    <xf numFmtId="0" fontId="118" fillId="49" borderId="0" applyNumberFormat="0" applyBorder="0" applyAlignment="0" applyProtection="0"/>
    <xf numFmtId="0" fontId="10" fillId="71" borderId="0" applyNumberFormat="0" applyBorder="0" applyAlignment="0" applyProtection="0"/>
    <xf numFmtId="0" fontId="10" fillId="46" borderId="0" applyNumberFormat="0" applyBorder="0" applyAlignment="0" applyProtection="0"/>
    <xf numFmtId="0" fontId="118" fillId="47" borderId="0" applyNumberFormat="0" applyBorder="0" applyAlignment="0" applyProtection="0"/>
    <xf numFmtId="0" fontId="118" fillId="50" borderId="0" applyNumberFormat="0" applyBorder="0" applyAlignment="0" applyProtection="0"/>
    <xf numFmtId="0" fontId="10" fillId="72" borderId="0" applyNumberFormat="0" applyBorder="0" applyAlignment="0" applyProtection="0"/>
    <xf numFmtId="0" fontId="10" fillId="73" borderId="0" applyNumberFormat="0" applyBorder="0" applyAlignment="0" applyProtection="0"/>
    <xf numFmtId="0" fontId="118" fillId="74" borderId="0" applyNumberFormat="0" applyBorder="0" applyAlignment="0" applyProtection="0"/>
    <xf numFmtId="0" fontId="118" fillId="75" borderId="0" applyNumberFormat="0" applyBorder="0" applyAlignment="0" applyProtection="0"/>
    <xf numFmtId="0" fontId="10" fillId="76" borderId="0" applyNumberFormat="0" applyBorder="0" applyAlignment="0" applyProtection="0"/>
    <xf numFmtId="0" fontId="10" fillId="77" borderId="0" applyNumberFormat="0" applyBorder="0" applyAlignment="0" applyProtection="0"/>
    <xf numFmtId="0" fontId="118" fillId="78" borderId="0" applyNumberFormat="0" applyBorder="0" applyAlignment="0" applyProtection="0"/>
    <xf numFmtId="0" fontId="118" fillId="51" borderId="0" applyNumberFormat="0" applyBorder="0" applyAlignment="0" applyProtection="0"/>
    <xf numFmtId="0" fontId="10" fillId="79" borderId="0" applyNumberFormat="0" applyBorder="0" applyAlignment="0" applyProtection="0"/>
    <xf numFmtId="0" fontId="10" fillId="80" borderId="0" applyNumberFormat="0" applyBorder="0" applyAlignment="0" applyProtection="0"/>
    <xf numFmtId="0" fontId="118" fillId="48" borderId="0" applyNumberFormat="0" applyBorder="0" applyAlignment="0" applyProtection="0"/>
    <xf numFmtId="0" fontId="118" fillId="52" borderId="0" applyNumberFormat="0" applyBorder="0" applyAlignment="0" applyProtection="0"/>
    <xf numFmtId="0" fontId="10" fillId="45" borderId="0" applyNumberFormat="0" applyBorder="0" applyAlignment="0" applyProtection="0"/>
    <xf numFmtId="0" fontId="10" fillId="81" borderId="0" applyNumberFormat="0" applyBorder="0" applyAlignment="0" applyProtection="0"/>
    <xf numFmtId="0" fontId="118" fillId="82" borderId="0" applyNumberFormat="0" applyBorder="0" applyAlignment="0" applyProtection="0"/>
    <xf numFmtId="0" fontId="119" fillId="0" borderId="0"/>
    <xf numFmtId="0" fontId="97" fillId="0" borderId="0"/>
    <xf numFmtId="0" fontId="98" fillId="0" borderId="0" applyNumberFormat="0" applyFill="0" applyBorder="0" applyAlignment="0" applyProtection="0"/>
    <xf numFmtId="0" fontId="104" fillId="0" borderId="179" applyNumberFormat="0" applyFill="0" applyAlignment="0" applyProtection="0"/>
    <xf numFmtId="0" fontId="105" fillId="0" borderId="169" applyNumberFormat="0" applyFill="0" applyAlignment="0" applyProtection="0"/>
    <xf numFmtId="0" fontId="106" fillId="0" borderId="180" applyNumberFormat="0" applyFill="0" applyAlignment="0" applyProtection="0"/>
    <xf numFmtId="0" fontId="106" fillId="0" borderId="0" applyNumberFormat="0" applyFill="0" applyBorder="0" applyAlignment="0" applyProtection="0"/>
    <xf numFmtId="0" fontId="107" fillId="65" borderId="0" applyNumberFormat="0" applyBorder="0" applyAlignment="0" applyProtection="0"/>
    <xf numFmtId="0" fontId="108" fillId="53" borderId="0" applyNumberFormat="0" applyBorder="0" applyAlignment="0" applyProtection="0"/>
    <xf numFmtId="0" fontId="109" fillId="56" borderId="0" applyNumberFormat="0" applyBorder="0" applyAlignment="0" applyProtection="0"/>
    <xf numFmtId="0" fontId="110" fillId="55" borderId="167" applyNumberFormat="0" applyAlignment="0" applyProtection="0"/>
    <xf numFmtId="0" fontId="111" fillId="66" borderId="172" applyNumberFormat="0" applyAlignment="0" applyProtection="0"/>
    <xf numFmtId="0" fontId="112" fillId="66" borderId="167" applyNumberFormat="0" applyAlignment="0" applyProtection="0"/>
    <xf numFmtId="0" fontId="113" fillId="0" borderId="170" applyNumberFormat="0" applyFill="0" applyAlignment="0" applyProtection="0"/>
    <xf numFmtId="0" fontId="114" fillId="54" borderId="168" applyNumberFormat="0" applyAlignment="0" applyProtection="0"/>
    <xf numFmtId="0" fontId="115" fillId="0" borderId="0" applyNumberFormat="0" applyFill="0" applyBorder="0" applyAlignment="0" applyProtection="0"/>
    <xf numFmtId="0" fontId="9" fillId="57" borderId="171" applyNumberFormat="0" applyFont="0" applyAlignment="0" applyProtection="0"/>
    <xf numFmtId="0" fontId="116" fillId="0" borderId="0" applyNumberFormat="0" applyFill="0" applyBorder="0" applyAlignment="0" applyProtection="0"/>
    <xf numFmtId="0" fontId="117" fillId="0" borderId="181" applyNumberFormat="0" applyFill="0" applyAlignment="0" applyProtection="0"/>
    <xf numFmtId="0" fontId="118" fillId="67" borderId="0" applyNumberFormat="0" applyBorder="0" applyAlignment="0" applyProtection="0"/>
    <xf numFmtId="0" fontId="9" fillId="68" borderId="0" applyNumberFormat="0" applyBorder="0" applyAlignment="0" applyProtection="0"/>
    <xf numFmtId="0" fontId="9" fillId="69" borderId="0" applyNumberFormat="0" applyBorder="0" applyAlignment="0" applyProtection="0"/>
    <xf numFmtId="0" fontId="118" fillId="70" borderId="0" applyNumberFormat="0" applyBorder="0" applyAlignment="0" applyProtection="0"/>
    <xf numFmtId="0" fontId="118" fillId="49" borderId="0" applyNumberFormat="0" applyBorder="0" applyAlignment="0" applyProtection="0"/>
    <xf numFmtId="0" fontId="9" fillId="71" borderId="0" applyNumberFormat="0" applyBorder="0" applyAlignment="0" applyProtection="0"/>
    <xf numFmtId="0" fontId="9" fillId="46" borderId="0" applyNumberFormat="0" applyBorder="0" applyAlignment="0" applyProtection="0"/>
    <xf numFmtId="0" fontId="118" fillId="47" borderId="0" applyNumberFormat="0" applyBorder="0" applyAlignment="0" applyProtection="0"/>
    <xf numFmtId="0" fontId="118" fillId="50" borderId="0" applyNumberFormat="0" applyBorder="0" applyAlignment="0" applyProtection="0"/>
    <xf numFmtId="0" fontId="9" fillId="72" borderId="0" applyNumberFormat="0" applyBorder="0" applyAlignment="0" applyProtection="0"/>
    <xf numFmtId="0" fontId="9" fillId="73" borderId="0" applyNumberFormat="0" applyBorder="0" applyAlignment="0" applyProtection="0"/>
    <xf numFmtId="0" fontId="118" fillId="74" borderId="0" applyNumberFormat="0" applyBorder="0" applyAlignment="0" applyProtection="0"/>
    <xf numFmtId="0" fontId="118" fillId="75" borderId="0" applyNumberFormat="0" applyBorder="0" applyAlignment="0" applyProtection="0"/>
    <xf numFmtId="0" fontId="9" fillId="76" borderId="0" applyNumberFormat="0" applyBorder="0" applyAlignment="0" applyProtection="0"/>
    <xf numFmtId="0" fontId="9" fillId="77" borderId="0" applyNumberFormat="0" applyBorder="0" applyAlignment="0" applyProtection="0"/>
    <xf numFmtId="0" fontId="118" fillId="78" borderId="0" applyNumberFormat="0" applyBorder="0" applyAlignment="0" applyProtection="0"/>
    <xf numFmtId="0" fontId="118" fillId="51" borderId="0" applyNumberFormat="0" applyBorder="0" applyAlignment="0" applyProtection="0"/>
    <xf numFmtId="0" fontId="9" fillId="79" borderId="0" applyNumberFormat="0" applyBorder="0" applyAlignment="0" applyProtection="0"/>
    <xf numFmtId="0" fontId="9" fillId="80" borderId="0" applyNumberFormat="0" applyBorder="0" applyAlignment="0" applyProtection="0"/>
    <xf numFmtId="0" fontId="118" fillId="48" borderId="0" applyNumberFormat="0" applyBorder="0" applyAlignment="0" applyProtection="0"/>
    <xf numFmtId="0" fontId="118" fillId="52" borderId="0" applyNumberFormat="0" applyBorder="0" applyAlignment="0" applyProtection="0"/>
    <xf numFmtId="0" fontId="9" fillId="45" borderId="0" applyNumberFormat="0" applyBorder="0" applyAlignment="0" applyProtection="0"/>
    <xf numFmtId="0" fontId="9" fillId="81" borderId="0" applyNumberFormat="0" applyBorder="0" applyAlignment="0" applyProtection="0"/>
    <xf numFmtId="0" fontId="118" fillId="82" borderId="0" applyNumberFormat="0" applyBorder="0" applyAlignment="0" applyProtection="0"/>
    <xf numFmtId="0" fontId="98" fillId="0" borderId="0" applyNumberFormat="0" applyFill="0" applyBorder="0" applyAlignment="0" applyProtection="0"/>
    <xf numFmtId="0" fontId="104" fillId="0" borderId="179" applyNumberFormat="0" applyFill="0" applyAlignment="0" applyProtection="0"/>
    <xf numFmtId="0" fontId="105" fillId="0" borderId="169" applyNumberFormat="0" applyFill="0" applyAlignment="0" applyProtection="0"/>
    <xf numFmtId="0" fontId="106" fillId="0" borderId="180" applyNumberFormat="0" applyFill="0" applyAlignment="0" applyProtection="0"/>
    <xf numFmtId="0" fontId="106" fillId="0" borderId="0" applyNumberFormat="0" applyFill="0" applyBorder="0" applyAlignment="0" applyProtection="0"/>
    <xf numFmtId="0" fontId="107" fillId="65" borderId="0" applyNumberFormat="0" applyBorder="0" applyAlignment="0" applyProtection="0"/>
    <xf numFmtId="0" fontId="108" fillId="53" borderId="0" applyNumberFormat="0" applyBorder="0" applyAlignment="0" applyProtection="0"/>
    <xf numFmtId="0" fontId="109" fillId="56" borderId="0" applyNumberFormat="0" applyBorder="0" applyAlignment="0" applyProtection="0"/>
    <xf numFmtId="0" fontId="110" fillId="55" borderId="167" applyNumberFormat="0" applyAlignment="0" applyProtection="0"/>
    <xf numFmtId="0" fontId="111" fillId="66" borderId="172" applyNumberFormat="0" applyAlignment="0" applyProtection="0"/>
    <xf numFmtId="0" fontId="112" fillId="66" borderId="167" applyNumberFormat="0" applyAlignment="0" applyProtection="0"/>
    <xf numFmtId="0" fontId="113" fillId="0" borderId="170" applyNumberFormat="0" applyFill="0" applyAlignment="0" applyProtection="0"/>
    <xf numFmtId="0" fontId="114" fillId="54" borderId="168" applyNumberFormat="0" applyAlignment="0" applyProtection="0"/>
    <xf numFmtId="0" fontId="115" fillId="0" borderId="0" applyNumberFormat="0" applyFill="0" applyBorder="0" applyAlignment="0" applyProtection="0"/>
    <xf numFmtId="0" fontId="8" fillId="57" borderId="171" applyNumberFormat="0" applyFont="0" applyAlignment="0" applyProtection="0"/>
    <xf numFmtId="0" fontId="116" fillId="0" borderId="0" applyNumberFormat="0" applyFill="0" applyBorder="0" applyAlignment="0" applyProtection="0"/>
    <xf numFmtId="0" fontId="117" fillId="0" borderId="181" applyNumberFormat="0" applyFill="0" applyAlignment="0" applyProtection="0"/>
    <xf numFmtId="0" fontId="118" fillId="67" borderId="0" applyNumberFormat="0" applyBorder="0" applyAlignment="0" applyProtection="0"/>
    <xf numFmtId="0" fontId="8" fillId="68" borderId="0" applyNumberFormat="0" applyBorder="0" applyAlignment="0" applyProtection="0"/>
    <xf numFmtId="0" fontId="8" fillId="69" borderId="0" applyNumberFormat="0" applyBorder="0" applyAlignment="0" applyProtection="0"/>
    <xf numFmtId="0" fontId="118" fillId="70" borderId="0" applyNumberFormat="0" applyBorder="0" applyAlignment="0" applyProtection="0"/>
    <xf numFmtId="0" fontId="118" fillId="49" borderId="0" applyNumberFormat="0" applyBorder="0" applyAlignment="0" applyProtection="0"/>
    <xf numFmtId="0" fontId="8" fillId="71" borderId="0" applyNumberFormat="0" applyBorder="0" applyAlignment="0" applyProtection="0"/>
    <xf numFmtId="0" fontId="8" fillId="46" borderId="0" applyNumberFormat="0" applyBorder="0" applyAlignment="0" applyProtection="0"/>
    <xf numFmtId="0" fontId="118" fillId="47" borderId="0" applyNumberFormat="0" applyBorder="0" applyAlignment="0" applyProtection="0"/>
    <xf numFmtId="0" fontId="118" fillId="50" borderId="0" applyNumberFormat="0" applyBorder="0" applyAlignment="0" applyProtection="0"/>
    <xf numFmtId="0" fontId="8" fillId="72" borderId="0" applyNumberFormat="0" applyBorder="0" applyAlignment="0" applyProtection="0"/>
    <xf numFmtId="0" fontId="8" fillId="73" borderId="0" applyNumberFormat="0" applyBorder="0" applyAlignment="0" applyProtection="0"/>
    <xf numFmtId="0" fontId="118" fillId="74" borderId="0" applyNumberFormat="0" applyBorder="0" applyAlignment="0" applyProtection="0"/>
    <xf numFmtId="0" fontId="118" fillId="75" borderId="0" applyNumberFormat="0" applyBorder="0" applyAlignment="0" applyProtection="0"/>
    <xf numFmtId="0" fontId="8" fillId="76" borderId="0" applyNumberFormat="0" applyBorder="0" applyAlignment="0" applyProtection="0"/>
    <xf numFmtId="0" fontId="8" fillId="77" borderId="0" applyNumberFormat="0" applyBorder="0" applyAlignment="0" applyProtection="0"/>
    <xf numFmtId="0" fontId="118" fillId="78" borderId="0" applyNumberFormat="0" applyBorder="0" applyAlignment="0" applyProtection="0"/>
    <xf numFmtId="0" fontId="118" fillId="51" borderId="0" applyNumberFormat="0" applyBorder="0" applyAlignment="0" applyProtection="0"/>
    <xf numFmtId="0" fontId="8" fillId="79" borderId="0" applyNumberFormat="0" applyBorder="0" applyAlignment="0" applyProtection="0"/>
    <xf numFmtId="0" fontId="8" fillId="80" borderId="0" applyNumberFormat="0" applyBorder="0" applyAlignment="0" applyProtection="0"/>
    <xf numFmtId="0" fontId="118" fillId="48" borderId="0" applyNumberFormat="0" applyBorder="0" applyAlignment="0" applyProtection="0"/>
    <xf numFmtId="0" fontId="118" fillId="52" borderId="0" applyNumberFormat="0" applyBorder="0" applyAlignment="0" applyProtection="0"/>
    <xf numFmtId="0" fontId="8" fillId="45" borderId="0" applyNumberFormat="0" applyBorder="0" applyAlignment="0" applyProtection="0"/>
    <xf numFmtId="0" fontId="8" fillId="81" borderId="0" applyNumberFormat="0" applyBorder="0" applyAlignment="0" applyProtection="0"/>
    <xf numFmtId="0" fontId="118" fillId="82" borderId="0" applyNumberFormat="0" applyBorder="0" applyAlignment="0" applyProtection="0"/>
    <xf numFmtId="0" fontId="98" fillId="0" borderId="0" applyNumberFormat="0" applyFill="0" applyBorder="0" applyAlignment="0" applyProtection="0"/>
    <xf numFmtId="0" fontId="104" fillId="0" borderId="179" applyNumberFormat="0" applyFill="0" applyAlignment="0" applyProtection="0"/>
    <xf numFmtId="0" fontId="105" fillId="0" borderId="169" applyNumberFormat="0" applyFill="0" applyAlignment="0" applyProtection="0"/>
    <xf numFmtId="0" fontId="106" fillId="0" borderId="180" applyNumberFormat="0" applyFill="0" applyAlignment="0" applyProtection="0"/>
    <xf numFmtId="0" fontId="106" fillId="0" borderId="0" applyNumberFormat="0" applyFill="0" applyBorder="0" applyAlignment="0" applyProtection="0"/>
    <xf numFmtId="0" fontId="107" fillId="65" borderId="0" applyNumberFormat="0" applyBorder="0" applyAlignment="0" applyProtection="0"/>
    <xf numFmtId="0" fontId="108" fillId="53" borderId="0" applyNumberFormat="0" applyBorder="0" applyAlignment="0" applyProtection="0"/>
    <xf numFmtId="0" fontId="109" fillId="56" borderId="0" applyNumberFormat="0" applyBorder="0" applyAlignment="0" applyProtection="0"/>
    <xf numFmtId="0" fontId="110" fillId="55" borderId="167" applyNumberFormat="0" applyAlignment="0" applyProtection="0"/>
    <xf numFmtId="0" fontId="111" fillId="66" borderId="172" applyNumberFormat="0" applyAlignment="0" applyProtection="0"/>
    <xf numFmtId="0" fontId="112" fillId="66" borderId="167" applyNumberFormat="0" applyAlignment="0" applyProtection="0"/>
    <xf numFmtId="0" fontId="113" fillId="0" borderId="170" applyNumberFormat="0" applyFill="0" applyAlignment="0" applyProtection="0"/>
    <xf numFmtId="0" fontId="114" fillId="54" borderId="168" applyNumberFormat="0" applyAlignment="0" applyProtection="0"/>
    <xf numFmtId="0" fontId="115" fillId="0" borderId="0" applyNumberFormat="0" applyFill="0" applyBorder="0" applyAlignment="0" applyProtection="0"/>
    <xf numFmtId="0" fontId="7" fillId="57" borderId="171" applyNumberFormat="0" applyFont="0" applyAlignment="0" applyProtection="0"/>
    <xf numFmtId="0" fontId="116" fillId="0" borderId="0" applyNumberFormat="0" applyFill="0" applyBorder="0" applyAlignment="0" applyProtection="0"/>
    <xf numFmtId="0" fontId="117" fillId="0" borderId="181" applyNumberFormat="0" applyFill="0" applyAlignment="0" applyProtection="0"/>
    <xf numFmtId="0" fontId="118" fillId="67" borderId="0" applyNumberFormat="0" applyBorder="0" applyAlignment="0" applyProtection="0"/>
    <xf numFmtId="0" fontId="7" fillId="68" borderId="0" applyNumberFormat="0" applyBorder="0" applyAlignment="0" applyProtection="0"/>
    <xf numFmtId="0" fontId="7" fillId="69" borderId="0" applyNumberFormat="0" applyBorder="0" applyAlignment="0" applyProtection="0"/>
    <xf numFmtId="0" fontId="118" fillId="70" borderId="0" applyNumberFormat="0" applyBorder="0" applyAlignment="0" applyProtection="0"/>
    <xf numFmtId="0" fontId="118" fillId="49" borderId="0" applyNumberFormat="0" applyBorder="0" applyAlignment="0" applyProtection="0"/>
    <xf numFmtId="0" fontId="7" fillId="71" borderId="0" applyNumberFormat="0" applyBorder="0" applyAlignment="0" applyProtection="0"/>
    <xf numFmtId="0" fontId="7" fillId="46" borderId="0" applyNumberFormat="0" applyBorder="0" applyAlignment="0" applyProtection="0"/>
    <xf numFmtId="0" fontId="118" fillId="47" borderId="0" applyNumberFormat="0" applyBorder="0" applyAlignment="0" applyProtection="0"/>
    <xf numFmtId="0" fontId="118" fillId="50" borderId="0" applyNumberFormat="0" applyBorder="0" applyAlignment="0" applyProtection="0"/>
    <xf numFmtId="0" fontId="7" fillId="72" borderId="0" applyNumberFormat="0" applyBorder="0" applyAlignment="0" applyProtection="0"/>
    <xf numFmtId="0" fontId="7" fillId="73" borderId="0" applyNumberFormat="0" applyBorder="0" applyAlignment="0" applyProtection="0"/>
    <xf numFmtId="0" fontId="118" fillId="74" borderId="0" applyNumberFormat="0" applyBorder="0" applyAlignment="0" applyProtection="0"/>
    <xf numFmtId="0" fontId="118" fillId="75" borderId="0" applyNumberFormat="0" applyBorder="0" applyAlignment="0" applyProtection="0"/>
    <xf numFmtId="0" fontId="7" fillId="76" borderId="0" applyNumberFormat="0" applyBorder="0" applyAlignment="0" applyProtection="0"/>
    <xf numFmtId="0" fontId="7" fillId="77" borderId="0" applyNumberFormat="0" applyBorder="0" applyAlignment="0" applyProtection="0"/>
    <xf numFmtId="0" fontId="118" fillId="78" borderId="0" applyNumberFormat="0" applyBorder="0" applyAlignment="0" applyProtection="0"/>
    <xf numFmtId="0" fontId="118" fillId="51" borderId="0" applyNumberFormat="0" applyBorder="0" applyAlignment="0" applyProtection="0"/>
    <xf numFmtId="0" fontId="7" fillId="79" borderId="0" applyNumberFormat="0" applyBorder="0" applyAlignment="0" applyProtection="0"/>
    <xf numFmtId="0" fontId="7" fillId="80" borderId="0" applyNumberFormat="0" applyBorder="0" applyAlignment="0" applyProtection="0"/>
    <xf numFmtId="0" fontId="118" fillId="48" borderId="0" applyNumberFormat="0" applyBorder="0" applyAlignment="0" applyProtection="0"/>
    <xf numFmtId="0" fontId="118" fillId="52" borderId="0" applyNumberFormat="0" applyBorder="0" applyAlignment="0" applyProtection="0"/>
    <xf numFmtId="0" fontId="7" fillId="45" borderId="0" applyNumberFormat="0" applyBorder="0" applyAlignment="0" applyProtection="0"/>
    <xf numFmtId="0" fontId="7" fillId="81" borderId="0" applyNumberFormat="0" applyBorder="0" applyAlignment="0" applyProtection="0"/>
    <xf numFmtId="0" fontId="118" fillId="82" borderId="0" applyNumberFormat="0" applyBorder="0" applyAlignment="0" applyProtection="0"/>
    <xf numFmtId="0" fontId="98" fillId="0" borderId="0" applyNumberFormat="0" applyFill="0" applyBorder="0" applyAlignment="0" applyProtection="0"/>
    <xf numFmtId="0" fontId="104" fillId="0" borderId="179" applyNumberFormat="0" applyFill="0" applyAlignment="0" applyProtection="0"/>
    <xf numFmtId="0" fontId="105" fillId="0" borderId="169" applyNumberFormat="0" applyFill="0" applyAlignment="0" applyProtection="0"/>
    <xf numFmtId="0" fontId="106" fillId="0" borderId="180" applyNumberFormat="0" applyFill="0" applyAlignment="0" applyProtection="0"/>
    <xf numFmtId="0" fontId="106" fillId="0" borderId="0" applyNumberFormat="0" applyFill="0" applyBorder="0" applyAlignment="0" applyProtection="0"/>
    <xf numFmtId="0" fontId="107" fillId="65" borderId="0" applyNumberFormat="0" applyBorder="0" applyAlignment="0" applyProtection="0"/>
    <xf numFmtId="0" fontId="108" fillId="53" borderId="0" applyNumberFormat="0" applyBorder="0" applyAlignment="0" applyProtection="0"/>
    <xf numFmtId="0" fontId="109" fillId="56" borderId="0" applyNumberFormat="0" applyBorder="0" applyAlignment="0" applyProtection="0"/>
    <xf numFmtId="0" fontId="110" fillId="55" borderId="167" applyNumberFormat="0" applyAlignment="0" applyProtection="0"/>
    <xf numFmtId="0" fontId="111" fillId="66" borderId="172" applyNumberFormat="0" applyAlignment="0" applyProtection="0"/>
    <xf numFmtId="0" fontId="112" fillId="66" borderId="167" applyNumberFormat="0" applyAlignment="0" applyProtection="0"/>
    <xf numFmtId="0" fontId="113" fillId="0" borderId="170" applyNumberFormat="0" applyFill="0" applyAlignment="0" applyProtection="0"/>
    <xf numFmtId="0" fontId="114" fillId="54" borderId="168" applyNumberFormat="0" applyAlignment="0" applyProtection="0"/>
    <xf numFmtId="0" fontId="115" fillId="0" borderId="0" applyNumberFormat="0" applyFill="0" applyBorder="0" applyAlignment="0" applyProtection="0"/>
    <xf numFmtId="0" fontId="6" fillId="57" borderId="171" applyNumberFormat="0" applyFont="0" applyAlignment="0" applyProtection="0"/>
    <xf numFmtId="0" fontId="116" fillId="0" borderId="0" applyNumberFormat="0" applyFill="0" applyBorder="0" applyAlignment="0" applyProtection="0"/>
    <xf numFmtId="0" fontId="117" fillId="0" borderId="181" applyNumberFormat="0" applyFill="0" applyAlignment="0" applyProtection="0"/>
    <xf numFmtId="0" fontId="118" fillId="67" borderId="0" applyNumberFormat="0" applyBorder="0" applyAlignment="0" applyProtection="0"/>
    <xf numFmtId="0" fontId="6" fillId="68" borderId="0" applyNumberFormat="0" applyBorder="0" applyAlignment="0" applyProtection="0"/>
    <xf numFmtId="0" fontId="6" fillId="69" borderId="0" applyNumberFormat="0" applyBorder="0" applyAlignment="0" applyProtection="0"/>
    <xf numFmtId="0" fontId="118" fillId="70" borderId="0" applyNumberFormat="0" applyBorder="0" applyAlignment="0" applyProtection="0"/>
    <xf numFmtId="0" fontId="118" fillId="49" borderId="0" applyNumberFormat="0" applyBorder="0" applyAlignment="0" applyProtection="0"/>
    <xf numFmtId="0" fontId="6" fillId="71" borderId="0" applyNumberFormat="0" applyBorder="0" applyAlignment="0" applyProtection="0"/>
    <xf numFmtId="0" fontId="6" fillId="46" borderId="0" applyNumberFormat="0" applyBorder="0" applyAlignment="0" applyProtection="0"/>
    <xf numFmtId="0" fontId="118" fillId="47" borderId="0" applyNumberFormat="0" applyBorder="0" applyAlignment="0" applyProtection="0"/>
    <xf numFmtId="0" fontId="118" fillId="50" borderId="0" applyNumberFormat="0" applyBorder="0" applyAlignment="0" applyProtection="0"/>
    <xf numFmtId="0" fontId="6" fillId="72" borderId="0" applyNumberFormat="0" applyBorder="0" applyAlignment="0" applyProtection="0"/>
    <xf numFmtId="0" fontId="6" fillId="73" borderId="0" applyNumberFormat="0" applyBorder="0" applyAlignment="0" applyProtection="0"/>
    <xf numFmtId="0" fontId="118" fillId="74" borderId="0" applyNumberFormat="0" applyBorder="0" applyAlignment="0" applyProtection="0"/>
    <xf numFmtId="0" fontId="118" fillId="75" borderId="0" applyNumberFormat="0" applyBorder="0" applyAlignment="0" applyProtection="0"/>
    <xf numFmtId="0" fontId="6" fillId="76" borderId="0" applyNumberFormat="0" applyBorder="0" applyAlignment="0" applyProtection="0"/>
    <xf numFmtId="0" fontId="6" fillId="77" borderId="0" applyNumberFormat="0" applyBorder="0" applyAlignment="0" applyProtection="0"/>
    <xf numFmtId="0" fontId="118" fillId="78" borderId="0" applyNumberFormat="0" applyBorder="0" applyAlignment="0" applyProtection="0"/>
    <xf numFmtId="0" fontId="118" fillId="51" borderId="0" applyNumberFormat="0" applyBorder="0" applyAlignment="0" applyProtection="0"/>
    <xf numFmtId="0" fontId="6" fillId="79" borderId="0" applyNumberFormat="0" applyBorder="0" applyAlignment="0" applyProtection="0"/>
    <xf numFmtId="0" fontId="6" fillId="80" borderId="0" applyNumberFormat="0" applyBorder="0" applyAlignment="0" applyProtection="0"/>
    <xf numFmtId="0" fontId="118" fillId="48" borderId="0" applyNumberFormat="0" applyBorder="0" applyAlignment="0" applyProtection="0"/>
    <xf numFmtId="0" fontId="118" fillId="52" borderId="0" applyNumberFormat="0" applyBorder="0" applyAlignment="0" applyProtection="0"/>
    <xf numFmtId="0" fontId="6" fillId="45" borderId="0" applyNumberFormat="0" applyBorder="0" applyAlignment="0" applyProtection="0"/>
    <xf numFmtId="0" fontId="6" fillId="81" borderId="0" applyNumberFormat="0" applyBorder="0" applyAlignment="0" applyProtection="0"/>
    <xf numFmtId="0" fontId="118" fillId="82" borderId="0" applyNumberFormat="0" applyBorder="0" applyAlignment="0" applyProtection="0"/>
    <xf numFmtId="0" fontId="98" fillId="0" borderId="0" applyNumberFormat="0" applyFill="0" applyBorder="0" applyAlignment="0" applyProtection="0"/>
    <xf numFmtId="0" fontId="104" fillId="0" borderId="179" applyNumberFormat="0" applyFill="0" applyAlignment="0" applyProtection="0"/>
    <xf numFmtId="0" fontId="105" fillId="0" borderId="169" applyNumberFormat="0" applyFill="0" applyAlignment="0" applyProtection="0"/>
    <xf numFmtId="0" fontId="106" fillId="0" borderId="180" applyNumberFormat="0" applyFill="0" applyAlignment="0" applyProtection="0"/>
    <xf numFmtId="0" fontId="106" fillId="0" borderId="0" applyNumberFormat="0" applyFill="0" applyBorder="0" applyAlignment="0" applyProtection="0"/>
    <xf numFmtId="0" fontId="107" fillId="65" borderId="0" applyNumberFormat="0" applyBorder="0" applyAlignment="0" applyProtection="0"/>
    <xf numFmtId="0" fontId="108" fillId="53" borderId="0" applyNumberFormat="0" applyBorder="0" applyAlignment="0" applyProtection="0"/>
    <xf numFmtId="0" fontId="109" fillId="56" borderId="0" applyNumberFormat="0" applyBorder="0" applyAlignment="0" applyProtection="0"/>
    <xf numFmtId="0" fontId="110" fillId="55" borderId="167" applyNumberFormat="0" applyAlignment="0" applyProtection="0"/>
    <xf numFmtId="0" fontId="111" fillId="66" borderId="172" applyNumberFormat="0" applyAlignment="0" applyProtection="0"/>
    <xf numFmtId="0" fontId="112" fillId="66" borderId="167" applyNumberFormat="0" applyAlignment="0" applyProtection="0"/>
    <xf numFmtId="0" fontId="113" fillId="0" borderId="170" applyNumberFormat="0" applyFill="0" applyAlignment="0" applyProtection="0"/>
    <xf numFmtId="0" fontId="114" fillId="54" borderId="168" applyNumberFormat="0" applyAlignment="0" applyProtection="0"/>
    <xf numFmtId="0" fontId="115" fillId="0" borderId="0" applyNumberFormat="0" applyFill="0" applyBorder="0" applyAlignment="0" applyProtection="0"/>
    <xf numFmtId="0" fontId="6" fillId="57" borderId="171" applyNumberFormat="0" applyFont="0" applyAlignment="0" applyProtection="0"/>
    <xf numFmtId="0" fontId="116" fillId="0" borderId="0" applyNumberFormat="0" applyFill="0" applyBorder="0" applyAlignment="0" applyProtection="0"/>
    <xf numFmtId="0" fontId="117" fillId="0" borderId="181" applyNumberFormat="0" applyFill="0" applyAlignment="0" applyProtection="0"/>
    <xf numFmtId="0" fontId="118" fillId="67" borderId="0" applyNumberFormat="0" applyBorder="0" applyAlignment="0" applyProtection="0"/>
    <xf numFmtId="0" fontId="6" fillId="68" borderId="0" applyNumberFormat="0" applyBorder="0" applyAlignment="0" applyProtection="0"/>
    <xf numFmtId="0" fontId="6" fillId="69" borderId="0" applyNumberFormat="0" applyBorder="0" applyAlignment="0" applyProtection="0"/>
    <xf numFmtId="0" fontId="118" fillId="70" borderId="0" applyNumberFormat="0" applyBorder="0" applyAlignment="0" applyProtection="0"/>
    <xf numFmtId="0" fontId="118" fillId="49" borderId="0" applyNumberFormat="0" applyBorder="0" applyAlignment="0" applyProtection="0"/>
    <xf numFmtId="0" fontId="6" fillId="71" borderId="0" applyNumberFormat="0" applyBorder="0" applyAlignment="0" applyProtection="0"/>
    <xf numFmtId="0" fontId="6" fillId="46" borderId="0" applyNumberFormat="0" applyBorder="0" applyAlignment="0" applyProtection="0"/>
    <xf numFmtId="0" fontId="118" fillId="47" borderId="0" applyNumberFormat="0" applyBorder="0" applyAlignment="0" applyProtection="0"/>
    <xf numFmtId="0" fontId="118" fillId="50" borderId="0" applyNumberFormat="0" applyBorder="0" applyAlignment="0" applyProtection="0"/>
    <xf numFmtId="0" fontId="6" fillId="72" borderId="0" applyNumberFormat="0" applyBorder="0" applyAlignment="0" applyProtection="0"/>
    <xf numFmtId="0" fontId="6" fillId="73" borderId="0" applyNumberFormat="0" applyBorder="0" applyAlignment="0" applyProtection="0"/>
    <xf numFmtId="0" fontId="118" fillId="74" borderId="0" applyNumberFormat="0" applyBorder="0" applyAlignment="0" applyProtection="0"/>
    <xf numFmtId="0" fontId="118" fillId="75" borderId="0" applyNumberFormat="0" applyBorder="0" applyAlignment="0" applyProtection="0"/>
    <xf numFmtId="0" fontId="6" fillId="76" borderId="0" applyNumberFormat="0" applyBorder="0" applyAlignment="0" applyProtection="0"/>
    <xf numFmtId="0" fontId="6" fillId="77" borderId="0" applyNumberFormat="0" applyBorder="0" applyAlignment="0" applyProtection="0"/>
    <xf numFmtId="0" fontId="118" fillId="78" borderId="0" applyNumberFormat="0" applyBorder="0" applyAlignment="0" applyProtection="0"/>
    <xf numFmtId="0" fontId="118" fillId="51" borderId="0" applyNumberFormat="0" applyBorder="0" applyAlignment="0" applyProtection="0"/>
    <xf numFmtId="0" fontId="6" fillId="79" borderId="0" applyNumberFormat="0" applyBorder="0" applyAlignment="0" applyProtection="0"/>
    <xf numFmtId="0" fontId="6" fillId="80" borderId="0" applyNumberFormat="0" applyBorder="0" applyAlignment="0" applyProtection="0"/>
    <xf numFmtId="0" fontId="118" fillId="48" borderId="0" applyNumberFormat="0" applyBorder="0" applyAlignment="0" applyProtection="0"/>
    <xf numFmtId="0" fontId="118" fillId="52" borderId="0" applyNumberFormat="0" applyBorder="0" applyAlignment="0" applyProtection="0"/>
    <xf numFmtId="0" fontId="6" fillId="45" borderId="0" applyNumberFormat="0" applyBorder="0" applyAlignment="0" applyProtection="0"/>
    <xf numFmtId="0" fontId="6" fillId="81" borderId="0" applyNumberFormat="0" applyBorder="0" applyAlignment="0" applyProtection="0"/>
    <xf numFmtId="0" fontId="118" fillId="82" borderId="0" applyNumberFormat="0" applyBorder="0" applyAlignment="0" applyProtection="0"/>
    <xf numFmtId="0" fontId="98" fillId="0" borderId="0" applyNumberFormat="0" applyFill="0" applyBorder="0" applyAlignment="0" applyProtection="0"/>
    <xf numFmtId="0" fontId="104" fillId="0" borderId="179" applyNumberFormat="0" applyFill="0" applyAlignment="0" applyProtection="0"/>
    <xf numFmtId="0" fontId="105" fillId="0" borderId="169" applyNumberFormat="0" applyFill="0" applyAlignment="0" applyProtection="0"/>
    <xf numFmtId="0" fontId="106" fillId="0" borderId="180" applyNumberFormat="0" applyFill="0" applyAlignment="0" applyProtection="0"/>
    <xf numFmtId="0" fontId="106" fillId="0" borderId="0" applyNumberFormat="0" applyFill="0" applyBorder="0" applyAlignment="0" applyProtection="0"/>
    <xf numFmtId="0" fontId="107" fillId="65" borderId="0" applyNumberFormat="0" applyBorder="0" applyAlignment="0" applyProtection="0"/>
    <xf numFmtId="0" fontId="108" fillId="53" borderId="0" applyNumberFormat="0" applyBorder="0" applyAlignment="0" applyProtection="0"/>
    <xf numFmtId="0" fontId="109" fillId="56" borderId="0" applyNumberFormat="0" applyBorder="0" applyAlignment="0" applyProtection="0"/>
    <xf numFmtId="0" fontId="110" fillId="55" borderId="167" applyNumberFormat="0" applyAlignment="0" applyProtection="0"/>
    <xf numFmtId="0" fontId="111" fillId="66" borderId="172" applyNumberFormat="0" applyAlignment="0" applyProtection="0"/>
    <xf numFmtId="0" fontId="112" fillId="66" borderId="167" applyNumberFormat="0" applyAlignment="0" applyProtection="0"/>
    <xf numFmtId="0" fontId="113" fillId="0" borderId="170" applyNumberFormat="0" applyFill="0" applyAlignment="0" applyProtection="0"/>
    <xf numFmtId="0" fontId="114" fillId="54" borderId="168" applyNumberFormat="0" applyAlignment="0" applyProtection="0"/>
    <xf numFmtId="0" fontId="115" fillId="0" borderId="0" applyNumberFormat="0" applyFill="0" applyBorder="0" applyAlignment="0" applyProtection="0"/>
    <xf numFmtId="0" fontId="6" fillId="57" borderId="171" applyNumberFormat="0" applyFont="0" applyAlignment="0" applyProtection="0"/>
    <xf numFmtId="0" fontId="116" fillId="0" borderId="0" applyNumberFormat="0" applyFill="0" applyBorder="0" applyAlignment="0" applyProtection="0"/>
    <xf numFmtId="0" fontId="117" fillId="0" borderId="181" applyNumberFormat="0" applyFill="0" applyAlignment="0" applyProtection="0"/>
    <xf numFmtId="0" fontId="118" fillId="67" borderId="0" applyNumberFormat="0" applyBorder="0" applyAlignment="0" applyProtection="0"/>
    <xf numFmtId="0" fontId="6" fillId="68" borderId="0" applyNumberFormat="0" applyBorder="0" applyAlignment="0" applyProtection="0"/>
    <xf numFmtId="0" fontId="6" fillId="69" borderId="0" applyNumberFormat="0" applyBorder="0" applyAlignment="0" applyProtection="0"/>
    <xf numFmtId="0" fontId="118" fillId="70" borderId="0" applyNumberFormat="0" applyBorder="0" applyAlignment="0" applyProtection="0"/>
    <xf numFmtId="0" fontId="118" fillId="49" borderId="0" applyNumberFormat="0" applyBorder="0" applyAlignment="0" applyProtection="0"/>
    <xf numFmtId="0" fontId="6" fillId="71" borderId="0" applyNumberFormat="0" applyBorder="0" applyAlignment="0" applyProtection="0"/>
    <xf numFmtId="0" fontId="6" fillId="46" borderId="0" applyNumberFormat="0" applyBorder="0" applyAlignment="0" applyProtection="0"/>
    <xf numFmtId="0" fontId="118" fillId="47" borderId="0" applyNumberFormat="0" applyBorder="0" applyAlignment="0" applyProtection="0"/>
    <xf numFmtId="0" fontId="118" fillId="50" borderId="0" applyNumberFormat="0" applyBorder="0" applyAlignment="0" applyProtection="0"/>
    <xf numFmtId="0" fontId="6" fillId="72" borderId="0" applyNumberFormat="0" applyBorder="0" applyAlignment="0" applyProtection="0"/>
    <xf numFmtId="0" fontId="6" fillId="73" borderId="0" applyNumberFormat="0" applyBorder="0" applyAlignment="0" applyProtection="0"/>
    <xf numFmtId="0" fontId="118" fillId="74" borderId="0" applyNumberFormat="0" applyBorder="0" applyAlignment="0" applyProtection="0"/>
    <xf numFmtId="0" fontId="118" fillId="75" borderId="0" applyNumberFormat="0" applyBorder="0" applyAlignment="0" applyProtection="0"/>
    <xf numFmtId="0" fontId="6" fillId="76" borderId="0" applyNumberFormat="0" applyBorder="0" applyAlignment="0" applyProtection="0"/>
    <xf numFmtId="0" fontId="6" fillId="77" borderId="0" applyNumberFormat="0" applyBorder="0" applyAlignment="0" applyProtection="0"/>
    <xf numFmtId="0" fontId="118" fillId="78" borderId="0" applyNumberFormat="0" applyBorder="0" applyAlignment="0" applyProtection="0"/>
    <xf numFmtId="0" fontId="118" fillId="51" borderId="0" applyNumberFormat="0" applyBorder="0" applyAlignment="0" applyProtection="0"/>
    <xf numFmtId="0" fontId="6" fillId="79" borderId="0" applyNumberFormat="0" applyBorder="0" applyAlignment="0" applyProtection="0"/>
    <xf numFmtId="0" fontId="6" fillId="80" borderId="0" applyNumberFormat="0" applyBorder="0" applyAlignment="0" applyProtection="0"/>
    <xf numFmtId="0" fontId="118" fillId="48" borderId="0" applyNumberFormat="0" applyBorder="0" applyAlignment="0" applyProtection="0"/>
    <xf numFmtId="0" fontId="118" fillId="52" borderId="0" applyNumberFormat="0" applyBorder="0" applyAlignment="0" applyProtection="0"/>
    <xf numFmtId="0" fontId="6" fillId="45" borderId="0" applyNumberFormat="0" applyBorder="0" applyAlignment="0" applyProtection="0"/>
    <xf numFmtId="0" fontId="6" fillId="81" borderId="0" applyNumberFormat="0" applyBorder="0" applyAlignment="0" applyProtection="0"/>
    <xf numFmtId="0" fontId="118" fillId="82" borderId="0" applyNumberFormat="0" applyBorder="0" applyAlignment="0" applyProtection="0"/>
    <xf numFmtId="0" fontId="98" fillId="0" borderId="0" applyNumberFormat="0" applyFill="0" applyBorder="0" applyAlignment="0" applyProtection="0"/>
    <xf numFmtId="0" fontId="104" fillId="0" borderId="179" applyNumberFormat="0" applyFill="0" applyAlignment="0" applyProtection="0"/>
    <xf numFmtId="0" fontId="105" fillId="0" borderId="169" applyNumberFormat="0" applyFill="0" applyAlignment="0" applyProtection="0"/>
    <xf numFmtId="0" fontId="106" fillId="0" borderId="180" applyNumberFormat="0" applyFill="0" applyAlignment="0" applyProtection="0"/>
    <xf numFmtId="0" fontId="106" fillId="0" borderId="0" applyNumberFormat="0" applyFill="0" applyBorder="0" applyAlignment="0" applyProtection="0"/>
    <xf numFmtId="0" fontId="107" fillId="65" borderId="0" applyNumberFormat="0" applyBorder="0" applyAlignment="0" applyProtection="0"/>
    <xf numFmtId="0" fontId="108" fillId="53" borderId="0" applyNumberFormat="0" applyBorder="0" applyAlignment="0" applyProtection="0"/>
    <xf numFmtId="0" fontId="109" fillId="56" borderId="0" applyNumberFormat="0" applyBorder="0" applyAlignment="0" applyProtection="0"/>
    <xf numFmtId="0" fontId="110" fillId="55" borderId="167" applyNumberFormat="0" applyAlignment="0" applyProtection="0"/>
    <xf numFmtId="0" fontId="111" fillId="66" borderId="172" applyNumberFormat="0" applyAlignment="0" applyProtection="0"/>
    <xf numFmtId="0" fontId="112" fillId="66" borderId="167" applyNumberFormat="0" applyAlignment="0" applyProtection="0"/>
    <xf numFmtId="0" fontId="113" fillId="0" borderId="170" applyNumberFormat="0" applyFill="0" applyAlignment="0" applyProtection="0"/>
    <xf numFmtId="0" fontId="114" fillId="54" borderId="168" applyNumberFormat="0" applyAlignment="0" applyProtection="0"/>
    <xf numFmtId="0" fontId="115" fillId="0" borderId="0" applyNumberFormat="0" applyFill="0" applyBorder="0" applyAlignment="0" applyProtection="0"/>
    <xf numFmtId="0" fontId="6" fillId="57" borderId="171" applyNumberFormat="0" applyFont="0" applyAlignment="0" applyProtection="0"/>
    <xf numFmtId="0" fontId="116" fillId="0" borderId="0" applyNumberFormat="0" applyFill="0" applyBorder="0" applyAlignment="0" applyProtection="0"/>
    <xf numFmtId="0" fontId="117" fillId="0" borderId="181" applyNumberFormat="0" applyFill="0" applyAlignment="0" applyProtection="0"/>
    <xf numFmtId="0" fontId="118" fillId="67" borderId="0" applyNumberFormat="0" applyBorder="0" applyAlignment="0" applyProtection="0"/>
    <xf numFmtId="0" fontId="6" fillId="68" borderId="0" applyNumberFormat="0" applyBorder="0" applyAlignment="0" applyProtection="0"/>
    <xf numFmtId="0" fontId="6" fillId="69" borderId="0" applyNumberFormat="0" applyBorder="0" applyAlignment="0" applyProtection="0"/>
    <xf numFmtId="0" fontId="118" fillId="70" borderId="0" applyNumberFormat="0" applyBorder="0" applyAlignment="0" applyProtection="0"/>
    <xf numFmtId="0" fontId="118" fillId="49" borderId="0" applyNumberFormat="0" applyBorder="0" applyAlignment="0" applyProtection="0"/>
    <xf numFmtId="0" fontId="6" fillId="71" borderId="0" applyNumberFormat="0" applyBorder="0" applyAlignment="0" applyProtection="0"/>
    <xf numFmtId="0" fontId="6" fillId="46" borderId="0" applyNumberFormat="0" applyBorder="0" applyAlignment="0" applyProtection="0"/>
    <xf numFmtId="0" fontId="118" fillId="47" borderId="0" applyNumberFormat="0" applyBorder="0" applyAlignment="0" applyProtection="0"/>
    <xf numFmtId="0" fontId="118" fillId="50" borderId="0" applyNumberFormat="0" applyBorder="0" applyAlignment="0" applyProtection="0"/>
    <xf numFmtId="0" fontId="6" fillId="72" borderId="0" applyNumberFormat="0" applyBorder="0" applyAlignment="0" applyProtection="0"/>
    <xf numFmtId="0" fontId="6" fillId="73" borderId="0" applyNumberFormat="0" applyBorder="0" applyAlignment="0" applyProtection="0"/>
    <xf numFmtId="0" fontId="118" fillId="74" borderId="0" applyNumberFormat="0" applyBorder="0" applyAlignment="0" applyProtection="0"/>
    <xf numFmtId="0" fontId="118" fillId="75" borderId="0" applyNumberFormat="0" applyBorder="0" applyAlignment="0" applyProtection="0"/>
    <xf numFmtId="0" fontId="6" fillId="76" borderId="0" applyNumberFormat="0" applyBorder="0" applyAlignment="0" applyProtection="0"/>
    <xf numFmtId="0" fontId="6" fillId="77" borderId="0" applyNumberFormat="0" applyBorder="0" applyAlignment="0" applyProtection="0"/>
    <xf numFmtId="0" fontId="118" fillId="78" borderId="0" applyNumberFormat="0" applyBorder="0" applyAlignment="0" applyProtection="0"/>
    <xf numFmtId="0" fontId="118" fillId="51" borderId="0" applyNumberFormat="0" applyBorder="0" applyAlignment="0" applyProtection="0"/>
    <xf numFmtId="0" fontId="6" fillId="79" borderId="0" applyNumberFormat="0" applyBorder="0" applyAlignment="0" applyProtection="0"/>
    <xf numFmtId="0" fontId="6" fillId="80" borderId="0" applyNumberFormat="0" applyBorder="0" applyAlignment="0" applyProtection="0"/>
    <xf numFmtId="0" fontId="118" fillId="48" borderId="0" applyNumberFormat="0" applyBorder="0" applyAlignment="0" applyProtection="0"/>
    <xf numFmtId="0" fontId="118" fillId="52" borderId="0" applyNumberFormat="0" applyBorder="0" applyAlignment="0" applyProtection="0"/>
    <xf numFmtId="0" fontId="6" fillId="45" borderId="0" applyNumberFormat="0" applyBorder="0" applyAlignment="0" applyProtection="0"/>
    <xf numFmtId="0" fontId="6" fillId="81" borderId="0" applyNumberFormat="0" applyBorder="0" applyAlignment="0" applyProtection="0"/>
    <xf numFmtId="0" fontId="118" fillId="82" borderId="0" applyNumberFormat="0" applyBorder="0" applyAlignment="0" applyProtection="0"/>
    <xf numFmtId="0" fontId="21" fillId="0" borderId="0"/>
    <xf numFmtId="0" fontId="18" fillId="11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5" fillId="80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5" fillId="57" borderId="171" applyNumberFormat="0" applyFont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5" fillId="71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5" fillId="73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5" fillId="79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21" fillId="26" borderId="217" applyNumberFormat="0" applyFont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5" fillId="79" borderId="0" applyNumberFormat="0" applyBorder="0" applyAlignment="0" applyProtection="0"/>
    <xf numFmtId="0" fontId="5" fillId="72" borderId="0" applyNumberFormat="0" applyBorder="0" applyAlignment="0" applyProtection="0"/>
    <xf numFmtId="0" fontId="5" fillId="69" borderId="0" applyNumberFormat="0" applyBorder="0" applyAlignment="0" applyProtection="0"/>
    <xf numFmtId="0" fontId="5" fillId="68" borderId="0" applyNumberFormat="0" applyBorder="0" applyAlignment="0" applyProtection="0"/>
    <xf numFmtId="0" fontId="5" fillId="45" borderId="0" applyNumberFormat="0" applyBorder="0" applyAlignment="0" applyProtection="0"/>
    <xf numFmtId="0" fontId="5" fillId="77" borderId="0" applyNumberFormat="0" applyBorder="0" applyAlignment="0" applyProtection="0"/>
    <xf numFmtId="0" fontId="5" fillId="76" borderId="0" applyNumberFormat="0" applyBorder="0" applyAlignment="0" applyProtection="0"/>
    <xf numFmtId="0" fontId="5" fillId="46" borderId="0" applyNumberFormat="0" applyBorder="0" applyAlignment="0" applyProtection="0"/>
    <xf numFmtId="0" fontId="5" fillId="57" borderId="171" applyNumberFormat="0" applyFont="0" applyAlignment="0" applyProtection="0"/>
    <xf numFmtId="0" fontId="5" fillId="79" borderId="0" applyNumberFormat="0" applyBorder="0" applyAlignment="0" applyProtection="0"/>
    <xf numFmtId="0" fontId="5" fillId="73" borderId="0" applyNumberFormat="0" applyBorder="0" applyAlignment="0" applyProtection="0"/>
    <xf numFmtId="0" fontId="5" fillId="72" borderId="0" applyNumberFormat="0" applyBorder="0" applyAlignment="0" applyProtection="0"/>
    <xf numFmtId="0" fontId="5" fillId="69" borderId="0" applyNumberFormat="0" applyBorder="0" applyAlignment="0" applyProtection="0"/>
    <xf numFmtId="0" fontId="5" fillId="45" borderId="0" applyNumberFormat="0" applyBorder="0" applyAlignment="0" applyProtection="0"/>
    <xf numFmtId="0" fontId="5" fillId="76" borderId="0" applyNumberFormat="0" applyBorder="0" applyAlignment="0" applyProtection="0"/>
    <xf numFmtId="0" fontId="5" fillId="46" borderId="0" applyNumberFormat="0" applyBorder="0" applyAlignment="0" applyProtection="0"/>
    <xf numFmtId="0" fontId="5" fillId="71" borderId="0" applyNumberFormat="0" applyBorder="0" applyAlignment="0" applyProtection="0"/>
    <xf numFmtId="0" fontId="25" fillId="11" borderId="214" applyNumberFormat="0" applyAlignment="0" applyProtection="0"/>
    <xf numFmtId="0" fontId="18" fillId="79" borderId="0" applyNumberFormat="0" applyBorder="0" applyAlignment="0" applyProtection="0"/>
    <xf numFmtId="0" fontId="18" fillId="72" borderId="0" applyNumberFormat="0" applyBorder="0" applyAlignment="0" applyProtection="0"/>
    <xf numFmtId="0" fontId="18" fillId="69" borderId="0" applyNumberFormat="0" applyBorder="0" applyAlignment="0" applyProtection="0"/>
    <xf numFmtId="0" fontId="18" fillId="68" borderId="0" applyNumberFormat="0" applyBorder="0" applyAlignment="0" applyProtection="0"/>
    <xf numFmtId="0" fontId="32" fillId="0" borderId="215" applyNumberFormat="0" applyFill="0" applyAlignment="0" applyProtection="0"/>
    <xf numFmtId="0" fontId="81" fillId="0" borderId="216" applyNumberFormat="0" applyFill="0" applyAlignment="0" applyProtection="0"/>
    <xf numFmtId="0" fontId="81" fillId="0" borderId="216" applyNumberFormat="0" applyFill="0" applyAlignment="0" applyProtection="0"/>
    <xf numFmtId="0" fontId="81" fillId="0" borderId="216" applyNumberFormat="0" applyFill="0" applyAlignment="0" applyProtection="0"/>
    <xf numFmtId="0" fontId="94" fillId="0" borderId="220" applyNumberFormat="0" applyFill="0" applyAlignment="0" applyProtection="0"/>
    <xf numFmtId="0" fontId="37" fillId="11" borderId="218" applyNumberFormat="0" applyAlignment="0" applyProtection="0"/>
    <xf numFmtId="0" fontId="33" fillId="5" borderId="214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3" fillId="5" borderId="214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26" borderId="217" applyNumberFormat="0" applyFont="0" applyAlignment="0" applyProtection="0"/>
    <xf numFmtId="0" fontId="21" fillId="26" borderId="217" applyNumberFormat="0" applyFont="0" applyAlignment="0" applyProtection="0"/>
    <xf numFmtId="0" fontId="21" fillId="26" borderId="217" applyNumberFormat="0" applyFont="0" applyAlignment="0" applyProtection="0"/>
    <xf numFmtId="0" fontId="37" fillId="11" borderId="218" applyNumberFormat="0" applyAlignment="0" applyProtection="0"/>
    <xf numFmtId="0" fontId="18" fillId="5" borderId="0" applyNumberFormat="0" applyBorder="0" applyAlignment="0" applyProtection="0"/>
    <xf numFmtId="0" fontId="18" fillId="7" borderId="0" applyNumberFormat="0" applyBorder="0" applyAlignment="0" applyProtection="0"/>
    <xf numFmtId="0" fontId="18" fillId="46" borderId="0" applyNumberFormat="0" applyBorder="0" applyAlignment="0" applyProtection="0"/>
    <xf numFmtId="0" fontId="18" fillId="11" borderId="0" applyNumberFormat="0" applyBorder="0" applyAlignment="0" applyProtection="0"/>
    <xf numFmtId="0" fontId="39" fillId="0" borderId="219" applyNumberFormat="0" applyFill="0" applyAlignment="0" applyProtection="0"/>
    <xf numFmtId="0" fontId="94" fillId="0" borderId="220" applyNumberFormat="0" applyFill="0" applyAlignment="0" applyProtection="0"/>
    <xf numFmtId="0" fontId="94" fillId="0" borderId="220" applyNumberFormat="0" applyFill="0" applyAlignment="0" applyProtection="0"/>
    <xf numFmtId="0" fontId="94" fillId="0" borderId="220" applyNumberFormat="0" applyFill="0" applyAlignment="0" applyProtection="0"/>
    <xf numFmtId="0" fontId="18" fillId="7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25" fillId="11" borderId="214" applyNumberFormat="0" applyAlignment="0" applyProtection="0"/>
    <xf numFmtId="0" fontId="18" fillId="11" borderId="0" applyNumberFormat="0" applyBorder="0" applyAlignment="0" applyProtection="0"/>
    <xf numFmtId="0" fontId="18" fillId="77" borderId="0" applyNumberFormat="0" applyBorder="0" applyAlignment="0" applyProtection="0"/>
    <xf numFmtId="0" fontId="21" fillId="0" borderId="0"/>
    <xf numFmtId="0" fontId="18" fillId="7" borderId="0" applyNumberFormat="0" applyBorder="0" applyAlignment="0" applyProtection="0"/>
    <xf numFmtId="0" fontId="18" fillId="57" borderId="171" applyNumberFormat="0" applyFont="0" applyAlignment="0" applyProtection="0"/>
    <xf numFmtId="0" fontId="18" fillId="3" borderId="0" applyNumberFormat="0" applyBorder="0" applyAlignment="0" applyProtection="0"/>
    <xf numFmtId="0" fontId="18" fillId="68" borderId="0" applyNumberFormat="0" applyBorder="0" applyAlignment="0" applyProtection="0"/>
    <xf numFmtId="0" fontId="18" fillId="69" borderId="0" applyNumberFormat="0" applyBorder="0" applyAlignment="0" applyProtection="0"/>
    <xf numFmtId="0" fontId="5" fillId="81" borderId="0" applyNumberFormat="0" applyBorder="0" applyAlignment="0" applyProtection="0"/>
    <xf numFmtId="0" fontId="18" fillId="71" borderId="0" applyNumberFormat="0" applyBorder="0" applyAlignment="0" applyProtection="0"/>
    <xf numFmtId="0" fontId="18" fillId="46" borderId="0" applyNumberFormat="0" applyBorder="0" applyAlignment="0" applyProtection="0"/>
    <xf numFmtId="0" fontId="18" fillId="72" borderId="0" applyNumberFormat="0" applyBorder="0" applyAlignment="0" applyProtection="0"/>
    <xf numFmtId="0" fontId="18" fillId="73" borderId="0" applyNumberFormat="0" applyBorder="0" applyAlignment="0" applyProtection="0"/>
    <xf numFmtId="0" fontId="5" fillId="77" borderId="0" applyNumberFormat="0" applyBorder="0" applyAlignment="0" applyProtection="0"/>
    <xf numFmtId="0" fontId="18" fillId="76" borderId="0" applyNumberFormat="0" applyBorder="0" applyAlignment="0" applyProtection="0"/>
    <xf numFmtId="0" fontId="18" fillId="77" borderId="0" applyNumberFormat="0" applyBorder="0" applyAlignment="0" applyProtection="0"/>
    <xf numFmtId="0" fontId="5" fillId="80" borderId="0" applyNumberFormat="0" applyBorder="0" applyAlignment="0" applyProtection="0"/>
    <xf numFmtId="0" fontId="18" fillId="79" borderId="0" applyNumberFormat="0" applyBorder="0" applyAlignment="0" applyProtection="0"/>
    <xf numFmtId="0" fontId="18" fillId="80" borderId="0" applyNumberFormat="0" applyBorder="0" applyAlignment="0" applyProtection="0"/>
    <xf numFmtId="0" fontId="18" fillId="45" borderId="0" applyNumberFormat="0" applyBorder="0" applyAlignment="0" applyProtection="0"/>
    <xf numFmtId="0" fontId="18" fillId="81" borderId="0" applyNumberFormat="0" applyBorder="0" applyAlignment="0" applyProtection="0"/>
    <xf numFmtId="0" fontId="18" fillId="11" borderId="0" applyNumberFormat="0" applyBorder="0" applyAlignment="0" applyProtection="0"/>
    <xf numFmtId="0" fontId="18" fillId="76" borderId="0" applyNumberFormat="0" applyBorder="0" applyAlignment="0" applyProtection="0"/>
    <xf numFmtId="0" fontId="21" fillId="0" borderId="0"/>
    <xf numFmtId="0" fontId="18" fillId="7" borderId="0" applyNumberFormat="0" applyBorder="0" applyAlignment="0" applyProtection="0"/>
    <xf numFmtId="0" fontId="21" fillId="0" borderId="0"/>
    <xf numFmtId="0" fontId="18" fillId="3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68" borderId="0" applyNumberFormat="0" applyBorder="0" applyAlignment="0" applyProtection="0"/>
    <xf numFmtId="0" fontId="21" fillId="26" borderId="217" applyNumberFormat="0" applyFont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76" borderId="0" applyNumberFormat="0" applyBorder="0" applyAlignment="0" applyProtection="0"/>
    <xf numFmtId="0" fontId="5" fillId="76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69" borderId="0" applyNumberFormat="0" applyBorder="0" applyAlignment="0" applyProtection="0"/>
    <xf numFmtId="0" fontId="5" fillId="57" borderId="171" applyNumberFormat="0" applyFont="0" applyAlignment="0" applyProtection="0"/>
    <xf numFmtId="0" fontId="5" fillId="73" borderId="0" applyNumberFormat="0" applyBorder="0" applyAlignment="0" applyProtection="0"/>
    <xf numFmtId="0" fontId="18" fillId="57" borderId="171" applyNumberFormat="0" applyFont="0" applyAlignment="0" applyProtection="0"/>
    <xf numFmtId="0" fontId="21" fillId="0" borderId="0"/>
    <xf numFmtId="0" fontId="5" fillId="57" borderId="171" applyNumberFormat="0" applyFont="0" applyAlignment="0" applyProtection="0"/>
    <xf numFmtId="0" fontId="18" fillId="3" borderId="0" applyNumberFormat="0" applyBorder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1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57" borderId="171" applyNumberFormat="0" applyFont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21" fillId="0" borderId="0"/>
    <xf numFmtId="0" fontId="5" fillId="68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72" borderId="0" applyNumberFormat="0" applyBorder="0" applyAlignment="0" applyProtection="0"/>
    <xf numFmtId="0" fontId="18" fillId="45" borderId="0" applyNumberFormat="0" applyBorder="0" applyAlignment="0" applyProtection="0"/>
    <xf numFmtId="0" fontId="94" fillId="0" borderId="220" applyNumberFormat="0" applyFill="0" applyAlignment="0" applyProtection="0"/>
    <xf numFmtId="0" fontId="21" fillId="26" borderId="217" applyNumberFormat="0" applyFont="0" applyAlignment="0" applyProtection="0"/>
    <xf numFmtId="0" fontId="21" fillId="0" borderId="0"/>
    <xf numFmtId="0" fontId="18" fillId="11" borderId="0" applyNumberFormat="0" applyBorder="0" applyAlignment="0" applyProtection="0"/>
    <xf numFmtId="0" fontId="21" fillId="0" borderId="0"/>
    <xf numFmtId="0" fontId="21" fillId="0" borderId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18" fillId="45" borderId="0" applyNumberFormat="0" applyBorder="0" applyAlignment="0" applyProtection="0"/>
    <xf numFmtId="0" fontId="94" fillId="0" borderId="220" applyNumberFormat="0" applyFill="0" applyAlignment="0" applyProtection="0"/>
    <xf numFmtId="0" fontId="21" fillId="26" borderId="217" applyNumberFormat="0" applyFont="0" applyAlignment="0" applyProtection="0"/>
    <xf numFmtId="0" fontId="18" fillId="73" borderId="0" applyNumberFormat="0" applyBorder="0" applyAlignment="0" applyProtection="0"/>
    <xf numFmtId="0" fontId="21" fillId="0" borderId="0"/>
    <xf numFmtId="0" fontId="18" fillId="11" borderId="0" applyNumberFormat="0" applyBorder="0" applyAlignment="0" applyProtection="0"/>
    <xf numFmtId="0" fontId="5" fillId="57" borderId="171" applyNumberFormat="0" applyFont="0" applyAlignment="0" applyProtection="0"/>
    <xf numFmtId="0" fontId="18" fillId="7" borderId="0" applyNumberFormat="0" applyBorder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80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81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21" fillId="0" borderId="0"/>
    <xf numFmtId="0" fontId="18" fillId="7" borderId="0" applyNumberFormat="0" applyBorder="0" applyAlignment="0" applyProtection="0"/>
    <xf numFmtId="0" fontId="39" fillId="0" borderId="219" applyNumberFormat="0" applyFill="0" applyAlignment="0" applyProtection="0"/>
    <xf numFmtId="0" fontId="5" fillId="57" borderId="171" applyNumberFormat="0" applyFont="0" applyAlignment="0" applyProtection="0"/>
    <xf numFmtId="0" fontId="21" fillId="26" borderId="217" applyNumberFormat="0" applyFont="0" applyAlignment="0" applyProtection="0"/>
    <xf numFmtId="0" fontId="21" fillId="0" borderId="0"/>
    <xf numFmtId="0" fontId="18" fillId="7" borderId="0" applyNumberFormat="0" applyBorder="0" applyAlignment="0" applyProtection="0"/>
    <xf numFmtId="0" fontId="5" fillId="57" borderId="171" applyNumberFormat="0" applyFont="0" applyAlignment="0" applyProtection="0"/>
    <xf numFmtId="0" fontId="18" fillId="45" borderId="0" applyNumberFormat="0" applyBorder="0" applyAlignment="0" applyProtection="0"/>
    <xf numFmtId="0" fontId="5" fillId="71" borderId="0" applyNumberFormat="0" applyBorder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68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79" borderId="0" applyNumberFormat="0" applyBorder="0" applyAlignment="0" applyProtection="0"/>
    <xf numFmtId="0" fontId="5" fillId="76" borderId="0" applyNumberFormat="0" applyBorder="0" applyAlignment="0" applyProtection="0"/>
    <xf numFmtId="0" fontId="5" fillId="72" borderId="0" applyNumberFormat="0" applyBorder="0" applyAlignment="0" applyProtection="0"/>
    <xf numFmtId="0" fontId="5" fillId="81" borderId="0" applyNumberFormat="0" applyBorder="0" applyAlignment="0" applyProtection="0"/>
    <xf numFmtId="0" fontId="5" fillId="80" borderId="0" applyNumberFormat="0" applyBorder="0" applyAlignment="0" applyProtection="0"/>
    <xf numFmtId="0" fontId="5" fillId="77" borderId="0" applyNumberFormat="0" applyBorder="0" applyAlignment="0" applyProtection="0"/>
    <xf numFmtId="0" fontId="5" fillId="69" borderId="0" applyNumberFormat="0" applyBorder="0" applyAlignment="0" applyProtection="0"/>
    <xf numFmtId="0" fontId="5" fillId="57" borderId="171" applyNumberFormat="0" applyFont="0" applyAlignment="0" applyProtection="0"/>
    <xf numFmtId="0" fontId="5" fillId="45" borderId="0" applyNumberFormat="0" applyBorder="0" applyAlignment="0" applyProtection="0"/>
    <xf numFmtId="0" fontId="5" fillId="72" borderId="0" applyNumberFormat="0" applyBorder="0" applyAlignment="0" applyProtection="0"/>
    <xf numFmtId="0" fontId="5" fillId="71" borderId="0" applyNumberFormat="0" applyBorder="0" applyAlignment="0" applyProtection="0"/>
    <xf numFmtId="0" fontId="5" fillId="68" borderId="0" applyNumberFormat="0" applyBorder="0" applyAlignment="0" applyProtection="0"/>
    <xf numFmtId="0" fontId="5" fillId="77" borderId="0" applyNumberFormat="0" applyBorder="0" applyAlignment="0" applyProtection="0"/>
    <xf numFmtId="0" fontId="5" fillId="73" borderId="0" applyNumberFormat="0" applyBorder="0" applyAlignment="0" applyProtection="0"/>
    <xf numFmtId="0" fontId="5" fillId="46" borderId="0" applyNumberFormat="0" applyBorder="0" applyAlignment="0" applyProtection="0"/>
    <xf numFmtId="0" fontId="94" fillId="0" borderId="220" applyNumberFormat="0" applyFill="0" applyAlignment="0" applyProtection="0"/>
    <xf numFmtId="0" fontId="94" fillId="0" borderId="220" applyNumberFormat="0" applyFill="0" applyAlignment="0" applyProtection="0"/>
    <xf numFmtId="0" fontId="33" fillId="5" borderId="214" applyNumberFormat="0" applyAlignment="0" applyProtection="0"/>
    <xf numFmtId="0" fontId="25" fillId="11" borderId="214" applyNumberFormat="0" applyAlignment="0" applyProtection="0"/>
    <xf numFmtId="0" fontId="33" fillId="5" borderId="214" applyNumberFormat="0" applyAlignment="0" applyProtection="0"/>
    <xf numFmtId="0" fontId="21" fillId="0" borderId="0"/>
    <xf numFmtId="0" fontId="21" fillId="0" borderId="0"/>
    <xf numFmtId="0" fontId="21" fillId="0" borderId="0"/>
    <xf numFmtId="0" fontId="26" fillId="24" borderId="221" applyNumberFormat="0" applyAlignment="0" applyProtection="0"/>
    <xf numFmtId="0" fontId="21" fillId="26" borderId="217" applyNumberFormat="0" applyFont="0" applyAlignment="0" applyProtection="0"/>
    <xf numFmtId="0" fontId="21" fillId="26" borderId="217" applyNumberFormat="0" applyFont="0" applyAlignment="0" applyProtection="0"/>
    <xf numFmtId="0" fontId="21" fillId="26" borderId="217" applyNumberFormat="0" applyFont="0" applyAlignment="0" applyProtection="0"/>
    <xf numFmtId="0" fontId="37" fillId="11" borderId="218" applyNumberFormat="0" applyAlignment="0" applyProtection="0"/>
    <xf numFmtId="0" fontId="39" fillId="0" borderId="219" applyNumberFormat="0" applyFill="0" applyAlignment="0" applyProtection="0"/>
    <xf numFmtId="0" fontId="94" fillId="0" borderId="220" applyNumberFormat="0" applyFill="0" applyAlignment="0" applyProtection="0"/>
    <xf numFmtId="0" fontId="94" fillId="0" borderId="220" applyNumberFormat="0" applyFill="0" applyAlignment="0" applyProtection="0"/>
    <xf numFmtId="0" fontId="94" fillId="0" borderId="220" applyNumberFormat="0" applyFill="0" applyAlignment="0" applyProtection="0"/>
    <xf numFmtId="0" fontId="5" fillId="71" borderId="0" applyNumberFormat="0" applyBorder="0" applyAlignment="0" applyProtection="0"/>
    <xf numFmtId="0" fontId="37" fillId="11" borderId="218" applyNumberFormat="0" applyAlignment="0" applyProtection="0"/>
    <xf numFmtId="0" fontId="5" fillId="73" borderId="0" applyNumberFormat="0" applyBorder="0" applyAlignment="0" applyProtection="0"/>
    <xf numFmtId="0" fontId="5" fillId="79" borderId="0" applyNumberFormat="0" applyBorder="0" applyAlignment="0" applyProtection="0"/>
    <xf numFmtId="0" fontId="5" fillId="81" borderId="0" applyNumberFormat="0" applyBorder="0" applyAlignment="0" applyProtection="0"/>
    <xf numFmtId="0" fontId="5" fillId="69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18" fillId="7" borderId="0" applyNumberFormat="0" applyBorder="0" applyAlignment="0" applyProtection="0"/>
    <xf numFmtId="0" fontId="18" fillId="81" borderId="0" applyNumberFormat="0" applyBorder="0" applyAlignment="0" applyProtection="0"/>
    <xf numFmtId="0" fontId="21" fillId="0" borderId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81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5" fillId="77" borderId="0" applyNumberFormat="0" applyBorder="0" applyAlignment="0" applyProtection="0"/>
    <xf numFmtId="0" fontId="5" fillId="73" borderId="0" applyNumberFormat="0" applyBorder="0" applyAlignment="0" applyProtection="0"/>
    <xf numFmtId="0" fontId="5" fillId="46" borderId="0" applyNumberFormat="0" applyBorder="0" applyAlignment="0" applyProtection="0"/>
    <xf numFmtId="0" fontId="5" fillId="45" borderId="0" applyNumberFormat="0" applyBorder="0" applyAlignment="0" applyProtection="0"/>
    <xf numFmtId="0" fontId="5" fillId="79" borderId="0" applyNumberFormat="0" applyBorder="0" applyAlignment="0" applyProtection="0"/>
    <xf numFmtId="0" fontId="5" fillId="76" borderId="0" applyNumberFormat="0" applyBorder="0" applyAlignment="0" applyProtection="0"/>
    <xf numFmtId="0" fontId="5" fillId="68" borderId="0" applyNumberFormat="0" applyBorder="0" applyAlignment="0" applyProtection="0"/>
    <xf numFmtId="0" fontId="5" fillId="81" borderId="0" applyNumberFormat="0" applyBorder="0" applyAlignment="0" applyProtection="0"/>
    <xf numFmtId="0" fontId="5" fillId="80" borderId="0" applyNumberFormat="0" applyBorder="0" applyAlignment="0" applyProtection="0"/>
    <xf numFmtId="0" fontId="5" fillId="46" borderId="0" applyNumberFormat="0" applyBorder="0" applyAlignment="0" applyProtection="0"/>
    <xf numFmtId="0" fontId="5" fillId="69" borderId="0" applyNumberFormat="0" applyBorder="0" applyAlignment="0" applyProtection="0"/>
    <xf numFmtId="0" fontId="5" fillId="57" borderId="171" applyNumberFormat="0" applyFont="0" applyAlignment="0" applyProtection="0"/>
    <xf numFmtId="0" fontId="5" fillId="76" borderId="0" applyNumberFormat="0" applyBorder="0" applyAlignment="0" applyProtection="0"/>
    <xf numFmtId="0" fontId="5" fillId="72" borderId="0" applyNumberFormat="0" applyBorder="0" applyAlignment="0" applyProtection="0"/>
    <xf numFmtId="0" fontId="5" fillId="71" borderId="0" applyNumberFormat="0" applyBorder="0" applyAlignment="0" applyProtection="0"/>
    <xf numFmtId="0" fontId="94" fillId="0" borderId="220" applyNumberFormat="0" applyFill="0" applyAlignment="0" applyProtection="0"/>
    <xf numFmtId="0" fontId="39" fillId="0" borderId="219" applyNumberFormat="0" applyFill="0" applyAlignment="0" applyProtection="0"/>
    <xf numFmtId="0" fontId="25" fillId="11" borderId="214" applyNumberFormat="0" applyAlignment="0" applyProtection="0"/>
    <xf numFmtId="0" fontId="25" fillId="11" borderId="214" applyNumberFormat="0" applyAlignment="0" applyProtection="0"/>
    <xf numFmtId="0" fontId="33" fillId="5" borderId="214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26" borderId="217" applyNumberFormat="0" applyFont="0" applyAlignment="0" applyProtection="0"/>
    <xf numFmtId="0" fontId="21" fillId="26" borderId="217" applyNumberFormat="0" applyFont="0" applyAlignment="0" applyProtection="0"/>
    <xf numFmtId="0" fontId="21" fillId="26" borderId="217" applyNumberFormat="0" applyFont="0" applyAlignment="0" applyProtection="0"/>
    <xf numFmtId="0" fontId="37" fillId="11" borderId="218" applyNumberFormat="0" applyAlignment="0" applyProtection="0"/>
    <xf numFmtId="0" fontId="39" fillId="0" borderId="219" applyNumberFormat="0" applyFill="0" applyAlignment="0" applyProtection="0"/>
    <xf numFmtId="0" fontId="94" fillId="0" borderId="220" applyNumberFormat="0" applyFill="0" applyAlignment="0" applyProtection="0"/>
    <xf numFmtId="0" fontId="94" fillId="0" borderId="220" applyNumberFormat="0" applyFill="0" applyAlignment="0" applyProtection="0"/>
    <xf numFmtId="0" fontId="94" fillId="0" borderId="220" applyNumberFormat="0" applyFill="0" applyAlignment="0" applyProtection="0"/>
    <xf numFmtId="0" fontId="5" fillId="81" borderId="0" applyNumberFormat="0" applyBorder="0" applyAlignment="0" applyProtection="0"/>
    <xf numFmtId="0" fontId="5" fillId="69" borderId="0" applyNumberFormat="0" applyBorder="0" applyAlignment="0" applyProtection="0"/>
    <xf numFmtId="0" fontId="21" fillId="26" borderId="217" applyNumberFormat="0" applyFont="0" applyAlignment="0" applyProtection="0"/>
    <xf numFmtId="0" fontId="5" fillId="72" borderId="0" applyNumberFormat="0" applyBorder="0" applyAlignment="0" applyProtection="0"/>
    <xf numFmtId="0" fontId="5" fillId="77" borderId="0" applyNumberFormat="0" applyBorder="0" applyAlignment="0" applyProtection="0"/>
    <xf numFmtId="0" fontId="5" fillId="45" borderId="0" applyNumberFormat="0" applyBorder="0" applyAlignment="0" applyProtection="0"/>
    <xf numFmtId="0" fontId="5" fillId="68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18" fillId="7" borderId="0" applyNumberFormat="0" applyBorder="0" applyAlignment="0" applyProtection="0"/>
    <xf numFmtId="0" fontId="18" fillId="46" borderId="0" applyNumberFormat="0" applyBorder="0" applyAlignment="0" applyProtection="0"/>
    <xf numFmtId="0" fontId="18" fillId="45" borderId="0" applyNumberFormat="0" applyBorder="0" applyAlignment="0" applyProtection="0"/>
    <xf numFmtId="0" fontId="21" fillId="0" borderId="0"/>
    <xf numFmtId="0" fontId="21" fillId="0" borderId="0"/>
    <xf numFmtId="0" fontId="18" fillId="5" borderId="0" applyNumberFormat="0" applyBorder="0" applyAlignment="0" applyProtection="0"/>
    <xf numFmtId="0" fontId="5" fillId="57" borderId="171" applyNumberFormat="0" applyFont="0" applyAlignment="0" applyProtection="0"/>
    <xf numFmtId="0" fontId="18" fillId="7" borderId="0" applyNumberFormat="0" applyBorder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7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45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46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73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80" borderId="0" applyNumberFormat="0" applyBorder="0" applyAlignment="0" applyProtection="0"/>
    <xf numFmtId="0" fontId="21" fillId="0" borderId="0"/>
    <xf numFmtId="0" fontId="21" fillId="0" borderId="0"/>
    <xf numFmtId="0" fontId="18" fillId="71" borderId="0" applyNumberFormat="0" applyBorder="0" applyAlignment="0" applyProtection="0"/>
    <xf numFmtId="0" fontId="21" fillId="0" borderId="0"/>
    <xf numFmtId="0" fontId="18" fillId="0" borderId="0"/>
    <xf numFmtId="0" fontId="18" fillId="5" borderId="0" applyNumberFormat="0" applyBorder="0" applyAlignment="0" applyProtection="0"/>
    <xf numFmtId="0" fontId="5" fillId="57" borderId="171" applyNumberFormat="0" applyFont="0" applyAlignment="0" applyProtection="0"/>
    <xf numFmtId="0" fontId="18" fillId="7" borderId="0" applyNumberFormat="0" applyBorder="0" applyAlignment="0" applyProtection="0"/>
    <xf numFmtId="0" fontId="5" fillId="69" borderId="0" applyNumberFormat="0" applyBorder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1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72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79" borderId="0" applyNumberFormat="0" applyBorder="0" applyAlignment="0" applyProtection="0"/>
    <xf numFmtId="0" fontId="21" fillId="0" borderId="0"/>
    <xf numFmtId="0" fontId="18" fillId="46" borderId="0" applyNumberFormat="0" applyBorder="0" applyAlignment="0" applyProtection="0"/>
    <xf numFmtId="0" fontId="21" fillId="0" borderId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5" fillId="57" borderId="171" applyNumberFormat="0" applyFont="0" applyAlignment="0" applyProtection="0"/>
    <xf numFmtId="0" fontId="18" fillId="7" borderId="0" applyNumberFormat="0" applyBorder="0" applyAlignment="0" applyProtection="0"/>
    <xf numFmtId="0" fontId="5" fillId="68" borderId="0" applyNumberFormat="0" applyBorder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57" borderId="171" applyNumberFormat="0" applyFont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18" fillId="46" borderId="0" applyNumberFormat="0" applyBorder="0" applyAlignment="0" applyProtection="0"/>
    <xf numFmtId="0" fontId="18" fillId="80" borderId="0" applyNumberFormat="0" applyBorder="0" applyAlignment="0" applyProtection="0"/>
    <xf numFmtId="0" fontId="18" fillId="5" borderId="0" applyNumberFormat="0" applyBorder="0" applyAlignment="0" applyProtection="0"/>
    <xf numFmtId="0" fontId="21" fillId="0" borderId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80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81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5" fillId="11" borderId="214" applyNumberFormat="0" applyAlignment="0" applyProtection="0"/>
    <xf numFmtId="0" fontId="33" fillId="5" borderId="214" applyNumberFormat="0" applyAlignment="0" applyProtection="0"/>
    <xf numFmtId="0" fontId="21" fillId="26" borderId="217" applyNumberFormat="0" applyFont="0" applyAlignment="0" applyProtection="0"/>
    <xf numFmtId="0" fontId="21" fillId="26" borderId="217" applyNumberFormat="0" applyFont="0" applyAlignment="0" applyProtection="0"/>
    <xf numFmtId="0" fontId="21" fillId="26" borderId="217" applyNumberFormat="0" applyFont="0" applyAlignment="0" applyProtection="0"/>
    <xf numFmtId="0" fontId="37" fillId="11" borderId="218" applyNumberFormat="0" applyAlignment="0" applyProtection="0"/>
    <xf numFmtId="0" fontId="39" fillId="0" borderId="219" applyNumberFormat="0" applyFill="0" applyAlignment="0" applyProtection="0"/>
    <xf numFmtId="0" fontId="94" fillId="0" borderId="220" applyNumberFormat="0" applyFill="0" applyAlignment="0" applyProtection="0"/>
    <xf numFmtId="0" fontId="94" fillId="0" borderId="220" applyNumberFormat="0" applyFill="0" applyAlignment="0" applyProtection="0"/>
    <xf numFmtId="0" fontId="94" fillId="0" borderId="220" applyNumberFormat="0" applyFill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21" fillId="0" borderId="0"/>
    <xf numFmtId="0" fontId="21" fillId="0" borderId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21" fillId="0" borderId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5" fillId="57" borderId="171" applyNumberFormat="0" applyFont="0" applyAlignment="0" applyProtection="0"/>
    <xf numFmtId="0" fontId="5" fillId="68" borderId="0" applyNumberFormat="0" applyBorder="0" applyAlignment="0" applyProtection="0"/>
    <xf numFmtId="0" fontId="5" fillId="69" borderId="0" applyNumberFormat="0" applyBorder="0" applyAlignment="0" applyProtection="0"/>
    <xf numFmtId="0" fontId="5" fillId="71" borderId="0" applyNumberFormat="0" applyBorder="0" applyAlignment="0" applyProtection="0"/>
    <xf numFmtId="0" fontId="5" fillId="46" borderId="0" applyNumberFormat="0" applyBorder="0" applyAlignment="0" applyProtection="0"/>
    <xf numFmtId="0" fontId="5" fillId="72" borderId="0" applyNumberFormat="0" applyBorder="0" applyAlignment="0" applyProtection="0"/>
    <xf numFmtId="0" fontId="5" fillId="73" borderId="0" applyNumberFormat="0" applyBorder="0" applyAlignment="0" applyProtection="0"/>
    <xf numFmtId="0" fontId="5" fillId="76" borderId="0" applyNumberFormat="0" applyBorder="0" applyAlignment="0" applyProtection="0"/>
    <xf numFmtId="0" fontId="5" fillId="77" borderId="0" applyNumberFormat="0" applyBorder="0" applyAlignment="0" applyProtection="0"/>
    <xf numFmtId="0" fontId="5" fillId="79" borderId="0" applyNumberFormat="0" applyBorder="0" applyAlignment="0" applyProtection="0"/>
    <xf numFmtId="0" fontId="5" fillId="80" borderId="0" applyNumberFormat="0" applyBorder="0" applyAlignment="0" applyProtection="0"/>
    <xf numFmtId="0" fontId="5" fillId="45" borderId="0" applyNumberFormat="0" applyBorder="0" applyAlignment="0" applyProtection="0"/>
    <xf numFmtId="0" fontId="5" fillId="81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25" fillId="11" borderId="214" applyNumberFormat="0" applyAlignment="0" applyProtection="0"/>
    <xf numFmtId="0" fontId="26" fillId="24" borderId="221" applyNumberFormat="0" applyAlignment="0" applyProtection="0"/>
    <xf numFmtId="0" fontId="32" fillId="0" borderId="215" applyNumberFormat="0" applyFill="0" applyAlignment="0" applyProtection="0"/>
    <xf numFmtId="0" fontId="81" fillId="0" borderId="216" applyNumberFormat="0" applyFill="0" applyAlignment="0" applyProtection="0"/>
    <xf numFmtId="0" fontId="81" fillId="0" borderId="216" applyNumberFormat="0" applyFill="0" applyAlignment="0" applyProtection="0"/>
    <xf numFmtId="0" fontId="81" fillId="0" borderId="216" applyNumberFormat="0" applyFill="0" applyAlignment="0" applyProtection="0"/>
    <xf numFmtId="0" fontId="33" fillId="5" borderId="214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26" borderId="217" applyNumberFormat="0" applyFont="0" applyAlignment="0" applyProtection="0"/>
    <xf numFmtId="0" fontId="21" fillId="26" borderId="217" applyNumberFormat="0" applyFont="0" applyAlignment="0" applyProtection="0"/>
    <xf numFmtId="0" fontId="21" fillId="26" borderId="217" applyNumberFormat="0" applyFont="0" applyAlignment="0" applyProtection="0"/>
    <xf numFmtId="0" fontId="37" fillId="11" borderId="218" applyNumberFormat="0" applyAlignment="0" applyProtection="0"/>
    <xf numFmtId="0" fontId="39" fillId="0" borderId="219" applyNumberFormat="0" applyFill="0" applyAlignment="0" applyProtection="0"/>
    <xf numFmtId="0" fontId="94" fillId="0" borderId="220" applyNumberFormat="0" applyFill="0" applyAlignment="0" applyProtection="0"/>
    <xf numFmtId="0" fontId="94" fillId="0" borderId="220" applyNumberFormat="0" applyFill="0" applyAlignment="0" applyProtection="0"/>
    <xf numFmtId="0" fontId="94" fillId="0" borderId="220" applyNumberFormat="0" applyFill="0" applyAlignment="0" applyProtection="0"/>
    <xf numFmtId="0" fontId="18" fillId="57" borderId="171" applyNumberFormat="0" applyFont="0" applyAlignment="0" applyProtection="0"/>
    <xf numFmtId="0" fontId="18" fillId="68" borderId="0" applyNumberFormat="0" applyBorder="0" applyAlignment="0" applyProtection="0"/>
    <xf numFmtId="0" fontId="18" fillId="69" borderId="0" applyNumberFormat="0" applyBorder="0" applyAlignment="0" applyProtection="0"/>
    <xf numFmtId="0" fontId="18" fillId="71" borderId="0" applyNumberFormat="0" applyBorder="0" applyAlignment="0" applyProtection="0"/>
    <xf numFmtId="0" fontId="18" fillId="46" borderId="0" applyNumberFormat="0" applyBorder="0" applyAlignment="0" applyProtection="0"/>
    <xf numFmtId="0" fontId="18" fillId="72" borderId="0" applyNumberFormat="0" applyBorder="0" applyAlignment="0" applyProtection="0"/>
    <xf numFmtId="0" fontId="18" fillId="73" borderId="0" applyNumberFormat="0" applyBorder="0" applyAlignment="0" applyProtection="0"/>
    <xf numFmtId="0" fontId="18" fillId="76" borderId="0" applyNumberFormat="0" applyBorder="0" applyAlignment="0" applyProtection="0"/>
    <xf numFmtId="0" fontId="18" fillId="77" borderId="0" applyNumberFormat="0" applyBorder="0" applyAlignment="0" applyProtection="0"/>
    <xf numFmtId="0" fontId="18" fillId="79" borderId="0" applyNumberFormat="0" applyBorder="0" applyAlignment="0" applyProtection="0"/>
    <xf numFmtId="0" fontId="18" fillId="80" borderId="0" applyNumberFormat="0" applyBorder="0" applyAlignment="0" applyProtection="0"/>
    <xf numFmtId="0" fontId="18" fillId="45" borderId="0" applyNumberFormat="0" applyBorder="0" applyAlignment="0" applyProtection="0"/>
    <xf numFmtId="0" fontId="18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21" fillId="0" borderId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25" fillId="11" borderId="214" applyNumberFormat="0" applyAlignment="0" applyProtection="0"/>
    <xf numFmtId="0" fontId="33" fillId="5" borderId="214" applyNumberFormat="0" applyAlignment="0" applyProtection="0"/>
    <xf numFmtId="0" fontId="21" fillId="26" borderId="217" applyNumberFormat="0" applyFont="0" applyAlignment="0" applyProtection="0"/>
    <xf numFmtId="0" fontId="21" fillId="26" borderId="217" applyNumberFormat="0" applyFont="0" applyAlignment="0" applyProtection="0"/>
    <xf numFmtId="0" fontId="21" fillId="26" borderId="217" applyNumberFormat="0" applyFont="0" applyAlignment="0" applyProtection="0"/>
    <xf numFmtId="0" fontId="37" fillId="11" borderId="218" applyNumberFormat="0" applyAlignment="0" applyProtection="0"/>
    <xf numFmtId="0" fontId="39" fillId="0" borderId="219" applyNumberFormat="0" applyFill="0" applyAlignment="0" applyProtection="0"/>
    <xf numFmtId="0" fontId="94" fillId="0" borderId="220" applyNumberFormat="0" applyFill="0" applyAlignment="0" applyProtection="0"/>
    <xf numFmtId="0" fontId="94" fillId="0" borderId="220" applyNumberFormat="0" applyFill="0" applyAlignment="0" applyProtection="0"/>
    <xf numFmtId="0" fontId="94" fillId="0" borderId="220" applyNumberFormat="0" applyFill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5" fillId="11" borderId="214" applyNumberFormat="0" applyAlignment="0" applyProtection="0"/>
    <xf numFmtId="0" fontId="33" fillId="5" borderId="214" applyNumberFormat="0" applyAlignment="0" applyProtection="0"/>
    <xf numFmtId="0" fontId="21" fillId="26" borderId="217" applyNumberFormat="0" applyFont="0" applyAlignment="0" applyProtection="0"/>
    <xf numFmtId="0" fontId="21" fillId="26" borderId="217" applyNumberFormat="0" applyFont="0" applyAlignment="0" applyProtection="0"/>
    <xf numFmtId="0" fontId="21" fillId="26" borderId="217" applyNumberFormat="0" applyFont="0" applyAlignment="0" applyProtection="0"/>
    <xf numFmtId="0" fontId="37" fillId="11" borderId="218" applyNumberFormat="0" applyAlignment="0" applyProtection="0"/>
    <xf numFmtId="0" fontId="39" fillId="0" borderId="219" applyNumberFormat="0" applyFill="0" applyAlignment="0" applyProtection="0"/>
    <xf numFmtId="0" fontId="94" fillId="0" borderId="220" applyNumberFormat="0" applyFill="0" applyAlignment="0" applyProtection="0"/>
    <xf numFmtId="0" fontId="94" fillId="0" borderId="220" applyNumberFormat="0" applyFill="0" applyAlignment="0" applyProtection="0"/>
    <xf numFmtId="0" fontId="94" fillId="0" borderId="220" applyNumberFormat="0" applyFill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21" fillId="0" borderId="0"/>
    <xf numFmtId="0" fontId="21" fillId="0" borderId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21" fillId="0" borderId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4" fillId="57" borderId="171" applyNumberFormat="0" applyFont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1" borderId="0" applyNumberFormat="0" applyBorder="0" applyAlignment="0" applyProtection="0"/>
    <xf numFmtId="0" fontId="4" fillId="46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6" borderId="0" applyNumberFormat="0" applyBorder="0" applyAlignment="0" applyProtection="0"/>
    <xf numFmtId="0" fontId="4" fillId="77" borderId="0" applyNumberFormat="0" applyBorder="0" applyAlignment="0" applyProtection="0"/>
    <xf numFmtId="0" fontId="4" fillId="79" borderId="0" applyNumberFormat="0" applyBorder="0" applyAlignment="0" applyProtection="0"/>
    <xf numFmtId="0" fontId="4" fillId="80" borderId="0" applyNumberFormat="0" applyBorder="0" applyAlignment="0" applyProtection="0"/>
    <xf numFmtId="0" fontId="4" fillId="45" borderId="0" applyNumberFormat="0" applyBorder="0" applyAlignment="0" applyProtection="0"/>
    <xf numFmtId="0" fontId="4" fillId="81" borderId="0" applyNumberFormat="0" applyBorder="0" applyAlignment="0" applyProtection="0"/>
    <xf numFmtId="0" fontId="98" fillId="0" borderId="0" applyNumberFormat="0" applyFill="0" applyBorder="0" applyAlignment="0" applyProtection="0"/>
    <xf numFmtId="0" fontId="104" fillId="0" borderId="179" applyNumberFormat="0" applyFill="0" applyAlignment="0" applyProtection="0"/>
    <xf numFmtId="0" fontId="105" fillId="0" borderId="169" applyNumberFormat="0" applyFill="0" applyAlignment="0" applyProtection="0"/>
    <xf numFmtId="0" fontId="106" fillId="0" borderId="180" applyNumberFormat="0" applyFill="0" applyAlignment="0" applyProtection="0"/>
    <xf numFmtId="0" fontId="106" fillId="0" borderId="0" applyNumberFormat="0" applyFill="0" applyBorder="0" applyAlignment="0" applyProtection="0"/>
    <xf numFmtId="0" fontId="107" fillId="65" borderId="0" applyNumberFormat="0" applyBorder="0" applyAlignment="0" applyProtection="0"/>
    <xf numFmtId="0" fontId="108" fillId="53" borderId="0" applyNumberFormat="0" applyBorder="0" applyAlignment="0" applyProtection="0"/>
    <xf numFmtId="0" fontId="109" fillId="56" borderId="0" applyNumberFormat="0" applyBorder="0" applyAlignment="0" applyProtection="0"/>
    <xf numFmtId="0" fontId="110" fillId="55" borderId="167" applyNumberFormat="0" applyAlignment="0" applyProtection="0"/>
    <xf numFmtId="0" fontId="111" fillId="66" borderId="172" applyNumberFormat="0" applyAlignment="0" applyProtection="0"/>
    <xf numFmtId="0" fontId="112" fillId="66" borderId="167" applyNumberFormat="0" applyAlignment="0" applyProtection="0"/>
    <xf numFmtId="0" fontId="113" fillId="0" borderId="170" applyNumberFormat="0" applyFill="0" applyAlignment="0" applyProtection="0"/>
    <xf numFmtId="0" fontId="114" fillId="54" borderId="168" applyNumberFormat="0" applyAlignment="0" applyProtection="0"/>
    <xf numFmtId="0" fontId="115" fillId="0" borderId="0" applyNumberFormat="0" applyFill="0" applyBorder="0" applyAlignment="0" applyProtection="0"/>
    <xf numFmtId="0" fontId="3" fillId="57" borderId="171" applyNumberFormat="0" applyFont="0" applyAlignment="0" applyProtection="0"/>
    <xf numFmtId="0" fontId="116" fillId="0" borderId="0" applyNumberFormat="0" applyFill="0" applyBorder="0" applyAlignment="0" applyProtection="0"/>
    <xf numFmtId="0" fontId="117" fillId="0" borderId="181" applyNumberFormat="0" applyFill="0" applyAlignment="0" applyProtection="0"/>
    <xf numFmtId="0" fontId="118" fillId="67" borderId="0" applyNumberFormat="0" applyBorder="0" applyAlignment="0" applyProtection="0"/>
    <xf numFmtId="0" fontId="3" fillId="68" borderId="0" applyNumberFormat="0" applyBorder="0" applyAlignment="0" applyProtection="0"/>
    <xf numFmtId="0" fontId="3" fillId="69" borderId="0" applyNumberFormat="0" applyBorder="0" applyAlignment="0" applyProtection="0"/>
    <xf numFmtId="0" fontId="118" fillId="70" borderId="0" applyNumberFormat="0" applyBorder="0" applyAlignment="0" applyProtection="0"/>
    <xf numFmtId="0" fontId="118" fillId="49" borderId="0" applyNumberFormat="0" applyBorder="0" applyAlignment="0" applyProtection="0"/>
    <xf numFmtId="0" fontId="3" fillId="71" borderId="0" applyNumberFormat="0" applyBorder="0" applyAlignment="0" applyProtection="0"/>
    <xf numFmtId="0" fontId="3" fillId="46" borderId="0" applyNumberFormat="0" applyBorder="0" applyAlignment="0" applyProtection="0"/>
    <xf numFmtId="0" fontId="118" fillId="47" borderId="0" applyNumberFormat="0" applyBorder="0" applyAlignment="0" applyProtection="0"/>
    <xf numFmtId="0" fontId="118" fillId="50" borderId="0" applyNumberFormat="0" applyBorder="0" applyAlignment="0" applyProtection="0"/>
    <xf numFmtId="0" fontId="3" fillId="72" borderId="0" applyNumberFormat="0" applyBorder="0" applyAlignment="0" applyProtection="0"/>
    <xf numFmtId="0" fontId="3" fillId="73" borderId="0" applyNumberFormat="0" applyBorder="0" applyAlignment="0" applyProtection="0"/>
    <xf numFmtId="0" fontId="118" fillId="74" borderId="0" applyNumberFormat="0" applyBorder="0" applyAlignment="0" applyProtection="0"/>
    <xf numFmtId="0" fontId="118" fillId="75" borderId="0" applyNumberFormat="0" applyBorder="0" applyAlignment="0" applyProtection="0"/>
    <xf numFmtId="0" fontId="3" fillId="76" borderId="0" applyNumberFormat="0" applyBorder="0" applyAlignment="0" applyProtection="0"/>
    <xf numFmtId="0" fontId="3" fillId="77" borderId="0" applyNumberFormat="0" applyBorder="0" applyAlignment="0" applyProtection="0"/>
    <xf numFmtId="0" fontId="118" fillId="78" borderId="0" applyNumberFormat="0" applyBorder="0" applyAlignment="0" applyProtection="0"/>
    <xf numFmtId="0" fontId="118" fillId="51" borderId="0" applyNumberFormat="0" applyBorder="0" applyAlignment="0" applyProtection="0"/>
    <xf numFmtId="0" fontId="3" fillId="79" borderId="0" applyNumberFormat="0" applyBorder="0" applyAlignment="0" applyProtection="0"/>
    <xf numFmtId="0" fontId="3" fillId="80" borderId="0" applyNumberFormat="0" applyBorder="0" applyAlignment="0" applyProtection="0"/>
    <xf numFmtId="0" fontId="118" fillId="48" borderId="0" applyNumberFormat="0" applyBorder="0" applyAlignment="0" applyProtection="0"/>
    <xf numFmtId="0" fontId="118" fillId="52" borderId="0" applyNumberFormat="0" applyBorder="0" applyAlignment="0" applyProtection="0"/>
    <xf numFmtId="0" fontId="3" fillId="45" borderId="0" applyNumberFormat="0" applyBorder="0" applyAlignment="0" applyProtection="0"/>
    <xf numFmtId="0" fontId="3" fillId="81" borderId="0" applyNumberFormat="0" applyBorder="0" applyAlignment="0" applyProtection="0"/>
    <xf numFmtId="0" fontId="118" fillId="82" borderId="0" applyNumberFormat="0" applyBorder="0" applyAlignment="0" applyProtection="0"/>
    <xf numFmtId="0" fontId="2" fillId="72" borderId="0" applyNumberFormat="0" applyBorder="0" applyAlignment="0" applyProtection="0"/>
    <xf numFmtId="0" fontId="2" fillId="46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2" fillId="69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2" fillId="81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2" fillId="45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18" fillId="46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2" fillId="57" borderId="171" applyNumberFormat="0" applyFont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2" fillId="71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2" fillId="73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2" fillId="80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2" fillId="68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2" fillId="72" borderId="0" applyNumberFormat="0" applyBorder="0" applyAlignment="0" applyProtection="0"/>
    <xf numFmtId="0" fontId="2" fillId="76" borderId="0" applyNumberFormat="0" applyBorder="0" applyAlignment="0" applyProtection="0"/>
    <xf numFmtId="0" fontId="2" fillId="46" borderId="0" applyNumberFormat="0" applyBorder="0" applyAlignment="0" applyProtection="0"/>
    <xf numFmtId="0" fontId="2" fillId="71" borderId="0" applyNumberFormat="0" applyBorder="0" applyAlignment="0" applyProtection="0"/>
    <xf numFmtId="0" fontId="2" fillId="80" borderId="0" applyNumberFormat="0" applyBorder="0" applyAlignment="0" applyProtection="0"/>
    <xf numFmtId="0" fontId="2" fillId="81" borderId="0" applyNumberFormat="0" applyBorder="0" applyAlignment="0" applyProtection="0"/>
    <xf numFmtId="0" fontId="2" fillId="79" borderId="0" applyNumberFormat="0" applyBorder="0" applyAlignment="0" applyProtection="0"/>
    <xf numFmtId="0" fontId="2" fillId="77" borderId="0" applyNumberFormat="0" applyBorder="0" applyAlignment="0" applyProtection="0"/>
    <xf numFmtId="0" fontId="2" fillId="69" borderId="0" applyNumberFormat="0" applyBorder="0" applyAlignment="0" applyProtection="0"/>
    <xf numFmtId="0" fontId="2" fillId="46" borderId="0" applyNumberFormat="0" applyBorder="0" applyAlignment="0" applyProtection="0"/>
    <xf numFmtId="0" fontId="21" fillId="26" borderId="250" applyNumberFormat="0" applyFont="0" applyAlignment="0" applyProtection="0"/>
    <xf numFmtId="0" fontId="21" fillId="0" borderId="0"/>
    <xf numFmtId="0" fontId="18" fillId="45" borderId="0" applyNumberFormat="0" applyBorder="0" applyAlignment="0" applyProtection="0"/>
    <xf numFmtId="0" fontId="33" fillId="5" borderId="249" applyNumberFormat="0" applyAlignment="0" applyProtection="0"/>
    <xf numFmtId="0" fontId="25" fillId="11" borderId="249" applyNumberFormat="0" applyAlignment="0" applyProtection="0"/>
    <xf numFmtId="0" fontId="2" fillId="45" borderId="0" applyNumberFormat="0" applyBorder="0" applyAlignment="0" applyProtection="0"/>
    <xf numFmtId="0" fontId="2" fillId="79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2" fillId="81" borderId="0" applyNumberFormat="0" applyBorder="0" applyAlignment="0" applyProtection="0"/>
    <xf numFmtId="0" fontId="2" fillId="45" borderId="0" applyNumberFormat="0" applyBorder="0" applyAlignment="0" applyProtection="0"/>
    <xf numFmtId="0" fontId="37" fillId="11" borderId="246" applyNumberFormat="0" applyAlignment="0" applyProtection="0"/>
    <xf numFmtId="0" fontId="2" fillId="79" borderId="0" applyNumberFormat="0" applyBorder="0" applyAlignment="0" applyProtection="0"/>
    <xf numFmtId="0" fontId="2" fillId="68" borderId="0" applyNumberFormat="0" applyBorder="0" applyAlignment="0" applyProtection="0"/>
    <xf numFmtId="0" fontId="2" fillId="80" borderId="0" applyNumberFormat="0" applyBorder="0" applyAlignment="0" applyProtection="0"/>
    <xf numFmtId="0" fontId="2" fillId="76" borderId="0" applyNumberFormat="0" applyBorder="0" applyAlignment="0" applyProtection="0"/>
    <xf numFmtId="0" fontId="2" fillId="69" borderId="0" applyNumberFormat="0" applyBorder="0" applyAlignment="0" applyProtection="0"/>
    <xf numFmtId="0" fontId="2" fillId="80" borderId="0" applyNumberFormat="0" applyBorder="0" applyAlignment="0" applyProtection="0"/>
    <xf numFmtId="0" fontId="2" fillId="79" borderId="0" applyNumberFormat="0" applyBorder="0" applyAlignment="0" applyProtection="0"/>
    <xf numFmtId="0" fontId="2" fillId="71" borderId="0" applyNumberFormat="0" applyBorder="0" applyAlignment="0" applyProtection="0"/>
    <xf numFmtId="0" fontId="2" fillId="72" borderId="0" applyNumberFormat="0" applyBorder="0" applyAlignment="0" applyProtection="0"/>
    <xf numFmtId="0" fontId="2" fillId="69" borderId="0" applyNumberFormat="0" applyBorder="0" applyAlignment="0" applyProtection="0"/>
    <xf numFmtId="0" fontId="2" fillId="68" borderId="0" applyNumberFormat="0" applyBorder="0" applyAlignment="0" applyProtection="0"/>
    <xf numFmtId="0" fontId="2" fillId="77" borderId="0" applyNumberFormat="0" applyBorder="0" applyAlignment="0" applyProtection="0"/>
    <xf numFmtId="0" fontId="2" fillId="80" borderId="0" applyNumberFormat="0" applyBorder="0" applyAlignment="0" applyProtection="0"/>
    <xf numFmtId="0" fontId="2" fillId="76" borderId="0" applyNumberFormat="0" applyBorder="0" applyAlignment="0" applyProtection="0"/>
    <xf numFmtId="0" fontId="2" fillId="73" borderId="0" applyNumberFormat="0" applyBorder="0" applyAlignment="0" applyProtection="0"/>
    <xf numFmtId="0" fontId="2" fillId="57" borderId="171" applyNumberFormat="0" applyFont="0" applyAlignment="0" applyProtection="0"/>
    <xf numFmtId="0" fontId="94" fillId="0" borderId="253" applyNumberFormat="0" applyFill="0" applyAlignment="0" applyProtection="0"/>
    <xf numFmtId="0" fontId="94" fillId="0" borderId="253" applyNumberFormat="0" applyFill="0" applyAlignment="0" applyProtection="0"/>
    <xf numFmtId="0" fontId="21" fillId="26" borderId="250" applyNumberFormat="0" applyFont="0" applyAlignment="0" applyProtection="0"/>
    <xf numFmtId="0" fontId="21" fillId="0" borderId="0"/>
    <xf numFmtId="0" fontId="21" fillId="26" borderId="257" applyNumberFormat="0" applyFont="0" applyAlignment="0" applyProtection="0"/>
    <xf numFmtId="0" fontId="37" fillId="11" borderId="262" applyNumberFormat="0" applyAlignment="0" applyProtection="0"/>
    <xf numFmtId="0" fontId="25" fillId="11" borderId="232" applyNumberFormat="0" applyAlignment="0" applyProtection="0"/>
    <xf numFmtId="0" fontId="21" fillId="0" borderId="0"/>
    <xf numFmtId="0" fontId="25" fillId="11" borderId="249" applyNumberFormat="0" applyAlignment="0" applyProtection="0"/>
    <xf numFmtId="0" fontId="2" fillId="73" borderId="0" applyNumberFormat="0" applyBorder="0" applyAlignment="0" applyProtection="0"/>
    <xf numFmtId="0" fontId="26" fillId="24" borderId="221" applyNumberFormat="0" applyAlignment="0" applyProtection="0"/>
    <xf numFmtId="0" fontId="18" fillId="3" borderId="0" applyNumberFormat="0" applyBorder="0" applyAlignment="0" applyProtection="0"/>
    <xf numFmtId="0" fontId="2" fillId="57" borderId="171" applyNumberFormat="0" applyFont="0" applyAlignment="0" applyProtection="0"/>
    <xf numFmtId="0" fontId="2" fillId="71" borderId="0" applyNumberFormat="0" applyBorder="0" applyAlignment="0" applyProtection="0"/>
    <xf numFmtId="0" fontId="18" fillId="0" borderId="0"/>
    <xf numFmtId="0" fontId="2" fillId="80" borderId="0" applyNumberFormat="0" applyBorder="0" applyAlignment="0" applyProtection="0"/>
    <xf numFmtId="0" fontId="39" fillId="0" borderId="247" applyNumberFormat="0" applyFill="0" applyAlignment="0" applyProtection="0"/>
    <xf numFmtId="0" fontId="2" fillId="72" borderId="0" applyNumberFormat="0" applyBorder="0" applyAlignment="0" applyProtection="0"/>
    <xf numFmtId="0" fontId="2" fillId="69" borderId="0" applyNumberFormat="0" applyBorder="0" applyAlignment="0" applyProtection="0"/>
    <xf numFmtId="0" fontId="2" fillId="77" borderId="0" applyNumberFormat="0" applyBorder="0" applyAlignment="0" applyProtection="0"/>
    <xf numFmtId="0" fontId="2" fillId="46" borderId="0" applyNumberFormat="0" applyBorder="0" applyAlignment="0" applyProtection="0"/>
    <xf numFmtId="0" fontId="2" fillId="80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32" fillId="0" borderId="233" applyNumberFormat="0" applyFill="0" applyAlignment="0" applyProtection="0"/>
    <xf numFmtId="0" fontId="81" fillId="0" borderId="234" applyNumberFormat="0" applyFill="0" applyAlignment="0" applyProtection="0"/>
    <xf numFmtId="0" fontId="81" fillId="0" borderId="234" applyNumberFormat="0" applyFill="0" applyAlignment="0" applyProtection="0"/>
    <xf numFmtId="0" fontId="81" fillId="0" borderId="234" applyNumberFormat="0" applyFill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77" borderId="0" applyNumberFormat="0" applyBorder="0" applyAlignment="0" applyProtection="0"/>
    <xf numFmtId="0" fontId="2" fillId="57" borderId="171" applyNumberFormat="0" applyFont="0" applyAlignment="0" applyProtection="0"/>
    <xf numFmtId="0" fontId="33" fillId="5" borderId="232" applyNumberFormat="0" applyAlignment="0" applyProtection="0"/>
    <xf numFmtId="0" fontId="2" fillId="79" borderId="0" applyNumberFormat="0" applyBorder="0" applyAlignment="0" applyProtection="0"/>
    <xf numFmtId="0" fontId="25" fillId="11" borderId="244" applyNumberFormat="0" applyAlignment="0" applyProtection="0"/>
    <xf numFmtId="0" fontId="2" fillId="80" borderId="0" applyNumberFormat="0" applyBorder="0" applyAlignment="0" applyProtection="0"/>
    <xf numFmtId="0" fontId="2" fillId="68" borderId="0" applyNumberFormat="0" applyBorder="0" applyAlignment="0" applyProtection="0"/>
    <xf numFmtId="0" fontId="2" fillId="68" borderId="0" applyNumberFormat="0" applyBorder="0" applyAlignment="0" applyProtection="0"/>
    <xf numFmtId="0" fontId="39" fillId="0" borderId="273" applyNumberFormat="0" applyFill="0" applyAlignment="0" applyProtection="0"/>
    <xf numFmtId="0" fontId="2" fillId="57" borderId="171" applyNumberFormat="0" applyFont="0" applyAlignment="0" applyProtection="0"/>
    <xf numFmtId="0" fontId="2" fillId="80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1" fillId="0" borderId="0"/>
    <xf numFmtId="0" fontId="2" fillId="80" borderId="0" applyNumberFormat="0" applyBorder="0" applyAlignment="0" applyProtection="0"/>
    <xf numFmtId="0" fontId="21" fillId="0" borderId="0"/>
    <xf numFmtId="0" fontId="2" fillId="68" borderId="0" applyNumberFormat="0" applyBorder="0" applyAlignment="0" applyProtection="0"/>
    <xf numFmtId="0" fontId="21" fillId="0" borderId="0"/>
    <xf numFmtId="0" fontId="2" fillId="80" borderId="0" applyNumberFormat="0" applyBorder="0" applyAlignment="0" applyProtection="0"/>
    <xf numFmtId="0" fontId="94" fillId="0" borderId="274" applyNumberFormat="0" applyFill="0" applyAlignment="0" applyProtection="0"/>
    <xf numFmtId="0" fontId="21" fillId="0" borderId="0"/>
    <xf numFmtId="0" fontId="21" fillId="0" borderId="0"/>
    <xf numFmtId="0" fontId="25" fillId="11" borderId="270" applyNumberFormat="0" applyAlignment="0" applyProtection="0"/>
    <xf numFmtId="0" fontId="21" fillId="0" borderId="0"/>
    <xf numFmtId="0" fontId="21" fillId="0" borderId="0"/>
    <xf numFmtId="0" fontId="21" fillId="0" borderId="0"/>
    <xf numFmtId="0" fontId="18" fillId="80" borderId="0" applyNumberFormat="0" applyBorder="0" applyAlignment="0" applyProtection="0"/>
    <xf numFmtId="0" fontId="21" fillId="0" borderId="0"/>
    <xf numFmtId="0" fontId="2" fillId="71" borderId="0" applyNumberFormat="0" applyBorder="0" applyAlignment="0" applyProtection="0"/>
    <xf numFmtId="0" fontId="21" fillId="0" borderId="0"/>
    <xf numFmtId="0" fontId="21" fillId="0" borderId="0"/>
    <xf numFmtId="0" fontId="18" fillId="68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" fillId="79" borderId="0" applyNumberFormat="0" applyBorder="0" applyAlignment="0" applyProtection="0"/>
    <xf numFmtId="0" fontId="21" fillId="0" borderId="0"/>
    <xf numFmtId="0" fontId="39" fillId="0" borderId="252" applyNumberFormat="0" applyFill="0" applyAlignment="0" applyProtection="0"/>
    <xf numFmtId="0" fontId="2" fillId="57" borderId="171" applyNumberFormat="0" applyFont="0" applyAlignment="0" applyProtection="0"/>
    <xf numFmtId="0" fontId="21" fillId="0" borderId="0"/>
    <xf numFmtId="0" fontId="21" fillId="0" borderId="0"/>
    <xf numFmtId="0" fontId="2" fillId="45" borderId="0" applyNumberFormat="0" applyBorder="0" applyAlignment="0" applyProtection="0"/>
    <xf numFmtId="0" fontId="21" fillId="0" borderId="0"/>
    <xf numFmtId="0" fontId="2" fillId="73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94" fillId="0" borderId="264" applyNumberFormat="0" applyFill="0" applyAlignment="0" applyProtection="0"/>
    <xf numFmtId="0" fontId="21" fillId="0" borderId="0"/>
    <xf numFmtId="0" fontId="94" fillId="0" borderId="264" applyNumberFormat="0" applyFill="0" applyAlignment="0" applyProtection="0"/>
    <xf numFmtId="0" fontId="18" fillId="0" borderId="0"/>
    <xf numFmtId="0" fontId="21" fillId="0" borderId="0"/>
    <xf numFmtId="0" fontId="21" fillId="0" borderId="0"/>
    <xf numFmtId="0" fontId="21" fillId="0" borderId="0"/>
    <xf numFmtId="0" fontId="2" fillId="68" borderId="0" applyNumberFormat="0" applyBorder="0" applyAlignment="0" applyProtection="0"/>
    <xf numFmtId="0" fontId="21" fillId="0" borderId="0"/>
    <xf numFmtId="0" fontId="32" fillId="0" borderId="233" applyNumberFormat="0" applyFill="0" applyAlignment="0" applyProtection="0"/>
    <xf numFmtId="0" fontId="21" fillId="0" borderId="0"/>
    <xf numFmtId="0" fontId="21" fillId="0" borderId="0"/>
    <xf numFmtId="0" fontId="21" fillId="0" borderId="0"/>
    <xf numFmtId="0" fontId="2" fillId="80" borderId="0" applyNumberFormat="0" applyBorder="0" applyAlignment="0" applyProtection="0"/>
    <xf numFmtId="0" fontId="37" fillId="11" borderId="246" applyNumberFormat="0" applyAlignment="0" applyProtection="0"/>
    <xf numFmtId="0" fontId="21" fillId="0" borderId="0"/>
    <xf numFmtId="0" fontId="21" fillId="0" borderId="0"/>
    <xf numFmtId="0" fontId="21" fillId="26" borderId="235" applyNumberFormat="0" applyFont="0" applyAlignment="0" applyProtection="0"/>
    <xf numFmtId="0" fontId="21" fillId="26" borderId="235" applyNumberFormat="0" applyFont="0" applyAlignment="0" applyProtection="0"/>
    <xf numFmtId="0" fontId="21" fillId="26" borderId="235" applyNumberFormat="0" applyFont="0" applyAlignment="0" applyProtection="0"/>
    <xf numFmtId="0" fontId="2" fillId="77" borderId="0" applyNumberFormat="0" applyBorder="0" applyAlignment="0" applyProtection="0"/>
    <xf numFmtId="0" fontId="2" fillId="73" borderId="0" applyNumberFormat="0" applyBorder="0" applyAlignment="0" applyProtection="0"/>
    <xf numFmtId="0" fontId="2" fillId="81" borderId="0" applyNumberFormat="0" applyBorder="0" applyAlignment="0" applyProtection="0"/>
    <xf numFmtId="0" fontId="37" fillId="11" borderId="236" applyNumberFormat="0" applyAlignment="0" applyProtection="0"/>
    <xf numFmtId="0" fontId="2" fillId="69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18" fillId="7" borderId="0" applyNumberFormat="0" applyBorder="0" applyAlignment="0" applyProtection="0"/>
    <xf numFmtId="0" fontId="2" fillId="57" borderId="171" applyNumberFormat="0" applyFont="0" applyAlignment="0" applyProtection="0"/>
    <xf numFmtId="0" fontId="39" fillId="0" borderId="237" applyNumberFormat="0" applyFill="0" applyAlignment="0" applyProtection="0"/>
    <xf numFmtId="0" fontId="94" fillId="0" borderId="238" applyNumberFormat="0" applyFill="0" applyAlignment="0" applyProtection="0"/>
    <xf numFmtId="0" fontId="94" fillId="0" borderId="238" applyNumberFormat="0" applyFill="0" applyAlignment="0" applyProtection="0"/>
    <xf numFmtId="0" fontId="94" fillId="0" borderId="238" applyNumberFormat="0" applyFill="0" applyAlignment="0" applyProtection="0"/>
    <xf numFmtId="0" fontId="18" fillId="7" borderId="0" applyNumberFormat="0" applyBorder="0" applyAlignment="0" applyProtection="0"/>
    <xf numFmtId="0" fontId="18" fillId="5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21" fillId="0" borderId="0"/>
    <xf numFmtId="0" fontId="21" fillId="26" borderId="257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18" fillId="11" borderId="0" applyNumberFormat="0" applyBorder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" fillId="79" borderId="0" applyNumberFormat="0" applyBorder="0" applyAlignment="0" applyProtection="0"/>
    <xf numFmtId="0" fontId="18" fillId="7" borderId="0" applyNumberFormat="0" applyBorder="0" applyAlignment="0" applyProtection="0"/>
    <xf numFmtId="0" fontId="2" fillId="76" borderId="0" applyNumberFormat="0" applyBorder="0" applyAlignment="0" applyProtection="0"/>
    <xf numFmtId="0" fontId="2" fillId="79" borderId="0" applyNumberFormat="0" applyBorder="0" applyAlignment="0" applyProtection="0"/>
    <xf numFmtId="0" fontId="81" fillId="0" borderId="256" applyNumberFormat="0" applyFill="0" applyAlignment="0" applyProtection="0"/>
    <xf numFmtId="0" fontId="2" fillId="45" borderId="0" applyNumberFormat="0" applyBorder="0" applyAlignment="0" applyProtection="0"/>
    <xf numFmtId="0" fontId="2" fillId="69" borderId="0" applyNumberFormat="0" applyBorder="0" applyAlignment="0" applyProtection="0"/>
    <xf numFmtId="0" fontId="18" fillId="3" borderId="0" applyNumberFormat="0" applyBorder="0" applyAlignment="0" applyProtection="0"/>
    <xf numFmtId="0" fontId="18" fillId="57" borderId="171" applyNumberFormat="0" applyFont="0" applyAlignment="0" applyProtection="0"/>
    <xf numFmtId="0" fontId="2" fillId="77" borderId="0" applyNumberFormat="0" applyBorder="0" applyAlignment="0" applyProtection="0"/>
    <xf numFmtId="0" fontId="18" fillId="45" borderId="0" applyNumberFormat="0" applyBorder="0" applyAlignment="0" applyProtection="0"/>
    <xf numFmtId="0" fontId="2" fillId="68" borderId="0" applyNumberFormat="0" applyBorder="0" applyAlignment="0" applyProtection="0"/>
    <xf numFmtId="0" fontId="18" fillId="68" borderId="0" applyNumberFormat="0" applyBorder="0" applyAlignment="0" applyProtection="0"/>
    <xf numFmtId="0" fontId="18" fillId="69" borderId="0" applyNumberFormat="0" applyBorder="0" applyAlignment="0" applyProtection="0"/>
    <xf numFmtId="0" fontId="2" fillId="69" borderId="0" applyNumberFormat="0" applyBorder="0" applyAlignment="0" applyProtection="0"/>
    <xf numFmtId="0" fontId="18" fillId="7" borderId="0" applyNumberFormat="0" applyBorder="0" applyAlignment="0" applyProtection="0"/>
    <xf numFmtId="0" fontId="18" fillId="71" borderId="0" applyNumberFormat="0" applyBorder="0" applyAlignment="0" applyProtection="0"/>
    <xf numFmtId="0" fontId="18" fillId="46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18" fillId="72" borderId="0" applyNumberFormat="0" applyBorder="0" applyAlignment="0" applyProtection="0"/>
    <xf numFmtId="0" fontId="18" fillId="73" borderId="0" applyNumberFormat="0" applyBorder="0" applyAlignment="0" applyProtection="0"/>
    <xf numFmtId="0" fontId="94" fillId="0" borderId="253" applyNumberFormat="0" applyFill="0" applyAlignment="0" applyProtection="0"/>
    <xf numFmtId="0" fontId="2" fillId="57" borderId="171" applyNumberFormat="0" applyFont="0" applyAlignment="0" applyProtection="0"/>
    <xf numFmtId="0" fontId="18" fillId="76" borderId="0" applyNumberFormat="0" applyBorder="0" applyAlignment="0" applyProtection="0"/>
    <xf numFmtId="0" fontId="18" fillId="77" borderId="0" applyNumberFormat="0" applyBorder="0" applyAlignment="0" applyProtection="0"/>
    <xf numFmtId="0" fontId="2" fillId="72" borderId="0" applyNumberFormat="0" applyBorder="0" applyAlignment="0" applyProtection="0"/>
    <xf numFmtId="0" fontId="18" fillId="79" borderId="0" applyNumberFormat="0" applyBorder="0" applyAlignment="0" applyProtection="0"/>
    <xf numFmtId="0" fontId="18" fillId="80" borderId="0" applyNumberFormat="0" applyBorder="0" applyAlignment="0" applyProtection="0"/>
    <xf numFmtId="0" fontId="2" fillId="72" borderId="0" applyNumberFormat="0" applyBorder="0" applyAlignment="0" applyProtection="0"/>
    <xf numFmtId="0" fontId="94" fillId="0" borderId="253" applyNumberFormat="0" applyFill="0" applyAlignment="0" applyProtection="0"/>
    <xf numFmtId="0" fontId="18" fillId="45" borderId="0" applyNumberFormat="0" applyBorder="0" applyAlignment="0" applyProtection="0"/>
    <xf numFmtId="0" fontId="18" fillId="81" borderId="0" applyNumberFormat="0" applyBorder="0" applyAlignment="0" applyProtection="0"/>
    <xf numFmtId="0" fontId="21" fillId="0" borderId="0"/>
    <xf numFmtId="0" fontId="21" fillId="0" borderId="0"/>
    <xf numFmtId="0" fontId="2" fillId="79" borderId="0" applyNumberFormat="0" applyBorder="0" applyAlignment="0" applyProtection="0"/>
    <xf numFmtId="0" fontId="18" fillId="11" borderId="0" applyNumberFormat="0" applyBorder="0" applyAlignment="0" applyProtection="0"/>
    <xf numFmtId="0" fontId="2" fillId="76" borderId="0" applyNumberFormat="0" applyBorder="0" applyAlignment="0" applyProtection="0"/>
    <xf numFmtId="0" fontId="2" fillId="72" borderId="0" applyNumberFormat="0" applyBorder="0" applyAlignment="0" applyProtection="0"/>
    <xf numFmtId="0" fontId="2" fillId="69" borderId="0" applyNumberFormat="0" applyBorder="0" applyAlignment="0" applyProtection="0"/>
    <xf numFmtId="0" fontId="2" fillId="80" borderId="0" applyNumberFormat="0" applyBorder="0" applyAlignment="0" applyProtection="0"/>
    <xf numFmtId="0" fontId="21" fillId="0" borderId="0"/>
    <xf numFmtId="0" fontId="2" fillId="73" borderId="0" applyNumberFormat="0" applyBorder="0" applyAlignment="0" applyProtection="0"/>
    <xf numFmtId="0" fontId="94" fillId="0" borderId="248" applyNumberFormat="0" applyFill="0" applyAlignment="0" applyProtection="0"/>
    <xf numFmtId="0" fontId="2" fillId="71" borderId="0" applyNumberFormat="0" applyBorder="0" applyAlignment="0" applyProtection="0"/>
    <xf numFmtId="0" fontId="2" fillId="57" borderId="171" applyNumberFormat="0" applyFont="0" applyAlignment="0" applyProtection="0"/>
    <xf numFmtId="0" fontId="2" fillId="77" borderId="0" applyNumberFormat="0" applyBorder="0" applyAlignment="0" applyProtection="0"/>
    <xf numFmtId="0" fontId="2" fillId="72" borderId="0" applyNumberFormat="0" applyBorder="0" applyAlignment="0" applyProtection="0"/>
    <xf numFmtId="0" fontId="2" fillId="45" borderId="0" applyNumberFormat="0" applyBorder="0" applyAlignment="0" applyProtection="0"/>
    <xf numFmtId="0" fontId="2" fillId="76" borderId="0" applyNumberFormat="0" applyBorder="0" applyAlignment="0" applyProtection="0"/>
    <xf numFmtId="0" fontId="18" fillId="45" borderId="0" applyNumberFormat="0" applyBorder="0" applyAlignment="0" applyProtection="0"/>
    <xf numFmtId="0" fontId="2" fillId="71" borderId="0" applyNumberFormat="0" applyBorder="0" applyAlignment="0" applyProtection="0"/>
    <xf numFmtId="0" fontId="2" fillId="45" borderId="0" applyNumberFormat="0" applyBorder="0" applyAlignment="0" applyProtection="0"/>
    <xf numFmtId="0" fontId="2" fillId="68" borderId="0" applyNumberFormat="0" applyBorder="0" applyAlignment="0" applyProtection="0"/>
    <xf numFmtId="0" fontId="2" fillId="46" borderId="0" applyNumberFormat="0" applyBorder="0" applyAlignment="0" applyProtection="0"/>
    <xf numFmtId="0" fontId="2" fillId="68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69" borderId="0" applyNumberFormat="0" applyBorder="0" applyAlignment="0" applyProtection="0"/>
    <xf numFmtId="0" fontId="2" fillId="76" borderId="0" applyNumberFormat="0" applyBorder="0" applyAlignment="0" applyProtection="0"/>
    <xf numFmtId="0" fontId="94" fillId="0" borderId="253" applyNumberFormat="0" applyFill="0" applyAlignment="0" applyProtection="0"/>
    <xf numFmtId="0" fontId="2" fillId="81" borderId="0" applyNumberFormat="0" applyBorder="0" applyAlignment="0" applyProtection="0"/>
    <xf numFmtId="0" fontId="2" fillId="68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81" borderId="0" applyNumberFormat="0" applyBorder="0" applyAlignment="0" applyProtection="0"/>
    <xf numFmtId="0" fontId="2" fillId="69" borderId="0" applyNumberFormat="0" applyBorder="0" applyAlignment="0" applyProtection="0"/>
    <xf numFmtId="0" fontId="2" fillId="80" borderId="0" applyNumberFormat="0" applyBorder="0" applyAlignment="0" applyProtection="0"/>
    <xf numFmtId="0" fontId="39" fillId="0" borderId="252" applyNumberFormat="0" applyFill="0" applyAlignment="0" applyProtection="0"/>
    <xf numFmtId="0" fontId="2" fillId="73" borderId="0" applyNumberFormat="0" applyBorder="0" applyAlignment="0" applyProtection="0"/>
    <xf numFmtId="0" fontId="18" fillId="11" borderId="0" applyNumberFormat="0" applyBorder="0" applyAlignment="0" applyProtection="0"/>
    <xf numFmtId="0" fontId="2" fillId="81" borderId="0" applyNumberFormat="0" applyBorder="0" applyAlignment="0" applyProtection="0"/>
    <xf numFmtId="0" fontId="2" fillId="73" borderId="0" applyNumberFormat="0" applyBorder="0" applyAlignment="0" applyProtection="0"/>
    <xf numFmtId="0" fontId="2" fillId="68" borderId="0" applyNumberFormat="0" applyBorder="0" applyAlignment="0" applyProtection="0"/>
    <xf numFmtId="0" fontId="21" fillId="0" borderId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57" borderId="171" applyNumberFormat="0" applyFont="0" applyAlignment="0" applyProtection="0"/>
    <xf numFmtId="0" fontId="2" fillId="72" borderId="0" applyNumberFormat="0" applyBorder="0" applyAlignment="0" applyProtection="0"/>
    <xf numFmtId="0" fontId="21" fillId="0" borderId="0"/>
    <xf numFmtId="0" fontId="2" fillId="80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57" borderId="171" applyNumberFormat="0" applyFont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94" fillId="0" borderId="253" applyNumberFormat="0" applyFill="0" applyAlignment="0" applyProtection="0"/>
    <xf numFmtId="0" fontId="2" fillId="45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69" borderId="0" applyNumberFormat="0" applyBorder="0" applyAlignment="0" applyProtection="0"/>
    <xf numFmtId="0" fontId="37" fillId="11" borderId="251" applyNumberFormat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68" borderId="0" applyNumberFormat="0" applyBorder="0" applyAlignment="0" applyProtection="0"/>
    <xf numFmtId="0" fontId="2" fillId="79" borderId="0" applyNumberFormat="0" applyBorder="0" applyAlignment="0" applyProtection="0"/>
    <xf numFmtId="0" fontId="94" fillId="0" borderId="248" applyNumberFormat="0" applyFill="0" applyAlignment="0" applyProtection="0"/>
    <xf numFmtId="0" fontId="2" fillId="77" borderId="0" applyNumberFormat="0" applyBorder="0" applyAlignment="0" applyProtection="0"/>
    <xf numFmtId="0" fontId="2" fillId="45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46" borderId="0" applyNumberFormat="0" applyBorder="0" applyAlignment="0" applyProtection="0"/>
    <xf numFmtId="0" fontId="2" fillId="76" borderId="0" applyNumberFormat="0" applyBorder="0" applyAlignment="0" applyProtection="0"/>
    <xf numFmtId="0" fontId="2" fillId="73" borderId="0" applyNumberFormat="0" applyBorder="0" applyAlignment="0" applyProtection="0"/>
    <xf numFmtId="0" fontId="2" fillId="72" borderId="0" applyNumberFormat="0" applyBorder="0" applyAlignment="0" applyProtection="0"/>
    <xf numFmtId="0" fontId="2" fillId="57" borderId="171" applyNumberFormat="0" applyFont="0" applyAlignment="0" applyProtection="0"/>
    <xf numFmtId="0" fontId="2" fillId="46" borderId="0" applyNumberFormat="0" applyBorder="0" applyAlignment="0" applyProtection="0"/>
    <xf numFmtId="0" fontId="18" fillId="7" borderId="0" applyNumberFormat="0" applyBorder="0" applyAlignment="0" applyProtection="0"/>
    <xf numFmtId="0" fontId="2" fillId="79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81" borderId="0" applyNumberFormat="0" applyBorder="0" applyAlignment="0" applyProtection="0"/>
    <xf numFmtId="0" fontId="18" fillId="3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39" fillId="0" borderId="252" applyNumberFormat="0" applyFill="0" applyAlignment="0" applyProtection="0"/>
    <xf numFmtId="0" fontId="2" fillId="80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18" fillId="0" borderId="0"/>
    <xf numFmtId="0" fontId="2" fillId="69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68" borderId="0" applyNumberFormat="0" applyBorder="0" applyAlignment="0" applyProtection="0"/>
    <xf numFmtId="0" fontId="21" fillId="26" borderId="250" applyNumberFormat="0" applyFont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6" borderId="0" applyNumberFormat="0" applyBorder="0" applyAlignment="0" applyProtection="0"/>
    <xf numFmtId="0" fontId="18" fillId="7" borderId="0" applyNumberFormat="0" applyBorder="0" applyAlignment="0" applyProtection="0"/>
    <xf numFmtId="0" fontId="2" fillId="73" borderId="0" applyNumberFormat="0" applyBorder="0" applyAlignment="0" applyProtection="0"/>
    <xf numFmtId="0" fontId="21" fillId="0" borderId="0"/>
    <xf numFmtId="0" fontId="2" fillId="76" borderId="0" applyNumberFormat="0" applyBorder="0" applyAlignment="0" applyProtection="0"/>
    <xf numFmtId="0" fontId="21" fillId="26" borderId="245" applyNumberFormat="0" applyFont="0" applyAlignment="0" applyProtection="0"/>
    <xf numFmtId="0" fontId="2" fillId="69" borderId="0" applyNumberFormat="0" applyBorder="0" applyAlignment="0" applyProtection="0"/>
    <xf numFmtId="0" fontId="2" fillId="76" borderId="0" applyNumberFormat="0" applyBorder="0" applyAlignment="0" applyProtection="0"/>
    <xf numFmtId="0" fontId="2" fillId="81" borderId="0" applyNumberFormat="0" applyBorder="0" applyAlignment="0" applyProtection="0"/>
    <xf numFmtId="0" fontId="2" fillId="68" borderId="0" applyNumberFormat="0" applyBorder="0" applyAlignment="0" applyProtection="0"/>
    <xf numFmtId="0" fontId="2" fillId="57" borderId="171" applyNumberFormat="0" applyFont="0" applyAlignment="0" applyProtection="0"/>
    <xf numFmtId="0" fontId="2" fillId="73" borderId="0" applyNumberFormat="0" applyBorder="0" applyAlignment="0" applyProtection="0"/>
    <xf numFmtId="0" fontId="18" fillId="7" borderId="0" applyNumberFormat="0" applyBorder="0" applyAlignment="0" applyProtection="0"/>
    <xf numFmtId="0" fontId="2" fillId="79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45" borderId="0" applyNumberFormat="0" applyBorder="0" applyAlignment="0" applyProtection="0"/>
    <xf numFmtId="0" fontId="2" fillId="76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37" fillId="11" borderId="251" applyNumberFormat="0" applyAlignment="0" applyProtection="0"/>
    <xf numFmtId="0" fontId="2" fillId="79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1" fillId="0" borderId="0"/>
    <xf numFmtId="0" fontId="2" fillId="68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73" borderId="0" applyNumberFormat="0" applyBorder="0" applyAlignment="0" applyProtection="0"/>
    <xf numFmtId="0" fontId="21" fillId="26" borderId="250" applyNumberFormat="0" applyFont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80" borderId="0" applyNumberFormat="0" applyBorder="0" applyAlignment="0" applyProtection="0"/>
    <xf numFmtId="0" fontId="21" fillId="0" borderId="0"/>
    <xf numFmtId="0" fontId="2" fillId="81" borderId="0" applyNumberFormat="0" applyBorder="0" applyAlignment="0" applyProtection="0"/>
    <xf numFmtId="0" fontId="2" fillId="77" borderId="0" applyNumberFormat="0" applyBorder="0" applyAlignment="0" applyProtection="0"/>
    <xf numFmtId="0" fontId="2" fillId="76" borderId="0" applyNumberFormat="0" applyBorder="0" applyAlignment="0" applyProtection="0"/>
    <xf numFmtId="0" fontId="94" fillId="0" borderId="248" applyNumberFormat="0" applyFill="0" applyAlignment="0" applyProtection="0"/>
    <xf numFmtId="0" fontId="18" fillId="3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18" fillId="57" borderId="171" applyNumberFormat="0" applyFont="0" applyAlignment="0" applyProtection="0"/>
    <xf numFmtId="0" fontId="2" fillId="45" borderId="0" applyNumberFormat="0" applyBorder="0" applyAlignment="0" applyProtection="0"/>
    <xf numFmtId="0" fontId="2" fillId="71" borderId="0" applyNumberFormat="0" applyBorder="0" applyAlignment="0" applyProtection="0"/>
    <xf numFmtId="0" fontId="2" fillId="57" borderId="171" applyNumberFormat="0" applyFont="0" applyAlignment="0" applyProtection="0"/>
    <xf numFmtId="0" fontId="2" fillId="79" borderId="0" applyNumberFormat="0" applyBorder="0" applyAlignment="0" applyProtection="0"/>
    <xf numFmtId="0" fontId="18" fillId="7" borderId="0" applyNumberFormat="0" applyBorder="0" applyAlignment="0" applyProtection="0"/>
    <xf numFmtId="0" fontId="2" fillId="72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46" borderId="0" applyNumberFormat="0" applyBorder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9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1" fillId="26" borderId="250" applyNumberFormat="0" applyFont="0" applyAlignment="0" applyProtection="0"/>
    <xf numFmtId="0" fontId="2" fillId="76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18" fillId="3" borderId="0" applyNumberFormat="0" applyBorder="0" applyAlignment="0" applyProtection="0"/>
    <xf numFmtId="0" fontId="2" fillId="68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80" borderId="0" applyNumberFormat="0" applyBorder="0" applyAlignment="0" applyProtection="0"/>
    <xf numFmtId="0" fontId="2" fillId="71" borderId="0" applyNumberFormat="0" applyBorder="0" applyAlignment="0" applyProtection="0"/>
    <xf numFmtId="0" fontId="2" fillId="77" borderId="0" applyNumberFormat="0" applyBorder="0" applyAlignment="0" applyProtection="0"/>
    <xf numFmtId="0" fontId="18" fillId="69" borderId="0" applyNumberFormat="0" applyBorder="0" applyAlignment="0" applyProtection="0"/>
    <xf numFmtId="0" fontId="2" fillId="77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45" borderId="0" applyNumberFormat="0" applyBorder="0" applyAlignment="0" applyProtection="0"/>
    <xf numFmtId="0" fontId="2" fillId="73" borderId="0" applyNumberFormat="0" applyBorder="0" applyAlignment="0" applyProtection="0"/>
    <xf numFmtId="0" fontId="2" fillId="57" borderId="171" applyNumberFormat="0" applyFont="0" applyAlignment="0" applyProtection="0"/>
    <xf numFmtId="0" fontId="18" fillId="46" borderId="0" applyNumberFormat="0" applyBorder="0" applyAlignment="0" applyProtection="0"/>
    <xf numFmtId="0" fontId="2" fillId="73" borderId="0" applyNumberFormat="0" applyBorder="0" applyAlignment="0" applyProtection="0"/>
    <xf numFmtId="0" fontId="2" fillId="68" borderId="0" applyNumberFormat="0" applyBorder="0" applyAlignment="0" applyProtection="0"/>
    <xf numFmtId="0" fontId="21" fillId="26" borderId="245" applyNumberFormat="0" applyFont="0" applyAlignment="0" applyProtection="0"/>
    <xf numFmtId="0" fontId="2" fillId="73" borderId="0" applyNumberFormat="0" applyBorder="0" applyAlignment="0" applyProtection="0"/>
    <xf numFmtId="0" fontId="2" fillId="79" borderId="0" applyNumberFormat="0" applyBorder="0" applyAlignment="0" applyProtection="0"/>
    <xf numFmtId="0" fontId="18" fillId="57" borderId="171" applyNumberFormat="0" applyFont="0" applyAlignment="0" applyProtection="0"/>
    <xf numFmtId="0" fontId="2" fillId="77" borderId="0" applyNumberFormat="0" applyBorder="0" applyAlignment="0" applyProtection="0"/>
    <xf numFmtId="0" fontId="2" fillId="72" borderId="0" applyNumberFormat="0" applyBorder="0" applyAlignment="0" applyProtection="0"/>
    <xf numFmtId="0" fontId="2" fillId="57" borderId="171" applyNumberFormat="0" applyFont="0" applyAlignment="0" applyProtection="0"/>
    <xf numFmtId="0" fontId="21" fillId="0" borderId="0"/>
    <xf numFmtId="0" fontId="2" fillId="57" borderId="171" applyNumberFormat="0" applyFont="0" applyAlignment="0" applyProtection="0"/>
    <xf numFmtId="0" fontId="2" fillId="72" borderId="0" applyNumberFormat="0" applyBorder="0" applyAlignment="0" applyProtection="0"/>
    <xf numFmtId="0" fontId="2" fillId="57" borderId="171" applyNumberFormat="0" applyFont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46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5" fillId="11" borderId="239" applyNumberFormat="0" applyAlignment="0" applyProtection="0"/>
    <xf numFmtId="0" fontId="33" fillId="5" borderId="239" applyNumberFormat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79" borderId="0" applyNumberFormat="0" applyBorder="0" applyAlignment="0" applyProtection="0"/>
    <xf numFmtId="0" fontId="18" fillId="5" borderId="0" applyNumberFormat="0" applyBorder="0" applyAlignment="0" applyProtection="0"/>
    <xf numFmtId="0" fontId="18" fillId="11" borderId="0" applyNumberFormat="0" applyBorder="0" applyAlignment="0" applyProtection="0"/>
    <xf numFmtId="0" fontId="21" fillId="0" borderId="0"/>
    <xf numFmtId="0" fontId="21" fillId="0" borderId="0"/>
    <xf numFmtId="0" fontId="2" fillId="77" borderId="0" applyNumberFormat="0" applyBorder="0" applyAlignment="0" applyProtection="0"/>
    <xf numFmtId="0" fontId="21" fillId="0" borderId="0"/>
    <xf numFmtId="0" fontId="2" fillId="68" borderId="0" applyNumberFormat="0" applyBorder="0" applyAlignment="0" applyProtection="0"/>
    <xf numFmtId="0" fontId="21" fillId="0" borderId="0"/>
    <xf numFmtId="0" fontId="21" fillId="0" borderId="0"/>
    <xf numFmtId="0" fontId="18" fillId="11" borderId="0" applyNumberFormat="0" applyBorder="0" applyAlignment="0" applyProtection="0"/>
    <xf numFmtId="0" fontId="2" fillId="72" borderId="0" applyNumberFormat="0" applyBorder="0" applyAlignment="0" applyProtection="0"/>
    <xf numFmtId="0" fontId="2" fillId="57" borderId="171" applyNumberFormat="0" applyFont="0" applyAlignment="0" applyProtection="0"/>
    <xf numFmtId="0" fontId="2" fillId="81" borderId="0" applyNumberFormat="0" applyBorder="0" applyAlignment="0" applyProtection="0"/>
    <xf numFmtId="0" fontId="18" fillId="72" borderId="0" applyNumberFormat="0" applyBorder="0" applyAlignment="0" applyProtection="0"/>
    <xf numFmtId="0" fontId="2" fillId="76" borderId="0" applyNumberFormat="0" applyBorder="0" applyAlignment="0" applyProtection="0"/>
    <xf numFmtId="0" fontId="2" fillId="80" borderId="0" applyNumberFormat="0" applyBorder="0" applyAlignment="0" applyProtection="0"/>
    <xf numFmtId="0" fontId="21" fillId="26" borderId="240" applyNumberFormat="0" applyFont="0" applyAlignment="0" applyProtection="0"/>
    <xf numFmtId="0" fontId="21" fillId="26" borderId="240" applyNumberFormat="0" applyFont="0" applyAlignment="0" applyProtection="0"/>
    <xf numFmtId="0" fontId="21" fillId="26" borderId="240" applyNumberFormat="0" applyFont="0" applyAlignment="0" applyProtection="0"/>
    <xf numFmtId="0" fontId="37" fillId="11" borderId="241" applyNumberFormat="0" applyAlignment="0" applyProtection="0"/>
    <xf numFmtId="0" fontId="39" fillId="0" borderId="242" applyNumberFormat="0" applyFill="0" applyAlignment="0" applyProtection="0"/>
    <xf numFmtId="0" fontId="94" fillId="0" borderId="243" applyNumberFormat="0" applyFill="0" applyAlignment="0" applyProtection="0"/>
    <xf numFmtId="0" fontId="94" fillId="0" borderId="243" applyNumberFormat="0" applyFill="0" applyAlignment="0" applyProtection="0"/>
    <xf numFmtId="0" fontId="94" fillId="0" borderId="243" applyNumberFormat="0" applyFill="0" applyAlignment="0" applyProtection="0"/>
    <xf numFmtId="0" fontId="2" fillId="57" borderId="171" applyNumberFormat="0" applyFont="0" applyAlignment="0" applyProtection="0"/>
    <xf numFmtId="0" fontId="2" fillId="73" borderId="0" applyNumberFormat="0" applyBorder="0" applyAlignment="0" applyProtection="0"/>
    <xf numFmtId="0" fontId="2" fillId="72" borderId="0" applyNumberFormat="0" applyBorder="0" applyAlignment="0" applyProtection="0"/>
    <xf numFmtId="0" fontId="37" fillId="11" borderId="272" applyNumberFormat="0" applyAlignment="0" applyProtection="0"/>
    <xf numFmtId="0" fontId="2" fillId="72" borderId="0" applyNumberFormat="0" applyBorder="0" applyAlignment="0" applyProtection="0"/>
    <xf numFmtId="0" fontId="2" fillId="81" borderId="0" applyNumberFormat="0" applyBorder="0" applyAlignment="0" applyProtection="0"/>
    <xf numFmtId="0" fontId="2" fillId="46" borderId="0" applyNumberFormat="0" applyBorder="0" applyAlignment="0" applyProtection="0"/>
    <xf numFmtId="0" fontId="2" fillId="71" borderId="0" applyNumberFormat="0" applyBorder="0" applyAlignment="0" applyProtection="0"/>
    <xf numFmtId="0" fontId="2" fillId="76" borderId="0" applyNumberFormat="0" applyBorder="0" applyAlignment="0" applyProtection="0"/>
    <xf numFmtId="0" fontId="2" fillId="71" borderId="0" applyNumberFormat="0" applyBorder="0" applyAlignment="0" applyProtection="0"/>
    <xf numFmtId="0" fontId="2" fillId="45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69" borderId="0" applyNumberFormat="0" applyBorder="0" applyAlignment="0" applyProtection="0"/>
    <xf numFmtId="0" fontId="2" fillId="73" borderId="0" applyNumberFormat="0" applyBorder="0" applyAlignment="0" applyProtection="0"/>
    <xf numFmtId="0" fontId="2" fillId="73" borderId="0" applyNumberFormat="0" applyBorder="0" applyAlignment="0" applyProtection="0"/>
    <xf numFmtId="0" fontId="2" fillId="81" borderId="0" applyNumberFormat="0" applyBorder="0" applyAlignment="0" applyProtection="0"/>
    <xf numFmtId="0" fontId="37" fillId="11" borderId="236" applyNumberFormat="0" applyAlignment="0" applyProtection="0"/>
    <xf numFmtId="0" fontId="2" fillId="76" borderId="0" applyNumberFormat="0" applyBorder="0" applyAlignment="0" applyProtection="0"/>
    <xf numFmtId="0" fontId="21" fillId="0" borderId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1" borderId="0" applyNumberFormat="0" applyBorder="0" applyAlignment="0" applyProtection="0"/>
    <xf numFmtId="0" fontId="18" fillId="3" borderId="0" applyNumberFormat="0" applyBorder="0" applyAlignment="0" applyProtection="0"/>
    <xf numFmtId="0" fontId="2" fillId="57" borderId="171" applyNumberFormat="0" applyFont="0" applyAlignment="0" applyProtection="0"/>
    <xf numFmtId="0" fontId="2" fillId="81" borderId="0" applyNumberFormat="0" applyBorder="0" applyAlignment="0" applyProtection="0"/>
    <xf numFmtId="0" fontId="18" fillId="7" borderId="0" applyNumberFormat="0" applyBorder="0" applyAlignment="0" applyProtection="0"/>
    <xf numFmtId="0" fontId="18" fillId="46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76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7" borderId="0" applyNumberFormat="0" applyBorder="0" applyAlignment="0" applyProtection="0"/>
    <xf numFmtId="0" fontId="21" fillId="0" borderId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1" fillId="26" borderId="250" applyNumberFormat="0" applyFont="0" applyAlignment="0" applyProtection="0"/>
    <xf numFmtId="0" fontId="2" fillId="73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18" fillId="3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69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" fillId="71" borderId="0" applyNumberFormat="0" applyBorder="0" applyAlignment="0" applyProtection="0"/>
    <xf numFmtId="0" fontId="2" fillId="79" borderId="0" applyNumberFormat="0" applyBorder="0" applyAlignment="0" applyProtection="0"/>
    <xf numFmtId="0" fontId="2" fillId="76" borderId="0" applyNumberFormat="0" applyBorder="0" applyAlignment="0" applyProtection="0"/>
    <xf numFmtId="0" fontId="2" fillId="80" borderId="0" applyNumberFormat="0" applyBorder="0" applyAlignment="0" applyProtection="0"/>
    <xf numFmtId="0" fontId="2" fillId="76" borderId="0" applyNumberFormat="0" applyBorder="0" applyAlignment="0" applyProtection="0"/>
    <xf numFmtId="0" fontId="2" fillId="68" borderId="0" applyNumberFormat="0" applyBorder="0" applyAlignment="0" applyProtection="0"/>
    <xf numFmtId="0" fontId="18" fillId="7" borderId="0" applyNumberFormat="0" applyBorder="0" applyAlignment="0" applyProtection="0"/>
    <xf numFmtId="0" fontId="21" fillId="26" borderId="245" applyNumberFormat="0" applyFont="0" applyAlignment="0" applyProtection="0"/>
    <xf numFmtId="0" fontId="2" fillId="73" borderId="0" applyNumberFormat="0" applyBorder="0" applyAlignment="0" applyProtection="0"/>
    <xf numFmtId="0" fontId="2" fillId="81" borderId="0" applyNumberFormat="0" applyBorder="0" applyAlignment="0" applyProtection="0"/>
    <xf numFmtId="0" fontId="2" fillId="81" borderId="0" applyNumberFormat="0" applyBorder="0" applyAlignment="0" applyProtection="0"/>
    <xf numFmtId="0" fontId="2" fillId="77" borderId="0" applyNumberFormat="0" applyBorder="0" applyAlignment="0" applyProtection="0"/>
    <xf numFmtId="0" fontId="2" fillId="72" borderId="0" applyNumberFormat="0" applyBorder="0" applyAlignment="0" applyProtection="0"/>
    <xf numFmtId="0" fontId="2" fillId="57" borderId="171" applyNumberFormat="0" applyFont="0" applyAlignment="0" applyProtection="0"/>
    <xf numFmtId="0" fontId="94" fillId="0" borderId="274" applyNumberFormat="0" applyFill="0" applyAlignment="0" applyProtection="0"/>
    <xf numFmtId="0" fontId="2" fillId="80" borderId="0" applyNumberFormat="0" applyBorder="0" applyAlignment="0" applyProtection="0"/>
    <xf numFmtId="0" fontId="2" fillId="76" borderId="0" applyNumberFormat="0" applyBorder="0" applyAlignment="0" applyProtection="0"/>
    <xf numFmtId="0" fontId="2" fillId="76" borderId="0" applyNumberFormat="0" applyBorder="0" applyAlignment="0" applyProtection="0"/>
    <xf numFmtId="0" fontId="18" fillId="3" borderId="0" applyNumberFormat="0" applyBorder="0" applyAlignment="0" applyProtection="0"/>
    <xf numFmtId="0" fontId="2" fillId="46" borderId="0" applyNumberFormat="0" applyBorder="0" applyAlignment="0" applyProtection="0"/>
    <xf numFmtId="0" fontId="2" fillId="81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6" borderId="0" applyNumberFormat="0" applyBorder="0" applyAlignment="0" applyProtection="0"/>
    <xf numFmtId="0" fontId="2" fillId="69" borderId="0" applyNumberFormat="0" applyBorder="0" applyAlignment="0" applyProtection="0"/>
    <xf numFmtId="0" fontId="25" fillId="11" borderId="239" applyNumberFormat="0" applyAlignment="0" applyProtection="0"/>
    <xf numFmtId="0" fontId="33" fillId="5" borderId="239" applyNumberFormat="0" applyAlignment="0" applyProtection="0"/>
    <xf numFmtId="0" fontId="2" fillId="80" borderId="0" applyNumberFormat="0" applyBorder="0" applyAlignment="0" applyProtection="0"/>
    <xf numFmtId="0" fontId="21" fillId="0" borderId="0"/>
    <xf numFmtId="0" fontId="2" fillId="72" borderId="0" applyNumberFormat="0" applyBorder="0" applyAlignment="0" applyProtection="0"/>
    <xf numFmtId="0" fontId="18" fillId="81" borderId="0" applyNumberFormat="0" applyBorder="0" applyAlignment="0" applyProtection="0"/>
    <xf numFmtId="0" fontId="21" fillId="26" borderId="235" applyNumberFormat="0" applyFont="0" applyAlignment="0" applyProtection="0"/>
    <xf numFmtId="0" fontId="18" fillId="11" borderId="0" applyNumberFormat="0" applyBorder="0" applyAlignment="0" applyProtection="0"/>
    <xf numFmtId="0" fontId="18" fillId="71" borderId="0" applyNumberFormat="0" applyBorder="0" applyAlignment="0" applyProtection="0"/>
    <xf numFmtId="0" fontId="2" fillId="77" borderId="0" applyNumberFormat="0" applyBorder="0" applyAlignment="0" applyProtection="0"/>
    <xf numFmtId="0" fontId="18" fillId="73" borderId="0" applyNumberFormat="0" applyBorder="0" applyAlignment="0" applyProtection="0"/>
    <xf numFmtId="0" fontId="18" fillId="45" borderId="0" applyNumberFormat="0" applyBorder="0" applyAlignment="0" applyProtection="0"/>
    <xf numFmtId="0" fontId="33" fillId="5" borderId="244" applyNumberFormat="0" applyAlignment="0" applyProtection="0"/>
    <xf numFmtId="0" fontId="18" fillId="7" borderId="0" applyNumberFormat="0" applyBorder="0" applyAlignment="0" applyProtection="0"/>
    <xf numFmtId="0" fontId="21" fillId="0" borderId="0"/>
    <xf numFmtId="0" fontId="21" fillId="26" borderId="250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" fillId="45" borderId="0" applyNumberFormat="0" applyBorder="0" applyAlignment="0" applyProtection="0"/>
    <xf numFmtId="0" fontId="2" fillId="57" borderId="171" applyNumberFormat="0" applyFont="0" applyAlignment="0" applyProtection="0"/>
    <xf numFmtId="0" fontId="2" fillId="80" borderId="0" applyNumberFormat="0" applyBorder="0" applyAlignment="0" applyProtection="0"/>
    <xf numFmtId="0" fontId="2" fillId="76" borderId="0" applyNumberFormat="0" applyBorder="0" applyAlignment="0" applyProtection="0"/>
    <xf numFmtId="0" fontId="25" fillId="11" borderId="249" applyNumberFormat="0" applyAlignment="0" applyProtection="0"/>
    <xf numFmtId="0" fontId="2" fillId="79" borderId="0" applyNumberFormat="0" applyBorder="0" applyAlignment="0" applyProtection="0"/>
    <xf numFmtId="0" fontId="2" fillId="57" borderId="171" applyNumberFormat="0" applyFont="0" applyAlignment="0" applyProtection="0"/>
    <xf numFmtId="0" fontId="21" fillId="26" borderId="240" applyNumberFormat="0" applyFont="0" applyAlignment="0" applyProtection="0"/>
    <xf numFmtId="0" fontId="21" fillId="26" borderId="240" applyNumberFormat="0" applyFont="0" applyAlignment="0" applyProtection="0"/>
    <xf numFmtId="0" fontId="21" fillId="26" borderId="240" applyNumberFormat="0" applyFont="0" applyAlignment="0" applyProtection="0"/>
    <xf numFmtId="0" fontId="37" fillId="11" borderId="241" applyNumberFormat="0" applyAlignment="0" applyProtection="0"/>
    <xf numFmtId="0" fontId="39" fillId="0" borderId="242" applyNumberFormat="0" applyFill="0" applyAlignment="0" applyProtection="0"/>
    <xf numFmtId="0" fontId="94" fillId="0" borderId="243" applyNumberFormat="0" applyFill="0" applyAlignment="0" applyProtection="0"/>
    <xf numFmtId="0" fontId="94" fillId="0" borderId="243" applyNumberFormat="0" applyFill="0" applyAlignment="0" applyProtection="0"/>
    <xf numFmtId="0" fontId="94" fillId="0" borderId="243" applyNumberFormat="0" applyFill="0" applyAlignment="0" applyProtection="0"/>
    <xf numFmtId="0" fontId="26" fillId="24" borderId="221" applyNumberFormat="0" applyAlignment="0" applyProtection="0"/>
    <xf numFmtId="0" fontId="21" fillId="0" borderId="0"/>
    <xf numFmtId="0" fontId="2" fillId="72" borderId="0" applyNumberFormat="0" applyBorder="0" applyAlignment="0" applyProtection="0"/>
    <xf numFmtId="0" fontId="2" fillId="45" borderId="0" applyNumberFormat="0" applyBorder="0" applyAlignment="0" applyProtection="0"/>
    <xf numFmtId="0" fontId="2" fillId="71" borderId="0" applyNumberFormat="0" applyBorder="0" applyAlignment="0" applyProtection="0"/>
    <xf numFmtId="0" fontId="2" fillId="69" borderId="0" applyNumberFormat="0" applyBorder="0" applyAlignment="0" applyProtection="0"/>
    <xf numFmtId="0" fontId="2" fillId="76" borderId="0" applyNumberFormat="0" applyBorder="0" applyAlignment="0" applyProtection="0"/>
    <xf numFmtId="0" fontId="2" fillId="73" borderId="0" applyNumberFormat="0" applyBorder="0" applyAlignment="0" applyProtection="0"/>
    <xf numFmtId="0" fontId="2" fillId="77" borderId="0" applyNumberFormat="0" applyBorder="0" applyAlignment="0" applyProtection="0"/>
    <xf numFmtId="0" fontId="2" fillId="80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94" fillId="0" borderId="274" applyNumberFormat="0" applyFill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2" borderId="0" applyNumberFormat="0" applyBorder="0" applyAlignment="0" applyProtection="0"/>
    <xf numFmtId="0" fontId="2" fillId="46" borderId="0" applyNumberFormat="0" applyBorder="0" applyAlignment="0" applyProtection="0"/>
    <xf numFmtId="0" fontId="2" fillId="81" borderId="0" applyNumberFormat="0" applyBorder="0" applyAlignment="0" applyProtection="0"/>
    <xf numFmtId="0" fontId="2" fillId="77" borderId="0" applyNumberFormat="0" applyBorder="0" applyAlignment="0" applyProtection="0"/>
    <xf numFmtId="0" fontId="21" fillId="0" borderId="0"/>
    <xf numFmtId="0" fontId="2" fillId="72" borderId="0" applyNumberFormat="0" applyBorder="0" applyAlignment="0" applyProtection="0"/>
    <xf numFmtId="0" fontId="2" fillId="77" borderId="0" applyNumberFormat="0" applyBorder="0" applyAlignment="0" applyProtection="0"/>
    <xf numFmtId="0" fontId="18" fillId="3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69" borderId="0" applyNumberFormat="0" applyBorder="0" applyAlignment="0" applyProtection="0"/>
    <xf numFmtId="0" fontId="2" fillId="46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57" borderId="171" applyNumberFormat="0" applyFont="0" applyAlignment="0" applyProtection="0"/>
    <xf numFmtId="0" fontId="2" fillId="57" borderId="171" applyNumberFormat="0" applyFont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" fillId="72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18" fillId="6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6" borderId="0" applyNumberFormat="0" applyBorder="0" applyAlignment="0" applyProtection="0"/>
    <xf numFmtId="0" fontId="21" fillId="0" borderId="0"/>
    <xf numFmtId="0" fontId="21" fillId="0" borderId="0"/>
    <xf numFmtId="0" fontId="2" fillId="73" borderId="0" applyNumberFormat="0" applyBorder="0" applyAlignment="0" applyProtection="0"/>
    <xf numFmtId="0" fontId="2" fillId="71" borderId="0" applyNumberFormat="0" applyBorder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6" fillId="24" borderId="221" applyNumberFormat="0" applyAlignment="0" applyProtection="0"/>
    <xf numFmtId="0" fontId="2" fillId="57" borderId="171" applyNumberFormat="0" applyFont="0" applyAlignment="0" applyProtection="0"/>
    <xf numFmtId="0" fontId="2" fillId="69" borderId="0" applyNumberFormat="0" applyBorder="0" applyAlignment="0" applyProtection="0"/>
    <xf numFmtId="0" fontId="18" fillId="77" borderId="0" applyNumberFormat="0" applyBorder="0" applyAlignment="0" applyProtection="0"/>
    <xf numFmtId="0" fontId="2" fillId="79" borderId="0" applyNumberFormat="0" applyBorder="0" applyAlignment="0" applyProtection="0"/>
    <xf numFmtId="0" fontId="18" fillId="3" borderId="0" applyNumberFormat="0" applyBorder="0" applyAlignment="0" applyProtection="0"/>
    <xf numFmtId="0" fontId="2" fillId="57" borderId="171" applyNumberFormat="0" applyFont="0" applyAlignment="0" applyProtection="0"/>
    <xf numFmtId="0" fontId="18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68" borderId="0" applyNumberFormat="0" applyBorder="0" applyAlignment="0" applyProtection="0"/>
    <xf numFmtId="0" fontId="2" fillId="71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3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9" borderId="0" applyNumberFormat="0" applyBorder="0" applyAlignment="0" applyProtection="0"/>
    <xf numFmtId="0" fontId="2" fillId="81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46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73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26" borderId="271" applyNumberFormat="0" applyFont="0" applyAlignment="0" applyProtection="0"/>
    <xf numFmtId="0" fontId="21" fillId="0" borderId="0"/>
    <xf numFmtId="0" fontId="21" fillId="0" borderId="0"/>
    <xf numFmtId="0" fontId="2" fillId="76" borderId="0" applyNumberFormat="0" applyBorder="0" applyAlignment="0" applyProtection="0"/>
    <xf numFmtId="0" fontId="2" fillId="81" borderId="0" applyNumberFormat="0" applyBorder="0" applyAlignment="0" applyProtection="0"/>
    <xf numFmtId="0" fontId="2" fillId="76" borderId="0" applyNumberFormat="0" applyBorder="0" applyAlignment="0" applyProtection="0"/>
    <xf numFmtId="0" fontId="2" fillId="76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68" borderId="0" applyNumberFormat="0" applyBorder="0" applyAlignment="0" applyProtection="0"/>
    <xf numFmtId="0" fontId="2" fillId="77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18" fillId="46" borderId="0" applyNumberFormat="0" applyBorder="0" applyAlignment="0" applyProtection="0"/>
    <xf numFmtId="0" fontId="2" fillId="45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73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1" fillId="26" borderId="245" applyNumberFormat="0" applyFont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9" borderId="0" applyNumberFormat="0" applyBorder="0" applyAlignment="0" applyProtection="0"/>
    <xf numFmtId="0" fontId="2" fillId="45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18" fillId="76" borderId="0" applyNumberFormat="0" applyBorder="0" applyAlignment="0" applyProtection="0"/>
    <xf numFmtId="0" fontId="2" fillId="73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80" borderId="0" applyNumberFormat="0" applyBorder="0" applyAlignment="0" applyProtection="0"/>
    <xf numFmtId="0" fontId="21" fillId="0" borderId="0"/>
    <xf numFmtId="0" fontId="2" fillId="68" borderId="0" applyNumberFormat="0" applyBorder="0" applyAlignment="0" applyProtection="0"/>
    <xf numFmtId="0" fontId="18" fillId="7" borderId="0" applyNumberFormat="0" applyBorder="0" applyAlignment="0" applyProtection="0"/>
    <xf numFmtId="0" fontId="2" fillId="46" borderId="0" applyNumberFormat="0" applyBorder="0" applyAlignment="0" applyProtection="0"/>
    <xf numFmtId="0" fontId="2" fillId="76" borderId="0" applyNumberFormat="0" applyBorder="0" applyAlignment="0" applyProtection="0"/>
    <xf numFmtId="0" fontId="81" fillId="0" borderId="216" applyNumberFormat="0" applyFill="0" applyAlignment="0" applyProtection="0"/>
    <xf numFmtId="0" fontId="2" fillId="79" borderId="0" applyNumberFormat="0" applyBorder="0" applyAlignment="0" applyProtection="0"/>
    <xf numFmtId="0" fontId="18" fillId="72" borderId="0" applyNumberFormat="0" applyBorder="0" applyAlignment="0" applyProtection="0"/>
    <xf numFmtId="0" fontId="2" fillId="46" borderId="0" applyNumberFormat="0" applyBorder="0" applyAlignment="0" applyProtection="0"/>
    <xf numFmtId="0" fontId="18" fillId="7" borderId="0" applyNumberFormat="0" applyBorder="0" applyAlignment="0" applyProtection="0"/>
    <xf numFmtId="0" fontId="2" fillId="57" borderId="171" applyNumberFormat="0" applyFont="0" applyAlignment="0" applyProtection="0"/>
    <xf numFmtId="0" fontId="18" fillId="46" borderId="0" applyNumberFormat="0" applyBorder="0" applyAlignment="0" applyProtection="0"/>
    <xf numFmtId="0" fontId="2" fillId="71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81" borderId="0" applyNumberFormat="0" applyBorder="0" applyAlignment="0" applyProtection="0"/>
    <xf numFmtId="0" fontId="2" fillId="72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73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80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69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72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7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69" borderId="0" applyNumberFormat="0" applyBorder="0" applyAlignment="0" applyProtection="0"/>
    <xf numFmtId="0" fontId="33" fillId="5" borderId="261" applyNumberFormat="0" applyAlignment="0" applyProtection="0"/>
    <xf numFmtId="0" fontId="2" fillId="71" borderId="0" applyNumberFormat="0" applyBorder="0" applyAlignment="0" applyProtection="0"/>
    <xf numFmtId="0" fontId="2" fillId="71" borderId="0" applyNumberFormat="0" applyBorder="0" applyAlignment="0" applyProtection="0"/>
    <xf numFmtId="0" fontId="18" fillId="7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45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1" borderId="0" applyNumberFormat="0" applyBorder="0" applyAlignment="0" applyProtection="0"/>
    <xf numFmtId="0" fontId="2" fillId="7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2" borderId="0" applyNumberFormat="0" applyBorder="0" applyAlignment="0" applyProtection="0"/>
    <xf numFmtId="0" fontId="2" fillId="79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80" borderId="0" applyNumberFormat="0" applyBorder="0" applyAlignment="0" applyProtection="0"/>
    <xf numFmtId="0" fontId="2" fillId="68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72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69" borderId="0" applyNumberFormat="0" applyBorder="0" applyAlignment="0" applyProtection="0"/>
    <xf numFmtId="0" fontId="18" fillId="5" borderId="0" applyNumberFormat="0" applyBorder="0" applyAlignment="0" applyProtection="0"/>
    <xf numFmtId="0" fontId="2" fillId="81" borderId="0" applyNumberFormat="0" applyBorder="0" applyAlignment="0" applyProtection="0"/>
    <xf numFmtId="0" fontId="2" fillId="68" borderId="0" applyNumberFormat="0" applyBorder="0" applyAlignment="0" applyProtection="0"/>
    <xf numFmtId="0" fontId="2" fillId="81" borderId="0" applyNumberFormat="0" applyBorder="0" applyAlignment="0" applyProtection="0"/>
    <xf numFmtId="0" fontId="18" fillId="7" borderId="0" applyNumberFormat="0" applyBorder="0" applyAlignment="0" applyProtection="0"/>
    <xf numFmtId="0" fontId="2" fillId="68" borderId="0" applyNumberFormat="0" applyBorder="0" applyAlignment="0" applyProtection="0"/>
    <xf numFmtId="0" fontId="2" fillId="57" borderId="171" applyNumberFormat="0" applyFont="0" applyAlignment="0" applyProtection="0"/>
    <xf numFmtId="0" fontId="18" fillId="11" borderId="0" applyNumberFormat="0" applyBorder="0" applyAlignment="0" applyProtection="0"/>
    <xf numFmtId="0" fontId="2" fillId="77" borderId="0" applyNumberFormat="0" applyBorder="0" applyAlignment="0" applyProtection="0"/>
    <xf numFmtId="0" fontId="25" fillId="11" borderId="270" applyNumberFormat="0" applyAlignment="0" applyProtection="0"/>
    <xf numFmtId="0" fontId="2" fillId="79" borderId="0" applyNumberFormat="0" applyBorder="0" applyAlignment="0" applyProtection="0"/>
    <xf numFmtId="0" fontId="18" fillId="7" borderId="0" applyNumberFormat="0" applyBorder="0" applyAlignment="0" applyProtection="0"/>
    <xf numFmtId="0" fontId="2" fillId="57" borderId="171" applyNumberFormat="0" applyFont="0" applyAlignment="0" applyProtection="0"/>
    <xf numFmtId="0" fontId="2" fillId="81" borderId="0" applyNumberFormat="0" applyBorder="0" applyAlignment="0" applyProtection="0"/>
    <xf numFmtId="0" fontId="18" fillId="11" borderId="0" applyNumberFormat="0" applyBorder="0" applyAlignment="0" applyProtection="0"/>
    <xf numFmtId="0" fontId="2" fillId="69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69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7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81" fillId="0" borderId="216" applyNumberFormat="0" applyFill="0" applyAlignment="0" applyProtection="0"/>
    <xf numFmtId="0" fontId="2" fillId="57" borderId="171" applyNumberFormat="0" applyFont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7" borderId="0" applyNumberFormat="0" applyBorder="0" applyAlignment="0" applyProtection="0"/>
    <xf numFmtId="0" fontId="18" fillId="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69" borderId="0" applyNumberFormat="0" applyBorder="0" applyAlignment="0" applyProtection="0"/>
    <xf numFmtId="0" fontId="2" fillId="76" borderId="0" applyNumberFormat="0" applyBorder="0" applyAlignment="0" applyProtection="0"/>
    <xf numFmtId="0" fontId="21" fillId="0" borderId="0"/>
    <xf numFmtId="0" fontId="2" fillId="79" borderId="0" applyNumberFormat="0" applyBorder="0" applyAlignment="0" applyProtection="0"/>
    <xf numFmtId="0" fontId="2" fillId="81" borderId="0" applyNumberFormat="0" applyBorder="0" applyAlignment="0" applyProtection="0"/>
    <xf numFmtId="0" fontId="2" fillId="81" borderId="0" applyNumberFormat="0" applyBorder="0" applyAlignment="0" applyProtection="0"/>
    <xf numFmtId="0" fontId="2" fillId="71" borderId="0" applyNumberFormat="0" applyBorder="0" applyAlignment="0" applyProtection="0"/>
    <xf numFmtId="0" fontId="2" fillId="81" borderId="0" applyNumberFormat="0" applyBorder="0" applyAlignment="0" applyProtection="0"/>
    <xf numFmtId="0" fontId="2" fillId="46" borderId="0" applyNumberFormat="0" applyBorder="0" applyAlignment="0" applyProtection="0"/>
    <xf numFmtId="0" fontId="2" fillId="57" borderId="171" applyNumberFormat="0" applyFont="0" applyAlignment="0" applyProtection="0"/>
    <xf numFmtId="0" fontId="2" fillId="45" borderId="0" applyNumberFormat="0" applyBorder="0" applyAlignment="0" applyProtection="0"/>
    <xf numFmtId="0" fontId="18" fillId="11" borderId="0" applyNumberFormat="0" applyBorder="0" applyAlignment="0" applyProtection="0"/>
    <xf numFmtId="0" fontId="2" fillId="73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9" borderId="0" applyNumberFormat="0" applyBorder="0" applyAlignment="0" applyProtection="0"/>
    <xf numFmtId="0" fontId="2" fillId="46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68" borderId="0" applyNumberFormat="0" applyBorder="0" applyAlignment="0" applyProtection="0"/>
    <xf numFmtId="0" fontId="2" fillId="73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81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45" borderId="0" applyNumberFormat="0" applyBorder="0" applyAlignment="0" applyProtection="0"/>
    <xf numFmtId="0" fontId="18" fillId="5" borderId="0" applyNumberFormat="0" applyBorder="0" applyAlignment="0" applyProtection="0"/>
    <xf numFmtId="0" fontId="39" fillId="0" borderId="247" applyNumberFormat="0" applyFill="0" applyAlignment="0" applyProtection="0"/>
    <xf numFmtId="0" fontId="18" fillId="7" borderId="0" applyNumberFormat="0" applyBorder="0" applyAlignment="0" applyProtection="0"/>
    <xf numFmtId="0" fontId="94" fillId="0" borderId="248" applyNumberFormat="0" applyFill="0" applyAlignment="0" applyProtection="0"/>
    <xf numFmtId="0" fontId="2" fillId="69" borderId="0" applyNumberFormat="0" applyBorder="0" applyAlignment="0" applyProtection="0"/>
    <xf numFmtId="0" fontId="18" fillId="7" borderId="0" applyNumberFormat="0" applyBorder="0" applyAlignment="0" applyProtection="0"/>
    <xf numFmtId="0" fontId="2" fillId="79" borderId="0" applyNumberFormat="0" applyBorder="0" applyAlignment="0" applyProtection="0"/>
    <xf numFmtId="0" fontId="2" fillId="81" borderId="0" applyNumberFormat="0" applyBorder="0" applyAlignment="0" applyProtection="0"/>
    <xf numFmtId="0" fontId="2" fillId="69" borderId="0" applyNumberFormat="0" applyBorder="0" applyAlignment="0" applyProtection="0"/>
    <xf numFmtId="0" fontId="2" fillId="69" borderId="0" applyNumberFormat="0" applyBorder="0" applyAlignment="0" applyProtection="0"/>
    <xf numFmtId="0" fontId="18" fillId="5" borderId="0" applyNumberFormat="0" applyBorder="0" applyAlignment="0" applyProtection="0"/>
    <xf numFmtId="0" fontId="2" fillId="57" borderId="171" applyNumberFormat="0" applyFont="0" applyAlignment="0" applyProtection="0"/>
    <xf numFmtId="0" fontId="2" fillId="69" borderId="0" applyNumberFormat="0" applyBorder="0" applyAlignment="0" applyProtection="0"/>
    <xf numFmtId="0" fontId="18" fillId="11" borderId="0" applyNumberFormat="0" applyBorder="0" applyAlignment="0" applyProtection="0"/>
    <xf numFmtId="0" fontId="21" fillId="0" borderId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57" borderId="171" applyNumberFormat="0" applyFont="0" applyAlignment="0" applyProtection="0"/>
    <xf numFmtId="0" fontId="21" fillId="26" borderId="271" applyNumberFormat="0" applyFont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45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57" borderId="171" applyNumberFormat="0" applyFont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18" fillId="7" borderId="0" applyNumberFormat="0" applyBorder="0" applyAlignment="0" applyProtection="0"/>
    <xf numFmtId="0" fontId="2" fillId="80" borderId="0" applyNumberFormat="0" applyBorder="0" applyAlignment="0" applyProtection="0"/>
    <xf numFmtId="0" fontId="2" fillId="57" borderId="171" applyNumberFormat="0" applyFont="0" applyAlignment="0" applyProtection="0"/>
    <xf numFmtId="0" fontId="2" fillId="72" borderId="0" applyNumberFormat="0" applyBorder="0" applyAlignment="0" applyProtection="0"/>
    <xf numFmtId="0" fontId="2" fillId="68" borderId="0" applyNumberFormat="0" applyBorder="0" applyAlignment="0" applyProtection="0"/>
    <xf numFmtId="0" fontId="2" fillId="57" borderId="171" applyNumberFormat="0" applyFont="0" applyAlignment="0" applyProtection="0"/>
    <xf numFmtId="0" fontId="21" fillId="0" borderId="0"/>
    <xf numFmtId="0" fontId="94" fillId="0" borderId="248" applyNumberFormat="0" applyFill="0" applyAlignment="0" applyProtection="0"/>
    <xf numFmtId="0" fontId="2" fillId="45" borderId="0" applyNumberFormat="0" applyBorder="0" applyAlignment="0" applyProtection="0"/>
    <xf numFmtId="0" fontId="2" fillId="69" borderId="0" applyNumberFormat="0" applyBorder="0" applyAlignment="0" applyProtection="0"/>
    <xf numFmtId="0" fontId="2" fillId="45" borderId="0" applyNumberFormat="0" applyBorder="0" applyAlignment="0" applyProtection="0"/>
    <xf numFmtId="0" fontId="2" fillId="68" borderId="0" applyNumberFormat="0" applyBorder="0" applyAlignment="0" applyProtection="0"/>
    <xf numFmtId="0" fontId="18" fillId="5" borderId="0" applyNumberFormat="0" applyBorder="0" applyAlignment="0" applyProtection="0"/>
    <xf numFmtId="0" fontId="2" fillId="57" borderId="171" applyNumberFormat="0" applyFont="0" applyAlignment="0" applyProtection="0"/>
    <xf numFmtId="0" fontId="2" fillId="80" borderId="0" applyNumberFormat="0" applyBorder="0" applyAlignment="0" applyProtection="0"/>
    <xf numFmtId="0" fontId="2" fillId="69" borderId="0" applyNumberFormat="0" applyBorder="0" applyAlignment="0" applyProtection="0"/>
    <xf numFmtId="0" fontId="21" fillId="0" borderId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3" borderId="0" applyNumberFormat="0" applyBorder="0" applyAlignment="0" applyProtection="0"/>
    <xf numFmtId="0" fontId="2" fillId="73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46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68" borderId="0" applyNumberFormat="0" applyBorder="0" applyAlignment="0" applyProtection="0"/>
    <xf numFmtId="0" fontId="2" fillId="79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94" fillId="0" borderId="274" applyNumberFormat="0" applyFill="0" applyAlignment="0" applyProtection="0"/>
    <xf numFmtId="0" fontId="2" fillId="69" borderId="0" applyNumberFormat="0" applyBorder="0" applyAlignment="0" applyProtection="0"/>
    <xf numFmtId="0" fontId="2" fillId="68" borderId="0" applyNumberFormat="0" applyBorder="0" applyAlignment="0" applyProtection="0"/>
    <xf numFmtId="0" fontId="18" fillId="77" borderId="0" applyNumberFormat="0" applyBorder="0" applyAlignment="0" applyProtection="0"/>
    <xf numFmtId="0" fontId="2" fillId="80" borderId="0" applyNumberFormat="0" applyBorder="0" applyAlignment="0" applyProtection="0"/>
    <xf numFmtId="0" fontId="2" fillId="81" borderId="0" applyNumberFormat="0" applyBorder="0" applyAlignment="0" applyProtection="0"/>
    <xf numFmtId="0" fontId="2" fillId="79" borderId="0" applyNumberFormat="0" applyBorder="0" applyAlignment="0" applyProtection="0"/>
    <xf numFmtId="0" fontId="2" fillId="57" borderId="171" applyNumberFormat="0" applyFont="0" applyAlignment="0" applyProtection="0"/>
    <xf numFmtId="0" fontId="2" fillId="57" borderId="171" applyNumberFormat="0" applyFont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" fillId="77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57" borderId="171" applyNumberFormat="0" applyFont="0" applyAlignment="0" applyProtection="0"/>
    <xf numFmtId="0" fontId="2" fillId="73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76" borderId="0" applyNumberFormat="0" applyBorder="0" applyAlignment="0" applyProtection="0"/>
    <xf numFmtId="0" fontId="18" fillId="3" borderId="0" applyNumberFormat="0" applyBorder="0" applyAlignment="0" applyProtection="0"/>
    <xf numFmtId="0" fontId="2" fillId="79" borderId="0" applyNumberFormat="0" applyBorder="0" applyAlignment="0" applyProtection="0"/>
    <xf numFmtId="0" fontId="2" fillId="79" borderId="0" applyNumberFormat="0" applyBorder="0" applyAlignment="0" applyProtection="0"/>
    <xf numFmtId="0" fontId="2" fillId="71" borderId="0" applyNumberFormat="0" applyBorder="0" applyAlignment="0" applyProtection="0"/>
    <xf numFmtId="0" fontId="2" fillId="80" borderId="0" applyNumberFormat="0" applyBorder="0" applyAlignment="0" applyProtection="0"/>
    <xf numFmtId="0" fontId="21" fillId="26" borderId="245" applyNumberFormat="0" applyFont="0" applyAlignment="0" applyProtection="0"/>
    <xf numFmtId="0" fontId="2" fillId="81" borderId="0" applyNumberFormat="0" applyBorder="0" applyAlignment="0" applyProtection="0"/>
    <xf numFmtId="0" fontId="2" fillId="80" borderId="0" applyNumberFormat="0" applyBorder="0" applyAlignment="0" applyProtection="0"/>
    <xf numFmtId="0" fontId="2" fillId="72" borderId="0" applyNumberFormat="0" applyBorder="0" applyAlignment="0" applyProtection="0"/>
    <xf numFmtId="0" fontId="2" fillId="71" borderId="0" applyNumberFormat="0" applyBorder="0" applyAlignment="0" applyProtection="0"/>
    <xf numFmtId="0" fontId="2" fillId="45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6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73" borderId="0" applyNumberFormat="0" applyBorder="0" applyAlignment="0" applyProtection="0"/>
    <xf numFmtId="0" fontId="2" fillId="68" borderId="0" applyNumberFormat="0" applyBorder="0" applyAlignment="0" applyProtection="0"/>
    <xf numFmtId="0" fontId="2" fillId="79" borderId="0" applyNumberFormat="0" applyBorder="0" applyAlignment="0" applyProtection="0"/>
    <xf numFmtId="0" fontId="2" fillId="72" borderId="0" applyNumberFormat="0" applyBorder="0" applyAlignment="0" applyProtection="0"/>
    <xf numFmtId="0" fontId="2" fillId="69" borderId="0" applyNumberFormat="0" applyBorder="0" applyAlignment="0" applyProtection="0"/>
    <xf numFmtId="0" fontId="2" fillId="68" borderId="0" applyNumberFormat="0" applyBorder="0" applyAlignment="0" applyProtection="0"/>
    <xf numFmtId="0" fontId="2" fillId="45" borderId="0" applyNumberFormat="0" applyBorder="0" applyAlignment="0" applyProtection="0"/>
    <xf numFmtId="0" fontId="2" fillId="77" borderId="0" applyNumberFormat="0" applyBorder="0" applyAlignment="0" applyProtection="0"/>
    <xf numFmtId="0" fontId="2" fillId="76" borderId="0" applyNumberFormat="0" applyBorder="0" applyAlignment="0" applyProtection="0"/>
    <xf numFmtId="0" fontId="2" fillId="46" borderId="0" applyNumberFormat="0" applyBorder="0" applyAlignment="0" applyProtection="0"/>
    <xf numFmtId="0" fontId="2" fillId="57" borderId="171" applyNumberFormat="0" applyFont="0" applyAlignment="0" applyProtection="0"/>
    <xf numFmtId="0" fontId="2" fillId="79" borderId="0" applyNumberFormat="0" applyBorder="0" applyAlignment="0" applyProtection="0"/>
    <xf numFmtId="0" fontId="2" fillId="73" borderId="0" applyNumberFormat="0" applyBorder="0" applyAlignment="0" applyProtection="0"/>
    <xf numFmtId="0" fontId="2" fillId="72" borderId="0" applyNumberFormat="0" applyBorder="0" applyAlignment="0" applyProtection="0"/>
    <xf numFmtId="0" fontId="2" fillId="69" borderId="0" applyNumberFormat="0" applyBorder="0" applyAlignment="0" applyProtection="0"/>
    <xf numFmtId="0" fontId="2" fillId="45" borderId="0" applyNumberFormat="0" applyBorder="0" applyAlignment="0" applyProtection="0"/>
    <xf numFmtId="0" fontId="2" fillId="76" borderId="0" applyNumberFormat="0" applyBorder="0" applyAlignment="0" applyProtection="0"/>
    <xf numFmtId="0" fontId="2" fillId="46" borderId="0" applyNumberFormat="0" applyBorder="0" applyAlignment="0" applyProtection="0"/>
    <xf numFmtId="0" fontId="2" fillId="71" borderId="0" applyNumberFormat="0" applyBorder="0" applyAlignment="0" applyProtection="0"/>
    <xf numFmtId="0" fontId="25" fillId="11" borderId="244" applyNumberFormat="0" applyAlignment="0" applyProtection="0"/>
    <xf numFmtId="0" fontId="21" fillId="0" borderId="0"/>
    <xf numFmtId="0" fontId="2" fillId="45" borderId="0" applyNumberFormat="0" applyBorder="0" applyAlignment="0" applyProtection="0"/>
    <xf numFmtId="0" fontId="2" fillId="77" borderId="0" applyNumberFormat="0" applyBorder="0" applyAlignment="0" applyProtection="0"/>
    <xf numFmtId="0" fontId="32" fillId="0" borderId="233" applyNumberFormat="0" applyFill="0" applyAlignment="0" applyProtection="0"/>
    <xf numFmtId="0" fontId="81" fillId="0" borderId="234" applyNumberFormat="0" applyFill="0" applyAlignment="0" applyProtection="0"/>
    <xf numFmtId="0" fontId="81" fillId="0" borderId="234" applyNumberFormat="0" applyFill="0" applyAlignment="0" applyProtection="0"/>
    <xf numFmtId="0" fontId="81" fillId="0" borderId="234" applyNumberFormat="0" applyFill="0" applyAlignment="0" applyProtection="0"/>
    <xf numFmtId="0" fontId="94" fillId="0" borderId="248" applyNumberFormat="0" applyFill="0" applyAlignment="0" applyProtection="0"/>
    <xf numFmtId="0" fontId="37" fillId="11" borderId="246" applyNumberFormat="0" applyAlignment="0" applyProtection="0"/>
    <xf numFmtId="0" fontId="33" fillId="5" borderId="244" applyNumberFormat="0" applyAlignment="0" applyProtection="0"/>
    <xf numFmtId="0" fontId="21" fillId="0" borderId="0"/>
    <xf numFmtId="0" fontId="81" fillId="0" borderId="234" applyNumberFormat="0" applyFill="0" applyAlignment="0" applyProtection="0"/>
    <xf numFmtId="0" fontId="18" fillId="0" borderId="0"/>
    <xf numFmtId="0" fontId="21" fillId="26" borderId="250" applyNumberFormat="0" applyFont="0" applyAlignment="0" applyProtection="0"/>
    <xf numFmtId="0" fontId="18" fillId="3" borderId="0" applyNumberFormat="0" applyBorder="0" applyAlignment="0" applyProtection="0"/>
    <xf numFmtId="0" fontId="21" fillId="26" borderId="235" applyNumberFormat="0" applyFont="0" applyAlignment="0" applyProtection="0"/>
    <xf numFmtId="0" fontId="2" fillId="79" borderId="0" applyNumberFormat="0" applyBorder="0" applyAlignment="0" applyProtection="0"/>
    <xf numFmtId="0" fontId="94" fillId="0" borderId="274" applyNumberFormat="0" applyFill="0" applyAlignment="0" applyProtection="0"/>
    <xf numFmtId="0" fontId="2" fillId="71" borderId="0" applyNumberFormat="0" applyBorder="0" applyAlignment="0" applyProtection="0"/>
    <xf numFmtId="0" fontId="18" fillId="45" borderId="0" applyNumberFormat="0" applyBorder="0" applyAlignment="0" applyProtection="0"/>
    <xf numFmtId="0" fontId="2" fillId="77" borderId="0" applyNumberFormat="0" applyBorder="0" applyAlignment="0" applyProtection="0"/>
    <xf numFmtId="0" fontId="2" fillId="81" borderId="0" applyNumberFormat="0" applyBorder="0" applyAlignment="0" applyProtection="0"/>
    <xf numFmtId="0" fontId="2" fillId="69" borderId="0" applyNumberFormat="0" applyBorder="0" applyAlignment="0" applyProtection="0"/>
    <xf numFmtId="0" fontId="18" fillId="72" borderId="0" applyNumberFormat="0" applyBorder="0" applyAlignment="0" applyProtection="0"/>
    <xf numFmtId="0" fontId="18" fillId="7" borderId="0" applyNumberFormat="0" applyBorder="0" applyAlignment="0" applyProtection="0"/>
    <xf numFmtId="0" fontId="2" fillId="79" borderId="0" applyNumberFormat="0" applyBorder="0" applyAlignment="0" applyProtection="0"/>
    <xf numFmtId="0" fontId="33" fillId="5" borderId="244" applyNumberFormat="0" applyAlignment="0" applyProtection="0"/>
    <xf numFmtId="0" fontId="94" fillId="0" borderId="253" applyNumberFormat="0" applyFill="0" applyAlignment="0" applyProtection="0"/>
    <xf numFmtId="0" fontId="21" fillId="0" borderId="0"/>
    <xf numFmtId="0" fontId="2" fillId="72" borderId="0" applyNumberFormat="0" applyBorder="0" applyAlignment="0" applyProtection="0"/>
    <xf numFmtId="0" fontId="81" fillId="0" borderId="256" applyNumberFormat="0" applyFill="0" applyAlignment="0" applyProtection="0"/>
    <xf numFmtId="0" fontId="21" fillId="26" borderId="250" applyNumberFormat="0" applyFont="0" applyAlignment="0" applyProtection="0"/>
    <xf numFmtId="0" fontId="81" fillId="0" borderId="216" applyNumberFormat="0" applyFill="0" applyAlignment="0" applyProtection="0"/>
    <xf numFmtId="0" fontId="21" fillId="0" borderId="0"/>
    <xf numFmtId="0" fontId="2" fillId="81" borderId="0" applyNumberFormat="0" applyBorder="0" applyAlignment="0" applyProtection="0"/>
    <xf numFmtId="0" fontId="2" fillId="45" borderId="0" applyNumberFormat="0" applyBorder="0" applyAlignment="0" applyProtection="0"/>
    <xf numFmtId="0" fontId="81" fillId="0" borderId="234" applyNumberFormat="0" applyFill="0" applyAlignment="0" applyProtection="0"/>
    <xf numFmtId="0" fontId="2" fillId="68" borderId="0" applyNumberFormat="0" applyBorder="0" applyAlignment="0" applyProtection="0"/>
    <xf numFmtId="0" fontId="2" fillId="57" borderId="171" applyNumberFormat="0" applyFont="0" applyAlignment="0" applyProtection="0"/>
    <xf numFmtId="0" fontId="21" fillId="0" borderId="0"/>
    <xf numFmtId="0" fontId="26" fillId="24" borderId="221" applyNumberFormat="0" applyAlignment="0" applyProtection="0"/>
    <xf numFmtId="0" fontId="2" fillId="45" borderId="0" applyNumberFormat="0" applyBorder="0" applyAlignment="0" applyProtection="0"/>
    <xf numFmtId="0" fontId="21" fillId="26" borderId="245" applyNumberFormat="0" applyFont="0" applyAlignment="0" applyProtection="0"/>
    <xf numFmtId="0" fontId="21" fillId="26" borderId="245" applyNumberFormat="0" applyFont="0" applyAlignment="0" applyProtection="0"/>
    <xf numFmtId="0" fontId="21" fillId="26" borderId="245" applyNumberFormat="0" applyFont="0" applyAlignment="0" applyProtection="0"/>
    <xf numFmtId="0" fontId="37" fillId="11" borderId="246" applyNumberFormat="0" applyAlignment="0" applyProtection="0"/>
    <xf numFmtId="0" fontId="2" fillId="80" borderId="0" applyNumberFormat="0" applyBorder="0" applyAlignment="0" applyProtection="0"/>
    <xf numFmtId="0" fontId="2" fillId="79" borderId="0" applyNumberFormat="0" applyBorder="0" applyAlignment="0" applyProtection="0"/>
    <xf numFmtId="0" fontId="2" fillId="77" borderId="0" applyNumberFormat="0" applyBorder="0" applyAlignment="0" applyProtection="0"/>
    <xf numFmtId="0" fontId="2" fillId="76" borderId="0" applyNumberFormat="0" applyBorder="0" applyAlignment="0" applyProtection="0"/>
    <xf numFmtId="0" fontId="39" fillId="0" borderId="247" applyNumberFormat="0" applyFill="0" applyAlignment="0" applyProtection="0"/>
    <xf numFmtId="0" fontId="94" fillId="0" borderId="248" applyNumberFormat="0" applyFill="0" applyAlignment="0" applyProtection="0"/>
    <xf numFmtId="0" fontId="94" fillId="0" borderId="248" applyNumberFormat="0" applyFill="0" applyAlignment="0" applyProtection="0"/>
    <xf numFmtId="0" fontId="94" fillId="0" borderId="248" applyNumberFormat="0" applyFill="0" applyAlignment="0" applyProtection="0"/>
    <xf numFmtId="0" fontId="2" fillId="72" borderId="0" applyNumberFormat="0" applyBorder="0" applyAlignment="0" applyProtection="0"/>
    <xf numFmtId="0" fontId="2" fillId="57" borderId="171" applyNumberFormat="0" applyFont="0" applyAlignment="0" applyProtection="0"/>
    <xf numFmtId="0" fontId="2" fillId="69" borderId="0" applyNumberFormat="0" applyBorder="0" applyAlignment="0" applyProtection="0"/>
    <xf numFmtId="0" fontId="25" fillId="11" borderId="244" applyNumberFormat="0" applyAlignment="0" applyProtection="0"/>
    <xf numFmtId="0" fontId="2" fillId="57" borderId="171" applyNumberFormat="0" applyFont="0" applyAlignment="0" applyProtection="0"/>
    <xf numFmtId="0" fontId="94" fillId="0" borderId="253" applyNumberFormat="0" applyFill="0" applyAlignment="0" applyProtection="0"/>
    <xf numFmtId="0" fontId="2" fillId="68" borderId="0" applyNumberFormat="0" applyBorder="0" applyAlignment="0" applyProtection="0"/>
    <xf numFmtId="0" fontId="2" fillId="57" borderId="171" applyNumberFormat="0" applyFont="0" applyAlignment="0" applyProtection="0"/>
    <xf numFmtId="0" fontId="2" fillId="71" borderId="0" applyNumberFormat="0" applyBorder="0" applyAlignment="0" applyProtection="0"/>
    <xf numFmtId="0" fontId="21" fillId="0" borderId="0"/>
    <xf numFmtId="0" fontId="2" fillId="81" borderId="0" applyNumberFormat="0" applyBorder="0" applyAlignment="0" applyProtection="0"/>
    <xf numFmtId="0" fontId="2" fillId="76" borderId="0" applyNumberFormat="0" applyBorder="0" applyAlignment="0" applyProtection="0"/>
    <xf numFmtId="0" fontId="2" fillId="69" borderId="0" applyNumberFormat="0" applyBorder="0" applyAlignment="0" applyProtection="0"/>
    <xf numFmtId="0" fontId="2" fillId="46" borderId="0" applyNumberFormat="0" applyBorder="0" applyAlignment="0" applyProtection="0"/>
    <xf numFmtId="0" fontId="2" fillId="80" borderId="0" applyNumberFormat="0" applyBorder="0" applyAlignment="0" applyProtection="0"/>
    <xf numFmtId="0" fontId="2" fillId="77" borderId="0" applyNumberFormat="0" applyBorder="0" applyAlignment="0" applyProtection="0"/>
    <xf numFmtId="0" fontId="2" fillId="76" borderId="0" applyNumberFormat="0" applyBorder="0" applyAlignment="0" applyProtection="0"/>
    <xf numFmtId="0" fontId="2" fillId="68" borderId="0" applyNumberFormat="0" applyBorder="0" applyAlignment="0" applyProtection="0"/>
    <xf numFmtId="0" fontId="2" fillId="80" borderId="0" applyNumberFormat="0" applyBorder="0" applyAlignment="0" applyProtection="0"/>
    <xf numFmtId="0" fontId="2" fillId="72" borderId="0" applyNumberFormat="0" applyBorder="0" applyAlignment="0" applyProtection="0"/>
    <xf numFmtId="0" fontId="2" fillId="46" borderId="0" applyNumberFormat="0" applyBorder="0" applyAlignment="0" applyProtection="0"/>
    <xf numFmtId="0" fontId="2" fillId="79" borderId="0" applyNumberFormat="0" applyBorder="0" applyAlignment="0" applyProtection="0"/>
    <xf numFmtId="0" fontId="2" fillId="45" borderId="0" applyNumberFormat="0" applyBorder="0" applyAlignment="0" applyProtection="0"/>
    <xf numFmtId="0" fontId="2" fillId="71" borderId="0" applyNumberFormat="0" applyBorder="0" applyAlignment="0" applyProtection="0"/>
    <xf numFmtId="0" fontId="2" fillId="73" borderId="0" applyNumberFormat="0" applyBorder="0" applyAlignment="0" applyProtection="0"/>
    <xf numFmtId="0" fontId="21" fillId="0" borderId="0"/>
    <xf numFmtId="0" fontId="2" fillId="76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68" borderId="0" applyNumberFormat="0" applyBorder="0" applyAlignment="0" applyProtection="0"/>
    <xf numFmtId="0" fontId="21" fillId="26" borderId="245" applyNumberFormat="0" applyFont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76" borderId="0" applyNumberFormat="0" applyBorder="0" applyAlignment="0" applyProtection="0"/>
    <xf numFmtId="0" fontId="2" fillId="76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73" borderId="0" applyNumberFormat="0" applyBorder="0" applyAlignment="0" applyProtection="0"/>
    <xf numFmtId="0" fontId="2" fillId="73" borderId="0" applyNumberFormat="0" applyBorder="0" applyAlignment="0" applyProtection="0"/>
    <xf numFmtId="0" fontId="94" fillId="0" borderId="274" applyNumberFormat="0" applyFill="0" applyAlignment="0" applyProtection="0"/>
    <xf numFmtId="0" fontId="2" fillId="57" borderId="171" applyNumberFormat="0" applyFont="0" applyAlignment="0" applyProtection="0"/>
    <xf numFmtId="0" fontId="2" fillId="80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1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57" borderId="171" applyNumberFormat="0" applyFont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69" borderId="0" applyNumberFormat="0" applyBorder="0" applyAlignment="0" applyProtection="0"/>
    <xf numFmtId="0" fontId="2" fillId="68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2" borderId="0" applyNumberFormat="0" applyBorder="0" applyAlignment="0" applyProtection="0"/>
    <xf numFmtId="0" fontId="2" fillId="79" borderId="0" applyNumberFormat="0" applyBorder="0" applyAlignment="0" applyProtection="0"/>
    <xf numFmtId="0" fontId="94" fillId="0" borderId="248" applyNumberFormat="0" applyFill="0" applyAlignment="0" applyProtection="0"/>
    <xf numFmtId="0" fontId="21" fillId="26" borderId="245" applyNumberFormat="0" applyFont="0" applyAlignment="0" applyProtection="0"/>
    <xf numFmtId="0" fontId="2" fillId="81" borderId="0" applyNumberFormat="0" applyBorder="0" applyAlignment="0" applyProtection="0"/>
    <xf numFmtId="0" fontId="2" fillId="72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69" borderId="0" applyNumberFormat="0" applyBorder="0" applyAlignment="0" applyProtection="0"/>
    <xf numFmtId="0" fontId="94" fillId="0" borderId="248" applyNumberFormat="0" applyFill="0" applyAlignment="0" applyProtection="0"/>
    <xf numFmtId="0" fontId="21" fillId="26" borderId="245" applyNumberFormat="0" applyFont="0" applyAlignment="0" applyProtection="0"/>
    <xf numFmtId="0" fontId="2" fillId="79" borderId="0" applyNumberFormat="0" applyBorder="0" applyAlignment="0" applyProtection="0"/>
    <xf numFmtId="0" fontId="18" fillId="57" borderId="171" applyNumberFormat="0" applyFont="0" applyAlignment="0" applyProtection="0"/>
    <xf numFmtId="0" fontId="2" fillId="80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80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81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39" fillId="0" borderId="247" applyNumberFormat="0" applyFill="0" applyAlignment="0" applyProtection="0"/>
    <xf numFmtId="0" fontId="2" fillId="57" borderId="171" applyNumberFormat="0" applyFont="0" applyAlignment="0" applyProtection="0"/>
    <xf numFmtId="0" fontId="21" fillId="26" borderId="245" applyNumberFormat="0" applyFont="0" applyAlignment="0" applyProtection="0"/>
    <xf numFmtId="0" fontId="2" fillId="81" borderId="0" applyNumberFormat="0" applyBorder="0" applyAlignment="0" applyProtection="0"/>
    <xf numFmtId="0" fontId="18" fillId="46" borderId="0" applyNumberFormat="0" applyBorder="0" applyAlignment="0" applyProtection="0"/>
    <xf numFmtId="0" fontId="2" fillId="57" borderId="171" applyNumberFormat="0" applyFont="0" applyAlignment="0" applyProtection="0"/>
    <xf numFmtId="0" fontId="2" fillId="79" borderId="0" applyNumberFormat="0" applyBorder="0" applyAlignment="0" applyProtection="0"/>
    <xf numFmtId="0" fontId="2" fillId="71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68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9" borderId="0" applyNumberFormat="0" applyBorder="0" applyAlignment="0" applyProtection="0"/>
    <xf numFmtId="0" fontId="2" fillId="76" borderId="0" applyNumberFormat="0" applyBorder="0" applyAlignment="0" applyProtection="0"/>
    <xf numFmtId="0" fontId="2" fillId="72" borderId="0" applyNumberFormat="0" applyBorder="0" applyAlignment="0" applyProtection="0"/>
    <xf numFmtId="0" fontId="2" fillId="81" borderId="0" applyNumberFormat="0" applyBorder="0" applyAlignment="0" applyProtection="0"/>
    <xf numFmtId="0" fontId="2" fillId="80" borderId="0" applyNumberFormat="0" applyBorder="0" applyAlignment="0" applyProtection="0"/>
    <xf numFmtId="0" fontId="2" fillId="77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45" borderId="0" applyNumberFormat="0" applyBorder="0" applyAlignment="0" applyProtection="0"/>
    <xf numFmtId="0" fontId="2" fillId="72" borderId="0" applyNumberFormat="0" applyBorder="0" applyAlignment="0" applyProtection="0"/>
    <xf numFmtId="0" fontId="2" fillId="71" borderId="0" applyNumberFormat="0" applyBorder="0" applyAlignment="0" applyProtection="0"/>
    <xf numFmtId="0" fontId="2" fillId="68" borderId="0" applyNumberFormat="0" applyBorder="0" applyAlignment="0" applyProtection="0"/>
    <xf numFmtId="0" fontId="2" fillId="77" borderId="0" applyNumberFormat="0" applyBorder="0" applyAlignment="0" applyProtection="0"/>
    <xf numFmtId="0" fontId="2" fillId="73" borderId="0" applyNumberFormat="0" applyBorder="0" applyAlignment="0" applyProtection="0"/>
    <xf numFmtId="0" fontId="2" fillId="46" borderId="0" applyNumberFormat="0" applyBorder="0" applyAlignment="0" applyProtection="0"/>
    <xf numFmtId="0" fontId="94" fillId="0" borderId="248" applyNumberFormat="0" applyFill="0" applyAlignment="0" applyProtection="0"/>
    <xf numFmtId="0" fontId="94" fillId="0" borderId="248" applyNumberFormat="0" applyFill="0" applyAlignment="0" applyProtection="0"/>
    <xf numFmtId="0" fontId="33" fillId="5" borderId="244" applyNumberFormat="0" applyAlignment="0" applyProtection="0"/>
    <xf numFmtId="0" fontId="25" fillId="11" borderId="244" applyNumberFormat="0" applyAlignment="0" applyProtection="0"/>
    <xf numFmtId="0" fontId="33" fillId="5" borderId="244" applyNumberFormat="0" applyAlignment="0" applyProtection="0"/>
    <xf numFmtId="0" fontId="18" fillId="77" borderId="0" applyNumberFormat="0" applyBorder="0" applyAlignment="0" applyProtection="0"/>
    <xf numFmtId="0" fontId="2" fillId="76" borderId="0" applyNumberFormat="0" applyBorder="0" applyAlignment="0" applyProtection="0"/>
    <xf numFmtId="0" fontId="21" fillId="26" borderId="245" applyNumberFormat="0" applyFont="0" applyAlignment="0" applyProtection="0"/>
    <xf numFmtId="0" fontId="21" fillId="26" borderId="245" applyNumberFormat="0" applyFont="0" applyAlignment="0" applyProtection="0"/>
    <xf numFmtId="0" fontId="21" fillId="26" borderId="245" applyNumberFormat="0" applyFont="0" applyAlignment="0" applyProtection="0"/>
    <xf numFmtId="0" fontId="37" fillId="11" borderId="246" applyNumberFormat="0" applyAlignment="0" applyProtection="0"/>
    <xf numFmtId="0" fontId="39" fillId="0" borderId="247" applyNumberFormat="0" applyFill="0" applyAlignment="0" applyProtection="0"/>
    <xf numFmtId="0" fontId="94" fillId="0" borderId="248" applyNumberFormat="0" applyFill="0" applyAlignment="0" applyProtection="0"/>
    <xf numFmtId="0" fontId="94" fillId="0" borderId="248" applyNumberFormat="0" applyFill="0" applyAlignment="0" applyProtection="0"/>
    <xf numFmtId="0" fontId="94" fillId="0" borderId="248" applyNumberFormat="0" applyFill="0" applyAlignment="0" applyProtection="0"/>
    <xf numFmtId="0" fontId="2" fillId="71" borderId="0" applyNumberFormat="0" applyBorder="0" applyAlignment="0" applyProtection="0"/>
    <xf numFmtId="0" fontId="37" fillId="11" borderId="246" applyNumberFormat="0" applyAlignment="0" applyProtection="0"/>
    <xf numFmtId="0" fontId="2" fillId="73" borderId="0" applyNumberFormat="0" applyBorder="0" applyAlignment="0" applyProtection="0"/>
    <xf numFmtId="0" fontId="2" fillId="79" borderId="0" applyNumberFormat="0" applyBorder="0" applyAlignment="0" applyProtection="0"/>
    <xf numFmtId="0" fontId="2" fillId="81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26" borderId="245" applyNumberFormat="0" applyFont="0" applyAlignment="0" applyProtection="0"/>
    <xf numFmtId="0" fontId="2" fillId="77" borderId="0" applyNumberFormat="0" applyBorder="0" applyAlignment="0" applyProtection="0"/>
    <xf numFmtId="0" fontId="37" fillId="11" borderId="251" applyNumberFormat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81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18" fillId="45" borderId="0" applyNumberFormat="0" applyBorder="0" applyAlignment="0" applyProtection="0"/>
    <xf numFmtId="0" fontId="2" fillId="77" borderId="0" applyNumberFormat="0" applyBorder="0" applyAlignment="0" applyProtection="0"/>
    <xf numFmtId="0" fontId="2" fillId="73" borderId="0" applyNumberFormat="0" applyBorder="0" applyAlignment="0" applyProtection="0"/>
    <xf numFmtId="0" fontId="2" fillId="46" borderId="0" applyNumberFormat="0" applyBorder="0" applyAlignment="0" applyProtection="0"/>
    <xf numFmtId="0" fontId="2" fillId="45" borderId="0" applyNumberFormat="0" applyBorder="0" applyAlignment="0" applyProtection="0"/>
    <xf numFmtId="0" fontId="2" fillId="79" borderId="0" applyNumberFormat="0" applyBorder="0" applyAlignment="0" applyProtection="0"/>
    <xf numFmtId="0" fontId="2" fillId="76" borderId="0" applyNumberFormat="0" applyBorder="0" applyAlignment="0" applyProtection="0"/>
    <xf numFmtId="0" fontId="2" fillId="68" borderId="0" applyNumberFormat="0" applyBorder="0" applyAlignment="0" applyProtection="0"/>
    <xf numFmtId="0" fontId="2" fillId="81" borderId="0" applyNumberFormat="0" applyBorder="0" applyAlignment="0" applyProtection="0"/>
    <xf numFmtId="0" fontId="2" fillId="80" borderId="0" applyNumberFormat="0" applyBorder="0" applyAlignment="0" applyProtection="0"/>
    <xf numFmtId="0" fontId="2" fillId="46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76" borderId="0" applyNumberFormat="0" applyBorder="0" applyAlignment="0" applyProtection="0"/>
    <xf numFmtId="0" fontId="2" fillId="72" borderId="0" applyNumberFormat="0" applyBorder="0" applyAlignment="0" applyProtection="0"/>
    <xf numFmtId="0" fontId="2" fillId="71" borderId="0" applyNumberFormat="0" applyBorder="0" applyAlignment="0" applyProtection="0"/>
    <xf numFmtId="0" fontId="94" fillId="0" borderId="248" applyNumberFormat="0" applyFill="0" applyAlignment="0" applyProtection="0"/>
    <xf numFmtId="0" fontId="39" fillId="0" borderId="247" applyNumberFormat="0" applyFill="0" applyAlignment="0" applyProtection="0"/>
    <xf numFmtId="0" fontId="25" fillId="11" borderId="244" applyNumberFormat="0" applyAlignment="0" applyProtection="0"/>
    <xf numFmtId="0" fontId="25" fillId="11" borderId="244" applyNumberFormat="0" applyAlignment="0" applyProtection="0"/>
    <xf numFmtId="0" fontId="33" fillId="5" borderId="244" applyNumberFormat="0" applyAlignment="0" applyProtection="0"/>
    <xf numFmtId="0" fontId="2" fillId="45" borderId="0" applyNumberFormat="0" applyBorder="0" applyAlignment="0" applyProtection="0"/>
    <xf numFmtId="0" fontId="2" fillId="72" borderId="0" applyNumberFormat="0" applyBorder="0" applyAlignment="0" applyProtection="0"/>
    <xf numFmtId="0" fontId="21" fillId="0" borderId="0"/>
    <xf numFmtId="0" fontId="2" fillId="69" borderId="0" applyNumberFormat="0" applyBorder="0" applyAlignment="0" applyProtection="0"/>
    <xf numFmtId="0" fontId="21" fillId="26" borderId="245" applyNumberFormat="0" applyFont="0" applyAlignment="0" applyProtection="0"/>
    <xf numFmtId="0" fontId="21" fillId="26" borderId="245" applyNumberFormat="0" applyFont="0" applyAlignment="0" applyProtection="0"/>
    <xf numFmtId="0" fontId="21" fillId="26" borderId="245" applyNumberFormat="0" applyFont="0" applyAlignment="0" applyProtection="0"/>
    <xf numFmtId="0" fontId="37" fillId="11" borderId="246" applyNumberFormat="0" applyAlignment="0" applyProtection="0"/>
    <xf numFmtId="0" fontId="39" fillId="0" borderId="247" applyNumberFormat="0" applyFill="0" applyAlignment="0" applyProtection="0"/>
    <xf numFmtId="0" fontId="94" fillId="0" borderId="248" applyNumberFormat="0" applyFill="0" applyAlignment="0" applyProtection="0"/>
    <xf numFmtId="0" fontId="94" fillId="0" borderId="248" applyNumberFormat="0" applyFill="0" applyAlignment="0" applyProtection="0"/>
    <xf numFmtId="0" fontId="94" fillId="0" borderId="248" applyNumberFormat="0" applyFill="0" applyAlignment="0" applyProtection="0"/>
    <xf numFmtId="0" fontId="2" fillId="81" borderId="0" applyNumberFormat="0" applyBorder="0" applyAlignment="0" applyProtection="0"/>
    <xf numFmtId="0" fontId="2" fillId="69" borderId="0" applyNumberFormat="0" applyBorder="0" applyAlignment="0" applyProtection="0"/>
    <xf numFmtId="0" fontId="21" fillId="26" borderId="245" applyNumberFormat="0" applyFont="0" applyAlignment="0" applyProtection="0"/>
    <xf numFmtId="0" fontId="2" fillId="72" borderId="0" applyNumberFormat="0" applyBorder="0" applyAlignment="0" applyProtection="0"/>
    <xf numFmtId="0" fontId="2" fillId="77" borderId="0" applyNumberFormat="0" applyBorder="0" applyAlignment="0" applyProtection="0"/>
    <xf numFmtId="0" fontId="2" fillId="45" borderId="0" applyNumberFormat="0" applyBorder="0" applyAlignment="0" applyProtection="0"/>
    <xf numFmtId="0" fontId="2" fillId="68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68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18" fillId="7" borderId="0" applyNumberFormat="0" applyBorder="0" applyAlignment="0" applyProtection="0"/>
    <xf numFmtId="0" fontId="2" fillId="68" borderId="0" applyNumberFormat="0" applyBorder="0" applyAlignment="0" applyProtection="0"/>
    <xf numFmtId="0" fontId="2" fillId="57" borderId="171" applyNumberFormat="0" applyFont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7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45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46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73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80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79" borderId="0" applyNumberFormat="0" applyBorder="0" applyAlignment="0" applyProtection="0"/>
    <xf numFmtId="0" fontId="2" fillId="72" borderId="0" applyNumberFormat="0" applyBorder="0" applyAlignment="0" applyProtection="0"/>
    <xf numFmtId="0" fontId="2" fillId="57" borderId="171" applyNumberFormat="0" applyFont="0" applyAlignment="0" applyProtection="0"/>
    <xf numFmtId="0" fontId="2" fillId="69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72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9" borderId="0" applyNumberFormat="0" applyBorder="0" applyAlignment="0" applyProtection="0"/>
    <xf numFmtId="0" fontId="2" fillId="79" borderId="0" applyNumberFormat="0" applyBorder="0" applyAlignment="0" applyProtection="0"/>
    <xf numFmtId="0" fontId="2" fillId="46" borderId="0" applyNumberFormat="0" applyBorder="0" applyAlignment="0" applyProtection="0"/>
    <xf numFmtId="0" fontId="2" fillId="71" borderId="0" applyNumberFormat="0" applyBorder="0" applyAlignment="0" applyProtection="0"/>
    <xf numFmtId="0" fontId="2" fillId="57" borderId="171" applyNumberFormat="0" applyFont="0" applyAlignment="0" applyProtection="0"/>
    <xf numFmtId="0" fontId="2" fillId="45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57" borderId="171" applyNumberFormat="0" applyFont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69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1" fillId="0" borderId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80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81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25" fillId="11" borderId="244" applyNumberFormat="0" applyAlignment="0" applyProtection="0"/>
    <xf numFmtId="0" fontId="33" fillId="5" borderId="244" applyNumberFormat="0" applyAlignment="0" applyProtection="0"/>
    <xf numFmtId="0" fontId="21" fillId="26" borderId="245" applyNumberFormat="0" applyFont="0" applyAlignment="0" applyProtection="0"/>
    <xf numFmtId="0" fontId="21" fillId="26" borderId="245" applyNumberFormat="0" applyFont="0" applyAlignment="0" applyProtection="0"/>
    <xf numFmtId="0" fontId="21" fillId="26" borderId="245" applyNumberFormat="0" applyFont="0" applyAlignment="0" applyProtection="0"/>
    <xf numFmtId="0" fontId="37" fillId="11" borderId="246" applyNumberFormat="0" applyAlignment="0" applyProtection="0"/>
    <xf numFmtId="0" fontId="39" fillId="0" borderId="247" applyNumberFormat="0" applyFill="0" applyAlignment="0" applyProtection="0"/>
    <xf numFmtId="0" fontId="94" fillId="0" borderId="248" applyNumberFormat="0" applyFill="0" applyAlignment="0" applyProtection="0"/>
    <xf numFmtId="0" fontId="94" fillId="0" borderId="248" applyNumberFormat="0" applyFill="0" applyAlignment="0" applyProtection="0"/>
    <xf numFmtId="0" fontId="94" fillId="0" borderId="248" applyNumberFormat="0" applyFill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68" borderId="0" applyNumberFormat="0" applyBorder="0" applyAlignment="0" applyProtection="0"/>
    <xf numFmtId="0" fontId="18" fillId="7" borderId="0" applyNumberFormat="0" applyBorder="0" applyAlignment="0" applyProtection="0"/>
    <xf numFmtId="0" fontId="2" fillId="80" borderId="0" applyNumberFormat="0" applyBorder="0" applyAlignment="0" applyProtection="0"/>
    <xf numFmtId="0" fontId="2" fillId="73" borderId="0" applyNumberFormat="0" applyBorder="0" applyAlignment="0" applyProtection="0"/>
    <xf numFmtId="0" fontId="2" fillId="46" borderId="0" applyNumberFormat="0" applyBorder="0" applyAlignment="0" applyProtection="0"/>
    <xf numFmtId="0" fontId="2" fillId="79" borderId="0" applyNumberFormat="0" applyBorder="0" applyAlignment="0" applyProtection="0"/>
    <xf numFmtId="0" fontId="2" fillId="68" borderId="0" applyNumberFormat="0" applyBorder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68" borderId="0" applyNumberFormat="0" applyBorder="0" applyAlignment="0" applyProtection="0"/>
    <xf numFmtId="0" fontId="2" fillId="46" borderId="0" applyNumberFormat="0" applyBorder="0" applyAlignment="0" applyProtection="0"/>
    <xf numFmtId="0" fontId="2" fillId="77" borderId="0" applyNumberFormat="0" applyBorder="0" applyAlignment="0" applyProtection="0"/>
    <xf numFmtId="0" fontId="21" fillId="26" borderId="245" applyNumberFormat="0" applyFont="0" applyAlignment="0" applyProtection="0"/>
    <xf numFmtId="0" fontId="2" fillId="73" borderId="0" applyNumberFormat="0" applyBorder="0" applyAlignment="0" applyProtection="0"/>
    <xf numFmtId="0" fontId="2" fillId="71" borderId="0" applyNumberFormat="0" applyBorder="0" applyAlignment="0" applyProtection="0"/>
    <xf numFmtId="0" fontId="2" fillId="72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79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57" borderId="171" applyNumberFormat="0" applyFont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46" borderId="0" applyNumberFormat="0" applyBorder="0" applyAlignment="0" applyProtection="0"/>
    <xf numFmtId="0" fontId="2" fillId="81" borderId="0" applyNumberFormat="0" applyBorder="0" applyAlignment="0" applyProtection="0"/>
    <xf numFmtId="0" fontId="25" fillId="11" borderId="244" applyNumberFormat="0" applyAlignment="0" applyProtection="0"/>
    <xf numFmtId="0" fontId="2" fillId="80" borderId="0" applyNumberFormat="0" applyBorder="0" applyAlignment="0" applyProtection="0"/>
    <xf numFmtId="0" fontId="32" fillId="0" borderId="233" applyNumberFormat="0" applyFill="0" applyAlignment="0" applyProtection="0"/>
    <xf numFmtId="0" fontId="81" fillId="0" borderId="234" applyNumberFormat="0" applyFill="0" applyAlignment="0" applyProtection="0"/>
    <xf numFmtId="0" fontId="81" fillId="0" borderId="234" applyNumberFormat="0" applyFill="0" applyAlignment="0" applyProtection="0"/>
    <xf numFmtId="0" fontId="81" fillId="0" borderId="234" applyNumberFormat="0" applyFill="0" applyAlignment="0" applyProtection="0"/>
    <xf numFmtId="0" fontId="33" fillId="5" borderId="244" applyNumberFormat="0" applyAlignment="0" applyProtection="0"/>
    <xf numFmtId="0" fontId="2" fillId="76" borderId="0" applyNumberFormat="0" applyBorder="0" applyAlignment="0" applyProtection="0"/>
    <xf numFmtId="0" fontId="18" fillId="45" borderId="0" applyNumberFormat="0" applyBorder="0" applyAlignment="0" applyProtection="0"/>
    <xf numFmtId="0" fontId="25" fillId="11" borderId="244" applyNumberFormat="0" applyAlignment="0" applyProtection="0"/>
    <xf numFmtId="0" fontId="18" fillId="69" borderId="0" applyNumberFormat="0" applyBorder="0" applyAlignment="0" applyProtection="0"/>
    <xf numFmtId="0" fontId="18" fillId="76" borderId="0" applyNumberFormat="0" applyBorder="0" applyAlignment="0" applyProtection="0"/>
    <xf numFmtId="0" fontId="2" fillId="80" borderId="0" applyNumberFormat="0" applyBorder="0" applyAlignment="0" applyProtection="0"/>
    <xf numFmtId="0" fontId="18" fillId="3" borderId="0" applyNumberFormat="0" applyBorder="0" applyAlignment="0" applyProtection="0"/>
    <xf numFmtId="0" fontId="33" fillId="5" borderId="270" applyNumberFormat="0" applyAlignment="0" applyProtection="0"/>
    <xf numFmtId="0" fontId="94" fillId="0" borderId="253" applyNumberFormat="0" applyFill="0" applyAlignment="0" applyProtection="0"/>
    <xf numFmtId="0" fontId="21" fillId="0" borderId="0"/>
    <xf numFmtId="0" fontId="18" fillId="3" borderId="0" applyNumberFormat="0" applyBorder="0" applyAlignment="0" applyProtection="0"/>
    <xf numFmtId="0" fontId="2" fillId="46" borderId="0" applyNumberFormat="0" applyBorder="0" applyAlignment="0" applyProtection="0"/>
    <xf numFmtId="0" fontId="2" fillId="81" borderId="0" applyNumberFormat="0" applyBorder="0" applyAlignment="0" applyProtection="0"/>
    <xf numFmtId="0" fontId="2" fillId="45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33" fillId="5" borderId="249" applyNumberFormat="0" applyAlignment="0" applyProtection="0"/>
    <xf numFmtId="0" fontId="81" fillId="0" borderId="234" applyNumberFormat="0" applyFill="0" applyAlignment="0" applyProtection="0"/>
    <xf numFmtId="0" fontId="2" fillId="80" borderId="0" applyNumberFormat="0" applyBorder="0" applyAlignment="0" applyProtection="0"/>
    <xf numFmtId="0" fontId="2" fillId="68" borderId="0" applyNumberFormat="0" applyBorder="0" applyAlignment="0" applyProtection="0"/>
    <xf numFmtId="0" fontId="2" fillId="79" borderId="0" applyNumberFormat="0" applyBorder="0" applyAlignment="0" applyProtection="0"/>
    <xf numFmtId="0" fontId="2" fillId="72" borderId="0" applyNumberFormat="0" applyBorder="0" applyAlignment="0" applyProtection="0"/>
    <xf numFmtId="0" fontId="21" fillId="26" borderId="245" applyNumberFormat="0" applyFont="0" applyAlignment="0" applyProtection="0"/>
    <xf numFmtId="0" fontId="21" fillId="26" borderId="245" applyNumberFormat="0" applyFont="0" applyAlignment="0" applyProtection="0"/>
    <xf numFmtId="0" fontId="21" fillId="26" borderId="245" applyNumberFormat="0" applyFont="0" applyAlignment="0" applyProtection="0"/>
    <xf numFmtId="0" fontId="37" fillId="11" borderId="246" applyNumberFormat="0" applyAlignment="0" applyProtection="0"/>
    <xf numFmtId="0" fontId="39" fillId="0" borderId="247" applyNumberFormat="0" applyFill="0" applyAlignment="0" applyProtection="0"/>
    <xf numFmtId="0" fontId="94" fillId="0" borderId="248" applyNumberFormat="0" applyFill="0" applyAlignment="0" applyProtection="0"/>
    <xf numFmtId="0" fontId="94" fillId="0" borderId="248" applyNumberFormat="0" applyFill="0" applyAlignment="0" applyProtection="0"/>
    <xf numFmtId="0" fontId="94" fillId="0" borderId="248" applyNumberFormat="0" applyFill="0" applyAlignment="0" applyProtection="0"/>
    <xf numFmtId="0" fontId="2" fillId="81" borderId="0" applyNumberFormat="0" applyBorder="0" applyAlignment="0" applyProtection="0"/>
    <xf numFmtId="0" fontId="2" fillId="71" borderId="0" applyNumberFormat="0" applyBorder="0" applyAlignment="0" applyProtection="0"/>
    <xf numFmtId="0" fontId="2" fillId="80" borderId="0" applyNumberFormat="0" applyBorder="0" applyAlignment="0" applyProtection="0"/>
    <xf numFmtId="0" fontId="2" fillId="77" borderId="0" applyNumberFormat="0" applyBorder="0" applyAlignment="0" applyProtection="0"/>
    <xf numFmtId="0" fontId="2" fillId="69" borderId="0" applyNumberFormat="0" applyBorder="0" applyAlignment="0" applyProtection="0"/>
    <xf numFmtId="0" fontId="2" fillId="81" borderId="0" applyNumberFormat="0" applyBorder="0" applyAlignment="0" applyProtection="0"/>
    <xf numFmtId="0" fontId="2" fillId="80" borderId="0" applyNumberFormat="0" applyBorder="0" applyAlignment="0" applyProtection="0"/>
    <xf numFmtId="0" fontId="2" fillId="71" borderId="0" applyNumberFormat="0" applyBorder="0" applyAlignment="0" applyProtection="0"/>
    <xf numFmtId="0" fontId="2" fillId="68" borderId="0" applyNumberFormat="0" applyBorder="0" applyAlignment="0" applyProtection="0"/>
    <xf numFmtId="0" fontId="2" fillId="76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5" fillId="11" borderId="244" applyNumberFormat="0" applyAlignment="0" applyProtection="0"/>
    <xf numFmtId="0" fontId="33" fillId="5" borderId="244" applyNumberFormat="0" applyAlignment="0" applyProtection="0"/>
    <xf numFmtId="0" fontId="21" fillId="26" borderId="245" applyNumberFormat="0" applyFont="0" applyAlignment="0" applyProtection="0"/>
    <xf numFmtId="0" fontId="21" fillId="26" borderId="245" applyNumberFormat="0" applyFont="0" applyAlignment="0" applyProtection="0"/>
    <xf numFmtId="0" fontId="21" fillId="26" borderId="245" applyNumberFormat="0" applyFont="0" applyAlignment="0" applyProtection="0"/>
    <xf numFmtId="0" fontId="37" fillId="11" borderId="246" applyNumberFormat="0" applyAlignment="0" applyProtection="0"/>
    <xf numFmtId="0" fontId="39" fillId="0" borderId="247" applyNumberFormat="0" applyFill="0" applyAlignment="0" applyProtection="0"/>
    <xf numFmtId="0" fontId="94" fillId="0" borderId="248" applyNumberFormat="0" applyFill="0" applyAlignment="0" applyProtection="0"/>
    <xf numFmtId="0" fontId="94" fillId="0" borderId="248" applyNumberFormat="0" applyFill="0" applyAlignment="0" applyProtection="0"/>
    <xf numFmtId="0" fontId="94" fillId="0" borderId="248" applyNumberFormat="0" applyFill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5" fillId="11" borderId="244" applyNumberFormat="0" applyAlignment="0" applyProtection="0"/>
    <xf numFmtId="0" fontId="33" fillId="5" borderId="244" applyNumberFormat="0" applyAlignment="0" applyProtection="0"/>
    <xf numFmtId="0" fontId="21" fillId="26" borderId="245" applyNumberFormat="0" applyFont="0" applyAlignment="0" applyProtection="0"/>
    <xf numFmtId="0" fontId="21" fillId="26" borderId="245" applyNumberFormat="0" applyFont="0" applyAlignment="0" applyProtection="0"/>
    <xf numFmtId="0" fontId="21" fillId="26" borderId="245" applyNumberFormat="0" applyFont="0" applyAlignment="0" applyProtection="0"/>
    <xf numFmtId="0" fontId="37" fillId="11" borderId="246" applyNumberFormat="0" applyAlignment="0" applyProtection="0"/>
    <xf numFmtId="0" fontId="39" fillId="0" borderId="247" applyNumberFormat="0" applyFill="0" applyAlignment="0" applyProtection="0"/>
    <xf numFmtId="0" fontId="94" fillId="0" borderId="248" applyNumberFormat="0" applyFill="0" applyAlignment="0" applyProtection="0"/>
    <xf numFmtId="0" fontId="94" fillId="0" borderId="248" applyNumberFormat="0" applyFill="0" applyAlignment="0" applyProtection="0"/>
    <xf numFmtId="0" fontId="94" fillId="0" borderId="248" applyNumberFormat="0" applyFill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21" fillId="0" borderId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18" fillId="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18" fillId="7" borderId="0" applyNumberFormat="0" applyBorder="0" applyAlignment="0" applyProtection="0"/>
    <xf numFmtId="0" fontId="33" fillId="5" borderId="244" applyNumberFormat="0" applyAlignment="0" applyProtection="0"/>
    <xf numFmtId="0" fontId="94" fillId="0" borderId="248" applyNumberFormat="0" applyFill="0" applyAlignment="0" applyProtection="0"/>
    <xf numFmtId="0" fontId="33" fillId="5" borderId="249" applyNumberFormat="0" applyAlignment="0" applyProtection="0"/>
    <xf numFmtId="0" fontId="21" fillId="0" borderId="0"/>
    <xf numFmtId="0" fontId="2" fillId="57" borderId="171" applyNumberFormat="0" applyFont="0" applyAlignment="0" applyProtection="0"/>
    <xf numFmtId="0" fontId="2" fillId="79" borderId="0" applyNumberFormat="0" applyBorder="0" applyAlignment="0" applyProtection="0"/>
    <xf numFmtId="0" fontId="18" fillId="45" borderId="0" applyNumberFormat="0" applyBorder="0" applyAlignment="0" applyProtection="0"/>
    <xf numFmtId="0" fontId="2" fillId="73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2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1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94" fillId="0" borderId="238" applyNumberFormat="0" applyFill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69" borderId="0" applyNumberFormat="0" applyBorder="0" applyAlignment="0" applyProtection="0"/>
    <xf numFmtId="0" fontId="2" fillId="73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81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46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18" fillId="5" borderId="0" applyNumberFormat="0" applyBorder="0" applyAlignment="0" applyProtection="0"/>
    <xf numFmtId="0" fontId="2" fillId="76" borderId="0" applyNumberFormat="0" applyBorder="0" applyAlignment="0" applyProtection="0"/>
    <xf numFmtId="0" fontId="2" fillId="76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77" borderId="0" applyNumberFormat="0" applyBorder="0" applyAlignment="0" applyProtection="0"/>
    <xf numFmtId="0" fontId="18" fillId="7" borderId="0" applyNumberFormat="0" applyBorder="0" applyAlignment="0" applyProtection="0"/>
    <xf numFmtId="0" fontId="2" fillId="57" borderId="171" applyNumberFormat="0" applyFont="0" applyAlignment="0" applyProtection="0"/>
    <xf numFmtId="0" fontId="18" fillId="11" borderId="0" applyNumberFormat="0" applyBorder="0" applyAlignment="0" applyProtection="0"/>
    <xf numFmtId="0" fontId="2" fillId="45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73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1" fillId="26" borderId="271" applyNumberFormat="0" applyFont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9" borderId="0" applyNumberFormat="0" applyBorder="0" applyAlignment="0" applyProtection="0"/>
    <xf numFmtId="0" fontId="2" fillId="45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18" fillId="76" borderId="0" applyNumberFormat="0" applyBorder="0" applyAlignment="0" applyProtection="0"/>
    <xf numFmtId="0" fontId="2" fillId="73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18" fillId="5" borderId="0" applyNumberFormat="0" applyBorder="0" applyAlignment="0" applyProtection="0"/>
    <xf numFmtId="0" fontId="21" fillId="0" borderId="0"/>
    <xf numFmtId="0" fontId="2" fillId="68" borderId="0" applyNumberFormat="0" applyBorder="0" applyAlignment="0" applyProtection="0"/>
    <xf numFmtId="0" fontId="18" fillId="7" borderId="0" applyNumberFormat="0" applyBorder="0" applyAlignment="0" applyProtection="0"/>
    <xf numFmtId="0" fontId="2" fillId="46" borderId="0" applyNumberFormat="0" applyBorder="0" applyAlignment="0" applyProtection="0"/>
    <xf numFmtId="0" fontId="2" fillId="76" borderId="0" applyNumberFormat="0" applyBorder="0" applyAlignment="0" applyProtection="0"/>
    <xf numFmtId="0" fontId="81" fillId="0" borderId="256" applyNumberFormat="0" applyFill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57" borderId="171" applyNumberFormat="0" applyFont="0" applyAlignment="0" applyProtection="0"/>
    <xf numFmtId="0" fontId="18" fillId="11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81" borderId="0" applyNumberFormat="0" applyBorder="0" applyAlignment="0" applyProtection="0"/>
    <xf numFmtId="0" fontId="2" fillId="72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73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80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69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72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18" fillId="5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69" borderId="0" applyNumberFormat="0" applyBorder="0" applyAlignment="0" applyProtection="0"/>
    <xf numFmtId="0" fontId="33" fillId="5" borderId="232" applyNumberFormat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18" fillId="5" borderId="0" applyNumberFormat="0" applyBorder="0" applyAlignment="0" applyProtection="0"/>
    <xf numFmtId="0" fontId="2" fillId="57" borderId="171" applyNumberFormat="0" applyFont="0" applyAlignment="0" applyProtection="0"/>
    <xf numFmtId="0" fontId="18" fillId="1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45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1" borderId="0" applyNumberFormat="0" applyBorder="0" applyAlignment="0" applyProtection="0"/>
    <xf numFmtId="0" fontId="2" fillId="7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2" borderId="0" applyNumberFormat="0" applyBorder="0" applyAlignment="0" applyProtection="0"/>
    <xf numFmtId="0" fontId="2" fillId="79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68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18" fillId="7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69" borderId="0" applyNumberFormat="0" applyBorder="0" applyAlignment="0" applyProtection="0"/>
    <xf numFmtId="0" fontId="21" fillId="0" borderId="0"/>
    <xf numFmtId="0" fontId="2" fillId="71" borderId="0" applyNumberFormat="0" applyBorder="0" applyAlignment="0" applyProtection="0"/>
    <xf numFmtId="0" fontId="2" fillId="81" borderId="0" applyNumberFormat="0" applyBorder="0" applyAlignment="0" applyProtection="0"/>
    <xf numFmtId="0" fontId="18" fillId="5" borderId="0" applyNumberFormat="0" applyBorder="0" applyAlignment="0" applyProtection="0"/>
    <xf numFmtId="0" fontId="2" fillId="57" borderId="171" applyNumberFormat="0" applyFont="0" applyAlignment="0" applyProtection="0"/>
    <xf numFmtId="0" fontId="2" fillId="45" borderId="0" applyNumberFormat="0" applyBorder="0" applyAlignment="0" applyProtection="0"/>
    <xf numFmtId="0" fontId="2" fillId="69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9" borderId="0" applyNumberFormat="0" applyBorder="0" applyAlignment="0" applyProtection="0"/>
    <xf numFmtId="0" fontId="2" fillId="46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68" borderId="0" applyNumberFormat="0" applyBorder="0" applyAlignment="0" applyProtection="0"/>
    <xf numFmtId="0" fontId="2" fillId="73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81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1" fillId="0" borderId="0"/>
    <xf numFmtId="0" fontId="2" fillId="72" borderId="0" applyNumberFormat="0" applyBorder="0" applyAlignment="0" applyProtection="0"/>
    <xf numFmtId="0" fontId="2" fillId="46" borderId="0" applyNumberFormat="0" applyBorder="0" applyAlignment="0" applyProtection="0"/>
    <xf numFmtId="0" fontId="2" fillId="68" borderId="0" applyNumberFormat="0" applyBorder="0" applyAlignment="0" applyProtection="0"/>
    <xf numFmtId="0" fontId="18" fillId="7" borderId="0" applyNumberFormat="0" applyBorder="0" applyAlignment="0" applyProtection="0"/>
    <xf numFmtId="0" fontId="2" fillId="80" borderId="0" applyNumberFormat="0" applyBorder="0" applyAlignment="0" applyProtection="0"/>
    <xf numFmtId="0" fontId="2" fillId="57" borderId="171" applyNumberFormat="0" applyFont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81" borderId="0" applyNumberFormat="0" applyBorder="0" applyAlignment="0" applyProtection="0"/>
    <xf numFmtId="0" fontId="2" fillId="79" borderId="0" applyNumberFormat="0" applyBorder="0" applyAlignment="0" applyProtection="0"/>
    <xf numFmtId="0" fontId="2" fillId="68" borderId="0" applyNumberFormat="0" applyBorder="0" applyAlignment="0" applyProtection="0"/>
    <xf numFmtId="0" fontId="2" fillId="73" borderId="0" applyNumberFormat="0" applyBorder="0" applyAlignment="0" applyProtection="0"/>
    <xf numFmtId="0" fontId="2" fillId="79" borderId="0" applyNumberFormat="0" applyBorder="0" applyAlignment="0" applyProtection="0"/>
    <xf numFmtId="0" fontId="2" fillId="45" borderId="0" applyNumberFormat="0" applyBorder="0" applyAlignment="0" applyProtection="0"/>
    <xf numFmtId="0" fontId="2" fillId="76" borderId="0" applyNumberFormat="0" applyBorder="0" applyAlignment="0" applyProtection="0"/>
    <xf numFmtId="0" fontId="2" fillId="68" borderId="0" applyNumberFormat="0" applyBorder="0" applyAlignment="0" applyProtection="0"/>
    <xf numFmtId="0" fontId="18" fillId="46" borderId="0" applyNumberFormat="0" applyBorder="0" applyAlignment="0" applyProtection="0"/>
    <xf numFmtId="0" fontId="2" fillId="57" borderId="171" applyNumberFormat="0" applyFont="0" applyAlignment="0" applyProtection="0"/>
    <xf numFmtId="0" fontId="21" fillId="26" borderId="271" applyNumberFormat="0" applyFont="0" applyAlignment="0" applyProtection="0"/>
    <xf numFmtId="0" fontId="2" fillId="73" borderId="0" applyNumberFormat="0" applyBorder="0" applyAlignment="0" applyProtection="0"/>
    <xf numFmtId="0" fontId="21" fillId="26" borderId="257" applyNumberFormat="0" applyFont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68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72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79" borderId="0" applyNumberFormat="0" applyBorder="0" applyAlignment="0" applyProtection="0"/>
    <xf numFmtId="0" fontId="2" fillId="46" borderId="0" applyNumberFormat="0" applyBorder="0" applyAlignment="0" applyProtection="0"/>
    <xf numFmtId="0" fontId="2" fillId="79" borderId="0" applyNumberFormat="0" applyBorder="0" applyAlignment="0" applyProtection="0"/>
    <xf numFmtId="0" fontId="2" fillId="72" borderId="0" applyNumberFormat="0" applyBorder="0" applyAlignment="0" applyProtection="0"/>
    <xf numFmtId="0" fontId="2" fillId="69" borderId="0" applyNumberFormat="0" applyBorder="0" applyAlignment="0" applyProtection="0"/>
    <xf numFmtId="0" fontId="2" fillId="68" borderId="0" applyNumberFormat="0" applyBorder="0" applyAlignment="0" applyProtection="0"/>
    <xf numFmtId="0" fontId="2" fillId="45" borderId="0" applyNumberFormat="0" applyBorder="0" applyAlignment="0" applyProtection="0"/>
    <xf numFmtId="0" fontId="2" fillId="77" borderId="0" applyNumberFormat="0" applyBorder="0" applyAlignment="0" applyProtection="0"/>
    <xf numFmtId="0" fontId="2" fillId="76" borderId="0" applyNumberFormat="0" applyBorder="0" applyAlignment="0" applyProtection="0"/>
    <xf numFmtId="0" fontId="2" fillId="46" borderId="0" applyNumberFormat="0" applyBorder="0" applyAlignment="0" applyProtection="0"/>
    <xf numFmtId="0" fontId="2" fillId="57" borderId="171" applyNumberFormat="0" applyFont="0" applyAlignment="0" applyProtection="0"/>
    <xf numFmtId="0" fontId="2" fillId="79" borderId="0" applyNumberFormat="0" applyBorder="0" applyAlignment="0" applyProtection="0"/>
    <xf numFmtId="0" fontId="2" fillId="73" borderId="0" applyNumberFormat="0" applyBorder="0" applyAlignment="0" applyProtection="0"/>
    <xf numFmtId="0" fontId="2" fillId="72" borderId="0" applyNumberFormat="0" applyBorder="0" applyAlignment="0" applyProtection="0"/>
    <xf numFmtId="0" fontId="2" fillId="69" borderId="0" applyNumberFormat="0" applyBorder="0" applyAlignment="0" applyProtection="0"/>
    <xf numFmtId="0" fontId="2" fillId="45" borderId="0" applyNumberFormat="0" applyBorder="0" applyAlignment="0" applyProtection="0"/>
    <xf numFmtId="0" fontId="2" fillId="76" borderId="0" applyNumberFormat="0" applyBorder="0" applyAlignment="0" applyProtection="0"/>
    <xf numFmtId="0" fontId="2" fillId="46" borderId="0" applyNumberFormat="0" applyBorder="0" applyAlignment="0" applyProtection="0"/>
    <xf numFmtId="0" fontId="2" fillId="71" borderId="0" applyNumberFormat="0" applyBorder="0" applyAlignment="0" applyProtection="0"/>
    <xf numFmtId="0" fontId="25" fillId="11" borderId="254" applyNumberFormat="0" applyAlignment="0" applyProtection="0"/>
    <xf numFmtId="0" fontId="2" fillId="72" borderId="0" applyNumberFormat="0" applyBorder="0" applyAlignment="0" applyProtection="0"/>
    <xf numFmtId="0" fontId="32" fillId="0" borderId="255" applyNumberFormat="0" applyFill="0" applyAlignment="0" applyProtection="0"/>
    <xf numFmtId="0" fontId="81" fillId="0" borderId="256" applyNumberFormat="0" applyFill="0" applyAlignment="0" applyProtection="0"/>
    <xf numFmtId="0" fontId="81" fillId="0" borderId="256" applyNumberFormat="0" applyFill="0" applyAlignment="0" applyProtection="0"/>
    <xf numFmtId="0" fontId="81" fillId="0" borderId="256" applyNumberFormat="0" applyFill="0" applyAlignment="0" applyProtection="0"/>
    <xf numFmtId="0" fontId="94" fillId="0" borderId="260" applyNumberFormat="0" applyFill="0" applyAlignment="0" applyProtection="0"/>
    <xf numFmtId="0" fontId="37" fillId="11" borderId="258" applyNumberFormat="0" applyAlignment="0" applyProtection="0"/>
    <xf numFmtId="0" fontId="33" fillId="5" borderId="254" applyNumberFormat="0" applyAlignment="0" applyProtection="0"/>
    <xf numFmtId="0" fontId="21" fillId="0" borderId="0"/>
    <xf numFmtId="0" fontId="21" fillId="0" borderId="0"/>
    <xf numFmtId="0" fontId="18" fillId="11" borderId="0" applyNumberFormat="0" applyBorder="0" applyAlignment="0" applyProtection="0"/>
    <xf numFmtId="0" fontId="2" fillId="80" borderId="0" applyNumberFormat="0" applyBorder="0" applyAlignment="0" applyProtection="0"/>
    <xf numFmtId="0" fontId="2" fillId="68" borderId="0" applyNumberFormat="0" applyBorder="0" applyAlignment="0" applyProtection="0"/>
    <xf numFmtId="0" fontId="2" fillId="46" borderId="0" applyNumberFormat="0" applyBorder="0" applyAlignment="0" applyProtection="0"/>
    <xf numFmtId="0" fontId="2" fillId="80" borderId="0" applyNumberFormat="0" applyBorder="0" applyAlignment="0" applyProtection="0"/>
    <xf numFmtId="0" fontId="18" fillId="80" borderId="0" applyNumberFormat="0" applyBorder="0" applyAlignment="0" applyProtection="0"/>
    <xf numFmtId="0" fontId="2" fillId="71" borderId="0" applyNumberFormat="0" applyBorder="0" applyAlignment="0" applyProtection="0"/>
    <xf numFmtId="0" fontId="18" fillId="68" borderId="0" applyNumberFormat="0" applyBorder="0" applyAlignment="0" applyProtection="0"/>
    <xf numFmtId="0" fontId="33" fillId="5" borderId="254" applyNumberFormat="0" applyAlignment="0" applyProtection="0"/>
    <xf numFmtId="0" fontId="18" fillId="3" borderId="0" applyNumberFormat="0" applyBorder="0" applyAlignment="0" applyProtection="0"/>
    <xf numFmtId="0" fontId="2" fillId="79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94" fillId="0" borderId="238" applyNumberFormat="0" applyFill="0" applyAlignment="0" applyProtection="0"/>
    <xf numFmtId="0" fontId="2" fillId="68" borderId="0" applyNumberFormat="0" applyBorder="0" applyAlignment="0" applyProtection="0"/>
    <xf numFmtId="0" fontId="2" fillId="68" borderId="0" applyNumberFormat="0" applyBorder="0" applyAlignment="0" applyProtection="0"/>
    <xf numFmtId="0" fontId="32" fillId="0" borderId="215" applyNumberFormat="0" applyFill="0" applyAlignment="0" applyProtection="0"/>
    <xf numFmtId="0" fontId="37" fillId="11" borderId="272" applyNumberFormat="0" applyAlignment="0" applyProtection="0"/>
    <xf numFmtId="0" fontId="2" fillId="79" borderId="0" applyNumberFormat="0" applyBorder="0" applyAlignment="0" applyProtection="0"/>
    <xf numFmtId="0" fontId="21" fillId="26" borderId="257" applyNumberFormat="0" applyFont="0" applyAlignment="0" applyProtection="0"/>
    <xf numFmtId="0" fontId="21" fillId="26" borderId="257" applyNumberFormat="0" applyFont="0" applyAlignment="0" applyProtection="0"/>
    <xf numFmtId="0" fontId="21" fillId="26" borderId="257" applyNumberFormat="0" applyFont="0" applyAlignment="0" applyProtection="0"/>
    <xf numFmtId="0" fontId="37" fillId="11" borderId="258" applyNumberFormat="0" applyAlignment="0" applyProtection="0"/>
    <xf numFmtId="0" fontId="2" fillId="57" borderId="171" applyNumberFormat="0" applyFont="0" applyAlignment="0" applyProtection="0"/>
    <xf numFmtId="0" fontId="2" fillId="81" borderId="0" applyNumberFormat="0" applyBorder="0" applyAlignment="0" applyProtection="0"/>
    <xf numFmtId="0" fontId="39" fillId="0" borderId="259" applyNumberFormat="0" applyFill="0" applyAlignment="0" applyProtection="0"/>
    <xf numFmtId="0" fontId="94" fillId="0" borderId="260" applyNumberFormat="0" applyFill="0" applyAlignment="0" applyProtection="0"/>
    <xf numFmtId="0" fontId="94" fillId="0" borderId="260" applyNumberFormat="0" applyFill="0" applyAlignment="0" applyProtection="0"/>
    <xf numFmtId="0" fontId="94" fillId="0" borderId="260" applyNumberFormat="0" applyFill="0" applyAlignment="0" applyProtection="0"/>
    <xf numFmtId="0" fontId="2" fillId="57" borderId="171" applyNumberFormat="0" applyFont="0" applyAlignment="0" applyProtection="0"/>
    <xf numFmtId="0" fontId="2" fillId="71" borderId="0" applyNumberFormat="0" applyBorder="0" applyAlignment="0" applyProtection="0"/>
    <xf numFmtId="0" fontId="25" fillId="11" borderId="254" applyNumberFormat="0" applyAlignment="0" applyProtection="0"/>
    <xf numFmtId="0" fontId="2" fillId="71" borderId="0" applyNumberFormat="0" applyBorder="0" applyAlignment="0" applyProtection="0"/>
    <xf numFmtId="0" fontId="18" fillId="5" borderId="0" applyNumberFormat="0" applyBorder="0" applyAlignment="0" applyProtection="0"/>
    <xf numFmtId="0" fontId="2" fillId="46" borderId="0" applyNumberFormat="0" applyBorder="0" applyAlignment="0" applyProtection="0"/>
    <xf numFmtId="0" fontId="2" fillId="57" borderId="171" applyNumberFormat="0" applyFont="0" applyAlignment="0" applyProtection="0"/>
    <xf numFmtId="0" fontId="2" fillId="57" borderId="171" applyNumberFormat="0" applyFont="0" applyAlignment="0" applyProtection="0"/>
    <xf numFmtId="0" fontId="2" fillId="81" borderId="0" applyNumberFormat="0" applyBorder="0" applyAlignment="0" applyProtection="0"/>
    <xf numFmtId="0" fontId="2" fillId="73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7" borderId="0" applyNumberFormat="0" applyBorder="0" applyAlignment="0" applyProtection="0"/>
    <xf numFmtId="0" fontId="2" fillId="77" borderId="0" applyNumberFormat="0" applyBorder="0" applyAlignment="0" applyProtection="0"/>
    <xf numFmtId="0" fontId="2" fillId="46" borderId="0" applyNumberFormat="0" applyBorder="0" applyAlignment="0" applyProtection="0"/>
    <xf numFmtId="0" fontId="2" fillId="80" borderId="0" applyNumberFormat="0" applyBorder="0" applyAlignment="0" applyProtection="0"/>
    <xf numFmtId="0" fontId="2" fillId="77" borderId="0" applyNumberFormat="0" applyBorder="0" applyAlignment="0" applyProtection="0"/>
    <xf numFmtId="0" fontId="2" fillId="46" borderId="0" applyNumberFormat="0" applyBorder="0" applyAlignment="0" applyProtection="0"/>
    <xf numFmtId="0" fontId="2" fillId="81" borderId="0" applyNumberFormat="0" applyBorder="0" applyAlignment="0" applyProtection="0"/>
    <xf numFmtId="0" fontId="2" fillId="46" borderId="0" applyNumberFormat="0" applyBorder="0" applyAlignment="0" applyProtection="0"/>
    <xf numFmtId="0" fontId="2" fillId="81" borderId="0" applyNumberFormat="0" applyBorder="0" applyAlignment="0" applyProtection="0"/>
    <xf numFmtId="0" fontId="2" fillId="79" borderId="0" applyNumberFormat="0" applyBorder="0" applyAlignment="0" applyProtection="0"/>
    <xf numFmtId="0" fontId="2" fillId="73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68" borderId="0" applyNumberFormat="0" applyBorder="0" applyAlignment="0" applyProtection="0"/>
    <xf numFmtId="0" fontId="21" fillId="26" borderId="257" applyNumberFormat="0" applyFont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76" borderId="0" applyNumberFormat="0" applyBorder="0" applyAlignment="0" applyProtection="0"/>
    <xf numFmtId="0" fontId="2" fillId="76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73" borderId="0" applyNumberFormat="0" applyBorder="0" applyAlignment="0" applyProtection="0"/>
    <xf numFmtId="0" fontId="2" fillId="57" borderId="171" applyNumberFormat="0" applyFont="0" applyAlignment="0" applyProtection="0"/>
    <xf numFmtId="0" fontId="2" fillId="45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1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57" borderId="171" applyNumberFormat="0" applyFont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1" fillId="0" borderId="0"/>
    <xf numFmtId="0" fontId="2" fillId="68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94" fillId="0" borderId="260" applyNumberFormat="0" applyFill="0" applyAlignment="0" applyProtection="0"/>
    <xf numFmtId="0" fontId="21" fillId="26" borderId="257" applyNumberFormat="0" applyFont="0" applyAlignment="0" applyProtection="0"/>
    <xf numFmtId="0" fontId="2" fillId="57" borderId="171" applyNumberFormat="0" applyFont="0" applyAlignment="0" applyProtection="0"/>
    <xf numFmtId="0" fontId="2" fillId="77" borderId="0" applyNumberFormat="0" applyBorder="0" applyAlignment="0" applyProtection="0"/>
    <xf numFmtId="0" fontId="21" fillId="0" borderId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26" borderId="271" applyNumberFormat="0" applyFont="0" applyAlignment="0" applyProtection="0"/>
    <xf numFmtId="0" fontId="94" fillId="0" borderId="260" applyNumberFormat="0" applyFill="0" applyAlignment="0" applyProtection="0"/>
    <xf numFmtId="0" fontId="21" fillId="26" borderId="257" applyNumberFormat="0" applyFont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80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81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39" fillId="0" borderId="259" applyNumberFormat="0" applyFill="0" applyAlignment="0" applyProtection="0"/>
    <xf numFmtId="0" fontId="2" fillId="57" borderId="171" applyNumberFormat="0" applyFont="0" applyAlignment="0" applyProtection="0"/>
    <xf numFmtId="0" fontId="21" fillId="26" borderId="257" applyNumberFormat="0" applyFont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71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68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9" borderId="0" applyNumberFormat="0" applyBorder="0" applyAlignment="0" applyProtection="0"/>
    <xf numFmtId="0" fontId="2" fillId="76" borderId="0" applyNumberFormat="0" applyBorder="0" applyAlignment="0" applyProtection="0"/>
    <xf numFmtId="0" fontId="2" fillId="72" borderId="0" applyNumberFormat="0" applyBorder="0" applyAlignment="0" applyProtection="0"/>
    <xf numFmtId="0" fontId="2" fillId="81" borderId="0" applyNumberFormat="0" applyBorder="0" applyAlignment="0" applyProtection="0"/>
    <xf numFmtId="0" fontId="2" fillId="80" borderId="0" applyNumberFormat="0" applyBorder="0" applyAlignment="0" applyProtection="0"/>
    <xf numFmtId="0" fontId="2" fillId="77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45" borderId="0" applyNumberFormat="0" applyBorder="0" applyAlignment="0" applyProtection="0"/>
    <xf numFmtId="0" fontId="2" fillId="72" borderId="0" applyNumberFormat="0" applyBorder="0" applyAlignment="0" applyProtection="0"/>
    <xf numFmtId="0" fontId="2" fillId="71" borderId="0" applyNumberFormat="0" applyBorder="0" applyAlignment="0" applyProtection="0"/>
    <xf numFmtId="0" fontId="2" fillId="68" borderId="0" applyNumberFormat="0" applyBorder="0" applyAlignment="0" applyProtection="0"/>
    <xf numFmtId="0" fontId="2" fillId="77" borderId="0" applyNumberFormat="0" applyBorder="0" applyAlignment="0" applyProtection="0"/>
    <xf numFmtId="0" fontId="2" fillId="73" borderId="0" applyNumberFormat="0" applyBorder="0" applyAlignment="0" applyProtection="0"/>
    <xf numFmtId="0" fontId="2" fillId="46" borderId="0" applyNumberFormat="0" applyBorder="0" applyAlignment="0" applyProtection="0"/>
    <xf numFmtId="0" fontId="94" fillId="0" borderId="260" applyNumberFormat="0" applyFill="0" applyAlignment="0" applyProtection="0"/>
    <xf numFmtId="0" fontId="94" fillId="0" borderId="260" applyNumberFormat="0" applyFill="0" applyAlignment="0" applyProtection="0"/>
    <xf numFmtId="0" fontId="33" fillId="5" borderId="254" applyNumberFormat="0" applyAlignment="0" applyProtection="0"/>
    <xf numFmtId="0" fontId="25" fillId="11" borderId="254" applyNumberFormat="0" applyAlignment="0" applyProtection="0"/>
    <xf numFmtId="0" fontId="33" fillId="5" borderId="254" applyNumberFormat="0" applyAlignment="0" applyProtection="0"/>
    <xf numFmtId="0" fontId="18" fillId="79" borderId="0" applyNumberFormat="0" applyBorder="0" applyAlignment="0" applyProtection="0"/>
    <xf numFmtId="0" fontId="21" fillId="26" borderId="257" applyNumberFormat="0" applyFont="0" applyAlignment="0" applyProtection="0"/>
    <xf numFmtId="0" fontId="21" fillId="26" borderId="257" applyNumberFormat="0" applyFont="0" applyAlignment="0" applyProtection="0"/>
    <xf numFmtId="0" fontId="21" fillId="26" borderId="257" applyNumberFormat="0" applyFont="0" applyAlignment="0" applyProtection="0"/>
    <xf numFmtId="0" fontId="37" fillId="11" borderId="258" applyNumberFormat="0" applyAlignment="0" applyProtection="0"/>
    <xf numFmtId="0" fontId="39" fillId="0" borderId="259" applyNumberFormat="0" applyFill="0" applyAlignment="0" applyProtection="0"/>
    <xf numFmtId="0" fontId="94" fillId="0" borderId="260" applyNumberFormat="0" applyFill="0" applyAlignment="0" applyProtection="0"/>
    <xf numFmtId="0" fontId="94" fillId="0" borderId="260" applyNumberFormat="0" applyFill="0" applyAlignment="0" applyProtection="0"/>
    <xf numFmtId="0" fontId="94" fillId="0" borderId="260" applyNumberFormat="0" applyFill="0" applyAlignment="0" applyProtection="0"/>
    <xf numFmtId="0" fontId="2" fillId="71" borderId="0" applyNumberFormat="0" applyBorder="0" applyAlignment="0" applyProtection="0"/>
    <xf numFmtId="0" fontId="37" fillId="11" borderId="258" applyNumberFormat="0" applyAlignment="0" applyProtection="0"/>
    <xf numFmtId="0" fontId="2" fillId="73" borderId="0" applyNumberFormat="0" applyBorder="0" applyAlignment="0" applyProtection="0"/>
    <xf numFmtId="0" fontId="2" fillId="79" borderId="0" applyNumberFormat="0" applyBorder="0" applyAlignment="0" applyProtection="0"/>
    <xf numFmtId="0" fontId="2" fillId="81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45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81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21" fillId="0" borderId="0"/>
    <xf numFmtId="0" fontId="18" fillId="45" borderId="0" applyNumberFormat="0" applyBorder="0" applyAlignment="0" applyProtection="0"/>
    <xf numFmtId="0" fontId="2" fillId="77" borderId="0" applyNumberFormat="0" applyBorder="0" applyAlignment="0" applyProtection="0"/>
    <xf numFmtId="0" fontId="2" fillId="73" borderId="0" applyNumberFormat="0" applyBorder="0" applyAlignment="0" applyProtection="0"/>
    <xf numFmtId="0" fontId="2" fillId="46" borderId="0" applyNumberFormat="0" applyBorder="0" applyAlignment="0" applyProtection="0"/>
    <xf numFmtId="0" fontId="2" fillId="45" borderId="0" applyNumberFormat="0" applyBorder="0" applyAlignment="0" applyProtection="0"/>
    <xf numFmtId="0" fontId="2" fillId="79" borderId="0" applyNumberFormat="0" applyBorder="0" applyAlignment="0" applyProtection="0"/>
    <xf numFmtId="0" fontId="2" fillId="76" borderId="0" applyNumberFormat="0" applyBorder="0" applyAlignment="0" applyProtection="0"/>
    <xf numFmtId="0" fontId="2" fillId="68" borderId="0" applyNumberFormat="0" applyBorder="0" applyAlignment="0" applyProtection="0"/>
    <xf numFmtId="0" fontId="2" fillId="81" borderId="0" applyNumberFormat="0" applyBorder="0" applyAlignment="0" applyProtection="0"/>
    <xf numFmtId="0" fontId="2" fillId="80" borderId="0" applyNumberFormat="0" applyBorder="0" applyAlignment="0" applyProtection="0"/>
    <xf numFmtId="0" fontId="2" fillId="46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76" borderId="0" applyNumberFormat="0" applyBorder="0" applyAlignment="0" applyProtection="0"/>
    <xf numFmtId="0" fontId="2" fillId="72" borderId="0" applyNumberFormat="0" applyBorder="0" applyAlignment="0" applyProtection="0"/>
    <xf numFmtId="0" fontId="2" fillId="71" borderId="0" applyNumberFormat="0" applyBorder="0" applyAlignment="0" applyProtection="0"/>
    <xf numFmtId="0" fontId="94" fillId="0" borderId="260" applyNumberFormat="0" applyFill="0" applyAlignment="0" applyProtection="0"/>
    <xf numFmtId="0" fontId="39" fillId="0" borderId="259" applyNumberFormat="0" applyFill="0" applyAlignment="0" applyProtection="0"/>
    <xf numFmtId="0" fontId="25" fillId="11" borderId="254" applyNumberFormat="0" applyAlignment="0" applyProtection="0"/>
    <xf numFmtId="0" fontId="25" fillId="11" borderId="254" applyNumberFormat="0" applyAlignment="0" applyProtection="0"/>
    <xf numFmtId="0" fontId="33" fillId="5" borderId="254" applyNumberFormat="0" applyAlignment="0" applyProtection="0"/>
    <xf numFmtId="0" fontId="18" fillId="46" borderId="0" applyNumberFormat="0" applyBorder="0" applyAlignment="0" applyProtection="0"/>
    <xf numFmtId="0" fontId="21" fillId="26" borderId="257" applyNumberFormat="0" applyFont="0" applyAlignment="0" applyProtection="0"/>
    <xf numFmtId="0" fontId="21" fillId="26" borderId="257" applyNumberFormat="0" applyFont="0" applyAlignment="0" applyProtection="0"/>
    <xf numFmtId="0" fontId="21" fillId="26" borderId="257" applyNumberFormat="0" applyFont="0" applyAlignment="0" applyProtection="0"/>
    <xf numFmtId="0" fontId="37" fillId="11" borderId="258" applyNumberFormat="0" applyAlignment="0" applyProtection="0"/>
    <xf numFmtId="0" fontId="39" fillId="0" borderId="259" applyNumberFormat="0" applyFill="0" applyAlignment="0" applyProtection="0"/>
    <xf numFmtId="0" fontId="94" fillId="0" borderId="260" applyNumberFormat="0" applyFill="0" applyAlignment="0" applyProtection="0"/>
    <xf numFmtId="0" fontId="94" fillId="0" borderId="260" applyNumberFormat="0" applyFill="0" applyAlignment="0" applyProtection="0"/>
    <xf numFmtId="0" fontId="94" fillId="0" borderId="260" applyNumberFormat="0" applyFill="0" applyAlignment="0" applyProtection="0"/>
    <xf numFmtId="0" fontId="2" fillId="81" borderId="0" applyNumberFormat="0" applyBorder="0" applyAlignment="0" applyProtection="0"/>
    <xf numFmtId="0" fontId="2" fillId="69" borderId="0" applyNumberFormat="0" applyBorder="0" applyAlignment="0" applyProtection="0"/>
    <xf numFmtId="0" fontId="21" fillId="26" borderId="257" applyNumberFormat="0" applyFont="0" applyAlignment="0" applyProtection="0"/>
    <xf numFmtId="0" fontId="2" fillId="72" borderId="0" applyNumberFormat="0" applyBorder="0" applyAlignment="0" applyProtection="0"/>
    <xf numFmtId="0" fontId="2" fillId="77" borderId="0" applyNumberFormat="0" applyBorder="0" applyAlignment="0" applyProtection="0"/>
    <xf numFmtId="0" fontId="2" fillId="45" borderId="0" applyNumberFormat="0" applyBorder="0" applyAlignment="0" applyProtection="0"/>
    <xf numFmtId="0" fontId="2" fillId="68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71" borderId="0" applyNumberFormat="0" applyBorder="0" applyAlignment="0" applyProtection="0"/>
    <xf numFmtId="0" fontId="94" fillId="0" borderId="264" applyNumberFormat="0" applyFill="0" applyAlignment="0" applyProtection="0"/>
    <xf numFmtId="0" fontId="2" fillId="77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7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45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46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73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80" borderId="0" applyNumberFormat="0" applyBorder="0" applyAlignment="0" applyProtection="0"/>
    <xf numFmtId="0" fontId="2" fillId="72" borderId="0" applyNumberFormat="0" applyBorder="0" applyAlignment="0" applyProtection="0"/>
    <xf numFmtId="0" fontId="2" fillId="80" borderId="0" applyNumberFormat="0" applyBorder="0" applyAlignment="0" applyProtection="0"/>
    <xf numFmtId="0" fontId="2" fillId="57" borderId="171" applyNumberFormat="0" applyFont="0" applyAlignment="0" applyProtection="0"/>
    <xf numFmtId="0" fontId="2" fillId="73" borderId="0" applyNumberFormat="0" applyBorder="0" applyAlignment="0" applyProtection="0"/>
    <xf numFmtId="0" fontId="2" fillId="69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72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9" borderId="0" applyNumberFormat="0" applyBorder="0" applyAlignment="0" applyProtection="0"/>
    <xf numFmtId="0" fontId="2" fillId="72" borderId="0" applyNumberFormat="0" applyBorder="0" applyAlignment="0" applyProtection="0"/>
    <xf numFmtId="0" fontId="2" fillId="71" borderId="0" applyNumberFormat="0" applyBorder="0" applyAlignment="0" applyProtection="0"/>
    <xf numFmtId="0" fontId="2" fillId="57" borderId="171" applyNumberFormat="0" applyFont="0" applyAlignment="0" applyProtection="0"/>
    <xf numFmtId="0" fontId="18" fillId="46" borderId="0" applyNumberFormat="0" applyBorder="0" applyAlignment="0" applyProtection="0"/>
    <xf numFmtId="0" fontId="2" fillId="68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57" borderId="171" applyNumberFormat="0" applyFont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7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80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81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25" fillId="11" borderId="254" applyNumberFormat="0" applyAlignment="0" applyProtection="0"/>
    <xf numFmtId="0" fontId="33" fillId="5" borderId="254" applyNumberFormat="0" applyAlignment="0" applyProtection="0"/>
    <xf numFmtId="0" fontId="21" fillId="26" borderId="257" applyNumberFormat="0" applyFont="0" applyAlignment="0" applyProtection="0"/>
    <xf numFmtId="0" fontId="21" fillId="26" borderId="257" applyNumberFormat="0" applyFont="0" applyAlignment="0" applyProtection="0"/>
    <xf numFmtId="0" fontId="21" fillId="26" borderId="257" applyNumberFormat="0" applyFont="0" applyAlignment="0" applyProtection="0"/>
    <xf numFmtId="0" fontId="37" fillId="11" borderId="258" applyNumberFormat="0" applyAlignment="0" applyProtection="0"/>
    <xf numFmtId="0" fontId="39" fillId="0" borderId="259" applyNumberFormat="0" applyFill="0" applyAlignment="0" applyProtection="0"/>
    <xf numFmtId="0" fontId="94" fillId="0" borderId="260" applyNumberFormat="0" applyFill="0" applyAlignment="0" applyProtection="0"/>
    <xf numFmtId="0" fontId="94" fillId="0" borderId="260" applyNumberFormat="0" applyFill="0" applyAlignment="0" applyProtection="0"/>
    <xf numFmtId="0" fontId="94" fillId="0" borderId="260" applyNumberFormat="0" applyFill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80" borderId="0" applyNumberFormat="0" applyBorder="0" applyAlignment="0" applyProtection="0"/>
    <xf numFmtId="0" fontId="2" fillId="76" borderId="0" applyNumberFormat="0" applyBorder="0" applyAlignment="0" applyProtection="0"/>
    <xf numFmtId="0" fontId="2" fillId="68" borderId="0" applyNumberFormat="0" applyBorder="0" applyAlignment="0" applyProtection="0"/>
    <xf numFmtId="0" fontId="18" fillId="7" borderId="0" applyNumberFormat="0" applyBorder="0" applyAlignment="0" applyProtection="0"/>
    <xf numFmtId="0" fontId="21" fillId="26" borderId="271" applyNumberFormat="0" applyFont="0" applyAlignment="0" applyProtection="0"/>
    <xf numFmtId="0" fontId="2" fillId="73" borderId="0" applyNumberFormat="0" applyBorder="0" applyAlignment="0" applyProtection="0"/>
    <xf numFmtId="0" fontId="2" fillId="77" borderId="0" applyNumberFormat="0" applyBorder="0" applyAlignment="0" applyProtection="0"/>
    <xf numFmtId="0" fontId="2" fillId="72" borderId="0" applyNumberFormat="0" applyBorder="0" applyAlignment="0" applyProtection="0"/>
    <xf numFmtId="0" fontId="2" fillId="57" borderId="171" applyNumberFormat="0" applyFont="0" applyAlignment="0" applyProtection="0"/>
    <xf numFmtId="0" fontId="2" fillId="80" borderId="0" applyNumberFormat="0" applyBorder="0" applyAlignment="0" applyProtection="0"/>
    <xf numFmtId="0" fontId="2" fillId="76" borderId="0" applyNumberFormat="0" applyBorder="0" applyAlignment="0" applyProtection="0"/>
    <xf numFmtId="0" fontId="18" fillId="3" borderId="0" applyNumberFormat="0" applyBorder="0" applyAlignment="0" applyProtection="0"/>
    <xf numFmtId="0" fontId="2" fillId="46" borderId="0" applyNumberFormat="0" applyBorder="0" applyAlignment="0" applyProtection="0"/>
    <xf numFmtId="0" fontId="2" fillId="81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6" borderId="0" applyNumberFormat="0" applyBorder="0" applyAlignment="0" applyProtection="0"/>
    <xf numFmtId="0" fontId="2" fillId="69" borderId="0" applyNumberFormat="0" applyBorder="0" applyAlignment="0" applyProtection="0"/>
    <xf numFmtId="0" fontId="25" fillId="11" borderId="254" applyNumberFormat="0" applyAlignment="0" applyProtection="0"/>
    <xf numFmtId="0" fontId="32" fillId="0" borderId="255" applyNumberFormat="0" applyFill="0" applyAlignment="0" applyProtection="0"/>
    <xf numFmtId="0" fontId="81" fillId="0" borderId="256" applyNumberFormat="0" applyFill="0" applyAlignment="0" applyProtection="0"/>
    <xf numFmtId="0" fontId="81" fillId="0" borderId="256" applyNumberFormat="0" applyFill="0" applyAlignment="0" applyProtection="0"/>
    <xf numFmtId="0" fontId="81" fillId="0" borderId="256" applyNumberFormat="0" applyFill="0" applyAlignment="0" applyProtection="0"/>
    <xf numFmtId="0" fontId="33" fillId="5" borderId="254" applyNumberFormat="0" applyAlignment="0" applyProtection="0"/>
    <xf numFmtId="0" fontId="2" fillId="80" borderId="0" applyNumberFormat="0" applyBorder="0" applyAlignment="0" applyProtection="0"/>
    <xf numFmtId="0" fontId="21" fillId="0" borderId="0"/>
    <xf numFmtId="0" fontId="18" fillId="81" borderId="0" applyNumberFormat="0" applyBorder="0" applyAlignment="0" applyProtection="0"/>
    <xf numFmtId="0" fontId="18" fillId="11" borderId="0" applyNumberFormat="0" applyBorder="0" applyAlignment="0" applyProtection="0"/>
    <xf numFmtId="0" fontId="18" fillId="71" borderId="0" applyNumberFormat="0" applyBorder="0" applyAlignment="0" applyProtection="0"/>
    <xf numFmtId="0" fontId="2" fillId="77" borderId="0" applyNumberFormat="0" applyBorder="0" applyAlignment="0" applyProtection="0"/>
    <xf numFmtId="0" fontId="18" fillId="73" borderId="0" applyNumberFormat="0" applyBorder="0" applyAlignment="0" applyProtection="0"/>
    <xf numFmtId="0" fontId="18" fillId="45" borderId="0" applyNumberFormat="0" applyBorder="0" applyAlignment="0" applyProtection="0"/>
    <xf numFmtId="0" fontId="33" fillId="5" borderId="270" applyNumberFormat="0" applyAlignment="0" applyProtection="0"/>
    <xf numFmtId="0" fontId="18" fillId="7" borderId="0" applyNumberFormat="0" applyBorder="0" applyAlignment="0" applyProtection="0"/>
    <xf numFmtId="0" fontId="21" fillId="0" borderId="0"/>
    <xf numFmtId="0" fontId="39" fillId="0" borderId="263" applyNumberFormat="0" applyFill="0" applyAlignment="0" applyProtection="0"/>
    <xf numFmtId="0" fontId="21" fillId="26" borderId="257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" fillId="45" borderId="0" applyNumberFormat="0" applyBorder="0" applyAlignment="0" applyProtection="0"/>
    <xf numFmtId="0" fontId="2" fillId="80" borderId="0" applyNumberFormat="0" applyBorder="0" applyAlignment="0" applyProtection="0"/>
    <xf numFmtId="0" fontId="25" fillId="11" borderId="261" applyNumberFormat="0" applyAlignment="0" applyProtection="0"/>
    <xf numFmtId="0" fontId="2" fillId="57" borderId="171" applyNumberFormat="0" applyFont="0" applyAlignment="0" applyProtection="0"/>
    <xf numFmtId="0" fontId="21" fillId="26" borderId="257" applyNumberFormat="0" applyFont="0" applyAlignment="0" applyProtection="0"/>
    <xf numFmtId="0" fontId="21" fillId="26" borderId="257" applyNumberFormat="0" applyFont="0" applyAlignment="0" applyProtection="0"/>
    <xf numFmtId="0" fontId="21" fillId="26" borderId="257" applyNumberFormat="0" applyFont="0" applyAlignment="0" applyProtection="0"/>
    <xf numFmtId="0" fontId="37" fillId="11" borderId="258" applyNumberFormat="0" applyAlignment="0" applyProtection="0"/>
    <xf numFmtId="0" fontId="39" fillId="0" borderId="259" applyNumberFormat="0" applyFill="0" applyAlignment="0" applyProtection="0"/>
    <xf numFmtId="0" fontId="94" fillId="0" borderId="260" applyNumberFormat="0" applyFill="0" applyAlignment="0" applyProtection="0"/>
    <xf numFmtId="0" fontId="94" fillId="0" borderId="260" applyNumberFormat="0" applyFill="0" applyAlignment="0" applyProtection="0"/>
    <xf numFmtId="0" fontId="94" fillId="0" borderId="260" applyNumberFormat="0" applyFill="0" applyAlignment="0" applyProtection="0"/>
    <xf numFmtId="0" fontId="21" fillId="0" borderId="0"/>
    <xf numFmtId="0" fontId="2" fillId="72" borderId="0" applyNumberFormat="0" applyBorder="0" applyAlignment="0" applyProtection="0"/>
    <xf numFmtId="0" fontId="2" fillId="45" borderId="0" applyNumberFormat="0" applyBorder="0" applyAlignment="0" applyProtection="0"/>
    <xf numFmtId="0" fontId="2" fillId="71" borderId="0" applyNumberFormat="0" applyBorder="0" applyAlignment="0" applyProtection="0"/>
    <xf numFmtId="0" fontId="2" fillId="69" borderId="0" applyNumberFormat="0" applyBorder="0" applyAlignment="0" applyProtection="0"/>
    <xf numFmtId="0" fontId="2" fillId="73" borderId="0" applyNumberFormat="0" applyBorder="0" applyAlignment="0" applyProtection="0"/>
    <xf numFmtId="0" fontId="2" fillId="77" borderId="0" applyNumberFormat="0" applyBorder="0" applyAlignment="0" applyProtection="0"/>
    <xf numFmtId="0" fontId="2" fillId="80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5" fillId="11" borderId="254" applyNumberFormat="0" applyAlignment="0" applyProtection="0"/>
    <xf numFmtId="0" fontId="33" fillId="5" borderId="254" applyNumberFormat="0" applyAlignment="0" applyProtection="0"/>
    <xf numFmtId="0" fontId="21" fillId="26" borderId="257" applyNumberFormat="0" applyFont="0" applyAlignment="0" applyProtection="0"/>
    <xf numFmtId="0" fontId="21" fillId="26" borderId="257" applyNumberFormat="0" applyFont="0" applyAlignment="0" applyProtection="0"/>
    <xf numFmtId="0" fontId="21" fillId="26" borderId="257" applyNumberFormat="0" applyFont="0" applyAlignment="0" applyProtection="0"/>
    <xf numFmtId="0" fontId="37" fillId="11" borderId="258" applyNumberFormat="0" applyAlignment="0" applyProtection="0"/>
    <xf numFmtId="0" fontId="39" fillId="0" borderId="259" applyNumberFormat="0" applyFill="0" applyAlignment="0" applyProtection="0"/>
    <xf numFmtId="0" fontId="94" fillId="0" borderId="260" applyNumberFormat="0" applyFill="0" applyAlignment="0" applyProtection="0"/>
    <xf numFmtId="0" fontId="94" fillId="0" borderId="260" applyNumberFormat="0" applyFill="0" applyAlignment="0" applyProtection="0"/>
    <xf numFmtId="0" fontId="94" fillId="0" borderId="260" applyNumberFormat="0" applyFill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5" fillId="11" borderId="254" applyNumberFormat="0" applyAlignment="0" applyProtection="0"/>
    <xf numFmtId="0" fontId="33" fillId="5" borderId="254" applyNumberFormat="0" applyAlignment="0" applyProtection="0"/>
    <xf numFmtId="0" fontId="21" fillId="26" borderId="257" applyNumberFormat="0" applyFont="0" applyAlignment="0" applyProtection="0"/>
    <xf numFmtId="0" fontId="21" fillId="26" borderId="257" applyNumberFormat="0" applyFont="0" applyAlignment="0" applyProtection="0"/>
    <xf numFmtId="0" fontId="21" fillId="26" borderId="257" applyNumberFormat="0" applyFont="0" applyAlignment="0" applyProtection="0"/>
    <xf numFmtId="0" fontId="37" fillId="11" borderId="258" applyNumberFormat="0" applyAlignment="0" applyProtection="0"/>
    <xf numFmtId="0" fontId="39" fillId="0" borderId="259" applyNumberFormat="0" applyFill="0" applyAlignment="0" applyProtection="0"/>
    <xf numFmtId="0" fontId="94" fillId="0" borderId="260" applyNumberFormat="0" applyFill="0" applyAlignment="0" applyProtection="0"/>
    <xf numFmtId="0" fontId="94" fillId="0" borderId="260" applyNumberFormat="0" applyFill="0" applyAlignment="0" applyProtection="0"/>
    <xf numFmtId="0" fontId="94" fillId="0" borderId="260" applyNumberFormat="0" applyFill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21" fillId="0" borderId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18" fillId="7" borderId="0" applyNumberFormat="0" applyBorder="0" applyAlignment="0" applyProtection="0"/>
    <xf numFmtId="0" fontId="39" fillId="0" borderId="273" applyNumberFormat="0" applyFill="0" applyAlignment="0" applyProtection="0"/>
    <xf numFmtId="0" fontId="18" fillId="7" borderId="0" applyNumberFormat="0" applyBorder="0" applyAlignment="0" applyProtection="0"/>
    <xf numFmtId="0" fontId="2" fillId="45" borderId="0" applyNumberFormat="0" applyBorder="0" applyAlignment="0" applyProtection="0"/>
    <xf numFmtId="0" fontId="2" fillId="69" borderId="0" applyNumberFormat="0" applyBorder="0" applyAlignment="0" applyProtection="0"/>
    <xf numFmtId="0" fontId="18" fillId="7" borderId="0" applyNumberFormat="0" applyBorder="0" applyAlignment="0" applyProtection="0"/>
    <xf numFmtId="0" fontId="2" fillId="79" borderId="0" applyNumberFormat="0" applyBorder="0" applyAlignment="0" applyProtection="0"/>
    <xf numFmtId="0" fontId="2" fillId="69" borderId="0" applyNumberFormat="0" applyBorder="0" applyAlignment="0" applyProtection="0"/>
    <xf numFmtId="0" fontId="2" fillId="68" borderId="0" applyNumberFormat="0" applyBorder="0" applyAlignment="0" applyProtection="0"/>
    <xf numFmtId="0" fontId="2" fillId="57" borderId="171" applyNumberFormat="0" applyFont="0" applyAlignment="0" applyProtection="0"/>
    <xf numFmtId="0" fontId="2" fillId="69" borderId="0" applyNumberFormat="0" applyBorder="0" applyAlignment="0" applyProtection="0"/>
    <xf numFmtId="0" fontId="18" fillId="45" borderId="0" applyNumberFormat="0" applyBorder="0" applyAlignment="0" applyProtection="0"/>
    <xf numFmtId="0" fontId="21" fillId="0" borderId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57" borderId="171" applyNumberFormat="0" applyFont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45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3" borderId="0" applyNumberFormat="0" applyBorder="0" applyAlignment="0" applyProtection="0"/>
    <xf numFmtId="0" fontId="2" fillId="81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46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18" fillId="5" borderId="0" applyNumberFormat="0" applyBorder="0" applyAlignment="0" applyProtection="0"/>
    <xf numFmtId="0" fontId="18" fillId="7" borderId="0" applyNumberFormat="0" applyBorder="0" applyAlignment="0" applyProtection="0"/>
    <xf numFmtId="0" fontId="2" fillId="57" borderId="171" applyNumberFormat="0" applyFont="0" applyAlignment="0" applyProtection="0"/>
    <xf numFmtId="0" fontId="18" fillId="11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73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45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18" fillId="5" borderId="0" applyNumberFormat="0" applyBorder="0" applyAlignment="0" applyProtection="0"/>
    <xf numFmtId="0" fontId="21" fillId="0" borderId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57" borderId="171" applyNumberFormat="0" applyFont="0" applyAlignment="0" applyProtection="0"/>
    <xf numFmtId="0" fontId="18" fillId="11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81" borderId="0" applyNumberFormat="0" applyBorder="0" applyAlignment="0" applyProtection="0"/>
    <xf numFmtId="0" fontId="2" fillId="72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80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69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18" fillId="5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18" fillId="5" borderId="0" applyNumberFormat="0" applyBorder="0" applyAlignment="0" applyProtection="0"/>
    <xf numFmtId="0" fontId="2" fillId="57" borderId="171" applyNumberFormat="0" applyFont="0" applyAlignment="0" applyProtection="0"/>
    <xf numFmtId="0" fontId="18" fillId="11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45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1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9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68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18" fillId="7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18" fillId="5" borderId="0" applyNumberFormat="0" applyBorder="0" applyAlignment="0" applyProtection="0"/>
    <xf numFmtId="0" fontId="2" fillId="57" borderId="171" applyNumberFormat="0" applyFont="0" applyAlignment="0" applyProtection="0"/>
    <xf numFmtId="0" fontId="2" fillId="45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9" borderId="0" applyNumberFormat="0" applyBorder="0" applyAlignment="0" applyProtection="0"/>
    <xf numFmtId="0" fontId="2" fillId="46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68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81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2" fillId="72" borderId="0" applyNumberFormat="0" applyBorder="0" applyAlignment="0" applyProtection="0"/>
    <xf numFmtId="0" fontId="2" fillId="46" borderId="0" applyNumberFormat="0" applyBorder="0" applyAlignment="0" applyProtection="0"/>
    <xf numFmtId="0" fontId="2" fillId="68" borderId="0" applyNumberFormat="0" applyBorder="0" applyAlignment="0" applyProtection="0"/>
    <xf numFmtId="0" fontId="2" fillId="80" borderId="0" applyNumberFormat="0" applyBorder="0" applyAlignment="0" applyProtection="0"/>
    <xf numFmtId="0" fontId="2" fillId="57" borderId="171" applyNumberFormat="0" applyFont="0" applyAlignment="0" applyProtection="0"/>
    <xf numFmtId="0" fontId="2" fillId="71" borderId="0" applyNumberFormat="0" applyBorder="0" applyAlignment="0" applyProtection="0"/>
    <xf numFmtId="0" fontId="2" fillId="81" borderId="0" applyNumberFormat="0" applyBorder="0" applyAlignment="0" applyProtection="0"/>
    <xf numFmtId="0" fontId="2" fillId="79" borderId="0" applyNumberFormat="0" applyBorder="0" applyAlignment="0" applyProtection="0"/>
    <xf numFmtId="0" fontId="2" fillId="73" borderId="0" applyNumberFormat="0" applyBorder="0" applyAlignment="0" applyProtection="0"/>
    <xf numFmtId="0" fontId="2" fillId="79" borderId="0" applyNumberFormat="0" applyBorder="0" applyAlignment="0" applyProtection="0"/>
    <xf numFmtId="0" fontId="2" fillId="45" borderId="0" applyNumberFormat="0" applyBorder="0" applyAlignment="0" applyProtection="0"/>
    <xf numFmtId="0" fontId="2" fillId="73" borderId="0" applyNumberFormat="0" applyBorder="0" applyAlignment="0" applyProtection="0"/>
    <xf numFmtId="0" fontId="21" fillId="26" borderId="266" applyNumberFormat="0" applyFont="0" applyAlignment="0" applyProtection="0"/>
    <xf numFmtId="0" fontId="2" fillId="73" borderId="0" applyNumberFormat="0" applyBorder="0" applyAlignment="0" applyProtection="0"/>
    <xf numFmtId="0" fontId="2" fillId="68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72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79" borderId="0" applyNumberFormat="0" applyBorder="0" applyAlignment="0" applyProtection="0"/>
    <xf numFmtId="0" fontId="2" fillId="46" borderId="0" applyNumberFormat="0" applyBorder="0" applyAlignment="0" applyProtection="0"/>
    <xf numFmtId="0" fontId="2" fillId="79" borderId="0" applyNumberFormat="0" applyBorder="0" applyAlignment="0" applyProtection="0"/>
    <xf numFmtId="0" fontId="2" fillId="72" borderId="0" applyNumberFormat="0" applyBorder="0" applyAlignment="0" applyProtection="0"/>
    <xf numFmtId="0" fontId="2" fillId="69" borderId="0" applyNumberFormat="0" applyBorder="0" applyAlignment="0" applyProtection="0"/>
    <xf numFmtId="0" fontId="2" fillId="68" borderId="0" applyNumberFormat="0" applyBorder="0" applyAlignment="0" applyProtection="0"/>
    <xf numFmtId="0" fontId="2" fillId="45" borderId="0" applyNumberFormat="0" applyBorder="0" applyAlignment="0" applyProtection="0"/>
    <xf numFmtId="0" fontId="2" fillId="77" borderId="0" applyNumberFormat="0" applyBorder="0" applyAlignment="0" applyProtection="0"/>
    <xf numFmtId="0" fontId="2" fillId="76" borderId="0" applyNumberFormat="0" applyBorder="0" applyAlignment="0" applyProtection="0"/>
    <xf numFmtId="0" fontId="2" fillId="46" borderId="0" applyNumberFormat="0" applyBorder="0" applyAlignment="0" applyProtection="0"/>
    <xf numFmtId="0" fontId="2" fillId="57" borderId="171" applyNumberFormat="0" applyFont="0" applyAlignment="0" applyProtection="0"/>
    <xf numFmtId="0" fontId="2" fillId="79" borderId="0" applyNumberFormat="0" applyBorder="0" applyAlignment="0" applyProtection="0"/>
    <xf numFmtId="0" fontId="2" fillId="73" borderId="0" applyNumberFormat="0" applyBorder="0" applyAlignment="0" applyProtection="0"/>
    <xf numFmtId="0" fontId="2" fillId="72" borderId="0" applyNumberFormat="0" applyBorder="0" applyAlignment="0" applyProtection="0"/>
    <xf numFmtId="0" fontId="2" fillId="69" borderId="0" applyNumberFormat="0" applyBorder="0" applyAlignment="0" applyProtection="0"/>
    <xf numFmtId="0" fontId="2" fillId="45" borderId="0" applyNumberFormat="0" applyBorder="0" applyAlignment="0" applyProtection="0"/>
    <xf numFmtId="0" fontId="2" fillId="76" borderId="0" applyNumberFormat="0" applyBorder="0" applyAlignment="0" applyProtection="0"/>
    <xf numFmtId="0" fontId="2" fillId="46" borderId="0" applyNumberFormat="0" applyBorder="0" applyAlignment="0" applyProtection="0"/>
    <xf numFmtId="0" fontId="2" fillId="71" borderId="0" applyNumberFormat="0" applyBorder="0" applyAlignment="0" applyProtection="0"/>
    <xf numFmtId="0" fontId="25" fillId="11" borderId="265" applyNumberFormat="0" applyAlignment="0" applyProtection="0"/>
    <xf numFmtId="0" fontId="32" fillId="0" borderId="255" applyNumberFormat="0" applyFill="0" applyAlignment="0" applyProtection="0"/>
    <xf numFmtId="0" fontId="81" fillId="0" borderId="256" applyNumberFormat="0" applyFill="0" applyAlignment="0" applyProtection="0"/>
    <xf numFmtId="0" fontId="81" fillId="0" borderId="256" applyNumberFormat="0" applyFill="0" applyAlignment="0" applyProtection="0"/>
    <xf numFmtId="0" fontId="81" fillId="0" borderId="256" applyNumberFormat="0" applyFill="0" applyAlignment="0" applyProtection="0"/>
    <xf numFmtId="0" fontId="94" fillId="0" borderId="269" applyNumberFormat="0" applyFill="0" applyAlignment="0" applyProtection="0"/>
    <xf numFmtId="0" fontId="37" fillId="11" borderId="267" applyNumberFormat="0" applyAlignment="0" applyProtection="0"/>
    <xf numFmtId="0" fontId="33" fillId="5" borderId="265" applyNumberFormat="0" applyAlignment="0" applyProtection="0"/>
    <xf numFmtId="0" fontId="21" fillId="0" borderId="0"/>
    <xf numFmtId="0" fontId="18" fillId="80" borderId="0" applyNumberFormat="0" applyBorder="0" applyAlignment="0" applyProtection="0"/>
    <xf numFmtId="0" fontId="18" fillId="68" borderId="0" applyNumberFormat="0" applyBorder="0" applyAlignment="0" applyProtection="0"/>
    <xf numFmtId="0" fontId="33" fillId="5" borderId="265" applyNumberFormat="0" applyAlignment="0" applyProtection="0"/>
    <xf numFmtId="0" fontId="21" fillId="0" borderId="0"/>
    <xf numFmtId="0" fontId="21" fillId="0" borderId="0"/>
    <xf numFmtId="0" fontId="32" fillId="0" borderId="255" applyNumberFormat="0" applyFill="0" applyAlignment="0" applyProtection="0"/>
    <xf numFmtId="0" fontId="21" fillId="26" borderId="266" applyNumberFormat="0" applyFont="0" applyAlignment="0" applyProtection="0"/>
    <xf numFmtId="0" fontId="21" fillId="26" borderId="266" applyNumberFormat="0" applyFont="0" applyAlignment="0" applyProtection="0"/>
    <xf numFmtId="0" fontId="21" fillId="26" borderId="266" applyNumberFormat="0" applyFont="0" applyAlignment="0" applyProtection="0"/>
    <xf numFmtId="0" fontId="37" fillId="11" borderId="267" applyNumberFormat="0" applyAlignment="0" applyProtection="0"/>
    <xf numFmtId="0" fontId="2" fillId="57" borderId="171" applyNumberFormat="0" applyFont="0" applyAlignment="0" applyProtection="0"/>
    <xf numFmtId="0" fontId="2" fillId="81" borderId="0" applyNumberFormat="0" applyBorder="0" applyAlignment="0" applyProtection="0"/>
    <xf numFmtId="0" fontId="39" fillId="0" borderId="268" applyNumberFormat="0" applyFill="0" applyAlignment="0" applyProtection="0"/>
    <xf numFmtId="0" fontId="94" fillId="0" borderId="269" applyNumberFormat="0" applyFill="0" applyAlignment="0" applyProtection="0"/>
    <xf numFmtId="0" fontId="94" fillId="0" borderId="269" applyNumberFormat="0" applyFill="0" applyAlignment="0" applyProtection="0"/>
    <xf numFmtId="0" fontId="94" fillId="0" borderId="269" applyNumberFormat="0" applyFill="0" applyAlignment="0" applyProtection="0"/>
    <xf numFmtId="0" fontId="2" fillId="57" borderId="171" applyNumberFormat="0" applyFont="0" applyAlignment="0" applyProtection="0"/>
    <xf numFmtId="0" fontId="2" fillId="71" borderId="0" applyNumberFormat="0" applyBorder="0" applyAlignment="0" applyProtection="0"/>
    <xf numFmtId="0" fontId="25" fillId="11" borderId="265" applyNumberFormat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81" borderId="0" applyNumberFormat="0" applyBorder="0" applyAlignment="0" applyProtection="0"/>
    <xf numFmtId="0" fontId="2" fillId="73" borderId="0" applyNumberFormat="0" applyBorder="0" applyAlignment="0" applyProtection="0"/>
    <xf numFmtId="0" fontId="2" fillId="71" borderId="0" applyNumberFormat="0" applyBorder="0" applyAlignment="0" applyProtection="0"/>
    <xf numFmtId="0" fontId="2" fillId="77" borderId="0" applyNumberFormat="0" applyBorder="0" applyAlignment="0" applyProtection="0"/>
    <xf numFmtId="0" fontId="2" fillId="46" borderId="0" applyNumberFormat="0" applyBorder="0" applyAlignment="0" applyProtection="0"/>
    <xf numFmtId="0" fontId="2" fillId="80" borderId="0" applyNumberFormat="0" applyBorder="0" applyAlignment="0" applyProtection="0"/>
    <xf numFmtId="0" fontId="2" fillId="77" borderId="0" applyNumberFormat="0" applyBorder="0" applyAlignment="0" applyProtection="0"/>
    <xf numFmtId="0" fontId="2" fillId="46" borderId="0" applyNumberFormat="0" applyBorder="0" applyAlignment="0" applyProtection="0"/>
    <xf numFmtId="0" fontId="2" fillId="81" borderId="0" applyNumberFormat="0" applyBorder="0" applyAlignment="0" applyProtection="0"/>
    <xf numFmtId="0" fontId="2" fillId="46" borderId="0" applyNumberFormat="0" applyBorder="0" applyAlignment="0" applyProtection="0"/>
    <xf numFmtId="0" fontId="2" fillId="79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68" borderId="0" applyNumberFormat="0" applyBorder="0" applyAlignment="0" applyProtection="0"/>
    <xf numFmtId="0" fontId="21" fillId="26" borderId="266" applyNumberFormat="0" applyFont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76" borderId="0" applyNumberFormat="0" applyBorder="0" applyAlignment="0" applyProtection="0"/>
    <xf numFmtId="0" fontId="2" fillId="76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73" borderId="0" applyNumberFormat="0" applyBorder="0" applyAlignment="0" applyProtection="0"/>
    <xf numFmtId="0" fontId="2" fillId="57" borderId="171" applyNumberFormat="0" applyFont="0" applyAlignment="0" applyProtection="0"/>
    <xf numFmtId="0" fontId="2" fillId="45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1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57" borderId="171" applyNumberFormat="0" applyFont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1" fillId="0" borderId="0"/>
    <xf numFmtId="0" fontId="2" fillId="68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94" fillId="0" borderId="269" applyNumberFormat="0" applyFill="0" applyAlignment="0" applyProtection="0"/>
    <xf numFmtId="0" fontId="21" fillId="26" borderId="266" applyNumberFormat="0" applyFont="0" applyAlignment="0" applyProtection="0"/>
    <xf numFmtId="0" fontId="2" fillId="77" borderId="0" applyNumberFormat="0" applyBorder="0" applyAlignment="0" applyProtection="0"/>
    <xf numFmtId="0" fontId="21" fillId="0" borderId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94" fillId="0" borderId="269" applyNumberFormat="0" applyFill="0" applyAlignment="0" applyProtection="0"/>
    <xf numFmtId="0" fontId="21" fillId="26" borderId="266" applyNumberFormat="0" applyFont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80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81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39" fillId="0" borderId="268" applyNumberFormat="0" applyFill="0" applyAlignment="0" applyProtection="0"/>
    <xf numFmtId="0" fontId="2" fillId="57" borderId="171" applyNumberFormat="0" applyFont="0" applyAlignment="0" applyProtection="0"/>
    <xf numFmtId="0" fontId="21" fillId="26" borderId="266" applyNumberFormat="0" applyFont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71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68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9" borderId="0" applyNumberFormat="0" applyBorder="0" applyAlignment="0" applyProtection="0"/>
    <xf numFmtId="0" fontId="2" fillId="76" borderId="0" applyNumberFormat="0" applyBorder="0" applyAlignment="0" applyProtection="0"/>
    <xf numFmtId="0" fontId="2" fillId="72" borderId="0" applyNumberFormat="0" applyBorder="0" applyAlignment="0" applyProtection="0"/>
    <xf numFmtId="0" fontId="2" fillId="81" borderId="0" applyNumberFormat="0" applyBorder="0" applyAlignment="0" applyProtection="0"/>
    <xf numFmtId="0" fontId="2" fillId="80" borderId="0" applyNumberFormat="0" applyBorder="0" applyAlignment="0" applyProtection="0"/>
    <xf numFmtId="0" fontId="2" fillId="77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45" borderId="0" applyNumberFormat="0" applyBorder="0" applyAlignment="0" applyProtection="0"/>
    <xf numFmtId="0" fontId="2" fillId="72" borderId="0" applyNumberFormat="0" applyBorder="0" applyAlignment="0" applyProtection="0"/>
    <xf numFmtId="0" fontId="2" fillId="71" borderId="0" applyNumberFormat="0" applyBorder="0" applyAlignment="0" applyProtection="0"/>
    <xf numFmtId="0" fontId="2" fillId="68" borderId="0" applyNumberFormat="0" applyBorder="0" applyAlignment="0" applyProtection="0"/>
    <xf numFmtId="0" fontId="2" fillId="77" borderId="0" applyNumberFormat="0" applyBorder="0" applyAlignment="0" applyProtection="0"/>
    <xf numFmtId="0" fontId="2" fillId="73" borderId="0" applyNumberFormat="0" applyBorder="0" applyAlignment="0" applyProtection="0"/>
    <xf numFmtId="0" fontId="2" fillId="46" borderId="0" applyNumberFormat="0" applyBorder="0" applyAlignment="0" applyProtection="0"/>
    <xf numFmtId="0" fontId="94" fillId="0" borderId="269" applyNumberFormat="0" applyFill="0" applyAlignment="0" applyProtection="0"/>
    <xf numFmtId="0" fontId="94" fillId="0" borderId="269" applyNumberFormat="0" applyFill="0" applyAlignment="0" applyProtection="0"/>
    <xf numFmtId="0" fontId="33" fillId="5" borderId="265" applyNumberFormat="0" applyAlignment="0" applyProtection="0"/>
    <xf numFmtId="0" fontId="25" fillId="11" borderId="265" applyNumberFormat="0" applyAlignment="0" applyProtection="0"/>
    <xf numFmtId="0" fontId="33" fillId="5" borderId="265" applyNumberFormat="0" applyAlignment="0" applyProtection="0"/>
    <xf numFmtId="0" fontId="18" fillId="79" borderId="0" applyNumberFormat="0" applyBorder="0" applyAlignment="0" applyProtection="0"/>
    <xf numFmtId="0" fontId="21" fillId="26" borderId="266" applyNumberFormat="0" applyFont="0" applyAlignment="0" applyProtection="0"/>
    <xf numFmtId="0" fontId="21" fillId="26" borderId="266" applyNumberFormat="0" applyFont="0" applyAlignment="0" applyProtection="0"/>
    <xf numFmtId="0" fontId="21" fillId="26" borderId="266" applyNumberFormat="0" applyFont="0" applyAlignment="0" applyProtection="0"/>
    <xf numFmtId="0" fontId="37" fillId="11" borderId="267" applyNumberFormat="0" applyAlignment="0" applyProtection="0"/>
    <xf numFmtId="0" fontId="39" fillId="0" borderId="268" applyNumberFormat="0" applyFill="0" applyAlignment="0" applyProtection="0"/>
    <xf numFmtId="0" fontId="94" fillId="0" borderId="269" applyNumberFormat="0" applyFill="0" applyAlignment="0" applyProtection="0"/>
    <xf numFmtId="0" fontId="94" fillId="0" borderId="269" applyNumberFormat="0" applyFill="0" applyAlignment="0" applyProtection="0"/>
    <xf numFmtId="0" fontId="94" fillId="0" borderId="269" applyNumberFormat="0" applyFill="0" applyAlignment="0" applyProtection="0"/>
    <xf numFmtId="0" fontId="2" fillId="71" borderId="0" applyNumberFormat="0" applyBorder="0" applyAlignment="0" applyProtection="0"/>
    <xf numFmtId="0" fontId="37" fillId="11" borderId="267" applyNumberFormat="0" applyAlignment="0" applyProtection="0"/>
    <xf numFmtId="0" fontId="2" fillId="73" borderId="0" applyNumberFormat="0" applyBorder="0" applyAlignment="0" applyProtection="0"/>
    <xf numFmtId="0" fontId="2" fillId="79" borderId="0" applyNumberFormat="0" applyBorder="0" applyAlignment="0" applyProtection="0"/>
    <xf numFmtId="0" fontId="2" fillId="81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45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81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21" fillId="0" borderId="0"/>
    <xf numFmtId="0" fontId="2" fillId="77" borderId="0" applyNumberFormat="0" applyBorder="0" applyAlignment="0" applyProtection="0"/>
    <xf numFmtId="0" fontId="2" fillId="73" borderId="0" applyNumberFormat="0" applyBorder="0" applyAlignment="0" applyProtection="0"/>
    <xf numFmtId="0" fontId="2" fillId="46" borderId="0" applyNumberFormat="0" applyBorder="0" applyAlignment="0" applyProtection="0"/>
    <xf numFmtId="0" fontId="2" fillId="45" borderId="0" applyNumberFormat="0" applyBorder="0" applyAlignment="0" applyProtection="0"/>
    <xf numFmtId="0" fontId="2" fillId="79" borderId="0" applyNumberFormat="0" applyBorder="0" applyAlignment="0" applyProtection="0"/>
    <xf numFmtId="0" fontId="2" fillId="76" borderId="0" applyNumberFormat="0" applyBorder="0" applyAlignment="0" applyProtection="0"/>
    <xf numFmtId="0" fontId="2" fillId="68" borderId="0" applyNumberFormat="0" applyBorder="0" applyAlignment="0" applyProtection="0"/>
    <xf numFmtId="0" fontId="2" fillId="81" borderId="0" applyNumberFormat="0" applyBorder="0" applyAlignment="0" applyProtection="0"/>
    <xf numFmtId="0" fontId="2" fillId="80" borderId="0" applyNumberFormat="0" applyBorder="0" applyAlignment="0" applyProtection="0"/>
    <xf numFmtId="0" fontId="2" fillId="46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76" borderId="0" applyNumberFormat="0" applyBorder="0" applyAlignment="0" applyProtection="0"/>
    <xf numFmtId="0" fontId="2" fillId="72" borderId="0" applyNumberFormat="0" applyBorder="0" applyAlignment="0" applyProtection="0"/>
    <xf numFmtId="0" fontId="2" fillId="71" borderId="0" applyNumberFormat="0" applyBorder="0" applyAlignment="0" applyProtection="0"/>
    <xf numFmtId="0" fontId="94" fillId="0" borderId="269" applyNumberFormat="0" applyFill="0" applyAlignment="0" applyProtection="0"/>
    <xf numFmtId="0" fontId="39" fillId="0" borderId="268" applyNumberFormat="0" applyFill="0" applyAlignment="0" applyProtection="0"/>
    <xf numFmtId="0" fontId="25" fillId="11" borderId="265" applyNumberFormat="0" applyAlignment="0" applyProtection="0"/>
    <xf numFmtId="0" fontId="25" fillId="11" borderId="265" applyNumberFormat="0" applyAlignment="0" applyProtection="0"/>
    <xf numFmtId="0" fontId="33" fillId="5" borderId="265" applyNumberFormat="0" applyAlignment="0" applyProtection="0"/>
    <xf numFmtId="0" fontId="18" fillId="46" borderId="0" applyNumberFormat="0" applyBorder="0" applyAlignment="0" applyProtection="0"/>
    <xf numFmtId="0" fontId="21" fillId="26" borderId="266" applyNumberFormat="0" applyFont="0" applyAlignment="0" applyProtection="0"/>
    <xf numFmtId="0" fontId="21" fillId="26" borderId="266" applyNumberFormat="0" applyFont="0" applyAlignment="0" applyProtection="0"/>
    <xf numFmtId="0" fontId="21" fillId="26" borderId="266" applyNumberFormat="0" applyFont="0" applyAlignment="0" applyProtection="0"/>
    <xf numFmtId="0" fontId="37" fillId="11" borderId="267" applyNumberFormat="0" applyAlignment="0" applyProtection="0"/>
    <xf numFmtId="0" fontId="39" fillId="0" borderId="268" applyNumberFormat="0" applyFill="0" applyAlignment="0" applyProtection="0"/>
    <xf numFmtId="0" fontId="94" fillId="0" borderId="269" applyNumberFormat="0" applyFill="0" applyAlignment="0" applyProtection="0"/>
    <xf numFmtId="0" fontId="94" fillId="0" borderId="269" applyNumberFormat="0" applyFill="0" applyAlignment="0" applyProtection="0"/>
    <xf numFmtId="0" fontId="94" fillId="0" borderId="269" applyNumberFormat="0" applyFill="0" applyAlignment="0" applyProtection="0"/>
    <xf numFmtId="0" fontId="2" fillId="81" borderId="0" applyNumberFormat="0" applyBorder="0" applyAlignment="0" applyProtection="0"/>
    <xf numFmtId="0" fontId="2" fillId="69" borderId="0" applyNumberFormat="0" applyBorder="0" applyAlignment="0" applyProtection="0"/>
    <xf numFmtId="0" fontId="21" fillId="26" borderId="266" applyNumberFormat="0" applyFont="0" applyAlignment="0" applyProtection="0"/>
    <xf numFmtId="0" fontId="2" fillId="72" borderId="0" applyNumberFormat="0" applyBorder="0" applyAlignment="0" applyProtection="0"/>
    <xf numFmtId="0" fontId="2" fillId="77" borderId="0" applyNumberFormat="0" applyBorder="0" applyAlignment="0" applyProtection="0"/>
    <xf numFmtId="0" fontId="2" fillId="45" borderId="0" applyNumberFormat="0" applyBorder="0" applyAlignment="0" applyProtection="0"/>
    <xf numFmtId="0" fontId="2" fillId="68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71" borderId="0" applyNumberFormat="0" applyBorder="0" applyAlignment="0" applyProtection="0"/>
    <xf numFmtId="0" fontId="94" fillId="0" borderId="238" applyNumberFormat="0" applyFill="0" applyAlignment="0" applyProtection="0"/>
    <xf numFmtId="0" fontId="2" fillId="77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7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45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46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73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80" borderId="0" applyNumberFormat="0" applyBorder="0" applyAlignment="0" applyProtection="0"/>
    <xf numFmtId="0" fontId="2" fillId="72" borderId="0" applyNumberFormat="0" applyBorder="0" applyAlignment="0" applyProtection="0"/>
    <xf numFmtId="0" fontId="2" fillId="57" borderId="171" applyNumberFormat="0" applyFont="0" applyAlignment="0" applyProtection="0"/>
    <xf numFmtId="0" fontId="2" fillId="69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72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9" borderId="0" applyNumberFormat="0" applyBorder="0" applyAlignment="0" applyProtection="0"/>
    <xf numFmtId="0" fontId="2" fillId="72" borderId="0" applyNumberFormat="0" applyBorder="0" applyAlignment="0" applyProtection="0"/>
    <xf numFmtId="0" fontId="2" fillId="7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57" borderId="171" applyNumberFormat="0" applyFont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7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80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81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25" fillId="11" borderId="265" applyNumberFormat="0" applyAlignment="0" applyProtection="0"/>
    <xf numFmtId="0" fontId="33" fillId="5" borderId="265" applyNumberFormat="0" applyAlignment="0" applyProtection="0"/>
    <xf numFmtId="0" fontId="21" fillId="26" borderId="266" applyNumberFormat="0" applyFont="0" applyAlignment="0" applyProtection="0"/>
    <xf numFmtId="0" fontId="21" fillId="26" borderId="266" applyNumberFormat="0" applyFont="0" applyAlignment="0" applyProtection="0"/>
    <xf numFmtId="0" fontId="21" fillId="26" borderId="266" applyNumberFormat="0" applyFont="0" applyAlignment="0" applyProtection="0"/>
    <xf numFmtId="0" fontId="37" fillId="11" borderId="267" applyNumberFormat="0" applyAlignment="0" applyProtection="0"/>
    <xf numFmtId="0" fontId="39" fillId="0" borderId="268" applyNumberFormat="0" applyFill="0" applyAlignment="0" applyProtection="0"/>
    <xf numFmtId="0" fontId="94" fillId="0" borderId="269" applyNumberFormat="0" applyFill="0" applyAlignment="0" applyProtection="0"/>
    <xf numFmtId="0" fontId="94" fillId="0" borderId="269" applyNumberFormat="0" applyFill="0" applyAlignment="0" applyProtection="0"/>
    <xf numFmtId="0" fontId="94" fillId="0" borderId="269" applyNumberFormat="0" applyFill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80" borderId="0" applyNumberFormat="0" applyBorder="0" applyAlignment="0" applyProtection="0"/>
    <xf numFmtId="0" fontId="2" fillId="76" borderId="0" applyNumberFormat="0" applyBorder="0" applyAlignment="0" applyProtection="0"/>
    <xf numFmtId="0" fontId="2" fillId="68" borderId="0" applyNumberFormat="0" applyBorder="0" applyAlignment="0" applyProtection="0"/>
    <xf numFmtId="0" fontId="2" fillId="73" borderId="0" applyNumberFormat="0" applyBorder="0" applyAlignment="0" applyProtection="0"/>
    <xf numFmtId="0" fontId="2" fillId="77" borderId="0" applyNumberFormat="0" applyBorder="0" applyAlignment="0" applyProtection="0"/>
    <xf numFmtId="0" fontId="2" fillId="72" borderId="0" applyNumberFormat="0" applyBorder="0" applyAlignment="0" applyProtection="0"/>
    <xf numFmtId="0" fontId="2" fillId="57" borderId="171" applyNumberFormat="0" applyFont="0" applyAlignment="0" applyProtection="0"/>
    <xf numFmtId="0" fontId="2" fillId="80" borderId="0" applyNumberFormat="0" applyBorder="0" applyAlignment="0" applyProtection="0"/>
    <xf numFmtId="0" fontId="2" fillId="76" borderId="0" applyNumberFormat="0" applyBorder="0" applyAlignment="0" applyProtection="0"/>
    <xf numFmtId="0" fontId="2" fillId="46" borderId="0" applyNumberFormat="0" applyBorder="0" applyAlignment="0" applyProtection="0"/>
    <xf numFmtId="0" fontId="2" fillId="81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6" borderId="0" applyNumberFormat="0" applyBorder="0" applyAlignment="0" applyProtection="0"/>
    <xf numFmtId="0" fontId="2" fillId="69" borderId="0" applyNumberFormat="0" applyBorder="0" applyAlignment="0" applyProtection="0"/>
    <xf numFmtId="0" fontId="25" fillId="11" borderId="265" applyNumberFormat="0" applyAlignment="0" applyProtection="0"/>
    <xf numFmtId="0" fontId="32" fillId="0" borderId="255" applyNumberFormat="0" applyFill="0" applyAlignment="0" applyProtection="0"/>
    <xf numFmtId="0" fontId="81" fillId="0" borderId="256" applyNumberFormat="0" applyFill="0" applyAlignment="0" applyProtection="0"/>
    <xf numFmtId="0" fontId="81" fillId="0" borderId="256" applyNumberFormat="0" applyFill="0" applyAlignment="0" applyProtection="0"/>
    <xf numFmtId="0" fontId="81" fillId="0" borderId="256" applyNumberFormat="0" applyFill="0" applyAlignment="0" applyProtection="0"/>
    <xf numFmtId="0" fontId="33" fillId="5" borderId="265" applyNumberFormat="0" applyAlignment="0" applyProtection="0"/>
    <xf numFmtId="0" fontId="18" fillId="81" borderId="0" applyNumberFormat="0" applyBorder="0" applyAlignment="0" applyProtection="0"/>
    <xf numFmtId="0" fontId="18" fillId="71" borderId="0" applyNumberFormat="0" applyBorder="0" applyAlignment="0" applyProtection="0"/>
    <xf numFmtId="0" fontId="18" fillId="73" borderId="0" applyNumberFormat="0" applyBorder="0" applyAlignment="0" applyProtection="0"/>
    <xf numFmtId="0" fontId="39" fillId="0" borderId="237" applyNumberFormat="0" applyFill="0" applyAlignment="0" applyProtection="0"/>
    <xf numFmtId="0" fontId="21" fillId="26" borderId="235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5" fillId="11" borderId="232" applyNumberFormat="0" applyAlignment="0" applyProtection="0"/>
    <xf numFmtId="0" fontId="21" fillId="26" borderId="266" applyNumberFormat="0" applyFont="0" applyAlignment="0" applyProtection="0"/>
    <xf numFmtId="0" fontId="21" fillId="26" borderId="266" applyNumberFormat="0" applyFont="0" applyAlignment="0" applyProtection="0"/>
    <xf numFmtId="0" fontId="21" fillId="26" borderId="266" applyNumberFormat="0" applyFont="0" applyAlignment="0" applyProtection="0"/>
    <xf numFmtId="0" fontId="37" fillId="11" borderId="267" applyNumberFormat="0" applyAlignment="0" applyProtection="0"/>
    <xf numFmtId="0" fontId="39" fillId="0" borderId="268" applyNumberFormat="0" applyFill="0" applyAlignment="0" applyProtection="0"/>
    <xf numFmtId="0" fontId="94" fillId="0" borderId="269" applyNumberFormat="0" applyFill="0" applyAlignment="0" applyProtection="0"/>
    <xf numFmtId="0" fontId="94" fillId="0" borderId="269" applyNumberFormat="0" applyFill="0" applyAlignment="0" applyProtection="0"/>
    <xf numFmtId="0" fontId="94" fillId="0" borderId="269" applyNumberFormat="0" applyFill="0" applyAlignment="0" applyProtection="0"/>
    <xf numFmtId="0" fontId="21" fillId="0" borderId="0"/>
    <xf numFmtId="0" fontId="2" fillId="45" borderId="0" applyNumberFormat="0" applyBorder="0" applyAlignment="0" applyProtection="0"/>
    <xf numFmtId="0" fontId="2" fillId="71" borderId="0" applyNumberFormat="0" applyBorder="0" applyAlignment="0" applyProtection="0"/>
    <xf numFmtId="0" fontId="2" fillId="69" borderId="0" applyNumberFormat="0" applyBorder="0" applyAlignment="0" applyProtection="0"/>
    <xf numFmtId="0" fontId="2" fillId="73" borderId="0" applyNumberFormat="0" applyBorder="0" applyAlignment="0" applyProtection="0"/>
    <xf numFmtId="0" fontId="2" fillId="80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5" fillId="11" borderId="265" applyNumberFormat="0" applyAlignment="0" applyProtection="0"/>
    <xf numFmtId="0" fontId="33" fillId="5" borderId="265" applyNumberFormat="0" applyAlignment="0" applyProtection="0"/>
    <xf numFmtId="0" fontId="21" fillId="26" borderId="266" applyNumberFormat="0" applyFont="0" applyAlignment="0" applyProtection="0"/>
    <xf numFmtId="0" fontId="21" fillId="26" borderId="266" applyNumberFormat="0" applyFont="0" applyAlignment="0" applyProtection="0"/>
    <xf numFmtId="0" fontId="21" fillId="26" borderId="266" applyNumberFormat="0" applyFont="0" applyAlignment="0" applyProtection="0"/>
    <xf numFmtId="0" fontId="37" fillId="11" borderId="267" applyNumberFormat="0" applyAlignment="0" applyProtection="0"/>
    <xf numFmtId="0" fontId="39" fillId="0" borderId="268" applyNumberFormat="0" applyFill="0" applyAlignment="0" applyProtection="0"/>
    <xf numFmtId="0" fontId="94" fillId="0" borderId="269" applyNumberFormat="0" applyFill="0" applyAlignment="0" applyProtection="0"/>
    <xf numFmtId="0" fontId="94" fillId="0" borderId="269" applyNumberFormat="0" applyFill="0" applyAlignment="0" applyProtection="0"/>
    <xf numFmtId="0" fontId="94" fillId="0" borderId="269" applyNumberFormat="0" applyFill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5" fillId="11" borderId="265" applyNumberFormat="0" applyAlignment="0" applyProtection="0"/>
    <xf numFmtId="0" fontId="33" fillId="5" borderId="265" applyNumberFormat="0" applyAlignment="0" applyProtection="0"/>
    <xf numFmtId="0" fontId="21" fillId="26" borderId="266" applyNumberFormat="0" applyFont="0" applyAlignment="0" applyProtection="0"/>
    <xf numFmtId="0" fontId="21" fillId="26" borderId="266" applyNumberFormat="0" applyFont="0" applyAlignment="0" applyProtection="0"/>
    <xf numFmtId="0" fontId="21" fillId="26" borderId="266" applyNumberFormat="0" applyFont="0" applyAlignment="0" applyProtection="0"/>
    <xf numFmtId="0" fontId="37" fillId="11" borderId="267" applyNumberFormat="0" applyAlignment="0" applyProtection="0"/>
    <xf numFmtId="0" fontId="39" fillId="0" borderId="268" applyNumberFormat="0" applyFill="0" applyAlignment="0" applyProtection="0"/>
    <xf numFmtId="0" fontId="94" fillId="0" borderId="269" applyNumberFormat="0" applyFill="0" applyAlignment="0" applyProtection="0"/>
    <xf numFmtId="0" fontId="94" fillId="0" borderId="269" applyNumberFormat="0" applyFill="0" applyAlignment="0" applyProtection="0"/>
    <xf numFmtId="0" fontId="94" fillId="0" borderId="269" applyNumberFormat="0" applyFill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21" fillId="0" borderId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1" fillId="0" borderId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18" fillId="7" borderId="0" applyNumberFormat="0" applyBorder="0" applyAlignment="0" applyProtection="0"/>
    <xf numFmtId="0" fontId="2" fillId="45" borderId="0" applyNumberFormat="0" applyBorder="0" applyAlignment="0" applyProtection="0"/>
    <xf numFmtId="0" fontId="2" fillId="69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18" fillId="45" borderId="0" applyNumberFormat="0" applyBorder="0" applyAlignment="0" applyProtection="0"/>
    <xf numFmtId="0" fontId="21" fillId="0" borderId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57" borderId="171" applyNumberFormat="0" applyFont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45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80" borderId="0" applyNumberFormat="0" applyBorder="0" applyAlignment="0" applyProtection="0"/>
    <xf numFmtId="0" fontId="2" fillId="57" borderId="171" applyNumberFormat="0" applyFont="0" applyAlignment="0" applyProtection="0"/>
    <xf numFmtId="0" fontId="2" fillId="71" borderId="0" applyNumberFormat="0" applyBorder="0" applyAlignment="0" applyProtection="0"/>
    <xf numFmtId="0" fontId="2" fillId="73" borderId="0" applyNumberFormat="0" applyBorder="0" applyAlignment="0" applyProtection="0"/>
    <xf numFmtId="0" fontId="2" fillId="79" borderId="0" applyNumberFormat="0" applyBorder="0" applyAlignment="0" applyProtection="0"/>
    <xf numFmtId="0" fontId="21" fillId="26" borderId="235" applyNumberFormat="0" applyFont="0" applyAlignment="0" applyProtection="0"/>
    <xf numFmtId="0" fontId="2" fillId="79" borderId="0" applyNumberFormat="0" applyBorder="0" applyAlignment="0" applyProtection="0"/>
    <xf numFmtId="0" fontId="2" fillId="72" borderId="0" applyNumberFormat="0" applyBorder="0" applyAlignment="0" applyProtection="0"/>
    <xf numFmtId="0" fontId="2" fillId="69" borderId="0" applyNumberFormat="0" applyBorder="0" applyAlignment="0" applyProtection="0"/>
    <xf numFmtId="0" fontId="2" fillId="68" borderId="0" applyNumberFormat="0" applyBorder="0" applyAlignment="0" applyProtection="0"/>
    <xf numFmtId="0" fontId="2" fillId="45" borderId="0" applyNumberFormat="0" applyBorder="0" applyAlignment="0" applyProtection="0"/>
    <xf numFmtId="0" fontId="2" fillId="77" borderId="0" applyNumberFormat="0" applyBorder="0" applyAlignment="0" applyProtection="0"/>
    <xf numFmtId="0" fontId="2" fillId="76" borderId="0" applyNumberFormat="0" applyBorder="0" applyAlignment="0" applyProtection="0"/>
    <xf numFmtId="0" fontId="2" fillId="46" borderId="0" applyNumberFormat="0" applyBorder="0" applyAlignment="0" applyProtection="0"/>
    <xf numFmtId="0" fontId="2" fillId="57" borderId="171" applyNumberFormat="0" applyFont="0" applyAlignment="0" applyProtection="0"/>
    <xf numFmtId="0" fontId="2" fillId="79" borderId="0" applyNumberFormat="0" applyBorder="0" applyAlignment="0" applyProtection="0"/>
    <xf numFmtId="0" fontId="2" fillId="73" borderId="0" applyNumberFormat="0" applyBorder="0" applyAlignment="0" applyProtection="0"/>
    <xf numFmtId="0" fontId="2" fillId="72" borderId="0" applyNumberFormat="0" applyBorder="0" applyAlignment="0" applyProtection="0"/>
    <xf numFmtId="0" fontId="2" fillId="69" borderId="0" applyNumberFormat="0" applyBorder="0" applyAlignment="0" applyProtection="0"/>
    <xf numFmtId="0" fontId="2" fillId="45" borderId="0" applyNumberFormat="0" applyBorder="0" applyAlignment="0" applyProtection="0"/>
    <xf numFmtId="0" fontId="2" fillId="76" borderId="0" applyNumberFormat="0" applyBorder="0" applyAlignment="0" applyProtection="0"/>
    <xf numFmtId="0" fontId="2" fillId="46" borderId="0" applyNumberFormat="0" applyBorder="0" applyAlignment="0" applyProtection="0"/>
    <xf numFmtId="0" fontId="2" fillId="71" borderId="0" applyNumberFormat="0" applyBorder="0" applyAlignment="0" applyProtection="0"/>
    <xf numFmtId="0" fontId="25" fillId="11" borderId="232" applyNumberFormat="0" applyAlignment="0" applyProtection="0"/>
    <xf numFmtId="0" fontId="32" fillId="0" borderId="275" applyNumberFormat="0" applyFill="0" applyAlignment="0" applyProtection="0"/>
    <xf numFmtId="0" fontId="81" fillId="0" borderId="276" applyNumberFormat="0" applyFill="0" applyAlignment="0" applyProtection="0"/>
    <xf numFmtId="0" fontId="81" fillId="0" borderId="276" applyNumberFormat="0" applyFill="0" applyAlignment="0" applyProtection="0"/>
    <xf numFmtId="0" fontId="81" fillId="0" borderId="276" applyNumberFormat="0" applyFill="0" applyAlignment="0" applyProtection="0"/>
    <xf numFmtId="0" fontId="94" fillId="0" borderId="238" applyNumberFormat="0" applyFill="0" applyAlignment="0" applyProtection="0"/>
    <xf numFmtId="0" fontId="37" fillId="11" borderId="236" applyNumberFormat="0" applyAlignment="0" applyProtection="0"/>
    <xf numFmtId="0" fontId="33" fillId="5" borderId="232" applyNumberFormat="0" applyAlignment="0" applyProtection="0"/>
    <xf numFmtId="0" fontId="33" fillId="5" borderId="232" applyNumberFormat="0" applyAlignment="0" applyProtection="0"/>
    <xf numFmtId="0" fontId="21" fillId="26" borderId="235" applyNumberFormat="0" applyFont="0" applyAlignment="0" applyProtection="0"/>
    <xf numFmtId="0" fontId="21" fillId="26" borderId="235" applyNumberFormat="0" applyFont="0" applyAlignment="0" applyProtection="0"/>
    <xf numFmtId="0" fontId="21" fillId="26" borderId="235" applyNumberFormat="0" applyFont="0" applyAlignment="0" applyProtection="0"/>
    <xf numFmtId="0" fontId="37" fillId="11" borderId="236" applyNumberFormat="0" applyAlignment="0" applyProtection="0"/>
    <xf numFmtId="0" fontId="39" fillId="0" borderId="237" applyNumberFormat="0" applyFill="0" applyAlignment="0" applyProtection="0"/>
    <xf numFmtId="0" fontId="94" fillId="0" borderId="238" applyNumberFormat="0" applyFill="0" applyAlignment="0" applyProtection="0"/>
    <xf numFmtId="0" fontId="94" fillId="0" borderId="238" applyNumberFormat="0" applyFill="0" applyAlignment="0" applyProtection="0"/>
    <xf numFmtId="0" fontId="94" fillId="0" borderId="238" applyNumberFormat="0" applyFill="0" applyAlignment="0" applyProtection="0"/>
    <xf numFmtId="0" fontId="25" fillId="11" borderId="232" applyNumberFormat="0" applyAlignment="0" applyProtection="0"/>
    <xf numFmtId="0" fontId="2" fillId="81" borderId="0" applyNumberFormat="0" applyBorder="0" applyAlignment="0" applyProtection="0"/>
    <xf numFmtId="0" fontId="2" fillId="77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68" borderId="0" applyNumberFormat="0" applyBorder="0" applyAlignment="0" applyProtection="0"/>
    <xf numFmtId="0" fontId="21" fillId="26" borderId="235" applyNumberFormat="0" applyFont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76" borderId="0" applyNumberFormat="0" applyBorder="0" applyAlignment="0" applyProtection="0"/>
    <xf numFmtId="0" fontId="2" fillId="76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73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1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57" borderId="171" applyNumberFormat="0" applyFont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68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2" borderId="0" applyNumberFormat="0" applyBorder="0" applyAlignment="0" applyProtection="0"/>
    <xf numFmtId="0" fontId="94" fillId="0" borderId="238" applyNumberFormat="0" applyFill="0" applyAlignment="0" applyProtection="0"/>
    <xf numFmtId="0" fontId="21" fillId="26" borderId="235" applyNumberFormat="0" applyFont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94" fillId="0" borderId="238" applyNumberFormat="0" applyFill="0" applyAlignment="0" applyProtection="0"/>
    <xf numFmtId="0" fontId="21" fillId="26" borderId="235" applyNumberFormat="0" applyFont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80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81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39" fillId="0" borderId="237" applyNumberFormat="0" applyFill="0" applyAlignment="0" applyProtection="0"/>
    <xf numFmtId="0" fontId="2" fillId="57" borderId="171" applyNumberFormat="0" applyFont="0" applyAlignment="0" applyProtection="0"/>
    <xf numFmtId="0" fontId="21" fillId="26" borderId="235" applyNumberFormat="0" applyFont="0" applyAlignment="0" applyProtection="0"/>
    <xf numFmtId="0" fontId="2" fillId="57" borderId="171" applyNumberFormat="0" applyFont="0" applyAlignment="0" applyProtection="0"/>
    <xf numFmtId="0" fontId="2" fillId="71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68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9" borderId="0" applyNumberFormat="0" applyBorder="0" applyAlignment="0" applyProtection="0"/>
    <xf numFmtId="0" fontId="2" fillId="76" borderId="0" applyNumberFormat="0" applyBorder="0" applyAlignment="0" applyProtection="0"/>
    <xf numFmtId="0" fontId="2" fillId="72" borderId="0" applyNumberFormat="0" applyBorder="0" applyAlignment="0" applyProtection="0"/>
    <xf numFmtId="0" fontId="2" fillId="81" borderId="0" applyNumberFormat="0" applyBorder="0" applyAlignment="0" applyProtection="0"/>
    <xf numFmtId="0" fontId="2" fillId="80" borderId="0" applyNumberFormat="0" applyBorder="0" applyAlignment="0" applyProtection="0"/>
    <xf numFmtId="0" fontId="2" fillId="77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45" borderId="0" applyNumberFormat="0" applyBorder="0" applyAlignment="0" applyProtection="0"/>
    <xf numFmtId="0" fontId="2" fillId="72" borderId="0" applyNumberFormat="0" applyBorder="0" applyAlignment="0" applyProtection="0"/>
    <xf numFmtId="0" fontId="2" fillId="71" borderId="0" applyNumberFormat="0" applyBorder="0" applyAlignment="0" applyProtection="0"/>
    <xf numFmtId="0" fontId="2" fillId="68" borderId="0" applyNumberFormat="0" applyBorder="0" applyAlignment="0" applyProtection="0"/>
    <xf numFmtId="0" fontId="2" fillId="77" borderId="0" applyNumberFormat="0" applyBorder="0" applyAlignment="0" applyProtection="0"/>
    <xf numFmtId="0" fontId="2" fillId="73" borderId="0" applyNumberFormat="0" applyBorder="0" applyAlignment="0" applyProtection="0"/>
    <xf numFmtId="0" fontId="2" fillId="46" borderId="0" applyNumberFormat="0" applyBorder="0" applyAlignment="0" applyProtection="0"/>
    <xf numFmtId="0" fontId="94" fillId="0" borderId="238" applyNumberFormat="0" applyFill="0" applyAlignment="0" applyProtection="0"/>
    <xf numFmtId="0" fontId="94" fillId="0" borderId="238" applyNumberFormat="0" applyFill="0" applyAlignment="0" applyProtection="0"/>
    <xf numFmtId="0" fontId="33" fillId="5" borderId="232" applyNumberFormat="0" applyAlignment="0" applyProtection="0"/>
    <xf numFmtId="0" fontId="25" fillId="11" borderId="232" applyNumberFormat="0" applyAlignment="0" applyProtection="0"/>
    <xf numFmtId="0" fontId="33" fillId="5" borderId="232" applyNumberFormat="0" applyAlignment="0" applyProtection="0"/>
    <xf numFmtId="0" fontId="21" fillId="26" borderId="235" applyNumberFormat="0" applyFont="0" applyAlignment="0" applyProtection="0"/>
    <xf numFmtId="0" fontId="21" fillId="26" borderId="235" applyNumberFormat="0" applyFont="0" applyAlignment="0" applyProtection="0"/>
    <xf numFmtId="0" fontId="21" fillId="26" borderId="235" applyNumberFormat="0" applyFont="0" applyAlignment="0" applyProtection="0"/>
    <xf numFmtId="0" fontId="37" fillId="11" borderId="236" applyNumberFormat="0" applyAlignment="0" applyProtection="0"/>
    <xf numFmtId="0" fontId="39" fillId="0" borderId="237" applyNumberFormat="0" applyFill="0" applyAlignment="0" applyProtection="0"/>
    <xf numFmtId="0" fontId="94" fillId="0" borderId="238" applyNumberFormat="0" applyFill="0" applyAlignment="0" applyProtection="0"/>
    <xf numFmtId="0" fontId="94" fillId="0" borderId="238" applyNumberFormat="0" applyFill="0" applyAlignment="0" applyProtection="0"/>
    <xf numFmtId="0" fontId="94" fillId="0" borderId="238" applyNumberFormat="0" applyFill="0" applyAlignment="0" applyProtection="0"/>
    <xf numFmtId="0" fontId="2" fillId="71" borderId="0" applyNumberFormat="0" applyBorder="0" applyAlignment="0" applyProtection="0"/>
    <xf numFmtId="0" fontId="37" fillId="11" borderId="236" applyNumberFormat="0" applyAlignment="0" applyProtection="0"/>
    <xf numFmtId="0" fontId="2" fillId="73" borderId="0" applyNumberFormat="0" applyBorder="0" applyAlignment="0" applyProtection="0"/>
    <xf numFmtId="0" fontId="2" fillId="79" borderId="0" applyNumberFormat="0" applyBorder="0" applyAlignment="0" applyProtection="0"/>
    <xf numFmtId="0" fontId="2" fillId="81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81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7" borderId="0" applyNumberFormat="0" applyBorder="0" applyAlignment="0" applyProtection="0"/>
    <xf numFmtId="0" fontId="2" fillId="73" borderId="0" applyNumberFormat="0" applyBorder="0" applyAlignment="0" applyProtection="0"/>
    <xf numFmtId="0" fontId="2" fillId="46" borderId="0" applyNumberFormat="0" applyBorder="0" applyAlignment="0" applyProtection="0"/>
    <xf numFmtId="0" fontId="2" fillId="45" borderId="0" applyNumberFormat="0" applyBorder="0" applyAlignment="0" applyProtection="0"/>
    <xf numFmtId="0" fontId="2" fillId="79" borderId="0" applyNumberFormat="0" applyBorder="0" applyAlignment="0" applyProtection="0"/>
    <xf numFmtId="0" fontId="2" fillId="76" borderId="0" applyNumberFormat="0" applyBorder="0" applyAlignment="0" applyProtection="0"/>
    <xf numFmtId="0" fontId="2" fillId="68" borderId="0" applyNumberFormat="0" applyBorder="0" applyAlignment="0" applyProtection="0"/>
    <xf numFmtId="0" fontId="2" fillId="81" borderId="0" applyNumberFormat="0" applyBorder="0" applyAlignment="0" applyProtection="0"/>
    <xf numFmtId="0" fontId="2" fillId="80" borderId="0" applyNumberFormat="0" applyBorder="0" applyAlignment="0" applyProtection="0"/>
    <xf numFmtId="0" fontId="2" fillId="46" borderId="0" applyNumberFormat="0" applyBorder="0" applyAlignment="0" applyProtection="0"/>
    <xf numFmtId="0" fontId="2" fillId="69" borderId="0" applyNumberFormat="0" applyBorder="0" applyAlignment="0" applyProtection="0"/>
    <xf numFmtId="0" fontId="2" fillId="57" borderId="171" applyNumberFormat="0" applyFont="0" applyAlignment="0" applyProtection="0"/>
    <xf numFmtId="0" fontId="2" fillId="76" borderId="0" applyNumberFormat="0" applyBorder="0" applyAlignment="0" applyProtection="0"/>
    <xf numFmtId="0" fontId="2" fillId="72" borderId="0" applyNumberFormat="0" applyBorder="0" applyAlignment="0" applyProtection="0"/>
    <xf numFmtId="0" fontId="2" fillId="71" borderId="0" applyNumberFormat="0" applyBorder="0" applyAlignment="0" applyProtection="0"/>
    <xf numFmtId="0" fontId="94" fillId="0" borderId="238" applyNumberFormat="0" applyFill="0" applyAlignment="0" applyProtection="0"/>
    <xf numFmtId="0" fontId="39" fillId="0" borderId="237" applyNumberFormat="0" applyFill="0" applyAlignment="0" applyProtection="0"/>
    <xf numFmtId="0" fontId="25" fillId="11" borderId="232" applyNumberFormat="0" applyAlignment="0" applyProtection="0"/>
    <xf numFmtId="0" fontId="25" fillId="11" borderId="232" applyNumberFormat="0" applyAlignment="0" applyProtection="0"/>
    <xf numFmtId="0" fontId="33" fillId="5" borderId="232" applyNumberFormat="0" applyAlignment="0" applyProtection="0"/>
    <xf numFmtId="0" fontId="21" fillId="26" borderId="235" applyNumberFormat="0" applyFont="0" applyAlignment="0" applyProtection="0"/>
    <xf numFmtId="0" fontId="21" fillId="26" borderId="235" applyNumberFormat="0" applyFont="0" applyAlignment="0" applyProtection="0"/>
    <xf numFmtId="0" fontId="21" fillId="26" borderId="235" applyNumberFormat="0" applyFont="0" applyAlignment="0" applyProtection="0"/>
    <xf numFmtId="0" fontId="37" fillId="11" borderId="236" applyNumberFormat="0" applyAlignment="0" applyProtection="0"/>
    <xf numFmtId="0" fontId="39" fillId="0" borderId="237" applyNumberFormat="0" applyFill="0" applyAlignment="0" applyProtection="0"/>
    <xf numFmtId="0" fontId="94" fillId="0" borderId="238" applyNumberFormat="0" applyFill="0" applyAlignment="0" applyProtection="0"/>
    <xf numFmtId="0" fontId="94" fillId="0" borderId="238" applyNumberFormat="0" applyFill="0" applyAlignment="0" applyProtection="0"/>
    <xf numFmtId="0" fontId="94" fillId="0" borderId="238" applyNumberFormat="0" applyFill="0" applyAlignment="0" applyProtection="0"/>
    <xf numFmtId="0" fontId="2" fillId="81" borderId="0" applyNumberFormat="0" applyBorder="0" applyAlignment="0" applyProtection="0"/>
    <xf numFmtId="0" fontId="2" fillId="69" borderId="0" applyNumberFormat="0" applyBorder="0" applyAlignment="0" applyProtection="0"/>
    <xf numFmtId="0" fontId="21" fillId="26" borderId="235" applyNumberFormat="0" applyFont="0" applyAlignment="0" applyProtection="0"/>
    <xf numFmtId="0" fontId="2" fillId="72" borderId="0" applyNumberFormat="0" applyBorder="0" applyAlignment="0" applyProtection="0"/>
    <xf numFmtId="0" fontId="2" fillId="77" borderId="0" applyNumberFormat="0" applyBorder="0" applyAlignment="0" applyProtection="0"/>
    <xf numFmtId="0" fontId="2" fillId="45" borderId="0" applyNumberFormat="0" applyBorder="0" applyAlignment="0" applyProtection="0"/>
    <xf numFmtId="0" fontId="2" fillId="68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7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45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46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73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80" borderId="0" applyNumberFormat="0" applyBorder="0" applyAlignment="0" applyProtection="0"/>
    <xf numFmtId="0" fontId="2" fillId="57" borderId="171" applyNumberFormat="0" applyFont="0" applyAlignment="0" applyProtection="0"/>
    <xf numFmtId="0" fontId="2" fillId="69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1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72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79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57" borderId="171" applyNumberFormat="0" applyFont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80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81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5" fillId="11" borderId="232" applyNumberFormat="0" applyAlignment="0" applyProtection="0"/>
    <xf numFmtId="0" fontId="33" fillId="5" borderId="232" applyNumberFormat="0" applyAlignment="0" applyProtection="0"/>
    <xf numFmtId="0" fontId="21" fillId="26" borderId="235" applyNumberFormat="0" applyFont="0" applyAlignment="0" applyProtection="0"/>
    <xf numFmtId="0" fontId="21" fillId="26" borderId="235" applyNumberFormat="0" applyFont="0" applyAlignment="0" applyProtection="0"/>
    <xf numFmtId="0" fontId="21" fillId="26" borderId="235" applyNumberFormat="0" applyFont="0" applyAlignment="0" applyProtection="0"/>
    <xf numFmtId="0" fontId="37" fillId="11" borderId="236" applyNumberFormat="0" applyAlignment="0" applyProtection="0"/>
    <xf numFmtId="0" fontId="39" fillId="0" borderId="237" applyNumberFormat="0" applyFill="0" applyAlignment="0" applyProtection="0"/>
    <xf numFmtId="0" fontId="94" fillId="0" borderId="238" applyNumberFormat="0" applyFill="0" applyAlignment="0" applyProtection="0"/>
    <xf numFmtId="0" fontId="94" fillId="0" borderId="238" applyNumberFormat="0" applyFill="0" applyAlignment="0" applyProtection="0"/>
    <xf numFmtId="0" fontId="94" fillId="0" borderId="238" applyNumberFormat="0" applyFill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5" fillId="11" borderId="232" applyNumberFormat="0" applyAlignment="0" applyProtection="0"/>
    <xf numFmtId="0" fontId="32" fillId="0" borderId="275" applyNumberFormat="0" applyFill="0" applyAlignment="0" applyProtection="0"/>
    <xf numFmtId="0" fontId="81" fillId="0" borderId="276" applyNumberFormat="0" applyFill="0" applyAlignment="0" applyProtection="0"/>
    <xf numFmtId="0" fontId="81" fillId="0" borderId="276" applyNumberFormat="0" applyFill="0" applyAlignment="0" applyProtection="0"/>
    <xf numFmtId="0" fontId="81" fillId="0" borderId="276" applyNumberFormat="0" applyFill="0" applyAlignment="0" applyProtection="0"/>
    <xf numFmtId="0" fontId="33" fillId="5" borderId="232" applyNumberFormat="0" applyAlignment="0" applyProtection="0"/>
    <xf numFmtId="0" fontId="21" fillId="26" borderId="235" applyNumberFormat="0" applyFont="0" applyAlignment="0" applyProtection="0"/>
    <xf numFmtId="0" fontId="21" fillId="26" borderId="235" applyNumberFormat="0" applyFont="0" applyAlignment="0" applyProtection="0"/>
    <xf numFmtId="0" fontId="21" fillId="26" borderId="235" applyNumberFormat="0" applyFont="0" applyAlignment="0" applyProtection="0"/>
    <xf numFmtId="0" fontId="37" fillId="11" borderId="236" applyNumberFormat="0" applyAlignment="0" applyProtection="0"/>
    <xf numFmtId="0" fontId="39" fillId="0" borderId="237" applyNumberFormat="0" applyFill="0" applyAlignment="0" applyProtection="0"/>
    <xf numFmtId="0" fontId="94" fillId="0" borderId="238" applyNumberFormat="0" applyFill="0" applyAlignment="0" applyProtection="0"/>
    <xf numFmtId="0" fontId="94" fillId="0" borderId="238" applyNumberFormat="0" applyFill="0" applyAlignment="0" applyProtection="0"/>
    <xf numFmtId="0" fontId="94" fillId="0" borderId="238" applyNumberFormat="0" applyFill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5" fillId="11" borderId="232" applyNumberFormat="0" applyAlignment="0" applyProtection="0"/>
    <xf numFmtId="0" fontId="33" fillId="5" borderId="232" applyNumberFormat="0" applyAlignment="0" applyProtection="0"/>
    <xf numFmtId="0" fontId="21" fillId="26" borderId="235" applyNumberFormat="0" applyFont="0" applyAlignment="0" applyProtection="0"/>
    <xf numFmtId="0" fontId="21" fillId="26" borderId="235" applyNumberFormat="0" applyFont="0" applyAlignment="0" applyProtection="0"/>
    <xf numFmtId="0" fontId="21" fillId="26" borderId="235" applyNumberFormat="0" applyFont="0" applyAlignment="0" applyProtection="0"/>
    <xf numFmtId="0" fontId="37" fillId="11" borderId="236" applyNumberFormat="0" applyAlignment="0" applyProtection="0"/>
    <xf numFmtId="0" fontId="39" fillId="0" borderId="237" applyNumberFormat="0" applyFill="0" applyAlignment="0" applyProtection="0"/>
    <xf numFmtId="0" fontId="94" fillId="0" borderId="238" applyNumberFormat="0" applyFill="0" applyAlignment="0" applyProtection="0"/>
    <xf numFmtId="0" fontId="94" fillId="0" borderId="238" applyNumberFormat="0" applyFill="0" applyAlignment="0" applyProtection="0"/>
    <xf numFmtId="0" fontId="94" fillId="0" borderId="238" applyNumberFormat="0" applyFill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5" fillId="11" borderId="232" applyNumberFormat="0" applyAlignment="0" applyProtection="0"/>
    <xf numFmtId="0" fontId="33" fillId="5" borderId="232" applyNumberFormat="0" applyAlignment="0" applyProtection="0"/>
    <xf numFmtId="0" fontId="21" fillId="26" borderId="235" applyNumberFormat="0" applyFont="0" applyAlignment="0" applyProtection="0"/>
    <xf numFmtId="0" fontId="21" fillId="26" borderId="235" applyNumberFormat="0" applyFont="0" applyAlignment="0" applyProtection="0"/>
    <xf numFmtId="0" fontId="21" fillId="26" borderId="235" applyNumberFormat="0" applyFont="0" applyAlignment="0" applyProtection="0"/>
    <xf numFmtId="0" fontId="37" fillId="11" borderId="236" applyNumberFormat="0" applyAlignment="0" applyProtection="0"/>
    <xf numFmtId="0" fontId="39" fillId="0" borderId="237" applyNumberFormat="0" applyFill="0" applyAlignment="0" applyProtection="0"/>
    <xf numFmtId="0" fontId="94" fillId="0" borderId="238" applyNumberFormat="0" applyFill="0" applyAlignment="0" applyProtection="0"/>
    <xf numFmtId="0" fontId="94" fillId="0" borderId="238" applyNumberFormat="0" applyFill="0" applyAlignment="0" applyProtection="0"/>
    <xf numFmtId="0" fontId="94" fillId="0" borderId="238" applyNumberFormat="0" applyFill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2" fillId="57" borderId="171" applyNumberFormat="0" applyFont="0" applyAlignment="0" applyProtection="0"/>
    <xf numFmtId="0" fontId="2" fillId="68" borderId="0" applyNumberFormat="0" applyBorder="0" applyAlignment="0" applyProtection="0"/>
    <xf numFmtId="0" fontId="2" fillId="69" borderId="0" applyNumberFormat="0" applyBorder="0" applyAlignment="0" applyProtection="0"/>
    <xf numFmtId="0" fontId="2" fillId="71" borderId="0" applyNumberFormat="0" applyBorder="0" applyAlignment="0" applyProtection="0"/>
    <xf numFmtId="0" fontId="2" fillId="46" borderId="0" applyNumberFormat="0" applyBorder="0" applyAlignment="0" applyProtection="0"/>
    <xf numFmtId="0" fontId="2" fillId="72" borderId="0" applyNumberFormat="0" applyBorder="0" applyAlignment="0" applyProtection="0"/>
    <xf numFmtId="0" fontId="2" fillId="73" borderId="0" applyNumberFormat="0" applyBorder="0" applyAlignment="0" applyProtection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45" borderId="0" applyNumberFormat="0" applyBorder="0" applyAlignment="0" applyProtection="0"/>
    <xf numFmtId="0" fontId="2" fillId="81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25" fillId="11" borderId="270" applyNumberFormat="0" applyAlignment="0" applyProtection="0"/>
    <xf numFmtId="0" fontId="26" fillId="24" borderId="221" applyNumberFormat="0" applyAlignment="0" applyProtection="0"/>
    <xf numFmtId="0" fontId="32" fillId="0" borderId="275" applyNumberFormat="0" applyFill="0" applyAlignment="0" applyProtection="0"/>
    <xf numFmtId="0" fontId="81" fillId="0" borderId="276" applyNumberFormat="0" applyFill="0" applyAlignment="0" applyProtection="0"/>
    <xf numFmtId="0" fontId="81" fillId="0" borderId="276" applyNumberFormat="0" applyFill="0" applyAlignment="0" applyProtection="0"/>
    <xf numFmtId="0" fontId="81" fillId="0" borderId="276" applyNumberFormat="0" applyFill="0" applyAlignment="0" applyProtection="0"/>
    <xf numFmtId="0" fontId="33" fillId="5" borderId="270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26" borderId="271" applyNumberFormat="0" applyFont="0" applyAlignment="0" applyProtection="0"/>
    <xf numFmtId="0" fontId="21" fillId="26" borderId="271" applyNumberFormat="0" applyFont="0" applyAlignment="0" applyProtection="0"/>
    <xf numFmtId="0" fontId="21" fillId="26" borderId="271" applyNumberFormat="0" applyFont="0" applyAlignment="0" applyProtection="0"/>
    <xf numFmtId="0" fontId="37" fillId="11" borderId="272" applyNumberFormat="0" applyAlignment="0" applyProtection="0"/>
    <xf numFmtId="0" fontId="39" fillId="0" borderId="273" applyNumberFormat="0" applyFill="0" applyAlignment="0" applyProtection="0"/>
    <xf numFmtId="0" fontId="94" fillId="0" borderId="274" applyNumberFormat="0" applyFill="0" applyAlignment="0" applyProtection="0"/>
    <xf numFmtId="0" fontId="94" fillId="0" borderId="274" applyNumberFormat="0" applyFill="0" applyAlignment="0" applyProtection="0"/>
    <xf numFmtId="0" fontId="94" fillId="0" borderId="274" applyNumberFormat="0" applyFill="0" applyAlignment="0" applyProtection="0"/>
    <xf numFmtId="0" fontId="18" fillId="57" borderId="171" applyNumberFormat="0" applyFont="0" applyAlignment="0" applyProtection="0"/>
    <xf numFmtId="0" fontId="18" fillId="68" borderId="0" applyNumberFormat="0" applyBorder="0" applyAlignment="0" applyProtection="0"/>
    <xf numFmtId="0" fontId="18" fillId="69" borderId="0" applyNumberFormat="0" applyBorder="0" applyAlignment="0" applyProtection="0"/>
    <xf numFmtId="0" fontId="18" fillId="71" borderId="0" applyNumberFormat="0" applyBorder="0" applyAlignment="0" applyProtection="0"/>
    <xf numFmtId="0" fontId="18" fillId="46" borderId="0" applyNumberFormat="0" applyBorder="0" applyAlignment="0" applyProtection="0"/>
    <xf numFmtId="0" fontId="18" fillId="72" borderId="0" applyNumberFormat="0" applyBorder="0" applyAlignment="0" applyProtection="0"/>
    <xf numFmtId="0" fontId="18" fillId="73" borderId="0" applyNumberFormat="0" applyBorder="0" applyAlignment="0" applyProtection="0"/>
    <xf numFmtId="0" fontId="18" fillId="76" borderId="0" applyNumberFormat="0" applyBorder="0" applyAlignment="0" applyProtection="0"/>
    <xf numFmtId="0" fontId="18" fillId="77" borderId="0" applyNumberFormat="0" applyBorder="0" applyAlignment="0" applyProtection="0"/>
    <xf numFmtId="0" fontId="18" fillId="79" borderId="0" applyNumberFormat="0" applyBorder="0" applyAlignment="0" applyProtection="0"/>
    <xf numFmtId="0" fontId="18" fillId="80" borderId="0" applyNumberFormat="0" applyBorder="0" applyAlignment="0" applyProtection="0"/>
    <xf numFmtId="0" fontId="18" fillId="45" borderId="0" applyNumberFormat="0" applyBorder="0" applyAlignment="0" applyProtection="0"/>
    <xf numFmtId="0" fontId="18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1" fillId="0" borderId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5" fillId="11" borderId="270" applyNumberFormat="0" applyAlignment="0" applyProtection="0"/>
    <xf numFmtId="0" fontId="33" fillId="5" borderId="270" applyNumberFormat="0" applyAlignment="0" applyProtection="0"/>
    <xf numFmtId="0" fontId="21" fillId="26" borderId="271" applyNumberFormat="0" applyFont="0" applyAlignment="0" applyProtection="0"/>
    <xf numFmtId="0" fontId="21" fillId="26" borderId="271" applyNumberFormat="0" applyFont="0" applyAlignment="0" applyProtection="0"/>
    <xf numFmtId="0" fontId="21" fillId="26" borderId="271" applyNumberFormat="0" applyFont="0" applyAlignment="0" applyProtection="0"/>
    <xf numFmtId="0" fontId="37" fillId="11" borderId="272" applyNumberFormat="0" applyAlignment="0" applyProtection="0"/>
    <xf numFmtId="0" fontId="39" fillId="0" borderId="273" applyNumberFormat="0" applyFill="0" applyAlignment="0" applyProtection="0"/>
    <xf numFmtId="0" fontId="94" fillId="0" borderId="274" applyNumberFormat="0" applyFill="0" applyAlignment="0" applyProtection="0"/>
    <xf numFmtId="0" fontId="94" fillId="0" borderId="274" applyNumberFormat="0" applyFill="0" applyAlignment="0" applyProtection="0"/>
    <xf numFmtId="0" fontId="94" fillId="0" borderId="274" applyNumberFormat="0" applyFill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5" fillId="11" borderId="270" applyNumberFormat="0" applyAlignment="0" applyProtection="0"/>
    <xf numFmtId="0" fontId="33" fillId="5" borderId="270" applyNumberFormat="0" applyAlignment="0" applyProtection="0"/>
    <xf numFmtId="0" fontId="21" fillId="26" borderId="271" applyNumberFormat="0" applyFont="0" applyAlignment="0" applyProtection="0"/>
    <xf numFmtId="0" fontId="21" fillId="26" borderId="271" applyNumberFormat="0" applyFont="0" applyAlignment="0" applyProtection="0"/>
    <xf numFmtId="0" fontId="21" fillId="26" borderId="271" applyNumberFormat="0" applyFont="0" applyAlignment="0" applyProtection="0"/>
    <xf numFmtId="0" fontId="37" fillId="11" borderId="272" applyNumberFormat="0" applyAlignment="0" applyProtection="0"/>
    <xf numFmtId="0" fontId="39" fillId="0" borderId="273" applyNumberFormat="0" applyFill="0" applyAlignment="0" applyProtection="0"/>
    <xf numFmtId="0" fontId="94" fillId="0" borderId="274" applyNumberFormat="0" applyFill="0" applyAlignment="0" applyProtection="0"/>
    <xf numFmtId="0" fontId="94" fillId="0" borderId="274" applyNumberFormat="0" applyFill="0" applyAlignment="0" applyProtection="0"/>
    <xf numFmtId="0" fontId="94" fillId="0" borderId="274" applyNumberFormat="0" applyFill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1" fillId="0" borderId="0"/>
    <xf numFmtId="0" fontId="21" fillId="0" borderId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1" fillId="0" borderId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57" borderId="171" applyNumberFormat="0" applyFont="0" applyAlignment="0" applyProtection="0"/>
    <xf numFmtId="0" fontId="1" fillId="71" borderId="0" applyNumberFormat="0" applyBorder="0" applyAlignment="0" applyProtection="0"/>
    <xf numFmtId="0" fontId="1" fillId="73" borderId="0" applyNumberFormat="0" applyBorder="0" applyAlignment="0" applyProtection="0"/>
    <xf numFmtId="0" fontId="1" fillId="79" borderId="0" applyNumberFormat="0" applyBorder="0" applyAlignment="0" applyProtection="0"/>
    <xf numFmtId="0" fontId="21" fillId="26" borderId="281" applyNumberFormat="0" applyFont="0" applyAlignment="0" applyProtection="0"/>
    <xf numFmtId="0" fontId="1" fillId="79" borderId="0" applyNumberFormat="0" applyBorder="0" applyAlignment="0" applyProtection="0"/>
    <xf numFmtId="0" fontId="1" fillId="72" borderId="0" applyNumberFormat="0" applyBorder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45" borderId="0" applyNumberFormat="0" applyBorder="0" applyAlignment="0" applyProtection="0"/>
    <xf numFmtId="0" fontId="1" fillId="77" borderId="0" applyNumberFormat="0" applyBorder="0" applyAlignment="0" applyProtection="0"/>
    <xf numFmtId="0" fontId="1" fillId="76" borderId="0" applyNumberFormat="0" applyBorder="0" applyAlignment="0" applyProtection="0"/>
    <xf numFmtId="0" fontId="1" fillId="46" borderId="0" applyNumberFormat="0" applyBorder="0" applyAlignment="0" applyProtection="0"/>
    <xf numFmtId="0" fontId="1" fillId="57" borderId="171" applyNumberFormat="0" applyFont="0" applyAlignment="0" applyProtection="0"/>
    <xf numFmtId="0" fontId="1" fillId="79" borderId="0" applyNumberFormat="0" applyBorder="0" applyAlignment="0" applyProtection="0"/>
    <xf numFmtId="0" fontId="1" fillId="73" borderId="0" applyNumberFormat="0" applyBorder="0" applyAlignment="0" applyProtection="0"/>
    <xf numFmtId="0" fontId="1" fillId="72" borderId="0" applyNumberFormat="0" applyBorder="0" applyAlignment="0" applyProtection="0"/>
    <xf numFmtId="0" fontId="1" fillId="69" borderId="0" applyNumberFormat="0" applyBorder="0" applyAlignment="0" applyProtection="0"/>
    <xf numFmtId="0" fontId="1" fillId="45" borderId="0" applyNumberFormat="0" applyBorder="0" applyAlignment="0" applyProtection="0"/>
    <xf numFmtId="0" fontId="1" fillId="76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25" fillId="11" borderId="278" applyNumberFormat="0" applyAlignment="0" applyProtection="0"/>
    <xf numFmtId="0" fontId="32" fillId="0" borderId="279" applyNumberFormat="0" applyFill="0" applyAlignment="0" applyProtection="0"/>
    <xf numFmtId="0" fontId="81" fillId="0" borderId="280" applyNumberFormat="0" applyFill="0" applyAlignment="0" applyProtection="0"/>
    <xf numFmtId="0" fontId="81" fillId="0" borderId="280" applyNumberFormat="0" applyFill="0" applyAlignment="0" applyProtection="0"/>
    <xf numFmtId="0" fontId="81" fillId="0" borderId="280" applyNumberFormat="0" applyFill="0" applyAlignment="0" applyProtection="0"/>
    <xf numFmtId="0" fontId="94" fillId="0" borderId="284" applyNumberFormat="0" applyFill="0" applyAlignment="0" applyProtection="0"/>
    <xf numFmtId="0" fontId="37" fillId="11" borderId="282" applyNumberFormat="0" applyAlignment="0" applyProtection="0"/>
    <xf numFmtId="0" fontId="33" fillId="5" borderId="278" applyNumberFormat="0" applyAlignment="0" applyProtection="0"/>
    <xf numFmtId="0" fontId="33" fillId="5" borderId="278" applyNumberForma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37" fillId="11" borderId="282" applyNumberFormat="0" applyAlignment="0" applyProtection="0"/>
    <xf numFmtId="0" fontId="39" fillId="0" borderId="283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25" fillId="11" borderId="278" applyNumberFormat="0" applyAlignment="0" applyProtection="0"/>
    <xf numFmtId="0" fontId="1" fillId="81" borderId="0" applyNumberFormat="0" applyBorder="0" applyAlignment="0" applyProtection="0"/>
    <xf numFmtId="0" fontId="1" fillId="77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68" borderId="0" applyNumberFormat="0" applyBorder="0" applyAlignment="0" applyProtection="0"/>
    <xf numFmtId="0" fontId="21" fillId="26" borderId="281" applyNumberFormat="0" applyFont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76" borderId="0" applyNumberFormat="0" applyBorder="0" applyAlignment="0" applyProtection="0"/>
    <xf numFmtId="0" fontId="1" fillId="76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73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57" borderId="171" applyNumberFormat="0" applyFont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68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2" borderId="0" applyNumberFormat="0" applyBorder="0" applyAlignment="0" applyProtection="0"/>
    <xf numFmtId="0" fontId="94" fillId="0" borderId="284" applyNumberFormat="0" applyFill="0" applyAlignment="0" applyProtection="0"/>
    <xf numFmtId="0" fontId="21" fillId="26" borderId="281" applyNumberFormat="0" applyFont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94" fillId="0" borderId="284" applyNumberFormat="0" applyFill="0" applyAlignment="0" applyProtection="0"/>
    <xf numFmtId="0" fontId="21" fillId="26" borderId="281" applyNumberFormat="0" applyFont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80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81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39" fillId="0" borderId="283" applyNumberFormat="0" applyFill="0" applyAlignment="0" applyProtection="0"/>
    <xf numFmtId="0" fontId="1" fillId="57" borderId="171" applyNumberFormat="0" applyFont="0" applyAlignment="0" applyProtection="0"/>
    <xf numFmtId="0" fontId="21" fillId="26" borderId="281" applyNumberFormat="0" applyFont="0" applyAlignment="0" applyProtection="0"/>
    <xf numFmtId="0" fontId="1" fillId="57" borderId="171" applyNumberFormat="0" applyFont="0" applyAlignment="0" applyProtection="0"/>
    <xf numFmtId="0" fontId="1" fillId="71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68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76" borderId="0" applyNumberFormat="0" applyBorder="0" applyAlignment="0" applyProtection="0"/>
    <xf numFmtId="0" fontId="1" fillId="72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77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45" borderId="0" applyNumberFormat="0" applyBorder="0" applyAlignment="0" applyProtection="0"/>
    <xf numFmtId="0" fontId="1" fillId="72" borderId="0" applyNumberFormat="0" applyBorder="0" applyAlignment="0" applyProtection="0"/>
    <xf numFmtId="0" fontId="1" fillId="71" borderId="0" applyNumberFormat="0" applyBorder="0" applyAlignment="0" applyProtection="0"/>
    <xf numFmtId="0" fontId="1" fillId="68" borderId="0" applyNumberFormat="0" applyBorder="0" applyAlignment="0" applyProtection="0"/>
    <xf numFmtId="0" fontId="1" fillId="77" borderId="0" applyNumberFormat="0" applyBorder="0" applyAlignment="0" applyProtection="0"/>
    <xf numFmtId="0" fontId="1" fillId="73" borderId="0" applyNumberFormat="0" applyBorder="0" applyAlignment="0" applyProtection="0"/>
    <xf numFmtId="0" fontId="1" fillId="46" borderId="0" applyNumberFormat="0" applyBorder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33" fillId="5" borderId="278" applyNumberFormat="0" applyAlignment="0" applyProtection="0"/>
    <xf numFmtId="0" fontId="25" fillId="11" borderId="278" applyNumberFormat="0" applyAlignment="0" applyProtection="0"/>
    <xf numFmtId="0" fontId="33" fillId="5" borderId="278" applyNumberForma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37" fillId="11" borderId="282" applyNumberFormat="0" applyAlignment="0" applyProtection="0"/>
    <xf numFmtId="0" fontId="39" fillId="0" borderId="283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1" fillId="71" borderId="0" applyNumberFormat="0" applyBorder="0" applyAlignment="0" applyProtection="0"/>
    <xf numFmtId="0" fontId="37" fillId="11" borderId="282" applyNumberFormat="0" applyAlignment="0" applyProtection="0"/>
    <xf numFmtId="0" fontId="1" fillId="73" borderId="0" applyNumberFormat="0" applyBorder="0" applyAlignment="0" applyProtection="0"/>
    <xf numFmtId="0" fontId="1" fillId="79" borderId="0" applyNumberFormat="0" applyBorder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81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7" borderId="0" applyNumberFormat="0" applyBorder="0" applyAlignment="0" applyProtection="0"/>
    <xf numFmtId="0" fontId="1" fillId="73" borderId="0" applyNumberFormat="0" applyBorder="0" applyAlignment="0" applyProtection="0"/>
    <xf numFmtId="0" fontId="1" fillId="46" borderId="0" applyNumberFormat="0" applyBorder="0" applyAlignment="0" applyProtection="0"/>
    <xf numFmtId="0" fontId="1" fillId="45" borderId="0" applyNumberFormat="0" applyBorder="0" applyAlignment="0" applyProtection="0"/>
    <xf numFmtId="0" fontId="1" fillId="79" borderId="0" applyNumberFormat="0" applyBorder="0" applyAlignment="0" applyProtection="0"/>
    <xf numFmtId="0" fontId="1" fillId="76" borderId="0" applyNumberFormat="0" applyBorder="0" applyAlignment="0" applyProtection="0"/>
    <xf numFmtId="0" fontId="1" fillId="68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46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76" borderId="0" applyNumberFormat="0" applyBorder="0" applyAlignment="0" applyProtection="0"/>
    <xf numFmtId="0" fontId="1" fillId="72" borderId="0" applyNumberFormat="0" applyBorder="0" applyAlignment="0" applyProtection="0"/>
    <xf numFmtId="0" fontId="1" fillId="71" borderId="0" applyNumberFormat="0" applyBorder="0" applyAlignment="0" applyProtection="0"/>
    <xf numFmtId="0" fontId="94" fillId="0" borderId="284" applyNumberFormat="0" applyFill="0" applyAlignment="0" applyProtection="0"/>
    <xf numFmtId="0" fontId="39" fillId="0" borderId="283" applyNumberFormat="0" applyFill="0" applyAlignment="0" applyProtection="0"/>
    <xf numFmtId="0" fontId="25" fillId="11" borderId="278" applyNumberFormat="0" applyAlignment="0" applyProtection="0"/>
    <xf numFmtId="0" fontId="25" fillId="11" borderId="278" applyNumberFormat="0" applyAlignment="0" applyProtection="0"/>
    <xf numFmtId="0" fontId="33" fillId="5" borderId="278" applyNumberForma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37" fillId="11" borderId="282" applyNumberFormat="0" applyAlignment="0" applyProtection="0"/>
    <xf numFmtId="0" fontId="39" fillId="0" borderId="283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21" fillId="26" borderId="281" applyNumberFormat="0" applyFont="0" applyAlignment="0" applyProtection="0"/>
    <xf numFmtId="0" fontId="1" fillId="72" borderId="0" applyNumberFormat="0" applyBorder="0" applyAlignment="0" applyProtection="0"/>
    <xf numFmtId="0" fontId="1" fillId="77" borderId="0" applyNumberFormat="0" applyBorder="0" applyAlignment="0" applyProtection="0"/>
    <xf numFmtId="0" fontId="1" fillId="45" borderId="0" applyNumberFormat="0" applyBorder="0" applyAlignment="0" applyProtection="0"/>
    <xf numFmtId="0" fontId="1" fillId="68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7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45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46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73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57" borderId="171" applyNumberFormat="0" applyFont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72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57" borderId="171" applyNumberFormat="0" applyFont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80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5" fillId="11" borderId="278" applyNumberFormat="0" applyAlignment="0" applyProtection="0"/>
    <xf numFmtId="0" fontId="33" fillId="5" borderId="278" applyNumberForma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37" fillId="11" borderId="282" applyNumberFormat="0" applyAlignment="0" applyProtection="0"/>
    <xf numFmtId="0" fontId="39" fillId="0" borderId="283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5" fillId="11" borderId="278" applyNumberFormat="0" applyAlignment="0" applyProtection="0"/>
    <xf numFmtId="0" fontId="32" fillId="0" borderId="279" applyNumberFormat="0" applyFill="0" applyAlignment="0" applyProtection="0"/>
    <xf numFmtId="0" fontId="81" fillId="0" borderId="280" applyNumberFormat="0" applyFill="0" applyAlignment="0" applyProtection="0"/>
    <xf numFmtId="0" fontId="81" fillId="0" borderId="280" applyNumberFormat="0" applyFill="0" applyAlignment="0" applyProtection="0"/>
    <xf numFmtId="0" fontId="81" fillId="0" borderId="280" applyNumberFormat="0" applyFill="0" applyAlignment="0" applyProtection="0"/>
    <xf numFmtId="0" fontId="33" fillId="5" borderId="278" applyNumberForma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37" fillId="11" borderId="282" applyNumberFormat="0" applyAlignment="0" applyProtection="0"/>
    <xf numFmtId="0" fontId="39" fillId="0" borderId="283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5" fillId="11" borderId="278" applyNumberFormat="0" applyAlignment="0" applyProtection="0"/>
    <xf numFmtId="0" fontId="33" fillId="5" borderId="278" applyNumberForma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37" fillId="11" borderId="282" applyNumberFormat="0" applyAlignment="0" applyProtection="0"/>
    <xf numFmtId="0" fontId="39" fillId="0" borderId="283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5" fillId="11" borderId="278" applyNumberFormat="0" applyAlignment="0" applyProtection="0"/>
    <xf numFmtId="0" fontId="33" fillId="5" borderId="278" applyNumberForma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37" fillId="11" borderId="282" applyNumberFormat="0" applyAlignment="0" applyProtection="0"/>
    <xf numFmtId="0" fontId="39" fillId="0" borderId="283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2" borderId="0" applyNumberFormat="0" applyBorder="0" applyAlignment="0" applyProtection="0"/>
    <xf numFmtId="0" fontId="1" fillId="46" borderId="0" applyNumberFormat="0" applyBorder="0" applyAlignment="0" applyProtection="0"/>
    <xf numFmtId="0" fontId="1" fillId="69" borderId="0" applyNumberFormat="0" applyBorder="0" applyAlignment="0" applyProtection="0"/>
    <xf numFmtId="0" fontId="1" fillId="81" borderId="0" applyNumberFormat="0" applyBorder="0" applyAlignment="0" applyProtection="0"/>
    <xf numFmtId="0" fontId="1" fillId="45" borderId="0" applyNumberFormat="0" applyBorder="0" applyAlignment="0" applyProtection="0"/>
    <xf numFmtId="0" fontId="1" fillId="57" borderId="171" applyNumberFormat="0" applyFont="0" applyAlignment="0" applyProtection="0"/>
    <xf numFmtId="0" fontId="1" fillId="71" borderId="0" applyNumberFormat="0" applyBorder="0" applyAlignment="0" applyProtection="0"/>
    <xf numFmtId="0" fontId="1" fillId="73" borderId="0" applyNumberFormat="0" applyBorder="0" applyAlignment="0" applyProtection="0"/>
    <xf numFmtId="0" fontId="1" fillId="80" borderId="0" applyNumberFormat="0" applyBorder="0" applyAlignment="0" applyProtection="0"/>
    <xf numFmtId="0" fontId="1" fillId="68" borderId="0" applyNumberFormat="0" applyBorder="0" applyAlignment="0" applyProtection="0"/>
    <xf numFmtId="0" fontId="1" fillId="72" borderId="0" applyNumberFormat="0" applyBorder="0" applyAlignment="0" applyProtection="0"/>
    <xf numFmtId="0" fontId="1" fillId="76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1" fillId="80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77" borderId="0" applyNumberFormat="0" applyBorder="0" applyAlignment="0" applyProtection="0"/>
    <xf numFmtId="0" fontId="1" fillId="69" borderId="0" applyNumberFormat="0" applyBorder="0" applyAlignment="0" applyProtection="0"/>
    <xf numFmtId="0" fontId="1" fillId="46" borderId="0" applyNumberFormat="0" applyBorder="0" applyAlignment="0" applyProtection="0"/>
    <xf numFmtId="0" fontId="21" fillId="26" borderId="281" applyNumberFormat="0" applyFont="0" applyAlignment="0" applyProtection="0"/>
    <xf numFmtId="0" fontId="33" fillId="5" borderId="278" applyNumberFormat="0" applyAlignment="0" applyProtection="0"/>
    <xf numFmtId="0" fontId="25" fillId="11" borderId="278" applyNumberFormat="0" applyAlignment="0" applyProtection="0"/>
    <xf numFmtId="0" fontId="1" fillId="45" borderId="0" applyNumberFormat="0" applyBorder="0" applyAlignment="0" applyProtection="0"/>
    <xf numFmtId="0" fontId="1" fillId="79" borderId="0" applyNumberFormat="0" applyBorder="0" applyAlignment="0" applyProtection="0"/>
    <xf numFmtId="0" fontId="1" fillId="81" borderId="0" applyNumberFormat="0" applyBorder="0" applyAlignment="0" applyProtection="0"/>
    <xf numFmtId="0" fontId="1" fillId="81" borderId="0" applyNumberFormat="0" applyBorder="0" applyAlignment="0" applyProtection="0"/>
    <xf numFmtId="0" fontId="1" fillId="45" borderId="0" applyNumberFormat="0" applyBorder="0" applyAlignment="0" applyProtection="0"/>
    <xf numFmtId="0" fontId="37" fillId="11" borderId="282" applyNumberFormat="0" applyAlignment="0" applyProtection="0"/>
    <xf numFmtId="0" fontId="1" fillId="79" borderId="0" applyNumberFormat="0" applyBorder="0" applyAlignment="0" applyProtection="0"/>
    <xf numFmtId="0" fontId="1" fillId="68" borderId="0" applyNumberFormat="0" applyBorder="0" applyAlignment="0" applyProtection="0"/>
    <xf numFmtId="0" fontId="1" fillId="80" borderId="0" applyNumberFormat="0" applyBorder="0" applyAlignment="0" applyProtection="0"/>
    <xf numFmtId="0" fontId="1" fillId="76" borderId="0" applyNumberFormat="0" applyBorder="0" applyAlignment="0" applyProtection="0"/>
    <xf numFmtId="0" fontId="1" fillId="69" borderId="0" applyNumberFormat="0" applyBorder="0" applyAlignment="0" applyProtection="0"/>
    <xf numFmtId="0" fontId="1" fillId="80" borderId="0" applyNumberFormat="0" applyBorder="0" applyAlignment="0" applyProtection="0"/>
    <xf numFmtId="0" fontId="1" fillId="79" borderId="0" applyNumberFormat="0" applyBorder="0" applyAlignment="0" applyProtection="0"/>
    <xf numFmtId="0" fontId="1" fillId="71" borderId="0" applyNumberFormat="0" applyBorder="0" applyAlignment="0" applyProtection="0"/>
    <xf numFmtId="0" fontId="1" fillId="72" borderId="0" applyNumberFormat="0" applyBorder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77" borderId="0" applyNumberFormat="0" applyBorder="0" applyAlignment="0" applyProtection="0"/>
    <xf numFmtId="0" fontId="1" fillId="80" borderId="0" applyNumberFormat="0" applyBorder="0" applyAlignment="0" applyProtection="0"/>
    <xf numFmtId="0" fontId="1" fillId="76" borderId="0" applyNumberFormat="0" applyBorder="0" applyAlignment="0" applyProtection="0"/>
    <xf numFmtId="0" fontId="1" fillId="73" borderId="0" applyNumberFormat="0" applyBorder="0" applyAlignment="0" applyProtection="0"/>
    <xf numFmtId="0" fontId="1" fillId="57" borderId="171" applyNumberFormat="0" applyFont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37" fillId="11" borderId="282" applyNumberFormat="0" applyAlignment="0" applyProtection="0"/>
    <xf numFmtId="0" fontId="25" fillId="11" borderId="278" applyNumberFormat="0" applyAlignment="0" applyProtection="0"/>
    <xf numFmtId="0" fontId="25" fillId="11" borderId="278" applyNumberFormat="0" applyAlignment="0" applyProtection="0"/>
    <xf numFmtId="0" fontId="1" fillId="73" borderId="0" applyNumberFormat="0" applyBorder="0" applyAlignment="0" applyProtection="0"/>
    <xf numFmtId="0" fontId="1" fillId="57" borderId="171" applyNumberFormat="0" applyFont="0" applyAlignment="0" applyProtection="0"/>
    <xf numFmtId="0" fontId="1" fillId="71" borderId="0" applyNumberFormat="0" applyBorder="0" applyAlignment="0" applyProtection="0"/>
    <xf numFmtId="0" fontId="1" fillId="80" borderId="0" applyNumberFormat="0" applyBorder="0" applyAlignment="0" applyProtection="0"/>
    <xf numFmtId="0" fontId="39" fillId="0" borderId="283" applyNumberFormat="0" applyFill="0" applyAlignment="0" applyProtection="0"/>
    <xf numFmtId="0" fontId="1" fillId="72" borderId="0" applyNumberFormat="0" applyBorder="0" applyAlignment="0" applyProtection="0"/>
    <xf numFmtId="0" fontId="1" fillId="69" borderId="0" applyNumberFormat="0" applyBorder="0" applyAlignment="0" applyProtection="0"/>
    <xf numFmtId="0" fontId="1" fillId="77" borderId="0" applyNumberFormat="0" applyBorder="0" applyAlignment="0" applyProtection="0"/>
    <xf numFmtId="0" fontId="1" fillId="46" borderId="0" applyNumberFormat="0" applyBorder="0" applyAlignment="0" applyProtection="0"/>
    <xf numFmtId="0" fontId="1" fillId="80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32" fillId="0" borderId="275" applyNumberFormat="0" applyFill="0" applyAlignment="0" applyProtection="0"/>
    <xf numFmtId="0" fontId="81" fillId="0" borderId="276" applyNumberFormat="0" applyFill="0" applyAlignment="0" applyProtection="0"/>
    <xf numFmtId="0" fontId="81" fillId="0" borderId="276" applyNumberFormat="0" applyFill="0" applyAlignment="0" applyProtection="0"/>
    <xf numFmtId="0" fontId="81" fillId="0" borderId="276" applyNumberFormat="0" applyFill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77" borderId="0" applyNumberFormat="0" applyBorder="0" applyAlignment="0" applyProtection="0"/>
    <xf numFmtId="0" fontId="1" fillId="57" borderId="171" applyNumberFormat="0" applyFont="0" applyAlignment="0" applyProtection="0"/>
    <xf numFmtId="0" fontId="33" fillId="5" borderId="278" applyNumberFormat="0" applyAlignment="0" applyProtection="0"/>
    <xf numFmtId="0" fontId="1" fillId="79" borderId="0" applyNumberFormat="0" applyBorder="0" applyAlignment="0" applyProtection="0"/>
    <xf numFmtId="0" fontId="25" fillId="11" borderId="278" applyNumberFormat="0" applyAlignment="0" applyProtection="0"/>
    <xf numFmtId="0" fontId="1" fillId="80" borderId="0" applyNumberFormat="0" applyBorder="0" applyAlignment="0" applyProtection="0"/>
    <xf numFmtId="0" fontId="1" fillId="68" borderId="0" applyNumberFormat="0" applyBorder="0" applyAlignment="0" applyProtection="0"/>
    <xf numFmtId="0" fontId="1" fillId="68" borderId="0" applyNumberFormat="0" applyBorder="0" applyAlignment="0" applyProtection="0"/>
    <xf numFmtId="0" fontId="39" fillId="0" borderId="283" applyNumberFormat="0" applyFill="0" applyAlignment="0" applyProtection="0"/>
    <xf numFmtId="0" fontId="1" fillId="57" borderId="171" applyNumberFormat="0" applyFont="0" applyAlignment="0" applyProtection="0"/>
    <xf numFmtId="0" fontId="1" fillId="80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80" borderId="0" applyNumberFormat="0" applyBorder="0" applyAlignment="0" applyProtection="0"/>
    <xf numFmtId="0" fontId="1" fillId="68" borderId="0" applyNumberFormat="0" applyBorder="0" applyAlignment="0" applyProtection="0"/>
    <xf numFmtId="0" fontId="1" fillId="80" borderId="0" applyNumberFormat="0" applyBorder="0" applyAlignment="0" applyProtection="0"/>
    <xf numFmtId="0" fontId="94" fillId="0" borderId="284" applyNumberFormat="0" applyFill="0" applyAlignment="0" applyProtection="0"/>
    <xf numFmtId="0" fontId="25" fillId="11" borderId="278" applyNumberFormat="0" applyAlignment="0" applyProtection="0"/>
    <xf numFmtId="0" fontId="1" fillId="71" borderId="0" applyNumberFormat="0" applyBorder="0" applyAlignment="0" applyProtection="0"/>
    <xf numFmtId="0" fontId="1" fillId="79" borderId="0" applyNumberFormat="0" applyBorder="0" applyAlignment="0" applyProtection="0"/>
    <xf numFmtId="0" fontId="39" fillId="0" borderId="283" applyNumberFormat="0" applyFill="0" applyAlignment="0" applyProtection="0"/>
    <xf numFmtId="0" fontId="1" fillId="57" borderId="171" applyNumberFormat="0" applyFont="0" applyAlignment="0" applyProtection="0"/>
    <xf numFmtId="0" fontId="1" fillId="45" borderId="0" applyNumberFormat="0" applyBorder="0" applyAlignment="0" applyProtection="0"/>
    <xf numFmtId="0" fontId="1" fillId="73" borderId="0" applyNumberFormat="0" applyBorder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1" fillId="68" borderId="0" applyNumberFormat="0" applyBorder="0" applyAlignment="0" applyProtection="0"/>
    <xf numFmtId="0" fontId="32" fillId="0" borderId="275" applyNumberFormat="0" applyFill="0" applyAlignment="0" applyProtection="0"/>
    <xf numFmtId="0" fontId="1" fillId="80" borderId="0" applyNumberFormat="0" applyBorder="0" applyAlignment="0" applyProtection="0"/>
    <xf numFmtId="0" fontId="37" fillId="11" borderId="282" applyNumberForma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1" fillId="77" borderId="0" applyNumberFormat="0" applyBorder="0" applyAlignment="0" applyProtection="0"/>
    <xf numFmtId="0" fontId="1" fillId="73" borderId="0" applyNumberFormat="0" applyBorder="0" applyAlignment="0" applyProtection="0"/>
    <xf numFmtId="0" fontId="1" fillId="81" borderId="0" applyNumberFormat="0" applyBorder="0" applyAlignment="0" applyProtection="0"/>
    <xf numFmtId="0" fontId="37" fillId="11" borderId="282" applyNumberFormat="0" applyAlignment="0" applyProtection="0"/>
    <xf numFmtId="0" fontId="1" fillId="69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57" borderId="171" applyNumberFormat="0" applyFont="0" applyAlignment="0" applyProtection="0"/>
    <xf numFmtId="0" fontId="39" fillId="0" borderId="283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21" fillId="26" borderId="281" applyNumberFormat="0" applyFont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79" borderId="0" applyNumberFormat="0" applyBorder="0" applyAlignment="0" applyProtection="0"/>
    <xf numFmtId="0" fontId="1" fillId="76" borderId="0" applyNumberFormat="0" applyBorder="0" applyAlignment="0" applyProtection="0"/>
    <xf numFmtId="0" fontId="1" fillId="79" borderId="0" applyNumberFormat="0" applyBorder="0" applyAlignment="0" applyProtection="0"/>
    <xf numFmtId="0" fontId="81" fillId="0" borderId="276" applyNumberFormat="0" applyFill="0" applyAlignment="0" applyProtection="0"/>
    <xf numFmtId="0" fontId="1" fillId="45" borderId="0" applyNumberFormat="0" applyBorder="0" applyAlignment="0" applyProtection="0"/>
    <xf numFmtId="0" fontId="1" fillId="69" borderId="0" applyNumberFormat="0" applyBorder="0" applyAlignment="0" applyProtection="0"/>
    <xf numFmtId="0" fontId="1" fillId="77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94" fillId="0" borderId="284" applyNumberFormat="0" applyFill="0" applyAlignment="0" applyProtection="0"/>
    <xf numFmtId="0" fontId="1" fillId="57" borderId="171" applyNumberFormat="0" applyFont="0" applyAlignment="0" applyProtection="0"/>
    <xf numFmtId="0" fontId="1" fillId="72" borderId="0" applyNumberFormat="0" applyBorder="0" applyAlignment="0" applyProtection="0"/>
    <xf numFmtId="0" fontId="1" fillId="72" borderId="0" applyNumberFormat="0" applyBorder="0" applyAlignment="0" applyProtection="0"/>
    <xf numFmtId="0" fontId="94" fillId="0" borderId="284" applyNumberFormat="0" applyFill="0" applyAlignment="0" applyProtection="0"/>
    <xf numFmtId="0" fontId="1" fillId="79" borderId="0" applyNumberFormat="0" applyBorder="0" applyAlignment="0" applyProtection="0"/>
    <xf numFmtId="0" fontId="1" fillId="76" borderId="0" applyNumberFormat="0" applyBorder="0" applyAlignment="0" applyProtection="0"/>
    <xf numFmtId="0" fontId="1" fillId="72" borderId="0" applyNumberFormat="0" applyBorder="0" applyAlignment="0" applyProtection="0"/>
    <xf numFmtId="0" fontId="1" fillId="69" borderId="0" applyNumberFormat="0" applyBorder="0" applyAlignment="0" applyProtection="0"/>
    <xf numFmtId="0" fontId="1" fillId="80" borderId="0" applyNumberFormat="0" applyBorder="0" applyAlignment="0" applyProtection="0"/>
    <xf numFmtId="0" fontId="1" fillId="73" borderId="0" applyNumberFormat="0" applyBorder="0" applyAlignment="0" applyProtection="0"/>
    <xf numFmtId="0" fontId="94" fillId="0" borderId="284" applyNumberFormat="0" applyFill="0" applyAlignment="0" applyProtection="0"/>
    <xf numFmtId="0" fontId="1" fillId="71" borderId="0" applyNumberFormat="0" applyBorder="0" applyAlignment="0" applyProtection="0"/>
    <xf numFmtId="0" fontId="1" fillId="57" borderId="171" applyNumberFormat="0" applyFont="0" applyAlignment="0" applyProtection="0"/>
    <xf numFmtId="0" fontId="1" fillId="77" borderId="0" applyNumberFormat="0" applyBorder="0" applyAlignment="0" applyProtection="0"/>
    <xf numFmtId="0" fontId="1" fillId="72" borderId="0" applyNumberFormat="0" applyBorder="0" applyAlignment="0" applyProtection="0"/>
    <xf numFmtId="0" fontId="1" fillId="45" borderId="0" applyNumberFormat="0" applyBorder="0" applyAlignment="0" applyProtection="0"/>
    <xf numFmtId="0" fontId="1" fillId="76" borderId="0" applyNumberFormat="0" applyBorder="0" applyAlignment="0" applyProtection="0"/>
    <xf numFmtId="0" fontId="1" fillId="71" borderId="0" applyNumberFormat="0" applyBorder="0" applyAlignment="0" applyProtection="0"/>
    <xf numFmtId="0" fontId="1" fillId="45" borderId="0" applyNumberFormat="0" applyBorder="0" applyAlignment="0" applyProtection="0"/>
    <xf numFmtId="0" fontId="1" fillId="68" borderId="0" applyNumberFormat="0" applyBorder="0" applyAlignment="0" applyProtection="0"/>
    <xf numFmtId="0" fontId="1" fillId="46" borderId="0" applyNumberFormat="0" applyBorder="0" applyAlignment="0" applyProtection="0"/>
    <xf numFmtId="0" fontId="1" fillId="68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69" borderId="0" applyNumberFormat="0" applyBorder="0" applyAlignment="0" applyProtection="0"/>
    <xf numFmtId="0" fontId="1" fillId="76" borderId="0" applyNumberFormat="0" applyBorder="0" applyAlignment="0" applyProtection="0"/>
    <xf numFmtId="0" fontId="94" fillId="0" borderId="284" applyNumberFormat="0" applyFill="0" applyAlignment="0" applyProtection="0"/>
    <xf numFmtId="0" fontId="1" fillId="81" borderId="0" applyNumberFormat="0" applyBorder="0" applyAlignment="0" applyProtection="0"/>
    <xf numFmtId="0" fontId="1" fillId="68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1" fillId="80" borderId="0" applyNumberFormat="0" applyBorder="0" applyAlignment="0" applyProtection="0"/>
    <xf numFmtId="0" fontId="39" fillId="0" borderId="283" applyNumberFormat="0" applyFill="0" applyAlignment="0" applyProtection="0"/>
    <xf numFmtId="0" fontId="1" fillId="73" borderId="0" applyNumberFormat="0" applyBorder="0" applyAlignment="0" applyProtection="0"/>
    <xf numFmtId="0" fontId="1" fillId="81" borderId="0" applyNumberFormat="0" applyBorder="0" applyAlignment="0" applyProtection="0"/>
    <xf numFmtId="0" fontId="1" fillId="73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57" borderId="171" applyNumberFormat="0" applyFont="0" applyAlignment="0" applyProtection="0"/>
    <xf numFmtId="0" fontId="1" fillId="72" borderId="0" applyNumberFormat="0" applyBorder="0" applyAlignment="0" applyProtection="0"/>
    <xf numFmtId="0" fontId="1" fillId="80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57" borderId="171" applyNumberFormat="0" applyFont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94" fillId="0" borderId="284" applyNumberFormat="0" applyFill="0" applyAlignment="0" applyProtection="0"/>
    <xf numFmtId="0" fontId="1" fillId="45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69" borderId="0" applyNumberFormat="0" applyBorder="0" applyAlignment="0" applyProtection="0"/>
    <xf numFmtId="0" fontId="37" fillId="11" borderId="282" applyNumberFormat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68" borderId="0" applyNumberFormat="0" applyBorder="0" applyAlignment="0" applyProtection="0"/>
    <xf numFmtId="0" fontId="1" fillId="79" borderId="0" applyNumberFormat="0" applyBorder="0" applyAlignment="0" applyProtection="0"/>
    <xf numFmtId="0" fontId="94" fillId="0" borderId="284" applyNumberFormat="0" applyFill="0" applyAlignment="0" applyProtection="0"/>
    <xf numFmtId="0" fontId="1" fillId="77" borderId="0" applyNumberFormat="0" applyBorder="0" applyAlignment="0" applyProtection="0"/>
    <xf numFmtId="0" fontId="1" fillId="45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46" borderId="0" applyNumberFormat="0" applyBorder="0" applyAlignment="0" applyProtection="0"/>
    <xf numFmtId="0" fontId="1" fillId="76" borderId="0" applyNumberFormat="0" applyBorder="0" applyAlignment="0" applyProtection="0"/>
    <xf numFmtId="0" fontId="1" fillId="73" borderId="0" applyNumberFormat="0" applyBorder="0" applyAlignment="0" applyProtection="0"/>
    <xf numFmtId="0" fontId="1" fillId="72" borderId="0" applyNumberFormat="0" applyBorder="0" applyAlignment="0" applyProtection="0"/>
    <xf numFmtId="0" fontId="1" fillId="57" borderId="171" applyNumberFormat="0" applyFont="0" applyAlignment="0" applyProtection="0"/>
    <xf numFmtId="0" fontId="1" fillId="46" borderId="0" applyNumberFormat="0" applyBorder="0" applyAlignment="0" applyProtection="0"/>
    <xf numFmtId="0" fontId="1" fillId="79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81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39" fillId="0" borderId="283" applyNumberFormat="0" applyFill="0" applyAlignment="0" applyProtection="0"/>
    <xf numFmtId="0" fontId="1" fillId="80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69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68" borderId="0" applyNumberFormat="0" applyBorder="0" applyAlignment="0" applyProtection="0"/>
    <xf numFmtId="0" fontId="21" fillId="26" borderId="281" applyNumberFormat="0" applyFont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6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21" fillId="26" borderId="281" applyNumberFormat="0" applyFont="0" applyAlignment="0" applyProtection="0"/>
    <xf numFmtId="0" fontId="1" fillId="69" borderId="0" applyNumberFormat="0" applyBorder="0" applyAlignment="0" applyProtection="0"/>
    <xf numFmtId="0" fontId="1" fillId="76" borderId="0" applyNumberFormat="0" applyBorder="0" applyAlignment="0" applyProtection="0"/>
    <xf numFmtId="0" fontId="1" fillId="81" borderId="0" applyNumberFormat="0" applyBorder="0" applyAlignment="0" applyProtection="0"/>
    <xf numFmtId="0" fontId="1" fillId="68" borderId="0" applyNumberFormat="0" applyBorder="0" applyAlignment="0" applyProtection="0"/>
    <xf numFmtId="0" fontId="1" fillId="57" borderId="171" applyNumberFormat="0" applyFont="0" applyAlignment="0" applyProtection="0"/>
    <xf numFmtId="0" fontId="1" fillId="73" borderId="0" applyNumberFormat="0" applyBorder="0" applyAlignment="0" applyProtection="0"/>
    <xf numFmtId="0" fontId="1" fillId="79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45" borderId="0" applyNumberFormat="0" applyBorder="0" applyAlignment="0" applyProtection="0"/>
    <xf numFmtId="0" fontId="1" fillId="76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37" fillId="11" borderId="282" applyNumberFormat="0" applyAlignment="0" applyProtection="0"/>
    <xf numFmtId="0" fontId="1" fillId="79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68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73" borderId="0" applyNumberFormat="0" applyBorder="0" applyAlignment="0" applyProtection="0"/>
    <xf numFmtId="0" fontId="21" fillId="26" borderId="281" applyNumberFormat="0" applyFont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81" borderId="0" applyNumberFormat="0" applyBorder="0" applyAlignment="0" applyProtection="0"/>
    <xf numFmtId="0" fontId="1" fillId="77" borderId="0" applyNumberFormat="0" applyBorder="0" applyAlignment="0" applyProtection="0"/>
    <xf numFmtId="0" fontId="1" fillId="76" borderId="0" applyNumberFormat="0" applyBorder="0" applyAlignment="0" applyProtection="0"/>
    <xf numFmtId="0" fontId="94" fillId="0" borderId="284" applyNumberFormat="0" applyFill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71" borderId="0" applyNumberFormat="0" applyBorder="0" applyAlignment="0" applyProtection="0"/>
    <xf numFmtId="0" fontId="1" fillId="57" borderId="171" applyNumberFormat="0" applyFont="0" applyAlignment="0" applyProtection="0"/>
    <xf numFmtId="0" fontId="1" fillId="79" borderId="0" applyNumberFormat="0" applyBorder="0" applyAlignment="0" applyProtection="0"/>
    <xf numFmtId="0" fontId="1" fillId="72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46" borderId="0" applyNumberFormat="0" applyBorder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9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21" fillId="26" borderId="281" applyNumberFormat="0" applyFont="0" applyAlignment="0" applyProtection="0"/>
    <xf numFmtId="0" fontId="1" fillId="76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68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71" borderId="0" applyNumberFormat="0" applyBorder="0" applyAlignment="0" applyProtection="0"/>
    <xf numFmtId="0" fontId="1" fillId="77" borderId="0" applyNumberFormat="0" applyBorder="0" applyAlignment="0" applyProtection="0"/>
    <xf numFmtId="0" fontId="1" fillId="77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45" borderId="0" applyNumberFormat="0" applyBorder="0" applyAlignment="0" applyProtection="0"/>
    <xf numFmtId="0" fontId="1" fillId="73" borderId="0" applyNumberFormat="0" applyBorder="0" applyAlignment="0" applyProtection="0"/>
    <xf numFmtId="0" fontId="1" fillId="57" borderId="171" applyNumberFormat="0" applyFont="0" applyAlignment="0" applyProtection="0"/>
    <xf numFmtId="0" fontId="1" fillId="73" borderId="0" applyNumberFormat="0" applyBorder="0" applyAlignment="0" applyProtection="0"/>
    <xf numFmtId="0" fontId="1" fillId="68" borderId="0" applyNumberFormat="0" applyBorder="0" applyAlignment="0" applyProtection="0"/>
    <xf numFmtId="0" fontId="21" fillId="26" borderId="281" applyNumberFormat="0" applyFont="0" applyAlignment="0" applyProtection="0"/>
    <xf numFmtId="0" fontId="1" fillId="73" borderId="0" applyNumberFormat="0" applyBorder="0" applyAlignment="0" applyProtection="0"/>
    <xf numFmtId="0" fontId="1" fillId="79" borderId="0" applyNumberFormat="0" applyBorder="0" applyAlignment="0" applyProtection="0"/>
    <xf numFmtId="0" fontId="1" fillId="77" borderId="0" applyNumberFormat="0" applyBorder="0" applyAlignment="0" applyProtection="0"/>
    <xf numFmtId="0" fontId="1" fillId="72" borderId="0" applyNumberFormat="0" applyBorder="0" applyAlignment="0" applyProtection="0"/>
    <xf numFmtId="0" fontId="1" fillId="57" borderId="171" applyNumberFormat="0" applyFont="0" applyAlignment="0" applyProtection="0"/>
    <xf numFmtId="0" fontId="1" fillId="57" borderId="171" applyNumberFormat="0" applyFont="0" applyAlignment="0" applyProtection="0"/>
    <xf numFmtId="0" fontId="1" fillId="72" borderId="0" applyNumberFormat="0" applyBorder="0" applyAlignment="0" applyProtection="0"/>
    <xf numFmtId="0" fontId="1" fillId="57" borderId="171" applyNumberFormat="0" applyFont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46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25" fillId="11" borderId="278" applyNumberFormat="0" applyAlignment="0" applyProtection="0"/>
    <xf numFmtId="0" fontId="33" fillId="5" borderId="278" applyNumberFormat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46" borderId="0" applyNumberFormat="0" applyBorder="0" applyAlignment="0" applyProtection="0"/>
    <xf numFmtId="0" fontId="1" fillId="77" borderId="0" applyNumberFormat="0" applyBorder="0" applyAlignment="0" applyProtection="0"/>
    <xf numFmtId="0" fontId="1" fillId="68" borderId="0" applyNumberFormat="0" applyBorder="0" applyAlignment="0" applyProtection="0"/>
    <xf numFmtId="0" fontId="1" fillId="72" borderId="0" applyNumberFormat="0" applyBorder="0" applyAlignment="0" applyProtection="0"/>
    <xf numFmtId="0" fontId="1" fillId="57" borderId="171" applyNumberFormat="0" applyFont="0" applyAlignment="0" applyProtection="0"/>
    <xf numFmtId="0" fontId="1" fillId="81" borderId="0" applyNumberFormat="0" applyBorder="0" applyAlignment="0" applyProtection="0"/>
    <xf numFmtId="0" fontId="1" fillId="76" borderId="0" applyNumberFormat="0" applyBorder="0" applyAlignment="0" applyProtection="0"/>
    <xf numFmtId="0" fontId="1" fillId="80" borderId="0" applyNumberFormat="0" applyBorder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37" fillId="11" borderId="282" applyNumberFormat="0" applyAlignment="0" applyProtection="0"/>
    <xf numFmtId="0" fontId="39" fillId="0" borderId="283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1" fillId="57" borderId="171" applyNumberFormat="0" applyFont="0" applyAlignment="0" applyProtection="0"/>
    <xf numFmtId="0" fontId="1" fillId="73" borderId="0" applyNumberFormat="0" applyBorder="0" applyAlignment="0" applyProtection="0"/>
    <xf numFmtId="0" fontId="1" fillId="72" borderId="0" applyNumberFormat="0" applyBorder="0" applyAlignment="0" applyProtection="0"/>
    <xf numFmtId="0" fontId="37" fillId="11" borderId="282" applyNumberFormat="0" applyAlignment="0" applyProtection="0"/>
    <xf numFmtId="0" fontId="1" fillId="72" borderId="0" applyNumberFormat="0" applyBorder="0" applyAlignment="0" applyProtection="0"/>
    <xf numFmtId="0" fontId="1" fillId="81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1" fillId="76" borderId="0" applyNumberFormat="0" applyBorder="0" applyAlignment="0" applyProtection="0"/>
    <xf numFmtId="0" fontId="1" fillId="71" borderId="0" applyNumberFormat="0" applyBorder="0" applyAlignment="0" applyProtection="0"/>
    <xf numFmtId="0" fontId="1" fillId="45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1" fillId="73" borderId="0" applyNumberFormat="0" applyBorder="0" applyAlignment="0" applyProtection="0"/>
    <xf numFmtId="0" fontId="1" fillId="73" borderId="0" applyNumberFormat="0" applyBorder="0" applyAlignment="0" applyProtection="0"/>
    <xf numFmtId="0" fontId="1" fillId="81" borderId="0" applyNumberFormat="0" applyBorder="0" applyAlignment="0" applyProtection="0"/>
    <xf numFmtId="0" fontId="37" fillId="11" borderId="282" applyNumberFormat="0" applyAlignment="0" applyProtection="0"/>
    <xf numFmtId="0" fontId="1" fillId="7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1" borderId="0" applyNumberFormat="0" applyBorder="0" applyAlignment="0" applyProtection="0"/>
    <xf numFmtId="0" fontId="1" fillId="57" borderId="171" applyNumberFormat="0" applyFont="0" applyAlignment="0" applyProtection="0"/>
    <xf numFmtId="0" fontId="1" fillId="81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76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7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21" fillId="26" borderId="281" applyNumberFormat="0" applyFont="0" applyAlignment="0" applyProtection="0"/>
    <xf numFmtId="0" fontId="1" fillId="73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79" borderId="0" applyNumberFormat="0" applyBorder="0" applyAlignment="0" applyProtection="0"/>
    <xf numFmtId="0" fontId="1" fillId="76" borderId="0" applyNumberFormat="0" applyBorder="0" applyAlignment="0" applyProtection="0"/>
    <xf numFmtId="0" fontId="1" fillId="80" borderId="0" applyNumberFormat="0" applyBorder="0" applyAlignment="0" applyProtection="0"/>
    <xf numFmtId="0" fontId="1" fillId="76" borderId="0" applyNumberFormat="0" applyBorder="0" applyAlignment="0" applyProtection="0"/>
    <xf numFmtId="0" fontId="1" fillId="68" borderId="0" applyNumberFormat="0" applyBorder="0" applyAlignment="0" applyProtection="0"/>
    <xf numFmtId="0" fontId="21" fillId="26" borderId="281" applyNumberFormat="0" applyFont="0" applyAlignment="0" applyProtection="0"/>
    <xf numFmtId="0" fontId="1" fillId="73" borderId="0" applyNumberFormat="0" applyBorder="0" applyAlignment="0" applyProtection="0"/>
    <xf numFmtId="0" fontId="1" fillId="81" borderId="0" applyNumberFormat="0" applyBorder="0" applyAlignment="0" applyProtection="0"/>
    <xf numFmtId="0" fontId="1" fillId="81" borderId="0" applyNumberFormat="0" applyBorder="0" applyAlignment="0" applyProtection="0"/>
    <xf numFmtId="0" fontId="1" fillId="77" borderId="0" applyNumberFormat="0" applyBorder="0" applyAlignment="0" applyProtection="0"/>
    <xf numFmtId="0" fontId="1" fillId="72" borderId="0" applyNumberFormat="0" applyBorder="0" applyAlignment="0" applyProtection="0"/>
    <xf numFmtId="0" fontId="1" fillId="57" borderId="171" applyNumberFormat="0" applyFont="0" applyAlignment="0" applyProtection="0"/>
    <xf numFmtId="0" fontId="94" fillId="0" borderId="284" applyNumberFormat="0" applyFill="0" applyAlignment="0" applyProtection="0"/>
    <xf numFmtId="0" fontId="1" fillId="80" borderId="0" applyNumberFormat="0" applyBorder="0" applyAlignment="0" applyProtection="0"/>
    <xf numFmtId="0" fontId="1" fillId="76" borderId="0" applyNumberFormat="0" applyBorder="0" applyAlignment="0" applyProtection="0"/>
    <xf numFmtId="0" fontId="1" fillId="76" borderId="0" applyNumberFormat="0" applyBorder="0" applyAlignment="0" applyProtection="0"/>
    <xf numFmtId="0" fontId="1" fillId="46" borderId="0" applyNumberFormat="0" applyBorder="0" applyAlignment="0" applyProtection="0"/>
    <xf numFmtId="0" fontId="1" fillId="81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6" borderId="0" applyNumberFormat="0" applyBorder="0" applyAlignment="0" applyProtection="0"/>
    <xf numFmtId="0" fontId="1" fillId="69" borderId="0" applyNumberFormat="0" applyBorder="0" applyAlignment="0" applyProtection="0"/>
    <xf numFmtId="0" fontId="25" fillId="11" borderId="278" applyNumberFormat="0" applyAlignment="0" applyProtection="0"/>
    <xf numFmtId="0" fontId="33" fillId="5" borderId="278" applyNumberFormat="0" applyAlignment="0" applyProtection="0"/>
    <xf numFmtId="0" fontId="1" fillId="80" borderId="0" applyNumberFormat="0" applyBorder="0" applyAlignment="0" applyProtection="0"/>
    <xf numFmtId="0" fontId="1" fillId="72" borderId="0" applyNumberFormat="0" applyBorder="0" applyAlignment="0" applyProtection="0"/>
    <xf numFmtId="0" fontId="21" fillId="26" borderId="281" applyNumberFormat="0" applyFont="0" applyAlignment="0" applyProtection="0"/>
    <xf numFmtId="0" fontId="1" fillId="77" borderId="0" applyNumberFormat="0" applyBorder="0" applyAlignment="0" applyProtection="0"/>
    <xf numFmtId="0" fontId="33" fillId="5" borderId="278" applyNumberFormat="0" applyAlignment="0" applyProtection="0"/>
    <xf numFmtId="0" fontId="21" fillId="26" borderId="281" applyNumberFormat="0" applyFont="0" applyAlignment="0" applyProtection="0"/>
    <xf numFmtId="0" fontId="1" fillId="45" borderId="0" applyNumberFormat="0" applyBorder="0" applyAlignment="0" applyProtection="0"/>
    <xf numFmtId="0" fontId="1" fillId="57" borderId="171" applyNumberFormat="0" applyFont="0" applyAlignment="0" applyProtection="0"/>
    <xf numFmtId="0" fontId="1" fillId="80" borderId="0" applyNumberFormat="0" applyBorder="0" applyAlignment="0" applyProtection="0"/>
    <xf numFmtId="0" fontId="1" fillId="76" borderId="0" applyNumberFormat="0" applyBorder="0" applyAlignment="0" applyProtection="0"/>
    <xf numFmtId="0" fontId="25" fillId="11" borderId="278" applyNumberFormat="0" applyAlignment="0" applyProtection="0"/>
    <xf numFmtId="0" fontId="1" fillId="79" borderId="0" applyNumberFormat="0" applyBorder="0" applyAlignment="0" applyProtection="0"/>
    <xf numFmtId="0" fontId="1" fillId="57" borderId="171" applyNumberFormat="0" applyFon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37" fillId="11" borderId="282" applyNumberFormat="0" applyAlignment="0" applyProtection="0"/>
    <xf numFmtId="0" fontId="39" fillId="0" borderId="283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1" fillId="72" borderId="0" applyNumberFormat="0" applyBorder="0" applyAlignment="0" applyProtection="0"/>
    <xf numFmtId="0" fontId="1" fillId="45" borderId="0" applyNumberFormat="0" applyBorder="0" applyAlignment="0" applyProtection="0"/>
    <xf numFmtId="0" fontId="1" fillId="71" borderId="0" applyNumberFormat="0" applyBorder="0" applyAlignment="0" applyProtection="0"/>
    <xf numFmtId="0" fontId="1" fillId="69" borderId="0" applyNumberFormat="0" applyBorder="0" applyAlignment="0" applyProtection="0"/>
    <xf numFmtId="0" fontId="1" fillId="76" borderId="0" applyNumberFormat="0" applyBorder="0" applyAlignment="0" applyProtection="0"/>
    <xf numFmtId="0" fontId="1" fillId="73" borderId="0" applyNumberFormat="0" applyBorder="0" applyAlignment="0" applyProtection="0"/>
    <xf numFmtId="0" fontId="1" fillId="77" borderId="0" applyNumberFormat="0" applyBorder="0" applyAlignment="0" applyProtection="0"/>
    <xf numFmtId="0" fontId="1" fillId="80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94" fillId="0" borderId="284" applyNumberFormat="0" applyFill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2" borderId="0" applyNumberFormat="0" applyBorder="0" applyAlignment="0" applyProtection="0"/>
    <xf numFmtId="0" fontId="1" fillId="46" borderId="0" applyNumberFormat="0" applyBorder="0" applyAlignment="0" applyProtection="0"/>
    <xf numFmtId="0" fontId="1" fillId="81" borderId="0" applyNumberFormat="0" applyBorder="0" applyAlignment="0" applyProtection="0"/>
    <xf numFmtId="0" fontId="1" fillId="77" borderId="0" applyNumberFormat="0" applyBorder="0" applyAlignment="0" applyProtection="0"/>
    <xf numFmtId="0" fontId="1" fillId="72" borderId="0" applyNumberFormat="0" applyBorder="0" applyAlignment="0" applyProtection="0"/>
    <xf numFmtId="0" fontId="1" fillId="77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69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57" borderId="171" applyNumberFormat="0" applyFont="0" applyAlignment="0" applyProtection="0"/>
    <xf numFmtId="0" fontId="1" fillId="57" borderId="171" applyNumberFormat="0" applyFont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72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6" borderId="0" applyNumberFormat="0" applyBorder="0" applyAlignment="0" applyProtection="0"/>
    <xf numFmtId="0" fontId="1" fillId="73" borderId="0" applyNumberFormat="0" applyBorder="0" applyAlignment="0" applyProtection="0"/>
    <xf numFmtId="0" fontId="1" fillId="71" borderId="0" applyNumberFormat="0" applyBorder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57" borderId="171" applyNumberFormat="0" applyFont="0" applyAlignment="0" applyProtection="0"/>
    <xf numFmtId="0" fontId="1" fillId="69" borderId="0" applyNumberFormat="0" applyBorder="0" applyAlignment="0" applyProtection="0"/>
    <xf numFmtId="0" fontId="1" fillId="79" borderId="0" applyNumberFormat="0" applyBorder="0" applyAlignment="0" applyProtection="0"/>
    <xf numFmtId="0" fontId="1" fillId="57" borderId="171" applyNumberFormat="0" applyFont="0" applyAlignment="0" applyProtection="0"/>
    <xf numFmtId="0" fontId="1" fillId="72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71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3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9" borderId="0" applyNumberFormat="0" applyBorder="0" applyAlignment="0" applyProtection="0"/>
    <xf numFmtId="0" fontId="1" fillId="81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46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73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1" fillId="26" borderId="281" applyNumberFormat="0" applyFont="0" applyAlignment="0" applyProtection="0"/>
    <xf numFmtId="0" fontId="1" fillId="76" borderId="0" applyNumberFormat="0" applyBorder="0" applyAlignment="0" applyProtection="0"/>
    <xf numFmtId="0" fontId="1" fillId="81" borderId="0" applyNumberFormat="0" applyBorder="0" applyAlignment="0" applyProtection="0"/>
    <xf numFmtId="0" fontId="1" fillId="76" borderId="0" applyNumberFormat="0" applyBorder="0" applyAlignment="0" applyProtection="0"/>
    <xf numFmtId="0" fontId="1" fillId="76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68" borderId="0" applyNumberFormat="0" applyBorder="0" applyAlignment="0" applyProtection="0"/>
    <xf numFmtId="0" fontId="1" fillId="77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45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73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21" fillId="26" borderId="281" applyNumberFormat="0" applyFont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9" borderId="0" applyNumberFormat="0" applyBorder="0" applyAlignment="0" applyProtection="0"/>
    <xf numFmtId="0" fontId="1" fillId="45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73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68" borderId="0" applyNumberFormat="0" applyBorder="0" applyAlignment="0" applyProtection="0"/>
    <xf numFmtId="0" fontId="1" fillId="46" borderId="0" applyNumberFormat="0" applyBorder="0" applyAlignment="0" applyProtection="0"/>
    <xf numFmtId="0" fontId="1" fillId="76" borderId="0" applyNumberFormat="0" applyBorder="0" applyAlignment="0" applyProtection="0"/>
    <xf numFmtId="0" fontId="81" fillId="0" borderId="280" applyNumberFormat="0" applyFill="0" applyAlignment="0" applyProtection="0"/>
    <xf numFmtId="0" fontId="1" fillId="79" borderId="0" applyNumberFormat="0" applyBorder="0" applyAlignment="0" applyProtection="0"/>
    <xf numFmtId="0" fontId="1" fillId="46" borderId="0" applyNumberFormat="0" applyBorder="0" applyAlignment="0" applyProtection="0"/>
    <xf numFmtId="0" fontId="1" fillId="57" borderId="171" applyNumberFormat="0" applyFont="0" applyAlignment="0" applyProtection="0"/>
    <xf numFmtId="0" fontId="1" fillId="71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81" borderId="0" applyNumberFormat="0" applyBorder="0" applyAlignment="0" applyProtection="0"/>
    <xf numFmtId="0" fontId="1" fillId="72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73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80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69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72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7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69" borderId="0" applyNumberFormat="0" applyBorder="0" applyAlignment="0" applyProtection="0"/>
    <xf numFmtId="0" fontId="33" fillId="5" borderId="278" applyNumberFormat="0" applyAlignment="0" applyProtection="0"/>
    <xf numFmtId="0" fontId="1" fillId="71" borderId="0" applyNumberFormat="0" applyBorder="0" applyAlignment="0" applyProtection="0"/>
    <xf numFmtId="0" fontId="1" fillId="7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45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1" fillId="7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2" borderId="0" applyNumberFormat="0" applyBorder="0" applyAlignment="0" applyProtection="0"/>
    <xf numFmtId="0" fontId="1" fillId="79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80" borderId="0" applyNumberFormat="0" applyBorder="0" applyAlignment="0" applyProtection="0"/>
    <xf numFmtId="0" fontId="1" fillId="68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72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1" fillId="81" borderId="0" applyNumberFormat="0" applyBorder="0" applyAlignment="0" applyProtection="0"/>
    <xf numFmtId="0" fontId="1" fillId="68" borderId="0" applyNumberFormat="0" applyBorder="0" applyAlignment="0" applyProtection="0"/>
    <xf numFmtId="0" fontId="1" fillId="81" borderId="0" applyNumberFormat="0" applyBorder="0" applyAlignment="0" applyProtection="0"/>
    <xf numFmtId="0" fontId="1" fillId="68" borderId="0" applyNumberFormat="0" applyBorder="0" applyAlignment="0" applyProtection="0"/>
    <xf numFmtId="0" fontId="1" fillId="57" borderId="171" applyNumberFormat="0" applyFont="0" applyAlignment="0" applyProtection="0"/>
    <xf numFmtId="0" fontId="1" fillId="77" borderId="0" applyNumberFormat="0" applyBorder="0" applyAlignment="0" applyProtection="0"/>
    <xf numFmtId="0" fontId="25" fillId="11" borderId="278" applyNumberFormat="0" applyAlignment="0" applyProtection="0"/>
    <xf numFmtId="0" fontId="1" fillId="79" borderId="0" applyNumberFormat="0" applyBorder="0" applyAlignment="0" applyProtection="0"/>
    <xf numFmtId="0" fontId="1" fillId="57" borderId="171" applyNumberFormat="0" applyFont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69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7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81" fillId="0" borderId="280" applyNumberFormat="0" applyFill="0" applyAlignment="0" applyProtection="0"/>
    <xf numFmtId="0" fontId="1" fillId="57" borderId="171" applyNumberFormat="0" applyFont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7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69" borderId="0" applyNumberFormat="0" applyBorder="0" applyAlignment="0" applyProtection="0"/>
    <xf numFmtId="0" fontId="1" fillId="76" borderId="0" applyNumberFormat="0" applyBorder="0" applyAlignment="0" applyProtection="0"/>
    <xf numFmtId="0" fontId="1" fillId="79" borderId="0" applyNumberFormat="0" applyBorder="0" applyAlignment="0" applyProtection="0"/>
    <xf numFmtId="0" fontId="1" fillId="81" borderId="0" applyNumberFormat="0" applyBorder="0" applyAlignment="0" applyProtection="0"/>
    <xf numFmtId="0" fontId="1" fillId="81" borderId="0" applyNumberFormat="0" applyBorder="0" applyAlignment="0" applyProtection="0"/>
    <xf numFmtId="0" fontId="1" fillId="71" borderId="0" applyNumberFormat="0" applyBorder="0" applyAlignment="0" applyProtection="0"/>
    <xf numFmtId="0" fontId="1" fillId="81" borderId="0" applyNumberFormat="0" applyBorder="0" applyAlignment="0" applyProtection="0"/>
    <xf numFmtId="0" fontId="1" fillId="46" borderId="0" applyNumberFormat="0" applyBorder="0" applyAlignment="0" applyProtection="0"/>
    <xf numFmtId="0" fontId="1" fillId="57" borderId="171" applyNumberFormat="0" applyFont="0" applyAlignment="0" applyProtection="0"/>
    <xf numFmtId="0" fontId="1" fillId="45" borderId="0" applyNumberFormat="0" applyBorder="0" applyAlignment="0" applyProtection="0"/>
    <xf numFmtId="0" fontId="1" fillId="73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9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68" borderId="0" applyNumberFormat="0" applyBorder="0" applyAlignment="0" applyProtection="0"/>
    <xf numFmtId="0" fontId="1" fillId="73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45" borderId="0" applyNumberFormat="0" applyBorder="0" applyAlignment="0" applyProtection="0"/>
    <xf numFmtId="0" fontId="39" fillId="0" borderId="283" applyNumberFormat="0" applyFill="0" applyAlignment="0" applyProtection="0"/>
    <xf numFmtId="0" fontId="94" fillId="0" borderId="284" applyNumberFormat="0" applyFill="0" applyAlignment="0" applyProtection="0"/>
    <xf numFmtId="0" fontId="1" fillId="69" borderId="0" applyNumberFormat="0" applyBorder="0" applyAlignment="0" applyProtection="0"/>
    <xf numFmtId="0" fontId="1" fillId="79" borderId="0" applyNumberFormat="0" applyBorder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57" borderId="171" applyNumberFormat="0" applyFont="0" applyAlignment="0" applyProtection="0"/>
    <xf numFmtId="0" fontId="21" fillId="26" borderId="281" applyNumberFormat="0" applyFont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45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57" borderId="171" applyNumberFormat="0" applyFont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57" borderId="171" applyNumberFormat="0" applyFont="0" applyAlignment="0" applyProtection="0"/>
    <xf numFmtId="0" fontId="1" fillId="72" borderId="0" applyNumberFormat="0" applyBorder="0" applyAlignment="0" applyProtection="0"/>
    <xf numFmtId="0" fontId="1" fillId="68" borderId="0" applyNumberFormat="0" applyBorder="0" applyAlignment="0" applyProtection="0"/>
    <xf numFmtId="0" fontId="1" fillId="57" borderId="171" applyNumberFormat="0" applyFont="0" applyAlignment="0" applyProtection="0"/>
    <xf numFmtId="0" fontId="94" fillId="0" borderId="284" applyNumberFormat="0" applyFill="0" applyAlignment="0" applyProtection="0"/>
    <xf numFmtId="0" fontId="1" fillId="45" borderId="0" applyNumberFormat="0" applyBorder="0" applyAlignment="0" applyProtection="0"/>
    <xf numFmtId="0" fontId="1" fillId="69" borderId="0" applyNumberFormat="0" applyBorder="0" applyAlignment="0" applyProtection="0"/>
    <xf numFmtId="0" fontId="1" fillId="45" borderId="0" applyNumberFormat="0" applyBorder="0" applyAlignment="0" applyProtection="0"/>
    <xf numFmtId="0" fontId="1" fillId="68" borderId="0" applyNumberFormat="0" applyBorder="0" applyAlignment="0" applyProtection="0"/>
    <xf numFmtId="0" fontId="1" fillId="57" borderId="171" applyNumberFormat="0" applyFont="0" applyAlignment="0" applyProtection="0"/>
    <xf numFmtId="0" fontId="1" fillId="80" borderId="0" applyNumberFormat="0" applyBorder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3" borderId="0" applyNumberFormat="0" applyBorder="0" applyAlignment="0" applyProtection="0"/>
    <xf numFmtId="0" fontId="1" fillId="73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46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68" borderId="0" applyNumberFormat="0" applyBorder="0" applyAlignment="0" applyProtection="0"/>
    <xf numFmtId="0" fontId="1" fillId="79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94" fillId="0" borderId="284" applyNumberFormat="0" applyFill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80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57" borderId="171" applyNumberFormat="0" applyFont="0" applyAlignment="0" applyProtection="0"/>
    <xf numFmtId="0" fontId="1" fillId="57" borderId="171" applyNumberFormat="0" applyFont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77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57" borderId="171" applyNumberFormat="0" applyFont="0" applyAlignment="0" applyProtection="0"/>
    <xf numFmtId="0" fontId="1" fillId="73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76" borderId="0" applyNumberFormat="0" applyBorder="0" applyAlignment="0" applyProtection="0"/>
    <xf numFmtId="0" fontId="1" fillId="79" borderId="0" applyNumberFormat="0" applyBorder="0" applyAlignment="0" applyProtection="0"/>
    <xf numFmtId="0" fontId="1" fillId="79" borderId="0" applyNumberFormat="0" applyBorder="0" applyAlignment="0" applyProtection="0"/>
    <xf numFmtId="0" fontId="1" fillId="71" borderId="0" applyNumberFormat="0" applyBorder="0" applyAlignment="0" applyProtection="0"/>
    <xf numFmtId="0" fontId="1" fillId="80" borderId="0" applyNumberFormat="0" applyBorder="0" applyAlignment="0" applyProtection="0"/>
    <xf numFmtId="0" fontId="21" fillId="26" borderId="281" applyNumberFormat="0" applyFont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72" borderId="0" applyNumberFormat="0" applyBorder="0" applyAlignment="0" applyProtection="0"/>
    <xf numFmtId="0" fontId="1" fillId="71" borderId="0" applyNumberFormat="0" applyBorder="0" applyAlignment="0" applyProtection="0"/>
    <xf numFmtId="0" fontId="1" fillId="45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6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73" borderId="0" applyNumberFormat="0" applyBorder="0" applyAlignment="0" applyProtection="0"/>
    <xf numFmtId="0" fontId="1" fillId="68" borderId="0" applyNumberFormat="0" applyBorder="0" applyAlignment="0" applyProtection="0"/>
    <xf numFmtId="0" fontId="1" fillId="79" borderId="0" applyNumberFormat="0" applyBorder="0" applyAlignment="0" applyProtection="0"/>
    <xf numFmtId="0" fontId="1" fillId="72" borderId="0" applyNumberFormat="0" applyBorder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45" borderId="0" applyNumberFormat="0" applyBorder="0" applyAlignment="0" applyProtection="0"/>
    <xf numFmtId="0" fontId="1" fillId="77" borderId="0" applyNumberFormat="0" applyBorder="0" applyAlignment="0" applyProtection="0"/>
    <xf numFmtId="0" fontId="1" fillId="76" borderId="0" applyNumberFormat="0" applyBorder="0" applyAlignment="0" applyProtection="0"/>
    <xf numFmtId="0" fontId="1" fillId="46" borderId="0" applyNumberFormat="0" applyBorder="0" applyAlignment="0" applyProtection="0"/>
    <xf numFmtId="0" fontId="1" fillId="57" borderId="171" applyNumberFormat="0" applyFont="0" applyAlignment="0" applyProtection="0"/>
    <xf numFmtId="0" fontId="1" fillId="79" borderId="0" applyNumberFormat="0" applyBorder="0" applyAlignment="0" applyProtection="0"/>
    <xf numFmtId="0" fontId="1" fillId="73" borderId="0" applyNumberFormat="0" applyBorder="0" applyAlignment="0" applyProtection="0"/>
    <xf numFmtId="0" fontId="1" fillId="72" borderId="0" applyNumberFormat="0" applyBorder="0" applyAlignment="0" applyProtection="0"/>
    <xf numFmtId="0" fontId="1" fillId="69" borderId="0" applyNumberFormat="0" applyBorder="0" applyAlignment="0" applyProtection="0"/>
    <xf numFmtId="0" fontId="1" fillId="45" borderId="0" applyNumberFormat="0" applyBorder="0" applyAlignment="0" applyProtection="0"/>
    <xf numFmtId="0" fontId="1" fillId="76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25" fillId="11" borderId="278" applyNumberFormat="0" applyAlignment="0" applyProtection="0"/>
    <xf numFmtId="0" fontId="1" fillId="45" borderId="0" applyNumberFormat="0" applyBorder="0" applyAlignment="0" applyProtection="0"/>
    <xf numFmtId="0" fontId="1" fillId="77" borderId="0" applyNumberFormat="0" applyBorder="0" applyAlignment="0" applyProtection="0"/>
    <xf numFmtId="0" fontId="32" fillId="0" borderId="275" applyNumberFormat="0" applyFill="0" applyAlignment="0" applyProtection="0"/>
    <xf numFmtId="0" fontId="81" fillId="0" borderId="276" applyNumberFormat="0" applyFill="0" applyAlignment="0" applyProtection="0"/>
    <xf numFmtId="0" fontId="81" fillId="0" borderId="276" applyNumberFormat="0" applyFill="0" applyAlignment="0" applyProtection="0"/>
    <xf numFmtId="0" fontId="81" fillId="0" borderId="276" applyNumberFormat="0" applyFill="0" applyAlignment="0" applyProtection="0"/>
    <xf numFmtId="0" fontId="94" fillId="0" borderId="284" applyNumberFormat="0" applyFill="0" applyAlignment="0" applyProtection="0"/>
    <xf numFmtId="0" fontId="37" fillId="11" borderId="282" applyNumberFormat="0" applyAlignment="0" applyProtection="0"/>
    <xf numFmtId="0" fontId="33" fillId="5" borderId="278" applyNumberFormat="0" applyAlignment="0" applyProtection="0"/>
    <xf numFmtId="0" fontId="81" fillId="0" borderId="276" applyNumberFormat="0" applyFill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1" fillId="79" borderId="0" applyNumberFormat="0" applyBorder="0" applyAlignment="0" applyProtection="0"/>
    <xf numFmtId="0" fontId="94" fillId="0" borderId="284" applyNumberFormat="0" applyFill="0" applyAlignment="0" applyProtection="0"/>
    <xf numFmtId="0" fontId="1" fillId="71" borderId="0" applyNumberFormat="0" applyBorder="0" applyAlignment="0" applyProtection="0"/>
    <xf numFmtId="0" fontId="1" fillId="77" borderId="0" applyNumberFormat="0" applyBorder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1" fillId="79" borderId="0" applyNumberFormat="0" applyBorder="0" applyAlignment="0" applyProtection="0"/>
    <xf numFmtId="0" fontId="33" fillId="5" borderId="278" applyNumberFormat="0" applyAlignment="0" applyProtection="0"/>
    <xf numFmtId="0" fontId="94" fillId="0" borderId="284" applyNumberFormat="0" applyFill="0" applyAlignment="0" applyProtection="0"/>
    <xf numFmtId="0" fontId="1" fillId="72" borderId="0" applyNumberFormat="0" applyBorder="0" applyAlignment="0" applyProtection="0"/>
    <xf numFmtId="0" fontId="81" fillId="0" borderId="276" applyNumberFormat="0" applyFill="0" applyAlignment="0" applyProtection="0"/>
    <xf numFmtId="0" fontId="21" fillId="26" borderId="281" applyNumberFormat="0" applyFont="0" applyAlignment="0" applyProtection="0"/>
    <xf numFmtId="0" fontId="81" fillId="0" borderId="280" applyNumberFormat="0" applyFill="0" applyAlignment="0" applyProtection="0"/>
    <xf numFmtId="0" fontId="1" fillId="81" borderId="0" applyNumberFormat="0" applyBorder="0" applyAlignment="0" applyProtection="0"/>
    <xf numFmtId="0" fontId="1" fillId="45" borderId="0" applyNumberFormat="0" applyBorder="0" applyAlignment="0" applyProtection="0"/>
    <xf numFmtId="0" fontId="81" fillId="0" borderId="276" applyNumberFormat="0" applyFill="0" applyAlignment="0" applyProtection="0"/>
    <xf numFmtId="0" fontId="1" fillId="68" borderId="0" applyNumberFormat="0" applyBorder="0" applyAlignment="0" applyProtection="0"/>
    <xf numFmtId="0" fontId="1" fillId="57" borderId="171" applyNumberFormat="0" applyFont="0" applyAlignment="0" applyProtection="0"/>
    <xf numFmtId="0" fontId="1" fillId="45" borderId="0" applyNumberFormat="0" applyBorder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37" fillId="11" borderId="282" applyNumberFormat="0" applyAlignment="0" applyProtection="0"/>
    <xf numFmtId="0" fontId="1" fillId="80" borderId="0" applyNumberFormat="0" applyBorder="0" applyAlignment="0" applyProtection="0"/>
    <xf numFmtId="0" fontId="1" fillId="79" borderId="0" applyNumberFormat="0" applyBorder="0" applyAlignment="0" applyProtection="0"/>
    <xf numFmtId="0" fontId="1" fillId="77" borderId="0" applyNumberFormat="0" applyBorder="0" applyAlignment="0" applyProtection="0"/>
    <xf numFmtId="0" fontId="1" fillId="76" borderId="0" applyNumberFormat="0" applyBorder="0" applyAlignment="0" applyProtection="0"/>
    <xf numFmtId="0" fontId="39" fillId="0" borderId="283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1" fillId="72" borderId="0" applyNumberFormat="0" applyBorder="0" applyAlignment="0" applyProtection="0"/>
    <xf numFmtId="0" fontId="1" fillId="57" borderId="171" applyNumberFormat="0" applyFont="0" applyAlignment="0" applyProtection="0"/>
    <xf numFmtId="0" fontId="1" fillId="69" borderId="0" applyNumberFormat="0" applyBorder="0" applyAlignment="0" applyProtection="0"/>
    <xf numFmtId="0" fontId="25" fillId="11" borderId="278" applyNumberFormat="0" applyAlignment="0" applyProtection="0"/>
    <xf numFmtId="0" fontId="1" fillId="57" borderId="171" applyNumberFormat="0" applyFont="0" applyAlignment="0" applyProtection="0"/>
    <xf numFmtId="0" fontId="94" fillId="0" borderId="284" applyNumberFormat="0" applyFill="0" applyAlignment="0" applyProtection="0"/>
    <xf numFmtId="0" fontId="1" fillId="68" borderId="0" applyNumberFormat="0" applyBorder="0" applyAlignment="0" applyProtection="0"/>
    <xf numFmtId="0" fontId="1" fillId="57" borderId="171" applyNumberFormat="0" applyFont="0" applyAlignment="0" applyProtection="0"/>
    <xf numFmtId="0" fontId="1" fillId="71" borderId="0" applyNumberFormat="0" applyBorder="0" applyAlignment="0" applyProtection="0"/>
    <xf numFmtId="0" fontId="1" fillId="81" borderId="0" applyNumberFormat="0" applyBorder="0" applyAlignment="0" applyProtection="0"/>
    <xf numFmtId="0" fontId="1" fillId="76" borderId="0" applyNumberFormat="0" applyBorder="0" applyAlignment="0" applyProtection="0"/>
    <xf numFmtId="0" fontId="1" fillId="69" borderId="0" applyNumberFormat="0" applyBorder="0" applyAlignment="0" applyProtection="0"/>
    <xf numFmtId="0" fontId="1" fillId="46" borderId="0" applyNumberFormat="0" applyBorder="0" applyAlignment="0" applyProtection="0"/>
    <xf numFmtId="0" fontId="1" fillId="80" borderId="0" applyNumberFormat="0" applyBorder="0" applyAlignment="0" applyProtection="0"/>
    <xf numFmtId="0" fontId="1" fillId="77" borderId="0" applyNumberFormat="0" applyBorder="0" applyAlignment="0" applyProtection="0"/>
    <xf numFmtId="0" fontId="1" fillId="76" borderId="0" applyNumberFormat="0" applyBorder="0" applyAlignment="0" applyProtection="0"/>
    <xf numFmtId="0" fontId="1" fillId="68" borderId="0" applyNumberFormat="0" applyBorder="0" applyAlignment="0" applyProtection="0"/>
    <xf numFmtId="0" fontId="1" fillId="80" borderId="0" applyNumberFormat="0" applyBorder="0" applyAlignment="0" applyProtection="0"/>
    <xf numFmtId="0" fontId="1" fillId="72" borderId="0" applyNumberFormat="0" applyBorder="0" applyAlignment="0" applyProtection="0"/>
    <xf numFmtId="0" fontId="1" fillId="46" borderId="0" applyNumberFormat="0" applyBorder="0" applyAlignment="0" applyProtection="0"/>
    <xf numFmtId="0" fontId="1" fillId="79" borderId="0" applyNumberFormat="0" applyBorder="0" applyAlignment="0" applyProtection="0"/>
    <xf numFmtId="0" fontId="1" fillId="45" borderId="0" applyNumberFormat="0" applyBorder="0" applyAlignment="0" applyProtection="0"/>
    <xf numFmtId="0" fontId="1" fillId="71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68" borderId="0" applyNumberFormat="0" applyBorder="0" applyAlignment="0" applyProtection="0"/>
    <xf numFmtId="0" fontId="21" fillId="26" borderId="281" applyNumberFormat="0" applyFont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76" borderId="0" applyNumberFormat="0" applyBorder="0" applyAlignment="0" applyProtection="0"/>
    <xf numFmtId="0" fontId="1" fillId="76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73" borderId="0" applyNumberFormat="0" applyBorder="0" applyAlignment="0" applyProtection="0"/>
    <xf numFmtId="0" fontId="1" fillId="73" borderId="0" applyNumberFormat="0" applyBorder="0" applyAlignment="0" applyProtection="0"/>
    <xf numFmtId="0" fontId="94" fillId="0" borderId="284" applyNumberFormat="0" applyFill="0" applyAlignment="0" applyProtection="0"/>
    <xf numFmtId="0" fontId="1" fillId="57" borderId="171" applyNumberFormat="0" applyFont="0" applyAlignment="0" applyProtection="0"/>
    <xf numFmtId="0" fontId="1" fillId="80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57" borderId="171" applyNumberFormat="0" applyFont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2" borderId="0" applyNumberFormat="0" applyBorder="0" applyAlignment="0" applyProtection="0"/>
    <xf numFmtId="0" fontId="1" fillId="79" borderId="0" applyNumberFormat="0" applyBorder="0" applyAlignment="0" applyProtection="0"/>
    <xf numFmtId="0" fontId="94" fillId="0" borderId="284" applyNumberFormat="0" applyFill="0" applyAlignment="0" applyProtection="0"/>
    <xf numFmtId="0" fontId="21" fillId="26" borderId="281" applyNumberFormat="0" applyFont="0" applyAlignment="0" applyProtection="0"/>
    <xf numFmtId="0" fontId="1" fillId="81" borderId="0" applyNumberFormat="0" applyBorder="0" applyAlignment="0" applyProtection="0"/>
    <xf numFmtId="0" fontId="1" fillId="72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94" fillId="0" borderId="284" applyNumberFormat="0" applyFill="0" applyAlignment="0" applyProtection="0"/>
    <xf numFmtId="0" fontId="21" fillId="26" borderId="281" applyNumberFormat="0" applyFont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80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81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39" fillId="0" borderId="283" applyNumberFormat="0" applyFill="0" applyAlignment="0" applyProtection="0"/>
    <xf numFmtId="0" fontId="1" fillId="57" borderId="171" applyNumberFormat="0" applyFont="0" applyAlignment="0" applyProtection="0"/>
    <xf numFmtId="0" fontId="21" fillId="26" borderId="281" applyNumberFormat="0" applyFont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79" borderId="0" applyNumberFormat="0" applyBorder="0" applyAlignment="0" applyProtection="0"/>
    <xf numFmtId="0" fontId="1" fillId="71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68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76" borderId="0" applyNumberFormat="0" applyBorder="0" applyAlignment="0" applyProtection="0"/>
    <xf numFmtId="0" fontId="1" fillId="72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77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45" borderId="0" applyNumberFormat="0" applyBorder="0" applyAlignment="0" applyProtection="0"/>
    <xf numFmtId="0" fontId="1" fillId="72" borderId="0" applyNumberFormat="0" applyBorder="0" applyAlignment="0" applyProtection="0"/>
    <xf numFmtId="0" fontId="1" fillId="71" borderId="0" applyNumberFormat="0" applyBorder="0" applyAlignment="0" applyProtection="0"/>
    <xf numFmtId="0" fontId="1" fillId="68" borderId="0" applyNumberFormat="0" applyBorder="0" applyAlignment="0" applyProtection="0"/>
    <xf numFmtId="0" fontId="1" fillId="77" borderId="0" applyNumberFormat="0" applyBorder="0" applyAlignment="0" applyProtection="0"/>
    <xf numFmtId="0" fontId="1" fillId="73" borderId="0" applyNumberFormat="0" applyBorder="0" applyAlignment="0" applyProtection="0"/>
    <xf numFmtId="0" fontId="1" fillId="46" borderId="0" applyNumberFormat="0" applyBorder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33" fillId="5" borderId="278" applyNumberFormat="0" applyAlignment="0" applyProtection="0"/>
    <xf numFmtId="0" fontId="25" fillId="11" borderId="278" applyNumberFormat="0" applyAlignment="0" applyProtection="0"/>
    <xf numFmtId="0" fontId="33" fillId="5" borderId="278" applyNumberFormat="0" applyAlignment="0" applyProtection="0"/>
    <xf numFmtId="0" fontId="1" fillId="76" borderId="0" applyNumberFormat="0" applyBorder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37" fillId="11" borderId="282" applyNumberFormat="0" applyAlignment="0" applyProtection="0"/>
    <xf numFmtId="0" fontId="39" fillId="0" borderId="283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1" fillId="71" borderId="0" applyNumberFormat="0" applyBorder="0" applyAlignment="0" applyProtection="0"/>
    <xf numFmtId="0" fontId="37" fillId="11" borderId="282" applyNumberFormat="0" applyAlignment="0" applyProtection="0"/>
    <xf numFmtId="0" fontId="1" fillId="73" borderId="0" applyNumberFormat="0" applyBorder="0" applyAlignment="0" applyProtection="0"/>
    <xf numFmtId="0" fontId="1" fillId="79" borderId="0" applyNumberFormat="0" applyBorder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1" fillId="26" borderId="281" applyNumberFormat="0" applyFont="0" applyAlignment="0" applyProtection="0"/>
    <xf numFmtId="0" fontId="1" fillId="77" borderId="0" applyNumberFormat="0" applyBorder="0" applyAlignment="0" applyProtection="0"/>
    <xf numFmtId="0" fontId="37" fillId="11" borderId="282" applyNumberFormat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81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7" borderId="0" applyNumberFormat="0" applyBorder="0" applyAlignment="0" applyProtection="0"/>
    <xf numFmtId="0" fontId="1" fillId="73" borderId="0" applyNumberFormat="0" applyBorder="0" applyAlignment="0" applyProtection="0"/>
    <xf numFmtId="0" fontId="1" fillId="46" borderId="0" applyNumberFormat="0" applyBorder="0" applyAlignment="0" applyProtection="0"/>
    <xf numFmtId="0" fontId="1" fillId="45" borderId="0" applyNumberFormat="0" applyBorder="0" applyAlignment="0" applyProtection="0"/>
    <xf numFmtId="0" fontId="1" fillId="79" borderId="0" applyNumberFormat="0" applyBorder="0" applyAlignment="0" applyProtection="0"/>
    <xf numFmtId="0" fontId="1" fillId="76" borderId="0" applyNumberFormat="0" applyBorder="0" applyAlignment="0" applyProtection="0"/>
    <xf numFmtId="0" fontId="1" fillId="68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46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76" borderId="0" applyNumberFormat="0" applyBorder="0" applyAlignment="0" applyProtection="0"/>
    <xf numFmtId="0" fontId="1" fillId="72" borderId="0" applyNumberFormat="0" applyBorder="0" applyAlignment="0" applyProtection="0"/>
    <xf numFmtId="0" fontId="1" fillId="71" borderId="0" applyNumberFormat="0" applyBorder="0" applyAlignment="0" applyProtection="0"/>
    <xf numFmtId="0" fontId="94" fillId="0" borderId="284" applyNumberFormat="0" applyFill="0" applyAlignment="0" applyProtection="0"/>
    <xf numFmtId="0" fontId="39" fillId="0" borderId="283" applyNumberFormat="0" applyFill="0" applyAlignment="0" applyProtection="0"/>
    <xf numFmtId="0" fontId="25" fillId="11" borderId="278" applyNumberFormat="0" applyAlignment="0" applyProtection="0"/>
    <xf numFmtId="0" fontId="25" fillId="11" borderId="278" applyNumberFormat="0" applyAlignment="0" applyProtection="0"/>
    <xf numFmtId="0" fontId="33" fillId="5" borderId="278" applyNumberFormat="0" applyAlignment="0" applyProtection="0"/>
    <xf numFmtId="0" fontId="1" fillId="45" borderId="0" applyNumberFormat="0" applyBorder="0" applyAlignment="0" applyProtection="0"/>
    <xf numFmtId="0" fontId="1" fillId="72" borderId="0" applyNumberFormat="0" applyBorder="0" applyAlignment="0" applyProtection="0"/>
    <xf numFmtId="0" fontId="1" fillId="69" borderId="0" applyNumberFormat="0" applyBorder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37" fillId="11" borderId="282" applyNumberFormat="0" applyAlignment="0" applyProtection="0"/>
    <xf numFmtId="0" fontId="39" fillId="0" borderId="283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21" fillId="26" borderId="281" applyNumberFormat="0" applyFont="0" applyAlignment="0" applyProtection="0"/>
    <xf numFmtId="0" fontId="1" fillId="72" borderId="0" applyNumberFormat="0" applyBorder="0" applyAlignment="0" applyProtection="0"/>
    <xf numFmtId="0" fontId="1" fillId="77" borderId="0" applyNumberFormat="0" applyBorder="0" applyAlignment="0" applyProtection="0"/>
    <xf numFmtId="0" fontId="1" fillId="45" borderId="0" applyNumberFormat="0" applyBorder="0" applyAlignment="0" applyProtection="0"/>
    <xf numFmtId="0" fontId="1" fillId="68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68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57" borderId="171" applyNumberFormat="0" applyFont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7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45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46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73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79" borderId="0" applyNumberFormat="0" applyBorder="0" applyAlignment="0" applyProtection="0"/>
    <xf numFmtId="0" fontId="1" fillId="72" borderId="0" applyNumberFormat="0" applyBorder="0" applyAlignment="0" applyProtection="0"/>
    <xf numFmtId="0" fontId="1" fillId="57" borderId="171" applyNumberFormat="0" applyFont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72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79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1" fillId="57" borderId="171" applyNumberFormat="0" applyFont="0" applyAlignment="0" applyProtection="0"/>
    <xf numFmtId="0" fontId="1" fillId="45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57" borderId="171" applyNumberFormat="0" applyFont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80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5" fillId="11" borderId="278" applyNumberFormat="0" applyAlignment="0" applyProtection="0"/>
    <xf numFmtId="0" fontId="33" fillId="5" borderId="278" applyNumberForma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37" fillId="11" borderId="282" applyNumberFormat="0" applyAlignment="0" applyProtection="0"/>
    <xf numFmtId="0" fontId="39" fillId="0" borderId="283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68" borderId="0" applyNumberFormat="0" applyBorder="0" applyAlignment="0" applyProtection="0"/>
    <xf numFmtId="0" fontId="1" fillId="80" borderId="0" applyNumberFormat="0" applyBorder="0" applyAlignment="0" applyProtection="0"/>
    <xf numFmtId="0" fontId="1" fillId="73" borderId="0" applyNumberFormat="0" applyBorder="0" applyAlignment="0" applyProtection="0"/>
    <xf numFmtId="0" fontId="1" fillId="46" borderId="0" applyNumberFormat="0" applyBorder="0" applyAlignment="0" applyProtection="0"/>
    <xf numFmtId="0" fontId="1" fillId="79" borderId="0" applyNumberFormat="0" applyBorder="0" applyAlignment="0" applyProtection="0"/>
    <xf numFmtId="0" fontId="1" fillId="68" borderId="0" applyNumberFormat="0" applyBorder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68" borderId="0" applyNumberFormat="0" applyBorder="0" applyAlignment="0" applyProtection="0"/>
    <xf numFmtId="0" fontId="1" fillId="46" borderId="0" applyNumberFormat="0" applyBorder="0" applyAlignment="0" applyProtection="0"/>
    <xf numFmtId="0" fontId="1" fillId="77" borderId="0" applyNumberFormat="0" applyBorder="0" applyAlignment="0" applyProtection="0"/>
    <xf numFmtId="0" fontId="21" fillId="26" borderId="281" applyNumberFormat="0" applyFont="0" applyAlignment="0" applyProtection="0"/>
    <xf numFmtId="0" fontId="1" fillId="73" borderId="0" applyNumberFormat="0" applyBorder="0" applyAlignment="0" applyProtection="0"/>
    <xf numFmtId="0" fontId="1" fillId="71" borderId="0" applyNumberFormat="0" applyBorder="0" applyAlignment="0" applyProtection="0"/>
    <xf numFmtId="0" fontId="1" fillId="72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79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57" borderId="171" applyNumberFormat="0" applyFont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46" borderId="0" applyNumberFormat="0" applyBorder="0" applyAlignment="0" applyProtection="0"/>
    <xf numFmtId="0" fontId="1" fillId="81" borderId="0" applyNumberFormat="0" applyBorder="0" applyAlignment="0" applyProtection="0"/>
    <xf numFmtId="0" fontId="25" fillId="11" borderId="278" applyNumberFormat="0" applyAlignment="0" applyProtection="0"/>
    <xf numFmtId="0" fontId="1" fillId="80" borderId="0" applyNumberFormat="0" applyBorder="0" applyAlignment="0" applyProtection="0"/>
    <xf numFmtId="0" fontId="32" fillId="0" borderId="275" applyNumberFormat="0" applyFill="0" applyAlignment="0" applyProtection="0"/>
    <xf numFmtId="0" fontId="81" fillId="0" borderId="276" applyNumberFormat="0" applyFill="0" applyAlignment="0" applyProtection="0"/>
    <xf numFmtId="0" fontId="81" fillId="0" borderId="276" applyNumberFormat="0" applyFill="0" applyAlignment="0" applyProtection="0"/>
    <xf numFmtId="0" fontId="81" fillId="0" borderId="276" applyNumberFormat="0" applyFill="0" applyAlignment="0" applyProtection="0"/>
    <xf numFmtId="0" fontId="33" fillId="5" borderId="278" applyNumberFormat="0" applyAlignment="0" applyProtection="0"/>
    <xf numFmtId="0" fontId="1" fillId="76" borderId="0" applyNumberFormat="0" applyBorder="0" applyAlignment="0" applyProtection="0"/>
    <xf numFmtId="0" fontId="25" fillId="11" borderId="278" applyNumberFormat="0" applyAlignment="0" applyProtection="0"/>
    <xf numFmtId="0" fontId="1" fillId="80" borderId="0" applyNumberFormat="0" applyBorder="0" applyAlignment="0" applyProtection="0"/>
    <xf numFmtId="0" fontId="33" fillId="5" borderId="278" applyNumberFormat="0" applyAlignment="0" applyProtection="0"/>
    <xf numFmtId="0" fontId="94" fillId="0" borderId="284" applyNumberFormat="0" applyFill="0" applyAlignment="0" applyProtection="0"/>
    <xf numFmtId="0" fontId="1" fillId="46" borderId="0" applyNumberFormat="0" applyBorder="0" applyAlignment="0" applyProtection="0"/>
    <xf numFmtId="0" fontId="1" fillId="81" borderId="0" applyNumberFormat="0" applyBorder="0" applyAlignment="0" applyProtection="0"/>
    <xf numFmtId="0" fontId="1" fillId="45" borderId="0" applyNumberFormat="0" applyBorder="0" applyAlignment="0" applyProtection="0"/>
    <xf numFmtId="0" fontId="33" fillId="5" borderId="278" applyNumberFormat="0" applyAlignment="0" applyProtection="0"/>
    <xf numFmtId="0" fontId="81" fillId="0" borderId="276" applyNumberFormat="0" applyFill="0" applyAlignment="0" applyProtection="0"/>
    <xf numFmtId="0" fontId="1" fillId="80" borderId="0" applyNumberFormat="0" applyBorder="0" applyAlignment="0" applyProtection="0"/>
    <xf numFmtId="0" fontId="1" fillId="68" borderId="0" applyNumberFormat="0" applyBorder="0" applyAlignment="0" applyProtection="0"/>
    <xf numFmtId="0" fontId="1" fillId="79" borderId="0" applyNumberFormat="0" applyBorder="0" applyAlignment="0" applyProtection="0"/>
    <xf numFmtId="0" fontId="1" fillId="72" borderId="0" applyNumberFormat="0" applyBorder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37" fillId="11" borderId="282" applyNumberFormat="0" applyAlignment="0" applyProtection="0"/>
    <xf numFmtId="0" fontId="39" fillId="0" borderId="283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1" fillId="81" borderId="0" applyNumberFormat="0" applyBorder="0" applyAlignment="0" applyProtection="0"/>
    <xf numFmtId="0" fontId="1" fillId="71" borderId="0" applyNumberFormat="0" applyBorder="0" applyAlignment="0" applyProtection="0"/>
    <xf numFmtId="0" fontId="1" fillId="80" borderId="0" applyNumberFormat="0" applyBorder="0" applyAlignment="0" applyProtection="0"/>
    <xf numFmtId="0" fontId="1" fillId="77" borderId="0" applyNumberFormat="0" applyBorder="0" applyAlignment="0" applyProtection="0"/>
    <xf numFmtId="0" fontId="1" fillId="69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71" borderId="0" applyNumberFormat="0" applyBorder="0" applyAlignment="0" applyProtection="0"/>
    <xf numFmtId="0" fontId="1" fillId="68" borderId="0" applyNumberFormat="0" applyBorder="0" applyAlignment="0" applyProtection="0"/>
    <xf numFmtId="0" fontId="1" fillId="76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5" fillId="11" borderId="278" applyNumberFormat="0" applyAlignment="0" applyProtection="0"/>
    <xf numFmtId="0" fontId="33" fillId="5" borderId="278" applyNumberForma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37" fillId="11" borderId="282" applyNumberFormat="0" applyAlignment="0" applyProtection="0"/>
    <xf numFmtId="0" fontId="39" fillId="0" borderId="283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5" fillId="11" borderId="278" applyNumberFormat="0" applyAlignment="0" applyProtection="0"/>
    <xf numFmtId="0" fontId="33" fillId="5" borderId="278" applyNumberForma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37" fillId="11" borderId="282" applyNumberFormat="0" applyAlignment="0" applyProtection="0"/>
    <xf numFmtId="0" fontId="39" fillId="0" borderId="283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33" fillId="5" borderId="278" applyNumberFormat="0" applyAlignment="0" applyProtection="0"/>
    <xf numFmtId="0" fontId="94" fillId="0" borderId="284" applyNumberFormat="0" applyFill="0" applyAlignment="0" applyProtection="0"/>
    <xf numFmtId="0" fontId="33" fillId="5" borderId="278" applyNumberFormat="0" applyAlignment="0" applyProtection="0"/>
    <xf numFmtId="0" fontId="1" fillId="57" borderId="171" applyNumberFormat="0" applyFont="0" applyAlignment="0" applyProtection="0"/>
    <xf numFmtId="0" fontId="1" fillId="79" borderId="0" applyNumberFormat="0" applyBorder="0" applyAlignment="0" applyProtection="0"/>
    <xf numFmtId="0" fontId="1" fillId="73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2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1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94" fillId="0" borderId="284" applyNumberFormat="0" applyFill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1" fillId="73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81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46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6" borderId="0" applyNumberFormat="0" applyBorder="0" applyAlignment="0" applyProtection="0"/>
    <xf numFmtId="0" fontId="1" fillId="76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77" borderId="0" applyNumberFormat="0" applyBorder="0" applyAlignment="0" applyProtection="0"/>
    <xf numFmtId="0" fontId="1" fillId="57" borderId="171" applyNumberFormat="0" applyFont="0" applyAlignment="0" applyProtection="0"/>
    <xf numFmtId="0" fontId="1" fillId="45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73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21" fillId="26" borderId="281" applyNumberFormat="0" applyFont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9" borderId="0" applyNumberFormat="0" applyBorder="0" applyAlignment="0" applyProtection="0"/>
    <xf numFmtId="0" fontId="1" fillId="45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73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68" borderId="0" applyNumberFormat="0" applyBorder="0" applyAlignment="0" applyProtection="0"/>
    <xf numFmtId="0" fontId="1" fillId="46" borderId="0" applyNumberFormat="0" applyBorder="0" applyAlignment="0" applyProtection="0"/>
    <xf numFmtId="0" fontId="1" fillId="76" borderId="0" applyNumberFormat="0" applyBorder="0" applyAlignment="0" applyProtection="0"/>
    <xf numFmtId="0" fontId="81" fillId="0" borderId="276" applyNumberFormat="0" applyFill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81" borderId="0" applyNumberFormat="0" applyBorder="0" applyAlignment="0" applyProtection="0"/>
    <xf numFmtId="0" fontId="1" fillId="72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73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80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69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72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69" borderId="0" applyNumberFormat="0" applyBorder="0" applyAlignment="0" applyProtection="0"/>
    <xf numFmtId="0" fontId="33" fillId="5" borderId="278" applyNumberFormat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57" borderId="171" applyNumberFormat="0" applyFont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45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1" fillId="7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2" borderId="0" applyNumberFormat="0" applyBorder="0" applyAlignment="0" applyProtection="0"/>
    <xf numFmtId="0" fontId="1" fillId="79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68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45" borderId="0" applyNumberFormat="0" applyBorder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9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68" borderId="0" applyNumberFormat="0" applyBorder="0" applyAlignment="0" applyProtection="0"/>
    <xf numFmtId="0" fontId="1" fillId="73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46" borderId="0" applyNumberFormat="0" applyBorder="0" applyAlignment="0" applyProtection="0"/>
    <xf numFmtId="0" fontId="1" fillId="68" borderId="0" applyNumberFormat="0" applyBorder="0" applyAlignment="0" applyProtection="0"/>
    <xf numFmtId="0" fontId="1" fillId="80" borderId="0" applyNumberFormat="0" applyBorder="0" applyAlignment="0" applyProtection="0"/>
    <xf numFmtId="0" fontId="1" fillId="57" borderId="171" applyNumberFormat="0" applyFont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68" borderId="0" applyNumberFormat="0" applyBorder="0" applyAlignment="0" applyProtection="0"/>
    <xf numFmtId="0" fontId="1" fillId="73" borderId="0" applyNumberFormat="0" applyBorder="0" applyAlignment="0" applyProtection="0"/>
    <xf numFmtId="0" fontId="1" fillId="79" borderId="0" applyNumberFormat="0" applyBorder="0" applyAlignment="0" applyProtection="0"/>
    <xf numFmtId="0" fontId="1" fillId="45" borderId="0" applyNumberFormat="0" applyBorder="0" applyAlignment="0" applyProtection="0"/>
    <xf numFmtId="0" fontId="1" fillId="76" borderId="0" applyNumberFormat="0" applyBorder="0" applyAlignment="0" applyProtection="0"/>
    <xf numFmtId="0" fontId="1" fillId="68" borderId="0" applyNumberFormat="0" applyBorder="0" applyAlignment="0" applyProtection="0"/>
    <xf numFmtId="0" fontId="1" fillId="57" borderId="171" applyNumberFormat="0" applyFont="0" applyAlignment="0" applyProtection="0"/>
    <xf numFmtId="0" fontId="21" fillId="26" borderId="281" applyNumberFormat="0" applyFont="0" applyAlignment="0" applyProtection="0"/>
    <xf numFmtId="0" fontId="1" fillId="73" borderId="0" applyNumberFormat="0" applyBorder="0" applyAlignment="0" applyProtection="0"/>
    <xf numFmtId="0" fontId="21" fillId="26" borderId="281" applyNumberFormat="0" applyFont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68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72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79" borderId="0" applyNumberFormat="0" applyBorder="0" applyAlignment="0" applyProtection="0"/>
    <xf numFmtId="0" fontId="1" fillId="46" borderId="0" applyNumberFormat="0" applyBorder="0" applyAlignment="0" applyProtection="0"/>
    <xf numFmtId="0" fontId="1" fillId="79" borderId="0" applyNumberFormat="0" applyBorder="0" applyAlignment="0" applyProtection="0"/>
    <xf numFmtId="0" fontId="1" fillId="72" borderId="0" applyNumberFormat="0" applyBorder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45" borderId="0" applyNumberFormat="0" applyBorder="0" applyAlignment="0" applyProtection="0"/>
    <xf numFmtId="0" fontId="1" fillId="77" borderId="0" applyNumberFormat="0" applyBorder="0" applyAlignment="0" applyProtection="0"/>
    <xf numFmtId="0" fontId="1" fillId="76" borderId="0" applyNumberFormat="0" applyBorder="0" applyAlignment="0" applyProtection="0"/>
    <xf numFmtId="0" fontId="1" fillId="46" borderId="0" applyNumberFormat="0" applyBorder="0" applyAlignment="0" applyProtection="0"/>
    <xf numFmtId="0" fontId="1" fillId="57" borderId="171" applyNumberFormat="0" applyFont="0" applyAlignment="0" applyProtection="0"/>
    <xf numFmtId="0" fontId="1" fillId="79" borderId="0" applyNumberFormat="0" applyBorder="0" applyAlignment="0" applyProtection="0"/>
    <xf numFmtId="0" fontId="1" fillId="73" borderId="0" applyNumberFormat="0" applyBorder="0" applyAlignment="0" applyProtection="0"/>
    <xf numFmtId="0" fontId="1" fillId="72" borderId="0" applyNumberFormat="0" applyBorder="0" applyAlignment="0" applyProtection="0"/>
    <xf numFmtId="0" fontId="1" fillId="69" borderId="0" applyNumberFormat="0" applyBorder="0" applyAlignment="0" applyProtection="0"/>
    <xf numFmtId="0" fontId="1" fillId="45" borderId="0" applyNumberFormat="0" applyBorder="0" applyAlignment="0" applyProtection="0"/>
    <xf numFmtId="0" fontId="1" fillId="76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25" fillId="11" borderId="278" applyNumberFormat="0" applyAlignment="0" applyProtection="0"/>
    <xf numFmtId="0" fontId="1" fillId="72" borderId="0" applyNumberFormat="0" applyBorder="0" applyAlignment="0" applyProtection="0"/>
    <xf numFmtId="0" fontId="32" fillId="0" borderId="275" applyNumberFormat="0" applyFill="0" applyAlignment="0" applyProtection="0"/>
    <xf numFmtId="0" fontId="81" fillId="0" borderId="276" applyNumberFormat="0" applyFill="0" applyAlignment="0" applyProtection="0"/>
    <xf numFmtId="0" fontId="81" fillId="0" borderId="276" applyNumberFormat="0" applyFill="0" applyAlignment="0" applyProtection="0"/>
    <xf numFmtId="0" fontId="81" fillId="0" borderId="276" applyNumberFormat="0" applyFill="0" applyAlignment="0" applyProtection="0"/>
    <xf numFmtId="0" fontId="94" fillId="0" borderId="284" applyNumberFormat="0" applyFill="0" applyAlignment="0" applyProtection="0"/>
    <xf numFmtId="0" fontId="37" fillId="11" borderId="282" applyNumberFormat="0" applyAlignment="0" applyProtection="0"/>
    <xf numFmtId="0" fontId="33" fillId="5" borderId="278" applyNumberFormat="0" applyAlignment="0" applyProtection="0"/>
    <xf numFmtId="0" fontId="1" fillId="80" borderId="0" applyNumberFormat="0" applyBorder="0" applyAlignment="0" applyProtection="0"/>
    <xf numFmtId="0" fontId="1" fillId="68" borderId="0" applyNumberFormat="0" applyBorder="0" applyAlignment="0" applyProtection="0"/>
    <xf numFmtId="0" fontId="1" fillId="46" borderId="0" applyNumberFormat="0" applyBorder="0" applyAlignment="0" applyProtection="0"/>
    <xf numFmtId="0" fontId="1" fillId="80" borderId="0" applyNumberFormat="0" applyBorder="0" applyAlignment="0" applyProtection="0"/>
    <xf numFmtId="0" fontId="1" fillId="71" borderId="0" applyNumberFormat="0" applyBorder="0" applyAlignment="0" applyProtection="0"/>
    <xf numFmtId="0" fontId="33" fillId="5" borderId="278" applyNumberFormat="0" applyAlignment="0" applyProtection="0"/>
    <xf numFmtId="0" fontId="1" fillId="79" borderId="0" applyNumberFormat="0" applyBorder="0" applyAlignment="0" applyProtection="0"/>
    <xf numFmtId="0" fontId="94" fillId="0" borderId="284" applyNumberFormat="0" applyFill="0" applyAlignment="0" applyProtection="0"/>
    <xf numFmtId="0" fontId="1" fillId="68" borderId="0" applyNumberFormat="0" applyBorder="0" applyAlignment="0" applyProtection="0"/>
    <xf numFmtId="0" fontId="1" fillId="68" borderId="0" applyNumberFormat="0" applyBorder="0" applyAlignment="0" applyProtection="0"/>
    <xf numFmtId="0" fontId="32" fillId="0" borderId="279" applyNumberFormat="0" applyFill="0" applyAlignment="0" applyProtection="0"/>
    <xf numFmtId="0" fontId="37" fillId="11" borderId="282" applyNumberFormat="0" applyAlignment="0" applyProtection="0"/>
    <xf numFmtId="0" fontId="1" fillId="79" borderId="0" applyNumberFormat="0" applyBorder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37" fillId="11" borderId="282" applyNumberFormat="0" applyAlignment="0" applyProtection="0"/>
    <xf numFmtId="0" fontId="1" fillId="57" borderId="171" applyNumberFormat="0" applyFont="0" applyAlignment="0" applyProtection="0"/>
    <xf numFmtId="0" fontId="1" fillId="81" borderId="0" applyNumberFormat="0" applyBorder="0" applyAlignment="0" applyProtection="0"/>
    <xf numFmtId="0" fontId="39" fillId="0" borderId="283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1" fillId="57" borderId="171" applyNumberFormat="0" applyFont="0" applyAlignment="0" applyProtection="0"/>
    <xf numFmtId="0" fontId="1" fillId="71" borderId="0" applyNumberFormat="0" applyBorder="0" applyAlignment="0" applyProtection="0"/>
    <xf numFmtId="0" fontId="25" fillId="11" borderId="278" applyNumberFormat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57" borderId="171" applyNumberFormat="0" applyFont="0" applyAlignment="0" applyProtection="0"/>
    <xf numFmtId="0" fontId="1" fillId="57" borderId="171" applyNumberFormat="0" applyFont="0" applyAlignment="0" applyProtection="0"/>
    <xf numFmtId="0" fontId="1" fillId="81" borderId="0" applyNumberFormat="0" applyBorder="0" applyAlignment="0" applyProtection="0"/>
    <xf numFmtId="0" fontId="1" fillId="73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7" borderId="0" applyNumberFormat="0" applyBorder="0" applyAlignment="0" applyProtection="0"/>
    <xf numFmtId="0" fontId="1" fillId="77" borderId="0" applyNumberFormat="0" applyBorder="0" applyAlignment="0" applyProtection="0"/>
    <xf numFmtId="0" fontId="1" fillId="46" borderId="0" applyNumberFormat="0" applyBorder="0" applyAlignment="0" applyProtection="0"/>
    <xf numFmtId="0" fontId="1" fillId="80" borderId="0" applyNumberFormat="0" applyBorder="0" applyAlignment="0" applyProtection="0"/>
    <xf numFmtId="0" fontId="1" fillId="77" borderId="0" applyNumberFormat="0" applyBorder="0" applyAlignment="0" applyProtection="0"/>
    <xf numFmtId="0" fontId="1" fillId="46" borderId="0" applyNumberFormat="0" applyBorder="0" applyAlignment="0" applyProtection="0"/>
    <xf numFmtId="0" fontId="1" fillId="81" borderId="0" applyNumberFormat="0" applyBorder="0" applyAlignment="0" applyProtection="0"/>
    <xf numFmtId="0" fontId="1" fillId="46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73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68" borderId="0" applyNumberFormat="0" applyBorder="0" applyAlignment="0" applyProtection="0"/>
    <xf numFmtId="0" fontId="21" fillId="26" borderId="281" applyNumberFormat="0" applyFont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76" borderId="0" applyNumberFormat="0" applyBorder="0" applyAlignment="0" applyProtection="0"/>
    <xf numFmtId="0" fontId="1" fillId="76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73" borderId="0" applyNumberFormat="0" applyBorder="0" applyAlignment="0" applyProtection="0"/>
    <xf numFmtId="0" fontId="1" fillId="57" borderId="171" applyNumberFormat="0" applyFont="0" applyAlignment="0" applyProtection="0"/>
    <xf numFmtId="0" fontId="1" fillId="45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57" borderId="171" applyNumberFormat="0" applyFont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68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94" fillId="0" borderId="284" applyNumberFormat="0" applyFill="0" applyAlignment="0" applyProtection="0"/>
    <xf numFmtId="0" fontId="21" fillId="26" borderId="281" applyNumberFormat="0" applyFont="0" applyAlignment="0" applyProtection="0"/>
    <xf numFmtId="0" fontId="1" fillId="57" borderId="171" applyNumberFormat="0" applyFont="0" applyAlignment="0" applyProtection="0"/>
    <xf numFmtId="0" fontId="1" fillId="77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1" fillId="26" borderId="281" applyNumberFormat="0" applyFont="0" applyAlignment="0" applyProtection="0"/>
    <xf numFmtId="0" fontId="94" fillId="0" borderId="284" applyNumberFormat="0" applyFill="0" applyAlignment="0" applyProtection="0"/>
    <xf numFmtId="0" fontId="21" fillId="26" borderId="281" applyNumberFormat="0" applyFont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80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81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39" fillId="0" borderId="283" applyNumberFormat="0" applyFill="0" applyAlignment="0" applyProtection="0"/>
    <xf numFmtId="0" fontId="1" fillId="57" borderId="171" applyNumberFormat="0" applyFont="0" applyAlignment="0" applyProtection="0"/>
    <xf numFmtId="0" fontId="21" fillId="26" borderId="281" applyNumberFormat="0" applyFont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71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68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76" borderId="0" applyNumberFormat="0" applyBorder="0" applyAlignment="0" applyProtection="0"/>
    <xf numFmtId="0" fontId="1" fillId="72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77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45" borderId="0" applyNumberFormat="0" applyBorder="0" applyAlignment="0" applyProtection="0"/>
    <xf numFmtId="0" fontId="1" fillId="72" borderId="0" applyNumberFormat="0" applyBorder="0" applyAlignment="0" applyProtection="0"/>
    <xf numFmtId="0" fontId="1" fillId="71" borderId="0" applyNumberFormat="0" applyBorder="0" applyAlignment="0" applyProtection="0"/>
    <xf numFmtId="0" fontId="1" fillId="68" borderId="0" applyNumberFormat="0" applyBorder="0" applyAlignment="0" applyProtection="0"/>
    <xf numFmtId="0" fontId="1" fillId="77" borderId="0" applyNumberFormat="0" applyBorder="0" applyAlignment="0" applyProtection="0"/>
    <xf numFmtId="0" fontId="1" fillId="73" borderId="0" applyNumberFormat="0" applyBorder="0" applyAlignment="0" applyProtection="0"/>
    <xf numFmtId="0" fontId="1" fillId="46" borderId="0" applyNumberFormat="0" applyBorder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33" fillId="5" borderId="278" applyNumberFormat="0" applyAlignment="0" applyProtection="0"/>
    <xf numFmtId="0" fontId="25" fillId="11" borderId="278" applyNumberFormat="0" applyAlignment="0" applyProtection="0"/>
    <xf numFmtId="0" fontId="33" fillId="5" borderId="278" applyNumberForma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37" fillId="11" borderId="282" applyNumberFormat="0" applyAlignment="0" applyProtection="0"/>
    <xf numFmtId="0" fontId="39" fillId="0" borderId="283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1" fillId="71" borderId="0" applyNumberFormat="0" applyBorder="0" applyAlignment="0" applyProtection="0"/>
    <xf numFmtId="0" fontId="37" fillId="11" borderId="282" applyNumberFormat="0" applyAlignment="0" applyProtection="0"/>
    <xf numFmtId="0" fontId="1" fillId="73" borderId="0" applyNumberFormat="0" applyBorder="0" applyAlignment="0" applyProtection="0"/>
    <xf numFmtId="0" fontId="1" fillId="79" borderId="0" applyNumberFormat="0" applyBorder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45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81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7" borderId="0" applyNumberFormat="0" applyBorder="0" applyAlignment="0" applyProtection="0"/>
    <xf numFmtId="0" fontId="1" fillId="73" borderId="0" applyNumberFormat="0" applyBorder="0" applyAlignment="0" applyProtection="0"/>
    <xf numFmtId="0" fontId="1" fillId="46" borderId="0" applyNumberFormat="0" applyBorder="0" applyAlignment="0" applyProtection="0"/>
    <xf numFmtId="0" fontId="1" fillId="45" borderId="0" applyNumberFormat="0" applyBorder="0" applyAlignment="0" applyProtection="0"/>
    <xf numFmtId="0" fontId="1" fillId="79" borderId="0" applyNumberFormat="0" applyBorder="0" applyAlignment="0" applyProtection="0"/>
    <xf numFmtId="0" fontId="1" fillId="76" borderId="0" applyNumberFormat="0" applyBorder="0" applyAlignment="0" applyProtection="0"/>
    <xf numFmtId="0" fontId="1" fillId="68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46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76" borderId="0" applyNumberFormat="0" applyBorder="0" applyAlignment="0" applyProtection="0"/>
    <xf numFmtId="0" fontId="1" fillId="72" borderId="0" applyNumberFormat="0" applyBorder="0" applyAlignment="0" applyProtection="0"/>
    <xf numFmtId="0" fontId="1" fillId="71" borderId="0" applyNumberFormat="0" applyBorder="0" applyAlignment="0" applyProtection="0"/>
    <xf numFmtId="0" fontId="94" fillId="0" borderId="284" applyNumberFormat="0" applyFill="0" applyAlignment="0" applyProtection="0"/>
    <xf numFmtId="0" fontId="39" fillId="0" borderId="283" applyNumberFormat="0" applyFill="0" applyAlignment="0" applyProtection="0"/>
    <xf numFmtId="0" fontId="25" fillId="11" borderId="278" applyNumberFormat="0" applyAlignment="0" applyProtection="0"/>
    <xf numFmtId="0" fontId="25" fillId="11" borderId="278" applyNumberFormat="0" applyAlignment="0" applyProtection="0"/>
    <xf numFmtId="0" fontId="33" fillId="5" borderId="278" applyNumberForma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37" fillId="11" borderId="282" applyNumberFormat="0" applyAlignment="0" applyProtection="0"/>
    <xf numFmtId="0" fontId="39" fillId="0" borderId="283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21" fillId="26" borderId="281" applyNumberFormat="0" applyFont="0" applyAlignment="0" applyProtection="0"/>
    <xf numFmtId="0" fontId="1" fillId="72" borderId="0" applyNumberFormat="0" applyBorder="0" applyAlignment="0" applyProtection="0"/>
    <xf numFmtId="0" fontId="1" fillId="77" borderId="0" applyNumberFormat="0" applyBorder="0" applyAlignment="0" applyProtection="0"/>
    <xf numFmtId="0" fontId="1" fillId="45" borderId="0" applyNumberFormat="0" applyBorder="0" applyAlignment="0" applyProtection="0"/>
    <xf numFmtId="0" fontId="1" fillId="68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71" borderId="0" applyNumberFormat="0" applyBorder="0" applyAlignment="0" applyProtection="0"/>
    <xf numFmtId="0" fontId="94" fillId="0" borderId="284" applyNumberFormat="0" applyFill="0" applyAlignment="0" applyProtection="0"/>
    <xf numFmtId="0" fontId="1" fillId="77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7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45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46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73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72" borderId="0" applyNumberFormat="0" applyBorder="0" applyAlignment="0" applyProtection="0"/>
    <xf numFmtId="0" fontId="1" fillId="80" borderId="0" applyNumberFormat="0" applyBorder="0" applyAlignment="0" applyProtection="0"/>
    <xf numFmtId="0" fontId="1" fillId="57" borderId="171" applyNumberFormat="0" applyFont="0" applyAlignment="0" applyProtection="0"/>
    <xf numFmtId="0" fontId="1" fillId="73" borderId="0" applyNumberFormat="0" applyBorder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72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72" borderId="0" applyNumberFormat="0" applyBorder="0" applyAlignment="0" applyProtection="0"/>
    <xf numFmtId="0" fontId="1" fillId="7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57" borderId="171" applyNumberFormat="0" applyFont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7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80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5" fillId="11" borderId="278" applyNumberFormat="0" applyAlignment="0" applyProtection="0"/>
    <xf numFmtId="0" fontId="33" fillId="5" borderId="278" applyNumberForma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37" fillId="11" borderId="282" applyNumberFormat="0" applyAlignment="0" applyProtection="0"/>
    <xf numFmtId="0" fontId="39" fillId="0" borderId="283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76" borderId="0" applyNumberFormat="0" applyBorder="0" applyAlignment="0" applyProtection="0"/>
    <xf numFmtId="0" fontId="1" fillId="68" borderId="0" applyNumberFormat="0" applyBorder="0" applyAlignment="0" applyProtection="0"/>
    <xf numFmtId="0" fontId="21" fillId="26" borderId="281" applyNumberFormat="0" applyFont="0" applyAlignment="0" applyProtection="0"/>
    <xf numFmtId="0" fontId="1" fillId="73" borderId="0" applyNumberFormat="0" applyBorder="0" applyAlignment="0" applyProtection="0"/>
    <xf numFmtId="0" fontId="1" fillId="77" borderId="0" applyNumberFormat="0" applyBorder="0" applyAlignment="0" applyProtection="0"/>
    <xf numFmtId="0" fontId="1" fillId="72" borderId="0" applyNumberFormat="0" applyBorder="0" applyAlignment="0" applyProtection="0"/>
    <xf numFmtId="0" fontId="1" fillId="57" borderId="171" applyNumberFormat="0" applyFont="0" applyAlignment="0" applyProtection="0"/>
    <xf numFmtId="0" fontId="1" fillId="80" borderId="0" applyNumberFormat="0" applyBorder="0" applyAlignment="0" applyProtection="0"/>
    <xf numFmtId="0" fontId="1" fillId="76" borderId="0" applyNumberFormat="0" applyBorder="0" applyAlignment="0" applyProtection="0"/>
    <xf numFmtId="0" fontId="1" fillId="46" borderId="0" applyNumberFormat="0" applyBorder="0" applyAlignment="0" applyProtection="0"/>
    <xf numFmtId="0" fontId="1" fillId="81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6" borderId="0" applyNumberFormat="0" applyBorder="0" applyAlignment="0" applyProtection="0"/>
    <xf numFmtId="0" fontId="1" fillId="69" borderId="0" applyNumberFormat="0" applyBorder="0" applyAlignment="0" applyProtection="0"/>
    <xf numFmtId="0" fontId="25" fillId="11" borderId="278" applyNumberFormat="0" applyAlignment="0" applyProtection="0"/>
    <xf numFmtId="0" fontId="32" fillId="0" borderId="275" applyNumberFormat="0" applyFill="0" applyAlignment="0" applyProtection="0"/>
    <xf numFmtId="0" fontId="81" fillId="0" borderId="276" applyNumberFormat="0" applyFill="0" applyAlignment="0" applyProtection="0"/>
    <xf numFmtId="0" fontId="81" fillId="0" borderId="276" applyNumberFormat="0" applyFill="0" applyAlignment="0" applyProtection="0"/>
    <xf numFmtId="0" fontId="81" fillId="0" borderId="276" applyNumberFormat="0" applyFill="0" applyAlignment="0" applyProtection="0"/>
    <xf numFmtId="0" fontId="33" fillId="5" borderId="278" applyNumberFormat="0" applyAlignment="0" applyProtection="0"/>
    <xf numFmtId="0" fontId="1" fillId="80" borderId="0" applyNumberFormat="0" applyBorder="0" applyAlignment="0" applyProtection="0"/>
    <xf numFmtId="0" fontId="1" fillId="77" borderId="0" applyNumberFormat="0" applyBorder="0" applyAlignment="0" applyProtection="0"/>
    <xf numFmtId="0" fontId="33" fillId="5" borderId="278" applyNumberFormat="0" applyAlignment="0" applyProtection="0"/>
    <xf numFmtId="0" fontId="39" fillId="0" borderId="283" applyNumberFormat="0" applyFill="0" applyAlignment="0" applyProtection="0"/>
    <xf numFmtId="0" fontId="21" fillId="26" borderId="281" applyNumberFormat="0" applyFont="0" applyAlignment="0" applyProtection="0"/>
    <xf numFmtId="0" fontId="1" fillId="45" borderId="0" applyNumberFormat="0" applyBorder="0" applyAlignment="0" applyProtection="0"/>
    <xf numFmtId="0" fontId="1" fillId="80" borderId="0" applyNumberFormat="0" applyBorder="0" applyAlignment="0" applyProtection="0"/>
    <xf numFmtId="0" fontId="25" fillId="11" borderId="278" applyNumberFormat="0" applyAlignment="0" applyProtection="0"/>
    <xf numFmtId="0" fontId="1" fillId="57" borderId="171" applyNumberFormat="0" applyFon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37" fillId="11" borderId="282" applyNumberFormat="0" applyAlignment="0" applyProtection="0"/>
    <xf numFmtId="0" fontId="39" fillId="0" borderId="283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1" fillId="72" borderId="0" applyNumberFormat="0" applyBorder="0" applyAlignment="0" applyProtection="0"/>
    <xf numFmtId="0" fontId="1" fillId="45" borderId="0" applyNumberFormat="0" applyBorder="0" applyAlignment="0" applyProtection="0"/>
    <xf numFmtId="0" fontId="1" fillId="71" borderId="0" applyNumberFormat="0" applyBorder="0" applyAlignment="0" applyProtection="0"/>
    <xf numFmtId="0" fontId="1" fillId="69" borderId="0" applyNumberFormat="0" applyBorder="0" applyAlignment="0" applyProtection="0"/>
    <xf numFmtId="0" fontId="1" fillId="73" borderId="0" applyNumberFormat="0" applyBorder="0" applyAlignment="0" applyProtection="0"/>
    <xf numFmtId="0" fontId="1" fillId="77" borderId="0" applyNumberFormat="0" applyBorder="0" applyAlignment="0" applyProtection="0"/>
    <xf numFmtId="0" fontId="1" fillId="80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5" fillId="11" borderId="278" applyNumberFormat="0" applyAlignment="0" applyProtection="0"/>
    <xf numFmtId="0" fontId="33" fillId="5" borderId="278" applyNumberForma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37" fillId="11" borderId="282" applyNumberFormat="0" applyAlignment="0" applyProtection="0"/>
    <xf numFmtId="0" fontId="39" fillId="0" borderId="283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5" fillId="11" borderId="278" applyNumberFormat="0" applyAlignment="0" applyProtection="0"/>
    <xf numFmtId="0" fontId="33" fillId="5" borderId="278" applyNumberForma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37" fillId="11" borderId="282" applyNumberFormat="0" applyAlignment="0" applyProtection="0"/>
    <xf numFmtId="0" fontId="39" fillId="0" borderId="283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39" fillId="0" borderId="283" applyNumberFormat="0" applyFill="0" applyAlignment="0" applyProtection="0"/>
    <xf numFmtId="0" fontId="1" fillId="45" borderId="0" applyNumberFormat="0" applyBorder="0" applyAlignment="0" applyProtection="0"/>
    <xf numFmtId="0" fontId="1" fillId="69" borderId="0" applyNumberFormat="0" applyBorder="0" applyAlignment="0" applyProtection="0"/>
    <xf numFmtId="0" fontId="1" fillId="79" borderId="0" applyNumberFormat="0" applyBorder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57" borderId="171" applyNumberFormat="0" applyFont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57" borderId="171" applyNumberFormat="0" applyFont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45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3" borderId="0" applyNumberFormat="0" applyBorder="0" applyAlignment="0" applyProtection="0"/>
    <xf numFmtId="0" fontId="1" fillId="81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46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73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45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81" borderId="0" applyNumberFormat="0" applyBorder="0" applyAlignment="0" applyProtection="0"/>
    <xf numFmtId="0" fontId="1" fillId="72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80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69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45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9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68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45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9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68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2" borderId="0" applyNumberFormat="0" applyBorder="0" applyAlignment="0" applyProtection="0"/>
    <xf numFmtId="0" fontId="1" fillId="46" borderId="0" applyNumberFormat="0" applyBorder="0" applyAlignment="0" applyProtection="0"/>
    <xf numFmtId="0" fontId="1" fillId="68" borderId="0" applyNumberFormat="0" applyBorder="0" applyAlignment="0" applyProtection="0"/>
    <xf numFmtId="0" fontId="1" fillId="80" borderId="0" applyNumberFormat="0" applyBorder="0" applyAlignment="0" applyProtection="0"/>
    <xf numFmtId="0" fontId="1" fillId="57" borderId="171" applyNumberFormat="0" applyFont="0" applyAlignment="0" applyProtection="0"/>
    <xf numFmtId="0" fontId="1" fillId="71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73" borderId="0" applyNumberFormat="0" applyBorder="0" applyAlignment="0" applyProtection="0"/>
    <xf numFmtId="0" fontId="1" fillId="79" borderId="0" applyNumberFormat="0" applyBorder="0" applyAlignment="0" applyProtection="0"/>
    <xf numFmtId="0" fontId="1" fillId="45" borderId="0" applyNumberFormat="0" applyBorder="0" applyAlignment="0" applyProtection="0"/>
    <xf numFmtId="0" fontId="1" fillId="73" borderId="0" applyNumberFormat="0" applyBorder="0" applyAlignment="0" applyProtection="0"/>
    <xf numFmtId="0" fontId="21" fillId="26" borderId="281" applyNumberFormat="0" applyFont="0" applyAlignment="0" applyProtection="0"/>
    <xf numFmtId="0" fontId="1" fillId="73" borderId="0" applyNumberFormat="0" applyBorder="0" applyAlignment="0" applyProtection="0"/>
    <xf numFmtId="0" fontId="1" fillId="68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72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79" borderId="0" applyNumberFormat="0" applyBorder="0" applyAlignment="0" applyProtection="0"/>
    <xf numFmtId="0" fontId="1" fillId="46" borderId="0" applyNumberFormat="0" applyBorder="0" applyAlignment="0" applyProtection="0"/>
    <xf numFmtId="0" fontId="1" fillId="79" borderId="0" applyNumberFormat="0" applyBorder="0" applyAlignment="0" applyProtection="0"/>
    <xf numFmtId="0" fontId="1" fillId="72" borderId="0" applyNumberFormat="0" applyBorder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45" borderId="0" applyNumberFormat="0" applyBorder="0" applyAlignment="0" applyProtection="0"/>
    <xf numFmtId="0" fontId="1" fillId="77" borderId="0" applyNumberFormat="0" applyBorder="0" applyAlignment="0" applyProtection="0"/>
    <xf numFmtId="0" fontId="1" fillId="76" borderId="0" applyNumberFormat="0" applyBorder="0" applyAlignment="0" applyProtection="0"/>
    <xf numFmtId="0" fontId="1" fillId="46" borderId="0" applyNumberFormat="0" applyBorder="0" applyAlignment="0" applyProtection="0"/>
    <xf numFmtId="0" fontId="1" fillId="57" borderId="171" applyNumberFormat="0" applyFont="0" applyAlignment="0" applyProtection="0"/>
    <xf numFmtId="0" fontId="1" fillId="79" borderId="0" applyNumberFormat="0" applyBorder="0" applyAlignment="0" applyProtection="0"/>
    <xf numFmtId="0" fontId="1" fillId="73" borderId="0" applyNumberFormat="0" applyBorder="0" applyAlignment="0" applyProtection="0"/>
    <xf numFmtId="0" fontId="1" fillId="72" borderId="0" applyNumberFormat="0" applyBorder="0" applyAlignment="0" applyProtection="0"/>
    <xf numFmtId="0" fontId="1" fillId="69" borderId="0" applyNumberFormat="0" applyBorder="0" applyAlignment="0" applyProtection="0"/>
    <xf numFmtId="0" fontId="1" fillId="45" borderId="0" applyNumberFormat="0" applyBorder="0" applyAlignment="0" applyProtection="0"/>
    <xf numFmtId="0" fontId="1" fillId="76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25" fillId="11" borderId="278" applyNumberFormat="0" applyAlignment="0" applyProtection="0"/>
    <xf numFmtId="0" fontId="32" fillId="0" borderId="275" applyNumberFormat="0" applyFill="0" applyAlignment="0" applyProtection="0"/>
    <xf numFmtId="0" fontId="81" fillId="0" borderId="276" applyNumberFormat="0" applyFill="0" applyAlignment="0" applyProtection="0"/>
    <xf numFmtId="0" fontId="81" fillId="0" borderId="276" applyNumberFormat="0" applyFill="0" applyAlignment="0" applyProtection="0"/>
    <xf numFmtId="0" fontId="81" fillId="0" borderId="276" applyNumberFormat="0" applyFill="0" applyAlignment="0" applyProtection="0"/>
    <xf numFmtId="0" fontId="94" fillId="0" borderId="284" applyNumberFormat="0" applyFill="0" applyAlignment="0" applyProtection="0"/>
    <xf numFmtId="0" fontId="37" fillId="11" borderId="282" applyNumberFormat="0" applyAlignment="0" applyProtection="0"/>
    <xf numFmtId="0" fontId="33" fillId="5" borderId="278" applyNumberFormat="0" applyAlignment="0" applyProtection="0"/>
    <xf numFmtId="0" fontId="33" fillId="5" borderId="278" applyNumberFormat="0" applyAlignment="0" applyProtection="0"/>
    <xf numFmtId="0" fontId="32" fillId="0" borderId="275" applyNumberFormat="0" applyFill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37" fillId="11" borderId="282" applyNumberFormat="0" applyAlignment="0" applyProtection="0"/>
    <xf numFmtId="0" fontId="1" fillId="57" borderId="171" applyNumberFormat="0" applyFont="0" applyAlignment="0" applyProtection="0"/>
    <xf numFmtId="0" fontId="1" fillId="81" borderId="0" applyNumberFormat="0" applyBorder="0" applyAlignment="0" applyProtection="0"/>
    <xf numFmtId="0" fontId="39" fillId="0" borderId="283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1" fillId="57" borderId="171" applyNumberFormat="0" applyFont="0" applyAlignment="0" applyProtection="0"/>
    <xf numFmtId="0" fontId="1" fillId="71" borderId="0" applyNumberFormat="0" applyBorder="0" applyAlignment="0" applyProtection="0"/>
    <xf numFmtId="0" fontId="25" fillId="11" borderId="278" applyNumberFormat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81" borderId="0" applyNumberFormat="0" applyBorder="0" applyAlignment="0" applyProtection="0"/>
    <xf numFmtId="0" fontId="1" fillId="73" borderId="0" applyNumberFormat="0" applyBorder="0" applyAlignment="0" applyProtection="0"/>
    <xf numFmtId="0" fontId="1" fillId="71" borderId="0" applyNumberFormat="0" applyBorder="0" applyAlignment="0" applyProtection="0"/>
    <xf numFmtId="0" fontId="1" fillId="77" borderId="0" applyNumberFormat="0" applyBorder="0" applyAlignment="0" applyProtection="0"/>
    <xf numFmtId="0" fontId="1" fillId="46" borderId="0" applyNumberFormat="0" applyBorder="0" applyAlignment="0" applyProtection="0"/>
    <xf numFmtId="0" fontId="1" fillId="80" borderId="0" applyNumberFormat="0" applyBorder="0" applyAlignment="0" applyProtection="0"/>
    <xf numFmtId="0" fontId="1" fillId="77" borderId="0" applyNumberFormat="0" applyBorder="0" applyAlignment="0" applyProtection="0"/>
    <xf numFmtId="0" fontId="1" fillId="46" borderId="0" applyNumberFormat="0" applyBorder="0" applyAlignment="0" applyProtection="0"/>
    <xf numFmtId="0" fontId="1" fillId="81" borderId="0" applyNumberFormat="0" applyBorder="0" applyAlignment="0" applyProtection="0"/>
    <xf numFmtId="0" fontId="1" fillId="46" borderId="0" applyNumberFormat="0" applyBorder="0" applyAlignment="0" applyProtection="0"/>
    <xf numFmtId="0" fontId="1" fillId="79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68" borderId="0" applyNumberFormat="0" applyBorder="0" applyAlignment="0" applyProtection="0"/>
    <xf numFmtId="0" fontId="21" fillId="26" borderId="281" applyNumberFormat="0" applyFont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76" borderId="0" applyNumberFormat="0" applyBorder="0" applyAlignment="0" applyProtection="0"/>
    <xf numFmtId="0" fontId="1" fillId="76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73" borderId="0" applyNumberFormat="0" applyBorder="0" applyAlignment="0" applyProtection="0"/>
    <xf numFmtId="0" fontId="1" fillId="57" borderId="171" applyNumberFormat="0" applyFont="0" applyAlignment="0" applyProtection="0"/>
    <xf numFmtId="0" fontId="1" fillId="45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57" borderId="171" applyNumberFormat="0" applyFont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68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94" fillId="0" borderId="284" applyNumberFormat="0" applyFill="0" applyAlignment="0" applyProtection="0"/>
    <xf numFmtId="0" fontId="21" fillId="26" borderId="281" applyNumberFormat="0" applyFont="0" applyAlignment="0" applyProtection="0"/>
    <xf numFmtId="0" fontId="1" fillId="77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94" fillId="0" borderId="284" applyNumberFormat="0" applyFill="0" applyAlignment="0" applyProtection="0"/>
    <xf numFmtId="0" fontId="21" fillId="26" borderId="281" applyNumberFormat="0" applyFont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80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81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39" fillId="0" borderId="283" applyNumberFormat="0" applyFill="0" applyAlignment="0" applyProtection="0"/>
    <xf numFmtId="0" fontId="1" fillId="57" borderId="171" applyNumberFormat="0" applyFont="0" applyAlignment="0" applyProtection="0"/>
    <xf numFmtId="0" fontId="21" fillId="26" borderId="281" applyNumberFormat="0" applyFont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71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68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76" borderId="0" applyNumberFormat="0" applyBorder="0" applyAlignment="0" applyProtection="0"/>
    <xf numFmtId="0" fontId="1" fillId="72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77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45" borderId="0" applyNumberFormat="0" applyBorder="0" applyAlignment="0" applyProtection="0"/>
    <xf numFmtId="0" fontId="1" fillId="72" borderId="0" applyNumberFormat="0" applyBorder="0" applyAlignment="0" applyProtection="0"/>
    <xf numFmtId="0" fontId="1" fillId="71" borderId="0" applyNumberFormat="0" applyBorder="0" applyAlignment="0" applyProtection="0"/>
    <xf numFmtId="0" fontId="1" fillId="68" borderId="0" applyNumberFormat="0" applyBorder="0" applyAlignment="0" applyProtection="0"/>
    <xf numFmtId="0" fontId="1" fillId="77" borderId="0" applyNumberFormat="0" applyBorder="0" applyAlignment="0" applyProtection="0"/>
    <xf numFmtId="0" fontId="1" fillId="73" borderId="0" applyNumberFormat="0" applyBorder="0" applyAlignment="0" applyProtection="0"/>
    <xf numFmtId="0" fontId="1" fillId="46" borderId="0" applyNumberFormat="0" applyBorder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33" fillId="5" borderId="278" applyNumberFormat="0" applyAlignment="0" applyProtection="0"/>
    <xf numFmtId="0" fontId="25" fillId="11" borderId="278" applyNumberFormat="0" applyAlignment="0" applyProtection="0"/>
    <xf numFmtId="0" fontId="33" fillId="5" borderId="278" applyNumberForma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37" fillId="11" borderId="282" applyNumberFormat="0" applyAlignment="0" applyProtection="0"/>
    <xf numFmtId="0" fontId="39" fillId="0" borderId="283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1" fillId="71" borderId="0" applyNumberFormat="0" applyBorder="0" applyAlignment="0" applyProtection="0"/>
    <xf numFmtId="0" fontId="37" fillId="11" borderId="282" applyNumberFormat="0" applyAlignment="0" applyProtection="0"/>
    <xf numFmtId="0" fontId="1" fillId="73" borderId="0" applyNumberFormat="0" applyBorder="0" applyAlignment="0" applyProtection="0"/>
    <xf numFmtId="0" fontId="1" fillId="79" borderId="0" applyNumberFormat="0" applyBorder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45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81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7" borderId="0" applyNumberFormat="0" applyBorder="0" applyAlignment="0" applyProtection="0"/>
    <xf numFmtId="0" fontId="1" fillId="73" borderId="0" applyNumberFormat="0" applyBorder="0" applyAlignment="0" applyProtection="0"/>
    <xf numFmtId="0" fontId="1" fillId="46" borderId="0" applyNumberFormat="0" applyBorder="0" applyAlignment="0" applyProtection="0"/>
    <xf numFmtId="0" fontId="1" fillId="45" borderId="0" applyNumberFormat="0" applyBorder="0" applyAlignment="0" applyProtection="0"/>
    <xf numFmtId="0" fontId="1" fillId="79" borderId="0" applyNumberFormat="0" applyBorder="0" applyAlignment="0" applyProtection="0"/>
    <xf numFmtId="0" fontId="1" fillId="76" borderId="0" applyNumberFormat="0" applyBorder="0" applyAlignment="0" applyProtection="0"/>
    <xf numFmtId="0" fontId="1" fillId="68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46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76" borderId="0" applyNumberFormat="0" applyBorder="0" applyAlignment="0" applyProtection="0"/>
    <xf numFmtId="0" fontId="1" fillId="72" borderId="0" applyNumberFormat="0" applyBorder="0" applyAlignment="0" applyProtection="0"/>
    <xf numFmtId="0" fontId="1" fillId="71" borderId="0" applyNumberFormat="0" applyBorder="0" applyAlignment="0" applyProtection="0"/>
    <xf numFmtId="0" fontId="94" fillId="0" borderId="284" applyNumberFormat="0" applyFill="0" applyAlignment="0" applyProtection="0"/>
    <xf numFmtId="0" fontId="39" fillId="0" borderId="283" applyNumberFormat="0" applyFill="0" applyAlignment="0" applyProtection="0"/>
    <xf numFmtId="0" fontId="25" fillId="11" borderId="278" applyNumberFormat="0" applyAlignment="0" applyProtection="0"/>
    <xf numFmtId="0" fontId="25" fillId="11" borderId="278" applyNumberFormat="0" applyAlignment="0" applyProtection="0"/>
    <xf numFmtId="0" fontId="33" fillId="5" borderId="278" applyNumberForma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37" fillId="11" borderId="282" applyNumberFormat="0" applyAlignment="0" applyProtection="0"/>
    <xf numFmtId="0" fontId="39" fillId="0" borderId="283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21" fillId="26" borderId="281" applyNumberFormat="0" applyFont="0" applyAlignment="0" applyProtection="0"/>
    <xf numFmtId="0" fontId="1" fillId="72" borderId="0" applyNumberFormat="0" applyBorder="0" applyAlignment="0" applyProtection="0"/>
    <xf numFmtId="0" fontId="1" fillId="77" borderId="0" applyNumberFormat="0" applyBorder="0" applyAlignment="0" applyProtection="0"/>
    <xf numFmtId="0" fontId="1" fillId="45" borderId="0" applyNumberFormat="0" applyBorder="0" applyAlignment="0" applyProtection="0"/>
    <xf numFmtId="0" fontId="1" fillId="68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71" borderId="0" applyNumberFormat="0" applyBorder="0" applyAlignment="0" applyProtection="0"/>
    <xf numFmtId="0" fontId="94" fillId="0" borderId="284" applyNumberFormat="0" applyFill="0" applyAlignment="0" applyProtection="0"/>
    <xf numFmtId="0" fontId="1" fillId="77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7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45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46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73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72" borderId="0" applyNumberFormat="0" applyBorder="0" applyAlignment="0" applyProtection="0"/>
    <xf numFmtId="0" fontId="1" fillId="57" borderId="171" applyNumberFormat="0" applyFont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72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72" borderId="0" applyNumberFormat="0" applyBorder="0" applyAlignment="0" applyProtection="0"/>
    <xf numFmtId="0" fontId="1" fillId="7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57" borderId="171" applyNumberFormat="0" applyFont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7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80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5" fillId="11" borderId="278" applyNumberFormat="0" applyAlignment="0" applyProtection="0"/>
    <xf numFmtId="0" fontId="33" fillId="5" borderId="278" applyNumberForma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37" fillId="11" borderId="282" applyNumberFormat="0" applyAlignment="0" applyProtection="0"/>
    <xf numFmtId="0" fontId="39" fillId="0" borderId="283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76" borderId="0" applyNumberFormat="0" applyBorder="0" applyAlignment="0" applyProtection="0"/>
    <xf numFmtId="0" fontId="1" fillId="68" borderId="0" applyNumberFormat="0" applyBorder="0" applyAlignment="0" applyProtection="0"/>
    <xf numFmtId="0" fontId="1" fillId="73" borderId="0" applyNumberFormat="0" applyBorder="0" applyAlignment="0" applyProtection="0"/>
    <xf numFmtId="0" fontId="1" fillId="77" borderId="0" applyNumberFormat="0" applyBorder="0" applyAlignment="0" applyProtection="0"/>
    <xf numFmtId="0" fontId="1" fillId="72" borderId="0" applyNumberFormat="0" applyBorder="0" applyAlignment="0" applyProtection="0"/>
    <xf numFmtId="0" fontId="1" fillId="57" borderId="171" applyNumberFormat="0" applyFont="0" applyAlignment="0" applyProtection="0"/>
    <xf numFmtId="0" fontId="1" fillId="80" borderId="0" applyNumberFormat="0" applyBorder="0" applyAlignment="0" applyProtection="0"/>
    <xf numFmtId="0" fontId="1" fillId="76" borderId="0" applyNumberFormat="0" applyBorder="0" applyAlignment="0" applyProtection="0"/>
    <xf numFmtId="0" fontId="1" fillId="46" borderId="0" applyNumberFormat="0" applyBorder="0" applyAlignment="0" applyProtection="0"/>
    <xf numFmtId="0" fontId="1" fillId="81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6" borderId="0" applyNumberFormat="0" applyBorder="0" applyAlignment="0" applyProtection="0"/>
    <xf numFmtId="0" fontId="1" fillId="69" borderId="0" applyNumberFormat="0" applyBorder="0" applyAlignment="0" applyProtection="0"/>
    <xf numFmtId="0" fontId="25" fillId="11" borderId="278" applyNumberFormat="0" applyAlignment="0" applyProtection="0"/>
    <xf numFmtId="0" fontId="32" fillId="0" borderId="275" applyNumberFormat="0" applyFill="0" applyAlignment="0" applyProtection="0"/>
    <xf numFmtId="0" fontId="81" fillId="0" borderId="276" applyNumberFormat="0" applyFill="0" applyAlignment="0" applyProtection="0"/>
    <xf numFmtId="0" fontId="81" fillId="0" borderId="276" applyNumberFormat="0" applyFill="0" applyAlignment="0" applyProtection="0"/>
    <xf numFmtId="0" fontId="81" fillId="0" borderId="276" applyNumberFormat="0" applyFill="0" applyAlignment="0" applyProtection="0"/>
    <xf numFmtId="0" fontId="33" fillId="5" borderId="278" applyNumberFormat="0" applyAlignment="0" applyProtection="0"/>
    <xf numFmtId="0" fontId="39" fillId="0" borderId="283" applyNumberFormat="0" applyFill="0" applyAlignment="0" applyProtection="0"/>
    <xf numFmtId="0" fontId="21" fillId="26" borderId="281" applyNumberFormat="0" applyFont="0" applyAlignment="0" applyProtection="0"/>
    <xf numFmtId="0" fontId="25" fillId="11" borderId="278" applyNumberForma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37" fillId="11" borderId="282" applyNumberFormat="0" applyAlignment="0" applyProtection="0"/>
    <xf numFmtId="0" fontId="39" fillId="0" borderId="283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1" fillId="45" borderId="0" applyNumberFormat="0" applyBorder="0" applyAlignment="0" applyProtection="0"/>
    <xf numFmtId="0" fontId="1" fillId="71" borderId="0" applyNumberFormat="0" applyBorder="0" applyAlignment="0" applyProtection="0"/>
    <xf numFmtId="0" fontId="1" fillId="69" borderId="0" applyNumberFormat="0" applyBorder="0" applyAlignment="0" applyProtection="0"/>
    <xf numFmtId="0" fontId="1" fillId="73" borderId="0" applyNumberFormat="0" applyBorder="0" applyAlignment="0" applyProtection="0"/>
    <xf numFmtId="0" fontId="1" fillId="80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5" fillId="11" borderId="278" applyNumberFormat="0" applyAlignment="0" applyProtection="0"/>
    <xf numFmtId="0" fontId="33" fillId="5" borderId="278" applyNumberForma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37" fillId="11" borderId="282" applyNumberFormat="0" applyAlignment="0" applyProtection="0"/>
    <xf numFmtId="0" fontId="39" fillId="0" borderId="283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5" fillId="11" borderId="278" applyNumberFormat="0" applyAlignment="0" applyProtection="0"/>
    <xf numFmtId="0" fontId="33" fillId="5" borderId="278" applyNumberForma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37" fillId="11" borderId="282" applyNumberFormat="0" applyAlignment="0" applyProtection="0"/>
    <xf numFmtId="0" fontId="39" fillId="0" borderId="283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45" borderId="0" applyNumberFormat="0" applyBorder="0" applyAlignment="0" applyProtection="0"/>
    <xf numFmtId="0" fontId="1" fillId="69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57" borderId="171" applyNumberFormat="0" applyFont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45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57" borderId="171" applyNumberFormat="0" applyFont="0" applyAlignment="0" applyProtection="0"/>
    <xf numFmtId="0" fontId="1" fillId="71" borderId="0" applyNumberFormat="0" applyBorder="0" applyAlignment="0" applyProtection="0"/>
    <xf numFmtId="0" fontId="1" fillId="73" borderId="0" applyNumberFormat="0" applyBorder="0" applyAlignment="0" applyProtection="0"/>
    <xf numFmtId="0" fontId="1" fillId="79" borderId="0" applyNumberFormat="0" applyBorder="0" applyAlignment="0" applyProtection="0"/>
    <xf numFmtId="0" fontId="21" fillId="26" borderId="281" applyNumberFormat="0" applyFont="0" applyAlignment="0" applyProtection="0"/>
    <xf numFmtId="0" fontId="1" fillId="79" borderId="0" applyNumberFormat="0" applyBorder="0" applyAlignment="0" applyProtection="0"/>
    <xf numFmtId="0" fontId="1" fillId="72" borderId="0" applyNumberFormat="0" applyBorder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45" borderId="0" applyNumberFormat="0" applyBorder="0" applyAlignment="0" applyProtection="0"/>
    <xf numFmtId="0" fontId="1" fillId="77" borderId="0" applyNumberFormat="0" applyBorder="0" applyAlignment="0" applyProtection="0"/>
    <xf numFmtId="0" fontId="1" fillId="76" borderId="0" applyNumberFormat="0" applyBorder="0" applyAlignment="0" applyProtection="0"/>
    <xf numFmtId="0" fontId="1" fillId="46" borderId="0" applyNumberFormat="0" applyBorder="0" applyAlignment="0" applyProtection="0"/>
    <xf numFmtId="0" fontId="1" fillId="57" borderId="171" applyNumberFormat="0" applyFont="0" applyAlignment="0" applyProtection="0"/>
    <xf numFmtId="0" fontId="1" fillId="79" borderId="0" applyNumberFormat="0" applyBorder="0" applyAlignment="0" applyProtection="0"/>
    <xf numFmtId="0" fontId="1" fillId="73" borderId="0" applyNumberFormat="0" applyBorder="0" applyAlignment="0" applyProtection="0"/>
    <xf numFmtId="0" fontId="1" fillId="72" borderId="0" applyNumberFormat="0" applyBorder="0" applyAlignment="0" applyProtection="0"/>
    <xf numFmtId="0" fontId="1" fillId="69" borderId="0" applyNumberFormat="0" applyBorder="0" applyAlignment="0" applyProtection="0"/>
    <xf numFmtId="0" fontId="1" fillId="45" borderId="0" applyNumberFormat="0" applyBorder="0" applyAlignment="0" applyProtection="0"/>
    <xf numFmtId="0" fontId="1" fillId="76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25" fillId="11" borderId="278" applyNumberFormat="0" applyAlignment="0" applyProtection="0"/>
    <xf numFmtId="0" fontId="94" fillId="0" borderId="284" applyNumberFormat="0" applyFill="0" applyAlignment="0" applyProtection="0"/>
    <xf numFmtId="0" fontId="37" fillId="11" borderId="282" applyNumberFormat="0" applyAlignment="0" applyProtection="0"/>
    <xf numFmtId="0" fontId="33" fillId="5" borderId="278" applyNumberFormat="0" applyAlignment="0" applyProtection="0"/>
    <xf numFmtId="0" fontId="33" fillId="5" borderId="278" applyNumberForma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37" fillId="11" borderId="282" applyNumberFormat="0" applyAlignment="0" applyProtection="0"/>
    <xf numFmtId="0" fontId="39" fillId="0" borderId="283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25" fillId="11" borderId="278" applyNumberFormat="0" applyAlignment="0" applyProtection="0"/>
    <xf numFmtId="0" fontId="1" fillId="81" borderId="0" applyNumberFormat="0" applyBorder="0" applyAlignment="0" applyProtection="0"/>
    <xf numFmtId="0" fontId="1" fillId="77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68" borderId="0" applyNumberFormat="0" applyBorder="0" applyAlignment="0" applyProtection="0"/>
    <xf numFmtId="0" fontId="21" fillId="26" borderId="281" applyNumberFormat="0" applyFont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76" borderId="0" applyNumberFormat="0" applyBorder="0" applyAlignment="0" applyProtection="0"/>
    <xf numFmtId="0" fontId="1" fillId="76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73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1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57" borderId="171" applyNumberFormat="0" applyFont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68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2" borderId="0" applyNumberFormat="0" applyBorder="0" applyAlignment="0" applyProtection="0"/>
    <xf numFmtId="0" fontId="94" fillId="0" borderId="284" applyNumberFormat="0" applyFill="0" applyAlignment="0" applyProtection="0"/>
    <xf numFmtId="0" fontId="21" fillId="26" borderId="281" applyNumberFormat="0" applyFont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94" fillId="0" borderId="284" applyNumberFormat="0" applyFill="0" applyAlignment="0" applyProtection="0"/>
    <xf numFmtId="0" fontId="21" fillId="26" borderId="281" applyNumberFormat="0" applyFont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80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81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39" fillId="0" borderId="283" applyNumberFormat="0" applyFill="0" applyAlignment="0" applyProtection="0"/>
    <xf numFmtId="0" fontId="1" fillId="57" borderId="171" applyNumberFormat="0" applyFont="0" applyAlignment="0" applyProtection="0"/>
    <xf numFmtId="0" fontId="21" fillId="26" borderId="281" applyNumberFormat="0" applyFont="0" applyAlignment="0" applyProtection="0"/>
    <xf numFmtId="0" fontId="1" fillId="57" borderId="171" applyNumberFormat="0" applyFont="0" applyAlignment="0" applyProtection="0"/>
    <xf numFmtId="0" fontId="1" fillId="71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68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76" borderId="0" applyNumberFormat="0" applyBorder="0" applyAlignment="0" applyProtection="0"/>
    <xf numFmtId="0" fontId="1" fillId="72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77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45" borderId="0" applyNumberFormat="0" applyBorder="0" applyAlignment="0" applyProtection="0"/>
    <xf numFmtId="0" fontId="1" fillId="72" borderId="0" applyNumberFormat="0" applyBorder="0" applyAlignment="0" applyProtection="0"/>
    <xf numFmtId="0" fontId="1" fillId="71" borderId="0" applyNumberFormat="0" applyBorder="0" applyAlignment="0" applyProtection="0"/>
    <xf numFmtId="0" fontId="1" fillId="68" borderId="0" applyNumberFormat="0" applyBorder="0" applyAlignment="0" applyProtection="0"/>
    <xf numFmtId="0" fontId="1" fillId="77" borderId="0" applyNumberFormat="0" applyBorder="0" applyAlignment="0" applyProtection="0"/>
    <xf numFmtId="0" fontId="1" fillId="73" borderId="0" applyNumberFormat="0" applyBorder="0" applyAlignment="0" applyProtection="0"/>
    <xf numFmtId="0" fontId="1" fillId="46" borderId="0" applyNumberFormat="0" applyBorder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33" fillId="5" borderId="278" applyNumberFormat="0" applyAlignment="0" applyProtection="0"/>
    <xf numFmtId="0" fontId="25" fillId="11" borderId="278" applyNumberFormat="0" applyAlignment="0" applyProtection="0"/>
    <xf numFmtId="0" fontId="33" fillId="5" borderId="278" applyNumberForma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37" fillId="11" borderId="282" applyNumberFormat="0" applyAlignment="0" applyProtection="0"/>
    <xf numFmtId="0" fontId="39" fillId="0" borderId="283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1" fillId="71" borderId="0" applyNumberFormat="0" applyBorder="0" applyAlignment="0" applyProtection="0"/>
    <xf numFmtId="0" fontId="37" fillId="11" borderId="282" applyNumberFormat="0" applyAlignment="0" applyProtection="0"/>
    <xf numFmtId="0" fontId="1" fillId="73" borderId="0" applyNumberFormat="0" applyBorder="0" applyAlignment="0" applyProtection="0"/>
    <xf numFmtId="0" fontId="1" fillId="79" borderId="0" applyNumberFormat="0" applyBorder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81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7" borderId="0" applyNumberFormat="0" applyBorder="0" applyAlignment="0" applyProtection="0"/>
    <xf numFmtId="0" fontId="1" fillId="73" borderId="0" applyNumberFormat="0" applyBorder="0" applyAlignment="0" applyProtection="0"/>
    <xf numFmtId="0" fontId="1" fillId="46" borderId="0" applyNumberFormat="0" applyBorder="0" applyAlignment="0" applyProtection="0"/>
    <xf numFmtId="0" fontId="1" fillId="45" borderId="0" applyNumberFormat="0" applyBorder="0" applyAlignment="0" applyProtection="0"/>
    <xf numFmtId="0" fontId="1" fillId="79" borderId="0" applyNumberFormat="0" applyBorder="0" applyAlignment="0" applyProtection="0"/>
    <xf numFmtId="0" fontId="1" fillId="76" borderId="0" applyNumberFormat="0" applyBorder="0" applyAlignment="0" applyProtection="0"/>
    <xf numFmtId="0" fontId="1" fillId="68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46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171" applyNumberFormat="0" applyFont="0" applyAlignment="0" applyProtection="0"/>
    <xf numFmtId="0" fontId="1" fillId="76" borderId="0" applyNumberFormat="0" applyBorder="0" applyAlignment="0" applyProtection="0"/>
    <xf numFmtId="0" fontId="1" fillId="72" borderId="0" applyNumberFormat="0" applyBorder="0" applyAlignment="0" applyProtection="0"/>
    <xf numFmtId="0" fontId="1" fillId="71" borderId="0" applyNumberFormat="0" applyBorder="0" applyAlignment="0" applyProtection="0"/>
    <xf numFmtId="0" fontId="94" fillId="0" borderId="284" applyNumberFormat="0" applyFill="0" applyAlignment="0" applyProtection="0"/>
    <xf numFmtId="0" fontId="39" fillId="0" borderId="283" applyNumberFormat="0" applyFill="0" applyAlignment="0" applyProtection="0"/>
    <xf numFmtId="0" fontId="25" fillId="11" borderId="278" applyNumberFormat="0" applyAlignment="0" applyProtection="0"/>
    <xf numFmtId="0" fontId="25" fillId="11" borderId="278" applyNumberFormat="0" applyAlignment="0" applyProtection="0"/>
    <xf numFmtId="0" fontId="33" fillId="5" borderId="278" applyNumberForma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37" fillId="11" borderId="282" applyNumberFormat="0" applyAlignment="0" applyProtection="0"/>
    <xf numFmtId="0" fontId="39" fillId="0" borderId="283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1" fillId="81" borderId="0" applyNumberFormat="0" applyBorder="0" applyAlignment="0" applyProtection="0"/>
    <xf numFmtId="0" fontId="1" fillId="69" borderId="0" applyNumberFormat="0" applyBorder="0" applyAlignment="0" applyProtection="0"/>
    <xf numFmtId="0" fontId="21" fillId="26" borderId="281" applyNumberFormat="0" applyFont="0" applyAlignment="0" applyProtection="0"/>
    <xf numFmtId="0" fontId="1" fillId="72" borderId="0" applyNumberFormat="0" applyBorder="0" applyAlignment="0" applyProtection="0"/>
    <xf numFmtId="0" fontId="1" fillId="77" borderId="0" applyNumberFormat="0" applyBorder="0" applyAlignment="0" applyProtection="0"/>
    <xf numFmtId="0" fontId="1" fillId="45" borderId="0" applyNumberFormat="0" applyBorder="0" applyAlignment="0" applyProtection="0"/>
    <xf numFmtId="0" fontId="1" fillId="68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7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45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46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73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80" borderId="0" applyNumberFormat="0" applyBorder="0" applyAlignment="0" applyProtection="0"/>
    <xf numFmtId="0" fontId="1" fillId="57" borderId="171" applyNumberFormat="0" applyFont="0" applyAlignment="0" applyProtection="0"/>
    <xf numFmtId="0" fontId="1" fillId="69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1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72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57" borderId="171" applyNumberFormat="0" applyFont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80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81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5" fillId="11" borderId="278" applyNumberFormat="0" applyAlignment="0" applyProtection="0"/>
    <xf numFmtId="0" fontId="33" fillId="5" borderId="278" applyNumberForma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37" fillId="11" borderId="282" applyNumberFormat="0" applyAlignment="0" applyProtection="0"/>
    <xf numFmtId="0" fontId="39" fillId="0" borderId="283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5" fillId="11" borderId="278" applyNumberFormat="0" applyAlignment="0" applyProtection="0"/>
    <xf numFmtId="0" fontId="33" fillId="5" borderId="278" applyNumberForma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37" fillId="11" borderId="282" applyNumberFormat="0" applyAlignment="0" applyProtection="0"/>
    <xf numFmtId="0" fontId="39" fillId="0" borderId="283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5" fillId="11" borderId="278" applyNumberFormat="0" applyAlignment="0" applyProtection="0"/>
    <xf numFmtId="0" fontId="33" fillId="5" borderId="278" applyNumberForma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37" fillId="11" borderId="282" applyNumberFormat="0" applyAlignment="0" applyProtection="0"/>
    <xf numFmtId="0" fontId="39" fillId="0" borderId="283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25" fillId="11" borderId="278" applyNumberFormat="0" applyAlignment="0" applyProtection="0"/>
    <xf numFmtId="0" fontId="33" fillId="5" borderId="278" applyNumberForma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21" fillId="26" borderId="281" applyNumberFormat="0" applyFont="0" applyAlignment="0" applyProtection="0"/>
    <xf numFmtId="0" fontId="37" fillId="11" borderId="282" applyNumberFormat="0" applyAlignment="0" applyProtection="0"/>
    <xf numFmtId="0" fontId="39" fillId="0" borderId="283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94" fillId="0" borderId="284" applyNumberFormat="0" applyFill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0" fontId="1" fillId="57" borderId="171" applyNumberFormat="0" applyFont="0" applyAlignment="0" applyProtection="0"/>
    <xf numFmtId="0" fontId="1" fillId="68" borderId="0" applyNumberFormat="0" applyBorder="0" applyAlignment="0" applyProtection="0"/>
    <xf numFmtId="0" fontId="1" fillId="69" borderId="0" applyNumberFormat="0" applyBorder="0" applyAlignment="0" applyProtection="0"/>
    <xf numFmtId="0" fontId="1" fillId="71" borderId="0" applyNumberFormat="0" applyBorder="0" applyAlignment="0" applyProtection="0"/>
    <xf numFmtId="0" fontId="1" fillId="46" borderId="0" applyNumberFormat="0" applyBorder="0" applyAlignment="0" applyProtection="0"/>
    <xf numFmtId="0" fontId="1" fillId="72" borderId="0" applyNumberFormat="0" applyBorder="0" applyAlignment="0" applyProtection="0"/>
    <xf numFmtId="0" fontId="1" fillId="73" borderId="0" applyNumberFormat="0" applyBorder="0" applyAlignment="0" applyProtection="0"/>
    <xf numFmtId="0" fontId="1" fillId="76" borderId="0" applyNumberFormat="0" applyBorder="0" applyAlignment="0" applyProtection="0"/>
    <xf numFmtId="0" fontId="1" fillId="77" borderId="0" applyNumberFormat="0" applyBorder="0" applyAlignment="0" applyProtection="0"/>
    <xf numFmtId="0" fontId="1" fillId="79" borderId="0" applyNumberFormat="0" applyBorder="0" applyAlignment="0" applyProtection="0"/>
    <xf numFmtId="0" fontId="1" fillId="80" borderId="0" applyNumberFormat="0" applyBorder="0" applyAlignment="0" applyProtection="0"/>
    <xf numFmtId="0" fontId="1" fillId="45" borderId="0" applyNumberFormat="0" applyBorder="0" applyAlignment="0" applyProtection="0"/>
    <xf numFmtId="0" fontId="1" fillId="81" borderId="0" applyNumberFormat="0" applyBorder="0" applyAlignment="0" applyProtection="0"/>
    <xf numFmtId="43" fontId="134" fillId="0" borderId="0" applyFont="0" applyFill="0" applyBorder="0" applyAlignment="0" applyProtection="0"/>
  </cellStyleXfs>
  <cellXfs count="3962">
    <xf numFmtId="0" fontId="0" fillId="0" borderId="0" xfId="0"/>
    <xf numFmtId="4" fontId="60" fillId="31" borderId="62" xfId="0" applyNumberFormat="1" applyFont="1" applyFill="1" applyBorder="1" applyAlignment="1">
      <alignment horizontal="center" vertical="center"/>
    </xf>
    <xf numFmtId="4" fontId="60" fillId="31" borderId="119" xfId="0" applyNumberFormat="1" applyFont="1" applyFill="1" applyBorder="1" applyAlignment="1">
      <alignment horizontal="center" vertical="center"/>
    </xf>
    <xf numFmtId="4" fontId="0" fillId="0" borderId="0" xfId="0" applyNumberFormat="1"/>
    <xf numFmtId="4" fontId="42" fillId="0" borderId="0" xfId="0" applyNumberFormat="1" applyFont="1"/>
    <xf numFmtId="0" fontId="42" fillId="0" borderId="0" xfId="0" applyFont="1"/>
    <xf numFmtId="10" fontId="0" fillId="0" borderId="0" xfId="0" applyNumberFormat="1"/>
    <xf numFmtId="0" fontId="42" fillId="0" borderId="0" xfId="0" applyFont="1" applyBorder="1" applyAlignment="1">
      <alignment vertical="center"/>
    </xf>
    <xf numFmtId="0" fontId="42" fillId="0" borderId="13" xfId="0" applyFont="1" applyBorder="1" applyAlignment="1">
      <alignment horizontal="center" vertical="center"/>
    </xf>
    <xf numFmtId="164" fontId="42" fillId="0" borderId="13" xfId="0" applyNumberFormat="1" applyFont="1" applyBorder="1" applyAlignment="1">
      <alignment horizontal="center" vertical="center" wrapText="1"/>
    </xf>
    <xf numFmtId="10" fontId="42" fillId="0" borderId="13" xfId="0" applyNumberFormat="1" applyFont="1" applyBorder="1" applyAlignment="1">
      <alignment horizontal="center" vertical="center"/>
    </xf>
    <xf numFmtId="0" fontId="41" fillId="0" borderId="0" xfId="0" applyFont="1" applyBorder="1" applyAlignment="1">
      <alignment vertical="center" wrapText="1"/>
    </xf>
    <xf numFmtId="164" fontId="41" fillId="0" borderId="0" xfId="0" applyNumberFormat="1" applyFont="1" applyBorder="1" applyAlignment="1">
      <alignment horizontal="right" vertical="center"/>
    </xf>
    <xf numFmtId="164" fontId="42" fillId="0" borderId="14" xfId="0" applyNumberFormat="1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164" fontId="42" fillId="0" borderId="0" xfId="0" applyNumberFormat="1" applyFont="1" applyBorder="1" applyAlignment="1">
      <alignment vertical="center"/>
    </xf>
    <xf numFmtId="10" fontId="0" fillId="0" borderId="0" xfId="0" applyNumberFormat="1" applyAlignment="1">
      <alignment vertical="center"/>
    </xf>
    <xf numFmtId="164" fontId="42" fillId="0" borderId="15" xfId="0" applyNumberFormat="1" applyFont="1" applyBorder="1" applyAlignment="1">
      <alignment vertical="center"/>
    </xf>
    <xf numFmtId="164" fontId="0" fillId="0" borderId="0" xfId="0" applyNumberFormat="1" applyAlignment="1">
      <alignment vertical="center"/>
    </xf>
    <xf numFmtId="0" fontId="0" fillId="0" borderId="0" xfId="0" applyAlignment="1">
      <alignment horizontal="center"/>
    </xf>
    <xf numFmtId="10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0" applyNumberFormat="1"/>
    <xf numFmtId="164" fontId="0" fillId="0" borderId="0" xfId="0" applyNumberFormat="1" applyBorder="1" applyAlignment="1">
      <alignment vertical="center"/>
    </xf>
    <xf numFmtId="164" fontId="0" fillId="0" borderId="0" xfId="0" applyNumberFormat="1" applyFill="1" applyBorder="1" applyAlignment="1">
      <alignment vertical="center"/>
    </xf>
    <xf numFmtId="164" fontId="21" fillId="0" borderId="0" xfId="0" applyNumberFormat="1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16" xfId="0" applyBorder="1" applyAlignment="1">
      <alignment vertical="center"/>
    </xf>
    <xf numFmtId="164" fontId="0" fillId="0" borderId="17" xfId="0" applyNumberFormat="1" applyBorder="1" applyAlignment="1">
      <alignment vertical="center"/>
    </xf>
    <xf numFmtId="164" fontId="0" fillId="0" borderId="18" xfId="0" applyNumberFormat="1" applyBorder="1" applyAlignment="1">
      <alignment vertical="center"/>
    </xf>
    <xf numFmtId="0" fontId="43" fillId="0" borderId="18" xfId="0" applyFont="1" applyBorder="1" applyAlignment="1">
      <alignment horizontal="center" vertical="center"/>
    </xf>
    <xf numFmtId="0" fontId="43" fillId="0" borderId="17" xfId="0" applyFont="1" applyBorder="1" applyAlignment="1">
      <alignment horizontal="center" vertical="center"/>
    </xf>
    <xf numFmtId="0" fontId="0" fillId="0" borderId="19" xfId="0" applyBorder="1" applyAlignment="1">
      <alignment vertical="center"/>
    </xf>
    <xf numFmtId="164" fontId="41" fillId="0" borderId="17" xfId="0" applyNumberFormat="1" applyFont="1" applyFill="1" applyBorder="1" applyAlignment="1">
      <alignment vertical="center"/>
    </xf>
    <xf numFmtId="0" fontId="43" fillId="0" borderId="20" xfId="0" applyFont="1" applyBorder="1" applyAlignment="1">
      <alignment horizontal="center" vertical="center"/>
    </xf>
    <xf numFmtId="0" fontId="0" fillId="0" borderId="21" xfId="0" applyBorder="1" applyAlignment="1">
      <alignment vertical="center"/>
    </xf>
    <xf numFmtId="164" fontId="41" fillId="0" borderId="20" xfId="0" applyNumberFormat="1" applyFont="1" applyFill="1" applyBorder="1" applyAlignment="1">
      <alignment vertical="center"/>
    </xf>
    <xf numFmtId="0" fontId="43" fillId="0" borderId="22" xfId="0" applyFont="1" applyBorder="1" applyAlignment="1">
      <alignment horizontal="center" vertical="center"/>
    </xf>
    <xf numFmtId="0" fontId="0" fillId="0" borderId="23" xfId="0" applyBorder="1" applyAlignment="1">
      <alignment vertical="center"/>
    </xf>
    <xf numFmtId="164" fontId="41" fillId="0" borderId="22" xfId="0" applyNumberFormat="1" applyFont="1" applyFill="1" applyBorder="1" applyAlignment="1">
      <alignment vertical="center"/>
    </xf>
    <xf numFmtId="164" fontId="41" fillId="0" borderId="17" xfId="0" applyNumberFormat="1" applyFont="1" applyBorder="1" applyAlignment="1">
      <alignment horizontal="right" vertical="center"/>
    </xf>
    <xf numFmtId="164" fontId="41" fillId="0" borderId="18" xfId="0" applyNumberFormat="1" applyFont="1" applyBorder="1" applyAlignment="1">
      <alignment horizontal="right" vertical="center"/>
    </xf>
    <xf numFmtId="0" fontId="43" fillId="0" borderId="24" xfId="0" applyFont="1" applyBorder="1" applyAlignment="1">
      <alignment horizontal="center" vertical="center"/>
    </xf>
    <xf numFmtId="164" fontId="41" fillId="0" borderId="25" xfId="0" applyNumberFormat="1" applyFont="1" applyBorder="1" applyAlignment="1">
      <alignment horizontal="right" vertical="center"/>
    </xf>
    <xf numFmtId="164" fontId="0" fillId="0" borderId="22" xfId="0" applyNumberFormat="1" applyBorder="1" applyAlignment="1">
      <alignment vertical="center"/>
    </xf>
    <xf numFmtId="0" fontId="43" fillId="0" borderId="26" xfId="0" applyFont="1" applyBorder="1" applyAlignment="1">
      <alignment horizontal="center" vertical="center"/>
    </xf>
    <xf numFmtId="164" fontId="0" fillId="0" borderId="26" xfId="0" applyNumberFormat="1" applyBorder="1" applyAlignment="1">
      <alignment vertical="center"/>
    </xf>
    <xf numFmtId="0" fontId="0" fillId="0" borderId="17" xfId="0" applyBorder="1" applyAlignment="1">
      <alignment vertical="center"/>
    </xf>
    <xf numFmtId="10" fontId="0" fillId="0" borderId="17" xfId="0" applyNumberFormat="1" applyBorder="1" applyAlignment="1">
      <alignment horizontal="right" vertical="center"/>
    </xf>
    <xf numFmtId="0" fontId="0" fillId="0" borderId="18" xfId="0" applyBorder="1" applyAlignment="1">
      <alignment vertical="center"/>
    </xf>
    <xf numFmtId="164" fontId="21" fillId="0" borderId="18" xfId="0" applyNumberFormat="1" applyFont="1" applyBorder="1" applyAlignment="1">
      <alignment vertical="center"/>
    </xf>
    <xf numFmtId="164" fontId="21" fillId="0" borderId="17" xfId="0" applyNumberFormat="1" applyFont="1" applyBorder="1" applyAlignment="1">
      <alignment vertical="center"/>
    </xf>
    <xf numFmtId="0" fontId="0" fillId="0" borderId="24" xfId="0" applyBorder="1" applyAlignment="1">
      <alignment vertical="center"/>
    </xf>
    <xf numFmtId="164" fontId="0" fillId="0" borderId="24" xfId="0" applyNumberFormat="1" applyBorder="1" applyAlignment="1">
      <alignment vertical="center"/>
    </xf>
    <xf numFmtId="10" fontId="0" fillId="0" borderId="0" xfId="0" applyNumberFormat="1" applyBorder="1" applyAlignment="1">
      <alignment vertical="center"/>
    </xf>
    <xf numFmtId="10" fontId="41" fillId="0" borderId="0" xfId="0" applyNumberFormat="1" applyFont="1" applyFill="1" applyBorder="1" applyAlignment="1">
      <alignment vertical="center"/>
    </xf>
    <xf numFmtId="10" fontId="41" fillId="0" borderId="0" xfId="0" applyNumberFormat="1" applyFont="1" applyBorder="1" applyAlignment="1">
      <alignment horizontal="right" vertical="center"/>
    </xf>
    <xf numFmtId="10" fontId="0" fillId="0" borderId="25" xfId="0" applyNumberFormat="1" applyBorder="1" applyAlignment="1">
      <alignment horizontal="right" vertical="center"/>
    </xf>
    <xf numFmtId="164" fontId="42" fillId="0" borderId="0" xfId="0" applyNumberFormat="1" applyFont="1"/>
    <xf numFmtId="164" fontId="0" fillId="0" borderId="17" xfId="0" applyNumberFormat="1" applyFill="1" applyBorder="1" applyAlignment="1">
      <alignment vertical="center"/>
    </xf>
    <xf numFmtId="10" fontId="0" fillId="0" borderId="20" xfId="0" applyNumberFormat="1" applyBorder="1" applyAlignment="1">
      <alignment horizontal="right" vertical="center"/>
    </xf>
    <xf numFmtId="0" fontId="44" fillId="0" borderId="27" xfId="0" applyFont="1" applyBorder="1" applyAlignment="1">
      <alignment horizontal="center" vertical="center"/>
    </xf>
    <xf numFmtId="0" fontId="41" fillId="0" borderId="27" xfId="0" applyFont="1" applyBorder="1" applyAlignment="1">
      <alignment vertical="center" wrapText="1"/>
    </xf>
    <xf numFmtId="164" fontId="41" fillId="0" borderId="0" xfId="0" applyNumberFormat="1" applyFont="1" applyFill="1" applyBorder="1" applyAlignment="1">
      <alignment vertical="center"/>
    </xf>
    <xf numFmtId="164" fontId="0" fillId="0" borderId="28" xfId="0" applyNumberFormat="1" applyBorder="1" applyAlignment="1">
      <alignment vertical="center"/>
    </xf>
    <xf numFmtId="0" fontId="42" fillId="0" borderId="29" xfId="0" applyFont="1" applyBorder="1" applyAlignment="1">
      <alignment horizontal="center" vertical="center"/>
    </xf>
    <xf numFmtId="0" fontId="43" fillId="0" borderId="27" xfId="0" applyFont="1" applyBorder="1" applyAlignment="1">
      <alignment horizontal="center" vertical="center"/>
    </xf>
    <xf numFmtId="164" fontId="21" fillId="0" borderId="17" xfId="0" applyNumberFormat="1" applyFont="1" applyFill="1" applyBorder="1" applyAlignment="1">
      <alignment vertical="center"/>
    </xf>
    <xf numFmtId="164" fontId="21" fillId="0" borderId="20" xfId="0" applyNumberFormat="1" applyFont="1" applyBorder="1" applyAlignment="1">
      <alignment vertical="center"/>
    </xf>
    <xf numFmtId="10" fontId="0" fillId="0" borderId="30" xfId="0" applyNumberFormat="1" applyBorder="1" applyAlignment="1">
      <alignment horizontal="right" vertical="center"/>
    </xf>
    <xf numFmtId="10" fontId="42" fillId="0" borderId="15" xfId="0" applyNumberFormat="1" applyFont="1" applyBorder="1" applyAlignment="1">
      <alignment horizontal="right" vertical="center"/>
    </xf>
    <xf numFmtId="164" fontId="41" fillId="0" borderId="27" xfId="0" applyNumberFormat="1" applyFont="1" applyFill="1" applyBorder="1" applyAlignment="1">
      <alignment vertical="center"/>
    </xf>
    <xf numFmtId="10" fontId="0" fillId="0" borderId="31" xfId="0" applyNumberFormat="1" applyBorder="1" applyAlignment="1">
      <alignment horizontal="right" vertical="center"/>
    </xf>
    <xf numFmtId="164" fontId="41" fillId="0" borderId="27" xfId="0" applyNumberFormat="1" applyFont="1" applyBorder="1" applyAlignment="1">
      <alignment horizontal="right" vertical="center"/>
    </xf>
    <xf numFmtId="10" fontId="0" fillId="0" borderId="22" xfId="0" applyNumberFormat="1" applyBorder="1" applyAlignment="1">
      <alignment horizontal="right" vertical="center"/>
    </xf>
    <xf numFmtId="0" fontId="0" fillId="0" borderId="22" xfId="0" applyBorder="1" applyAlignment="1">
      <alignment vertical="center"/>
    </xf>
    <xf numFmtId="0" fontId="27" fillId="0" borderId="14" xfId="0" applyFont="1" applyBorder="1" applyAlignment="1">
      <alignment vertical="center" wrapText="1"/>
    </xf>
    <xf numFmtId="0" fontId="36" fillId="0" borderId="17" xfId="0" applyFont="1" applyBorder="1" applyAlignment="1">
      <alignment vertical="center"/>
    </xf>
    <xf numFmtId="0" fontId="36" fillId="0" borderId="19" xfId="0" applyFont="1" applyBorder="1" applyAlignment="1">
      <alignment vertical="center"/>
    </xf>
    <xf numFmtId="164" fontId="21" fillId="0" borderId="18" xfId="0" applyNumberFormat="1" applyFont="1" applyFill="1" applyBorder="1" applyAlignment="1">
      <alignment vertical="center"/>
    </xf>
    <xf numFmtId="164" fontId="36" fillId="0" borderId="17" xfId="0" applyNumberFormat="1" applyFont="1" applyBorder="1" applyAlignment="1">
      <alignment horizontal="right" vertical="center"/>
    </xf>
    <xf numFmtId="0" fontId="36" fillId="0" borderId="23" xfId="0" applyFont="1" applyBorder="1" applyAlignment="1">
      <alignment vertical="center"/>
    </xf>
    <xf numFmtId="0" fontId="36" fillId="0" borderId="0" xfId="0" applyFont="1" applyBorder="1" applyAlignment="1">
      <alignment vertical="center"/>
    </xf>
    <xf numFmtId="0" fontId="36" fillId="0" borderId="26" xfId="0" applyFont="1" applyBorder="1" applyAlignment="1">
      <alignment vertical="center"/>
    </xf>
    <xf numFmtId="167" fontId="0" fillId="0" borderId="0" xfId="0" applyNumberFormat="1"/>
    <xf numFmtId="4" fontId="46" fillId="27" borderId="32" xfId="0" applyNumberFormat="1" applyFont="1" applyFill="1" applyBorder="1" applyAlignment="1">
      <alignment horizontal="center"/>
    </xf>
    <xf numFmtId="4" fontId="46" fillId="27" borderId="33" xfId="0" applyNumberFormat="1" applyFont="1" applyFill="1" applyBorder="1" applyAlignment="1">
      <alignment horizontal="center"/>
    </xf>
    <xf numFmtId="4" fontId="46" fillId="27" borderId="34" xfId="0" applyNumberFormat="1" applyFont="1" applyFill="1" applyBorder="1"/>
    <xf numFmtId="164" fontId="36" fillId="0" borderId="0" xfId="0" applyNumberFormat="1" applyFont="1"/>
    <xf numFmtId="4" fontId="46" fillId="28" borderId="35" xfId="0" applyNumberFormat="1" applyFont="1" applyFill="1" applyBorder="1" applyAlignment="1">
      <alignment horizontal="center" vertical="center"/>
    </xf>
    <xf numFmtId="4" fontId="46" fillId="28" borderId="36" xfId="0" applyNumberFormat="1" applyFont="1" applyFill="1" applyBorder="1" applyAlignment="1">
      <alignment horizontal="center" vertical="center"/>
    </xf>
    <xf numFmtId="10" fontId="46" fillId="28" borderId="37" xfId="0" applyNumberFormat="1" applyFont="1" applyFill="1" applyBorder="1" applyAlignment="1">
      <alignment horizontal="center" vertical="center"/>
    </xf>
    <xf numFmtId="4" fontId="46" fillId="28" borderId="38" xfId="0" applyNumberFormat="1" applyFont="1" applyFill="1" applyBorder="1" applyAlignment="1">
      <alignment horizontal="center" vertical="center"/>
    </xf>
    <xf numFmtId="4" fontId="46" fillId="28" borderId="39" xfId="0" applyNumberFormat="1" applyFont="1" applyFill="1" applyBorder="1" applyAlignment="1">
      <alignment horizontal="center" vertical="center"/>
    </xf>
    <xf numFmtId="4" fontId="46" fillId="28" borderId="40" xfId="0" applyNumberFormat="1" applyFont="1" applyFill="1" applyBorder="1" applyAlignment="1">
      <alignment horizontal="center" vertical="center"/>
    </xf>
    <xf numFmtId="4" fontId="46" fillId="27" borderId="41" xfId="0" applyNumberFormat="1" applyFont="1" applyFill="1" applyBorder="1" applyAlignment="1">
      <alignment horizontal="center"/>
    </xf>
    <xf numFmtId="4" fontId="46" fillId="28" borderId="37" xfId="0" applyNumberFormat="1" applyFont="1" applyFill="1" applyBorder="1" applyAlignment="1">
      <alignment horizontal="center" vertical="center"/>
    </xf>
    <xf numFmtId="4" fontId="47" fillId="0" borderId="14" xfId="0" applyNumberFormat="1" applyFont="1" applyBorder="1" applyAlignment="1">
      <alignment horizontal="center" vertical="center"/>
    </xf>
    <xf numFmtId="0" fontId="46" fillId="0" borderId="0" xfId="0" applyFont="1"/>
    <xf numFmtId="0" fontId="47" fillId="0" borderId="0" xfId="0" applyFont="1"/>
    <xf numFmtId="0" fontId="47" fillId="0" borderId="0" xfId="0" applyFont="1" applyAlignment="1">
      <alignment vertical="center"/>
    </xf>
    <xf numFmtId="0" fontId="46" fillId="0" borderId="0" xfId="0" applyFont="1" applyAlignment="1">
      <alignment vertical="center"/>
    </xf>
    <xf numFmtId="4" fontId="47" fillId="0" borderId="0" xfId="0" applyNumberFormat="1" applyFont="1" applyAlignment="1">
      <alignment vertical="center"/>
    </xf>
    <xf numFmtId="4" fontId="47" fillId="0" borderId="0" xfId="0" applyNumberFormat="1" applyFont="1"/>
    <xf numFmtId="0" fontId="46" fillId="0" borderId="0" xfId="0" applyFont="1" applyBorder="1"/>
    <xf numFmtId="164" fontId="46" fillId="0" borderId="0" xfId="0" applyNumberFormat="1" applyFont="1"/>
    <xf numFmtId="164" fontId="47" fillId="0" borderId="0" xfId="0" applyNumberFormat="1" applyFont="1" applyAlignment="1">
      <alignment vertical="center"/>
    </xf>
    <xf numFmtId="164" fontId="46" fillId="0" borderId="0" xfId="0" applyNumberFormat="1" applyFont="1" applyAlignment="1">
      <alignment vertical="center"/>
    </xf>
    <xf numFmtId="0" fontId="46" fillId="0" borderId="0" xfId="0" applyFont="1" applyAlignment="1">
      <alignment horizontal="center" vertical="center" wrapText="1"/>
    </xf>
    <xf numFmtId="0" fontId="46" fillId="0" borderId="0" xfId="0" applyFont="1" applyAlignment="1">
      <alignment horizontal="center" vertical="center"/>
    </xf>
    <xf numFmtId="164" fontId="47" fillId="0" borderId="0" xfId="0" applyNumberFormat="1" applyFont="1" applyBorder="1" applyAlignment="1">
      <alignment vertical="center"/>
    </xf>
    <xf numFmtId="4" fontId="46" fillId="0" borderId="0" xfId="0" applyNumberFormat="1" applyFont="1"/>
    <xf numFmtId="0" fontId="47" fillId="0" borderId="13" xfId="0" applyFont="1" applyBorder="1" applyAlignment="1">
      <alignment horizontal="center" vertical="center"/>
    </xf>
    <xf numFmtId="164" fontId="47" fillId="0" borderId="13" xfId="0" applyNumberFormat="1" applyFont="1" applyBorder="1" applyAlignment="1">
      <alignment horizontal="center" vertical="center" wrapText="1"/>
    </xf>
    <xf numFmtId="10" fontId="47" fillId="0" borderId="13" xfId="0" applyNumberFormat="1" applyFont="1" applyBorder="1" applyAlignment="1">
      <alignment horizontal="center" vertical="center"/>
    </xf>
    <xf numFmtId="0" fontId="49" fillId="0" borderId="22" xfId="0" applyFont="1" applyBorder="1" applyAlignment="1">
      <alignment horizontal="center" vertical="center"/>
    </xf>
    <xf numFmtId="0" fontId="46" fillId="0" borderId="23" xfId="0" applyFont="1" applyBorder="1" applyAlignment="1">
      <alignment vertical="center"/>
    </xf>
    <xf numFmtId="164" fontId="46" fillId="0" borderId="22" xfId="0" applyNumberFormat="1" applyFont="1" applyBorder="1" applyAlignment="1">
      <alignment vertical="center"/>
    </xf>
    <xf numFmtId="10" fontId="46" fillId="0" borderId="17" xfId="0" applyNumberFormat="1" applyFont="1" applyBorder="1" applyAlignment="1">
      <alignment horizontal="right" vertical="center"/>
    </xf>
    <xf numFmtId="164" fontId="46" fillId="0" borderId="0" xfId="0" applyNumberFormat="1" applyFont="1" applyBorder="1" applyAlignment="1">
      <alignment vertical="center"/>
    </xf>
    <xf numFmtId="0" fontId="49" fillId="0" borderId="18" xfId="0" applyFont="1" applyBorder="1" applyAlignment="1">
      <alignment horizontal="center" vertical="center"/>
    </xf>
    <xf numFmtId="0" fontId="46" fillId="0" borderId="0" xfId="0" applyFont="1" applyBorder="1" applyAlignment="1">
      <alignment vertical="center"/>
    </xf>
    <xf numFmtId="164" fontId="46" fillId="0" borderId="18" xfId="0" applyNumberFormat="1" applyFont="1" applyBorder="1" applyAlignment="1">
      <alignment vertical="center"/>
    </xf>
    <xf numFmtId="0" fontId="49" fillId="0" borderId="17" xfId="0" applyFont="1" applyBorder="1" applyAlignment="1">
      <alignment horizontal="center" vertical="center"/>
    </xf>
    <xf numFmtId="0" fontId="46" fillId="0" borderId="19" xfId="0" applyFont="1" applyBorder="1" applyAlignment="1">
      <alignment vertical="center"/>
    </xf>
    <xf numFmtId="164" fontId="46" fillId="0" borderId="17" xfId="0" applyNumberFormat="1" applyFont="1" applyBorder="1" applyAlignment="1">
      <alignment vertical="center"/>
    </xf>
    <xf numFmtId="164" fontId="46" fillId="0" borderId="0" xfId="0" applyNumberFormat="1" applyFont="1" applyFill="1" applyBorder="1" applyAlignment="1">
      <alignment vertical="center"/>
    </xf>
    <xf numFmtId="10" fontId="46" fillId="0" borderId="0" xfId="0" applyNumberFormat="1" applyFont="1" applyBorder="1" applyAlignment="1">
      <alignment vertical="center"/>
    </xf>
    <xf numFmtId="0" fontId="49" fillId="0" borderId="20" xfId="0" applyFont="1" applyBorder="1" applyAlignment="1">
      <alignment horizontal="center" vertical="center"/>
    </xf>
    <xf numFmtId="0" fontId="46" fillId="0" borderId="21" xfId="0" applyFont="1" applyBorder="1" applyAlignment="1">
      <alignment vertical="center"/>
    </xf>
    <xf numFmtId="164" fontId="46" fillId="0" borderId="20" xfId="0" applyNumberFormat="1" applyFont="1" applyFill="1" applyBorder="1" applyAlignment="1">
      <alignment vertical="center"/>
    </xf>
    <xf numFmtId="10" fontId="46" fillId="0" borderId="20" xfId="0" applyNumberFormat="1" applyFont="1" applyBorder="1" applyAlignment="1">
      <alignment horizontal="right" vertical="center"/>
    </xf>
    <xf numFmtId="10" fontId="46" fillId="0" borderId="0" xfId="0" applyNumberFormat="1" applyFont="1" applyFill="1" applyBorder="1" applyAlignment="1">
      <alignment vertical="center"/>
    </xf>
    <xf numFmtId="167" fontId="46" fillId="0" borderId="0" xfId="0" applyNumberFormat="1" applyFont="1"/>
    <xf numFmtId="10" fontId="46" fillId="0" borderId="22" xfId="0" applyNumberFormat="1" applyFont="1" applyBorder="1" applyAlignment="1">
      <alignment horizontal="right" vertical="center"/>
    </xf>
    <xf numFmtId="164" fontId="46" fillId="0" borderId="17" xfId="0" applyNumberFormat="1" applyFont="1" applyBorder="1" applyAlignment="1">
      <alignment horizontal="right" vertical="center"/>
    </xf>
    <xf numFmtId="10" fontId="46" fillId="0" borderId="0" xfId="0" applyNumberFormat="1" applyFont="1" applyBorder="1" applyAlignment="1">
      <alignment horizontal="right" vertical="center"/>
    </xf>
    <xf numFmtId="164" fontId="46" fillId="0" borderId="0" xfId="0" applyNumberFormat="1" applyFont="1" applyBorder="1" applyAlignment="1">
      <alignment horizontal="right" vertical="center"/>
    </xf>
    <xf numFmtId="0" fontId="46" fillId="0" borderId="17" xfId="0" applyFont="1" applyBorder="1" applyAlignment="1">
      <alignment vertical="center"/>
    </xf>
    <xf numFmtId="0" fontId="46" fillId="0" borderId="22" xfId="0" applyFont="1" applyBorder="1" applyAlignment="1">
      <alignment vertical="center"/>
    </xf>
    <xf numFmtId="10" fontId="46" fillId="0" borderId="0" xfId="0" applyNumberFormat="1" applyFont="1"/>
    <xf numFmtId="0" fontId="49" fillId="0" borderId="24" xfId="0" applyFont="1" applyBorder="1" applyAlignment="1">
      <alignment horizontal="center" vertical="center"/>
    </xf>
    <xf numFmtId="0" fontId="46" fillId="0" borderId="16" xfId="0" applyFont="1" applyBorder="1" applyAlignment="1">
      <alignment vertical="center"/>
    </xf>
    <xf numFmtId="164" fontId="46" fillId="0" borderId="25" xfId="0" applyNumberFormat="1" applyFont="1" applyBorder="1" applyAlignment="1">
      <alignment horizontal="right" vertical="center"/>
    </xf>
    <xf numFmtId="0" fontId="49" fillId="0" borderId="27" xfId="0" applyFont="1" applyBorder="1" applyAlignment="1">
      <alignment horizontal="center" vertical="center"/>
    </xf>
    <xf numFmtId="0" fontId="46" fillId="0" borderId="0" xfId="0" applyFont="1" applyBorder="1" applyAlignment="1">
      <alignment vertical="center" wrapText="1"/>
    </xf>
    <xf numFmtId="10" fontId="46" fillId="0" borderId="31" xfId="0" applyNumberFormat="1" applyFont="1" applyBorder="1" applyAlignment="1">
      <alignment horizontal="right" vertical="center"/>
    </xf>
    <xf numFmtId="0" fontId="47" fillId="0" borderId="29" xfId="0" applyFont="1" applyBorder="1" applyAlignment="1">
      <alignment horizontal="center" vertical="center"/>
    </xf>
    <xf numFmtId="0" fontId="47" fillId="0" borderId="14" xfId="0" applyFont="1" applyBorder="1" applyAlignment="1">
      <alignment vertical="center" wrapText="1"/>
    </xf>
    <xf numFmtId="164" fontId="47" fillId="0" borderId="14" xfId="0" applyNumberFormat="1" applyFont="1" applyBorder="1" applyAlignment="1">
      <alignment vertical="center"/>
    </xf>
    <xf numFmtId="10" fontId="47" fillId="0" borderId="15" xfId="0" applyNumberFormat="1" applyFont="1" applyBorder="1" applyAlignment="1">
      <alignment horizontal="right" vertical="center"/>
    </xf>
    <xf numFmtId="0" fontId="47" fillId="0" borderId="0" xfId="0" applyFont="1" applyBorder="1" applyAlignment="1">
      <alignment vertical="center"/>
    </xf>
    <xf numFmtId="10" fontId="46" fillId="0" borderId="0" xfId="0" applyNumberFormat="1" applyFont="1" applyAlignment="1">
      <alignment vertical="center"/>
    </xf>
    <xf numFmtId="0" fontId="49" fillId="0" borderId="26" xfId="0" applyFont="1" applyBorder="1" applyAlignment="1">
      <alignment horizontal="center" vertical="center"/>
    </xf>
    <xf numFmtId="0" fontId="46" fillId="0" borderId="26" xfId="0" applyFont="1" applyBorder="1" applyAlignment="1">
      <alignment vertical="center"/>
    </xf>
    <xf numFmtId="164" fontId="46" fillId="0" borderId="26" xfId="0" applyNumberFormat="1" applyFont="1" applyBorder="1" applyAlignment="1">
      <alignment vertical="center"/>
    </xf>
    <xf numFmtId="0" fontId="46" fillId="0" borderId="18" xfId="0" applyFont="1" applyBorder="1" applyAlignment="1">
      <alignment vertical="center"/>
    </xf>
    <xf numFmtId="164" fontId="46" fillId="0" borderId="17" xfId="0" applyNumberFormat="1" applyFont="1" applyFill="1" applyBorder="1" applyAlignment="1">
      <alignment vertical="center"/>
    </xf>
    <xf numFmtId="0" fontId="46" fillId="0" borderId="24" xfId="0" applyFont="1" applyBorder="1" applyAlignment="1">
      <alignment vertical="center"/>
    </xf>
    <xf numFmtId="164" fontId="46" fillId="0" borderId="24" xfId="0" applyNumberFormat="1" applyFont="1" applyBorder="1" applyAlignment="1">
      <alignment vertical="center"/>
    </xf>
    <xf numFmtId="10" fontId="46" fillId="0" borderId="25" xfId="0" applyNumberFormat="1" applyFont="1" applyBorder="1" applyAlignment="1">
      <alignment horizontal="right" vertical="center"/>
    </xf>
    <xf numFmtId="0" fontId="51" fillId="0" borderId="27" xfId="0" applyFont="1" applyBorder="1" applyAlignment="1">
      <alignment horizontal="center" vertical="center"/>
    </xf>
    <xf numFmtId="0" fontId="46" fillId="0" borderId="27" xfId="0" applyFont="1" applyBorder="1" applyAlignment="1">
      <alignment vertical="center" wrapText="1"/>
    </xf>
    <xf numFmtId="164" fontId="46" fillId="0" borderId="27" xfId="0" applyNumberFormat="1" applyFont="1" applyFill="1" applyBorder="1" applyAlignment="1">
      <alignment vertical="center"/>
    </xf>
    <xf numFmtId="10" fontId="46" fillId="0" borderId="30" xfId="0" applyNumberFormat="1" applyFont="1" applyBorder="1" applyAlignment="1">
      <alignment horizontal="right" vertical="center"/>
    </xf>
    <xf numFmtId="164" fontId="47" fillId="0" borderId="0" xfId="0" applyNumberFormat="1" applyFont="1" applyAlignment="1">
      <alignment horizontal="center"/>
    </xf>
    <xf numFmtId="164" fontId="46" fillId="0" borderId="28" xfId="0" applyNumberFormat="1" applyFont="1" applyBorder="1" applyAlignment="1">
      <alignment vertical="center"/>
    </xf>
    <xf numFmtId="164" fontId="47" fillId="0" borderId="15" xfId="0" applyNumberFormat="1" applyFont="1" applyBorder="1" applyAlignment="1">
      <alignment vertical="center"/>
    </xf>
    <xf numFmtId="164" fontId="47" fillId="0" borderId="0" xfId="0" applyNumberFormat="1" applyFont="1" applyAlignment="1">
      <alignment horizontal="center" vertical="center"/>
    </xf>
    <xf numFmtId="0" fontId="46" fillId="0" borderId="0" xfId="0" applyFont="1" applyAlignment="1">
      <alignment horizontal="center"/>
    </xf>
    <xf numFmtId="164" fontId="46" fillId="0" borderId="0" xfId="0" applyNumberFormat="1" applyFont="1" applyAlignment="1">
      <alignment horizontal="center"/>
    </xf>
    <xf numFmtId="10" fontId="46" fillId="0" borderId="0" xfId="0" applyNumberFormat="1" applyFont="1" applyAlignment="1">
      <alignment horizontal="center"/>
    </xf>
    <xf numFmtId="165" fontId="46" fillId="0" borderId="0" xfId="0" applyNumberFormat="1" applyFont="1"/>
    <xf numFmtId="3" fontId="46" fillId="0" borderId="0" xfId="0" applyNumberFormat="1" applyFont="1"/>
    <xf numFmtId="4" fontId="46" fillId="0" borderId="0" xfId="0" applyNumberFormat="1" applyFont="1" applyFill="1"/>
    <xf numFmtId="4" fontId="46" fillId="29" borderId="13" xfId="0" applyNumberFormat="1" applyFont="1" applyFill="1" applyBorder="1"/>
    <xf numFmtId="4" fontId="46" fillId="30" borderId="13" xfId="0" applyNumberFormat="1" applyFont="1" applyFill="1" applyBorder="1"/>
    <xf numFmtId="4" fontId="46" fillId="0" borderId="13" xfId="0" applyNumberFormat="1" applyFont="1" applyFill="1" applyBorder="1"/>
    <xf numFmtId="0" fontId="57" fillId="0" borderId="0" xfId="0" applyFont="1" applyAlignment="1">
      <alignment vertical="center" wrapText="1"/>
    </xf>
    <xf numFmtId="0" fontId="57" fillId="0" borderId="0" xfId="0" applyFont="1" applyAlignment="1">
      <alignment horizontal="center" vertical="center"/>
    </xf>
    <xf numFmtId="164" fontId="57" fillId="0" borderId="0" xfId="0" applyNumberFormat="1" applyFont="1" applyAlignment="1"/>
    <xf numFmtId="164" fontId="57" fillId="0" borderId="0" xfId="0" applyNumberFormat="1" applyFont="1" applyAlignment="1">
      <alignment horizontal="center"/>
    </xf>
    <xf numFmtId="4" fontId="47" fillId="0" borderId="0" xfId="0" applyNumberFormat="1" applyFont="1" applyFill="1" applyBorder="1" applyAlignment="1">
      <alignment horizontal="center" vertical="center"/>
    </xf>
    <xf numFmtId="0" fontId="47" fillId="0" borderId="0" xfId="0" applyFont="1" applyFill="1" applyBorder="1" applyAlignment="1">
      <alignment horizontal="center" vertical="center" wrapText="1"/>
    </xf>
    <xf numFmtId="3" fontId="47" fillId="0" borderId="0" xfId="0" applyNumberFormat="1" applyFont="1" applyAlignment="1">
      <alignment horizontal="center" vertical="center" wrapText="1"/>
    </xf>
    <xf numFmtId="4" fontId="47" fillId="0" borderId="0" xfId="0" applyNumberFormat="1" applyFont="1" applyAlignment="1">
      <alignment horizontal="center" vertical="center"/>
    </xf>
    <xf numFmtId="4" fontId="47" fillId="0" borderId="0" xfId="0" applyNumberFormat="1" applyFont="1" applyFill="1" applyAlignment="1">
      <alignment horizontal="center" vertical="center"/>
    </xf>
    <xf numFmtId="4" fontId="47" fillId="0" borderId="0" xfId="0" applyNumberFormat="1" applyFont="1" applyBorder="1" applyAlignment="1">
      <alignment vertical="center"/>
    </xf>
    <xf numFmtId="4" fontId="47" fillId="0" borderId="28" xfId="0" applyNumberFormat="1" applyFont="1" applyBorder="1" applyAlignment="1">
      <alignment vertical="center"/>
    </xf>
    <xf numFmtId="4" fontId="47" fillId="29" borderId="13" xfId="0" applyNumberFormat="1" applyFont="1" applyFill="1" applyBorder="1" applyAlignment="1">
      <alignment horizontal="center" vertical="center"/>
    </xf>
    <xf numFmtId="0" fontId="47" fillId="0" borderId="0" xfId="0" applyFont="1" applyAlignment="1">
      <alignment horizontal="center" vertical="center"/>
    </xf>
    <xf numFmtId="0" fontId="56" fillId="0" borderId="0" xfId="0" applyFont="1" applyAlignment="1"/>
    <xf numFmtId="164" fontId="46" fillId="0" borderId="0" xfId="0" applyNumberFormat="1" applyFont="1" applyAlignment="1">
      <alignment horizontal="center" vertical="center"/>
    </xf>
    <xf numFmtId="4" fontId="46" fillId="0" borderId="0" xfId="0" applyNumberFormat="1" applyFont="1" applyAlignment="1">
      <alignment horizontal="center" vertical="center"/>
    </xf>
    <xf numFmtId="0" fontId="47" fillId="27" borderId="47" xfId="0" applyFont="1" applyFill="1" applyBorder="1" applyAlignment="1">
      <alignment horizontal="center" vertical="center" wrapText="1"/>
    </xf>
    <xf numFmtId="0" fontId="47" fillId="27" borderId="48" xfId="0" applyFont="1" applyFill="1" applyBorder="1" applyAlignment="1">
      <alignment horizontal="center" vertical="center" wrapText="1"/>
    </xf>
    <xf numFmtId="4" fontId="47" fillId="27" borderId="48" xfId="0" applyNumberFormat="1" applyFont="1" applyFill="1" applyBorder="1" applyAlignment="1">
      <alignment vertical="center"/>
    </xf>
    <xf numFmtId="4" fontId="47" fillId="27" borderId="48" xfId="0" applyNumberFormat="1" applyFont="1" applyFill="1" applyBorder="1" applyAlignment="1">
      <alignment horizontal="center" vertical="center" wrapText="1"/>
    </xf>
    <xf numFmtId="4" fontId="47" fillId="31" borderId="49" xfId="0" applyNumberFormat="1" applyFont="1" applyFill="1" applyBorder="1" applyAlignment="1">
      <alignment vertical="center"/>
    </xf>
    <xf numFmtId="3" fontId="51" fillId="27" borderId="47" xfId="0" applyNumberFormat="1" applyFont="1" applyFill="1" applyBorder="1" applyAlignment="1">
      <alignment horizontal="center" vertical="center" wrapText="1"/>
    </xf>
    <xf numFmtId="3" fontId="51" fillId="27" borderId="48" xfId="0" applyNumberFormat="1" applyFont="1" applyFill="1" applyBorder="1" applyAlignment="1">
      <alignment horizontal="center" vertical="center" wrapText="1"/>
    </xf>
    <xf numFmtId="4" fontId="47" fillId="27" borderId="50" xfId="0" applyNumberFormat="1" applyFont="1" applyFill="1" applyBorder="1" applyAlignment="1">
      <alignment vertical="center"/>
    </xf>
    <xf numFmtId="3" fontId="51" fillId="32" borderId="47" xfId="0" applyNumberFormat="1" applyFont="1" applyFill="1" applyBorder="1" applyAlignment="1">
      <alignment horizontal="center" vertical="center" wrapText="1"/>
    </xf>
    <xf numFmtId="3" fontId="51" fillId="32" borderId="48" xfId="0" applyNumberFormat="1" applyFont="1" applyFill="1" applyBorder="1" applyAlignment="1">
      <alignment horizontal="center" vertical="center" wrapText="1"/>
    </xf>
    <xf numFmtId="4" fontId="47" fillId="32" borderId="50" xfId="0" applyNumberFormat="1" applyFont="1" applyFill="1" applyBorder="1" applyAlignment="1">
      <alignment vertical="center"/>
    </xf>
    <xf numFmtId="4" fontId="47" fillId="32" borderId="48" xfId="0" applyNumberFormat="1" applyFont="1" applyFill="1" applyBorder="1" applyAlignment="1">
      <alignment horizontal="center" vertical="center" wrapText="1"/>
    </xf>
    <xf numFmtId="3" fontId="51" fillId="33" borderId="47" xfId="0" applyNumberFormat="1" applyFont="1" applyFill="1" applyBorder="1" applyAlignment="1">
      <alignment horizontal="center" vertical="center" wrapText="1"/>
    </xf>
    <xf numFmtId="3" fontId="51" fillId="33" borderId="48" xfId="0" applyNumberFormat="1" applyFont="1" applyFill="1" applyBorder="1" applyAlignment="1">
      <alignment horizontal="center" vertical="center" wrapText="1"/>
    </xf>
    <xf numFmtId="4" fontId="51" fillId="33" borderId="50" xfId="0" applyNumberFormat="1" applyFont="1" applyFill="1" applyBorder="1" applyAlignment="1">
      <alignment horizontal="center" vertical="center" wrapText="1"/>
    </xf>
    <xf numFmtId="4" fontId="51" fillId="33" borderId="48" xfId="0" applyNumberFormat="1" applyFont="1" applyFill="1" applyBorder="1" applyAlignment="1">
      <alignment horizontal="center" vertical="center" wrapText="1"/>
    </xf>
    <xf numFmtId="4" fontId="51" fillId="33" borderId="14" xfId="0" applyNumberFormat="1" applyFont="1" applyFill="1" applyBorder="1" applyAlignment="1">
      <alignment horizontal="center" vertical="center" wrapText="1"/>
    </xf>
    <xf numFmtId="4" fontId="46" fillId="0" borderId="0" xfId="0" applyNumberFormat="1" applyFont="1" applyAlignment="1">
      <alignment horizontal="center" vertical="center" wrapText="1"/>
    </xf>
    <xf numFmtId="4" fontId="46" fillId="29" borderId="13" xfId="0" applyNumberFormat="1" applyFont="1" applyFill="1" applyBorder="1" applyAlignment="1">
      <alignment horizontal="center" vertical="center" wrapText="1"/>
    </xf>
    <xf numFmtId="4" fontId="46" fillId="29" borderId="13" xfId="0" applyNumberFormat="1" applyFont="1" applyFill="1" applyBorder="1" applyAlignment="1">
      <alignment horizontal="center" vertical="center"/>
    </xf>
    <xf numFmtId="4" fontId="46" fillId="30" borderId="13" xfId="0" applyNumberFormat="1" applyFont="1" applyFill="1" applyBorder="1" applyAlignment="1">
      <alignment horizontal="center" vertical="center" wrapText="1"/>
    </xf>
    <xf numFmtId="4" fontId="46" fillId="0" borderId="13" xfId="0" applyNumberFormat="1" applyFont="1" applyFill="1" applyBorder="1" applyAlignment="1">
      <alignment horizontal="center" vertical="center" wrapText="1"/>
    </xf>
    <xf numFmtId="0" fontId="56" fillId="0" borderId="0" xfId="0" applyFont="1"/>
    <xf numFmtId="0" fontId="55" fillId="0" borderId="0" xfId="0" applyFont="1" applyAlignment="1">
      <alignment horizontal="center"/>
    </xf>
    <xf numFmtId="165" fontId="55" fillId="0" borderId="0" xfId="0" applyNumberFormat="1" applyFont="1"/>
    <xf numFmtId="166" fontId="55" fillId="0" borderId="0" xfId="0" applyNumberFormat="1" applyFont="1"/>
    <xf numFmtId="164" fontId="55" fillId="0" borderId="0" xfId="0" applyNumberFormat="1" applyFont="1"/>
    <xf numFmtId="4" fontId="47" fillId="31" borderId="51" xfId="0" applyNumberFormat="1" applyFont="1" applyFill="1" applyBorder="1" applyAlignment="1">
      <alignment vertical="center"/>
    </xf>
    <xf numFmtId="4" fontId="46" fillId="29" borderId="52" xfId="0" applyNumberFormat="1" applyFont="1" applyFill="1" applyBorder="1"/>
    <xf numFmtId="0" fontId="51" fillId="0" borderId="0" xfId="0" applyFont="1"/>
    <xf numFmtId="0" fontId="51" fillId="0" borderId="45" xfId="0" applyFont="1" applyBorder="1" applyAlignment="1">
      <alignment horizontal="center" vertical="center" wrapText="1"/>
    </xf>
    <xf numFmtId="165" fontId="51" fillId="0" borderId="44" xfId="0" applyNumberFormat="1" applyFont="1" applyBorder="1" applyAlignment="1">
      <alignment horizontal="center" vertical="center" wrapText="1"/>
    </xf>
    <xf numFmtId="166" fontId="51" fillId="0" borderId="44" xfId="0" applyNumberFormat="1" applyFont="1" applyBorder="1" applyAlignment="1">
      <alignment horizontal="center" vertical="center"/>
    </xf>
    <xf numFmtId="164" fontId="51" fillId="0" borderId="46" xfId="0" applyNumberFormat="1" applyFont="1" applyBorder="1" applyAlignment="1">
      <alignment horizontal="center" vertical="center"/>
    </xf>
    <xf numFmtId="164" fontId="49" fillId="0" borderId="0" xfId="0" applyNumberFormat="1" applyFont="1"/>
    <xf numFmtId="0" fontId="49" fillId="0" borderId="0" xfId="0" applyFont="1"/>
    <xf numFmtId="4" fontId="51" fillId="0" borderId="52" xfId="0" applyNumberFormat="1" applyFont="1" applyBorder="1" applyAlignment="1">
      <alignment horizontal="center" vertical="center"/>
    </xf>
    <xf numFmtId="4" fontId="51" fillId="0" borderId="53" xfId="0" applyNumberFormat="1" applyFont="1" applyBorder="1" applyAlignment="1">
      <alignment horizontal="center" vertical="center"/>
    </xf>
    <xf numFmtId="4" fontId="51" fillId="0" borderId="54" xfId="0" applyNumberFormat="1" applyFont="1" applyBorder="1" applyAlignment="1">
      <alignment horizontal="center" vertical="center"/>
    </xf>
    <xf numFmtId="4" fontId="51" fillId="0" borderId="55" xfId="0" applyNumberFormat="1" applyFont="1" applyBorder="1" applyAlignment="1">
      <alignment horizontal="center" vertical="center"/>
    </xf>
    <xf numFmtId="4" fontId="51" fillId="0" borderId="56" xfId="0" applyNumberFormat="1" applyFont="1" applyBorder="1" applyAlignment="1">
      <alignment horizontal="center" vertical="center"/>
    </xf>
    <xf numFmtId="3" fontId="49" fillId="0" borderId="0" xfId="0" applyNumberFormat="1" applyFont="1"/>
    <xf numFmtId="4" fontId="51" fillId="0" borderId="0" xfId="0" applyNumberFormat="1" applyFont="1" applyBorder="1" applyAlignment="1">
      <alignment horizontal="center" vertical="center"/>
    </xf>
    <xf numFmtId="4" fontId="51" fillId="0" borderId="33" xfId="0" applyNumberFormat="1" applyFont="1" applyBorder="1" applyAlignment="1">
      <alignment horizontal="center" vertical="center"/>
    </xf>
    <xf numFmtId="4" fontId="51" fillId="0" borderId="28" xfId="0" applyNumberFormat="1" applyFont="1" applyBorder="1" applyAlignment="1">
      <alignment horizontal="center" vertical="center"/>
    </xf>
    <xf numFmtId="4" fontId="51" fillId="0" borderId="57" xfId="0" applyNumberFormat="1" applyFont="1" applyBorder="1" applyAlignment="1">
      <alignment horizontal="center" vertical="center"/>
    </xf>
    <xf numFmtId="4" fontId="51" fillId="0" borderId="40" xfId="0" applyNumberFormat="1" applyFont="1" applyBorder="1" applyAlignment="1">
      <alignment horizontal="center" vertical="center"/>
    </xf>
    <xf numFmtId="4" fontId="49" fillId="0" borderId="0" xfId="0" applyNumberFormat="1" applyFont="1"/>
    <xf numFmtId="4" fontId="49" fillId="29" borderId="52" xfId="0" applyNumberFormat="1" applyFont="1" applyFill="1" applyBorder="1"/>
    <xf numFmtId="4" fontId="49" fillId="30" borderId="13" xfId="0" applyNumberFormat="1" applyFont="1" applyFill="1" applyBorder="1"/>
    <xf numFmtId="4" fontId="49" fillId="0" borderId="13" xfId="0" applyNumberFormat="1" applyFont="1" applyFill="1" applyBorder="1"/>
    <xf numFmtId="0" fontId="49" fillId="0" borderId="58" xfId="0" applyFont="1" applyBorder="1" applyAlignment="1">
      <alignment horizontal="left" vertical="center"/>
    </xf>
    <xf numFmtId="0" fontId="49" fillId="0" borderId="59" xfId="0" applyFont="1" applyBorder="1" applyAlignment="1">
      <alignment horizontal="center" vertical="center"/>
    </xf>
    <xf numFmtId="165" fontId="49" fillId="0" borderId="59" xfId="0" applyNumberFormat="1" applyFont="1" applyBorder="1"/>
    <xf numFmtId="166" fontId="49" fillId="0" borderId="59" xfId="0" applyNumberFormat="1" applyFont="1" applyBorder="1"/>
    <xf numFmtId="164" fontId="49" fillId="0" borderId="60" xfId="0" applyNumberFormat="1" applyFont="1" applyBorder="1"/>
    <xf numFmtId="0" fontId="49" fillId="0" borderId="61" xfId="0" applyFont="1" applyBorder="1"/>
    <xf numFmtId="3" fontId="49" fillId="0" borderId="34" xfId="0" applyNumberFormat="1" applyFont="1" applyBorder="1"/>
    <xf numFmtId="4" fontId="49" fillId="0" borderId="34" xfId="0" applyNumberFormat="1" applyFont="1" applyBorder="1"/>
    <xf numFmtId="4" fontId="49" fillId="0" borderId="62" xfId="0" applyNumberFormat="1" applyFont="1" applyFill="1" applyBorder="1"/>
    <xf numFmtId="4" fontId="49" fillId="0" borderId="63" xfId="0" applyNumberFormat="1" applyFont="1" applyBorder="1"/>
    <xf numFmtId="3" fontId="49" fillId="0" borderId="61" xfId="0" applyNumberFormat="1" applyFont="1" applyBorder="1"/>
    <xf numFmtId="4" fontId="49" fillId="0" borderId="64" xfId="0" applyNumberFormat="1" applyFont="1" applyBorder="1"/>
    <xf numFmtId="4" fontId="46" fillId="0" borderId="13" xfId="0" applyNumberFormat="1" applyFont="1" applyBorder="1"/>
    <xf numFmtId="0" fontId="49" fillId="0" borderId="13" xfId="0" applyFont="1" applyBorder="1"/>
    <xf numFmtId="0" fontId="49" fillId="0" borderId="65" xfId="0" applyFont="1" applyBorder="1"/>
    <xf numFmtId="0" fontId="49" fillId="0" borderId="17" xfId="0" applyFont="1" applyBorder="1" applyAlignment="1">
      <alignment horizontal="center"/>
    </xf>
    <xf numFmtId="165" fontId="49" fillId="0" borderId="17" xfId="0" applyNumberFormat="1" applyFont="1" applyBorder="1"/>
    <xf numFmtId="166" fontId="49" fillId="0" borderId="17" xfId="0" applyNumberFormat="1" applyFont="1" applyBorder="1"/>
    <xf numFmtId="164" fontId="49" fillId="0" borderId="66" xfId="0" applyNumberFormat="1" applyFont="1" applyBorder="1"/>
    <xf numFmtId="0" fontId="49" fillId="0" borderId="67" xfId="0" applyFont="1" applyBorder="1"/>
    <xf numFmtId="3" fontId="49" fillId="0" borderId="13" xfId="0" applyNumberFormat="1" applyFont="1" applyBorder="1"/>
    <xf numFmtId="4" fontId="49" fillId="0" borderId="13" xfId="0" applyNumberFormat="1" applyFont="1" applyBorder="1"/>
    <xf numFmtId="4" fontId="49" fillId="0" borderId="68" xfId="0" applyNumberFormat="1" applyFont="1" applyBorder="1"/>
    <xf numFmtId="3" fontId="49" fillId="0" borderId="67" xfId="0" applyNumberFormat="1" applyFont="1" applyBorder="1"/>
    <xf numFmtId="0" fontId="49" fillId="0" borderId="69" xfId="0" applyFont="1" applyBorder="1"/>
    <xf numFmtId="0" fontId="49" fillId="0" borderId="20" xfId="0" applyFont="1" applyBorder="1" applyAlignment="1">
      <alignment horizontal="center"/>
    </xf>
    <xf numFmtId="165" fontId="49" fillId="0" borderId="20" xfId="0" applyNumberFormat="1" applyFont="1" applyBorder="1"/>
    <xf numFmtId="166" fontId="49" fillId="0" borderId="20" xfId="0" applyNumberFormat="1" applyFont="1" applyBorder="1"/>
    <xf numFmtId="164" fontId="49" fillId="0" borderId="70" xfId="0" applyNumberFormat="1" applyFont="1" applyBorder="1"/>
    <xf numFmtId="0" fontId="49" fillId="0" borderId="71" xfId="0" applyFont="1" applyBorder="1"/>
    <xf numFmtId="4" fontId="49" fillId="0" borderId="52" xfId="0" applyNumberFormat="1" applyFont="1" applyBorder="1"/>
    <xf numFmtId="4" fontId="49" fillId="0" borderId="0" xfId="0" applyNumberFormat="1" applyFont="1" applyBorder="1"/>
    <xf numFmtId="4" fontId="49" fillId="0" borderId="72" xfId="0" applyNumberFormat="1" applyFont="1" applyBorder="1"/>
    <xf numFmtId="3" fontId="49" fillId="0" borderId="71" xfId="0" applyNumberFormat="1" applyFont="1" applyBorder="1"/>
    <xf numFmtId="0" fontId="51" fillId="30" borderId="73" xfId="0" applyFont="1" applyFill="1" applyBorder="1" applyAlignment="1">
      <alignment horizontal="center" vertical="center"/>
    </xf>
    <xf numFmtId="0" fontId="51" fillId="30" borderId="43" xfId="0" applyFont="1" applyFill="1" applyBorder="1" applyAlignment="1">
      <alignment horizontal="center" vertical="center"/>
    </xf>
    <xf numFmtId="165" fontId="51" fillId="30" borderId="43" xfId="0" applyNumberFormat="1" applyFont="1" applyFill="1" applyBorder="1" applyAlignment="1">
      <alignment horizontal="right" vertical="center"/>
    </xf>
    <xf numFmtId="166" fontId="51" fillId="30" borderId="43" xfId="0" applyNumberFormat="1" applyFont="1" applyFill="1" applyBorder="1" applyAlignment="1">
      <alignment horizontal="right" vertical="center"/>
    </xf>
    <xf numFmtId="164" fontId="51" fillId="30" borderId="42" xfId="0" applyNumberFormat="1" applyFont="1" applyFill="1" applyBorder="1" applyAlignment="1">
      <alignment horizontal="right" vertical="center"/>
    </xf>
    <xf numFmtId="164" fontId="47" fillId="0" borderId="0" xfId="0" applyNumberFormat="1" applyFont="1"/>
    <xf numFmtId="3" fontId="51" fillId="30" borderId="29" xfId="0" applyNumberFormat="1" applyFont="1" applyFill="1" applyBorder="1"/>
    <xf numFmtId="3" fontId="51" fillId="30" borderId="14" xfId="0" applyNumberFormat="1" applyFont="1" applyFill="1" applyBorder="1"/>
    <xf numFmtId="164" fontId="51" fillId="30" borderId="14" xfId="0" applyNumberFormat="1" applyFont="1" applyFill="1" applyBorder="1"/>
    <xf numFmtId="164" fontId="51" fillId="30" borderId="15" xfId="0" applyNumberFormat="1" applyFont="1" applyFill="1" applyBorder="1"/>
    <xf numFmtId="4" fontId="51" fillId="30" borderId="14" xfId="0" applyNumberFormat="1" applyFont="1" applyFill="1" applyBorder="1"/>
    <xf numFmtId="4" fontId="51" fillId="30" borderId="15" xfId="0" applyNumberFormat="1" applyFont="1" applyFill="1" applyBorder="1"/>
    <xf numFmtId="4" fontId="47" fillId="0" borderId="13" xfId="0" applyNumberFormat="1" applyFont="1" applyBorder="1"/>
    <xf numFmtId="4" fontId="47" fillId="29" borderId="13" xfId="0" applyNumberFormat="1" applyFont="1" applyFill="1" applyBorder="1"/>
    <xf numFmtId="4" fontId="47" fillId="30" borderId="13" xfId="0" applyNumberFormat="1" applyFont="1" applyFill="1" applyBorder="1"/>
    <xf numFmtId="4" fontId="47" fillId="0" borderId="13" xfId="0" applyNumberFormat="1" applyFont="1" applyFill="1" applyBorder="1"/>
    <xf numFmtId="0" fontId="59" fillId="0" borderId="0" xfId="0" applyFont="1" applyFill="1" applyBorder="1" applyAlignment="1">
      <alignment horizontal="center" vertical="center"/>
    </xf>
    <xf numFmtId="165" fontId="59" fillId="0" borderId="0" xfId="0" applyNumberFormat="1" applyFont="1" applyFill="1" applyBorder="1" applyAlignment="1">
      <alignment horizontal="right" vertical="center"/>
    </xf>
    <xf numFmtId="166" fontId="59" fillId="0" borderId="0" xfId="0" applyNumberFormat="1" applyFont="1" applyFill="1" applyBorder="1" applyAlignment="1">
      <alignment horizontal="right" vertical="center"/>
    </xf>
    <xf numFmtId="164" fontId="59" fillId="0" borderId="0" xfId="0" applyNumberFormat="1" applyFont="1" applyFill="1" applyBorder="1" applyAlignment="1">
      <alignment horizontal="right" vertical="center"/>
    </xf>
    <xf numFmtId="0" fontId="47" fillId="0" borderId="0" xfId="0" applyFont="1" applyFill="1" applyBorder="1" applyAlignment="1">
      <alignment horizontal="center" vertical="center"/>
    </xf>
    <xf numFmtId="165" fontId="47" fillId="0" borderId="0" xfId="0" applyNumberFormat="1" applyFont="1" applyFill="1" applyBorder="1" applyAlignment="1">
      <alignment horizontal="right" vertical="center"/>
    </xf>
    <xf numFmtId="166" fontId="47" fillId="0" borderId="0" xfId="0" applyNumberFormat="1" applyFont="1" applyFill="1" applyBorder="1" applyAlignment="1">
      <alignment horizontal="right" vertical="center"/>
    </xf>
    <xf numFmtId="164" fontId="47" fillId="0" borderId="0" xfId="0" applyNumberFormat="1" applyFont="1" applyFill="1" applyBorder="1" applyAlignment="1">
      <alignment horizontal="right" vertical="center"/>
    </xf>
    <xf numFmtId="0" fontId="49" fillId="0" borderId="58" xfId="0" applyFont="1" applyBorder="1" applyAlignment="1">
      <alignment horizontal="left"/>
    </xf>
    <xf numFmtId="0" fontId="49" fillId="0" borderId="22" xfId="0" applyFont="1" applyBorder="1" applyAlignment="1">
      <alignment horizontal="center"/>
    </xf>
    <xf numFmtId="165" fontId="49" fillId="0" borderId="22" xfId="0" applyNumberFormat="1" applyFont="1" applyBorder="1"/>
    <xf numFmtId="166" fontId="49" fillId="0" borderId="22" xfId="0" applyNumberFormat="1" applyFont="1" applyBorder="1"/>
    <xf numFmtId="164" fontId="49" fillId="0" borderId="74" xfId="0" applyNumberFormat="1" applyFont="1" applyFill="1" applyBorder="1"/>
    <xf numFmtId="4" fontId="49" fillId="0" borderId="34" xfId="0" applyNumberFormat="1" applyFont="1" applyFill="1" applyBorder="1"/>
    <xf numFmtId="4" fontId="49" fillId="0" borderId="66" xfId="0" applyNumberFormat="1" applyFont="1" applyBorder="1"/>
    <xf numFmtId="2" fontId="49" fillId="0" borderId="13" xfId="0" applyNumberFormat="1" applyFont="1" applyBorder="1"/>
    <xf numFmtId="4" fontId="46" fillId="0" borderId="0" xfId="0" applyNumberFormat="1" applyFont="1" applyBorder="1"/>
    <xf numFmtId="0" fontId="51" fillId="0" borderId="69" xfId="0" applyFont="1" applyBorder="1"/>
    <xf numFmtId="0" fontId="51" fillId="0" borderId="20" xfId="0" applyFont="1" applyBorder="1" applyAlignment="1">
      <alignment horizontal="center"/>
    </xf>
    <xf numFmtId="165" fontId="51" fillId="0" borderId="20" xfId="0" applyNumberFormat="1" applyFont="1" applyBorder="1"/>
    <xf numFmtId="166" fontId="51" fillId="0" borderId="20" xfId="0" applyNumberFormat="1" applyFont="1" applyBorder="1"/>
    <xf numFmtId="164" fontId="51" fillId="0" borderId="70" xfId="0" applyNumberFormat="1" applyFont="1" applyBorder="1"/>
    <xf numFmtId="0" fontId="51" fillId="30" borderId="29" xfId="0" applyFont="1" applyFill="1" applyBorder="1"/>
    <xf numFmtId="0" fontId="51" fillId="30" borderId="14" xfId="0" applyFont="1" applyFill="1" applyBorder="1"/>
    <xf numFmtId="0" fontId="51" fillId="30" borderId="73" xfId="0" applyFont="1" applyFill="1" applyBorder="1"/>
    <xf numFmtId="0" fontId="51" fillId="30" borderId="43" xfId="0" applyFont="1" applyFill="1" applyBorder="1" applyAlignment="1">
      <alignment horizontal="center"/>
    </xf>
    <xf numFmtId="165" fontId="51" fillId="30" borderId="43" xfId="0" applyNumberFormat="1" applyFont="1" applyFill="1" applyBorder="1"/>
    <xf numFmtId="166" fontId="51" fillId="30" borderId="43" xfId="0" applyNumberFormat="1" applyFont="1" applyFill="1" applyBorder="1"/>
    <xf numFmtId="164" fontId="51" fillId="30" borderId="42" xfId="0" applyNumberFormat="1" applyFont="1" applyFill="1" applyBorder="1"/>
    <xf numFmtId="4" fontId="47" fillId="31" borderId="75" xfId="0" applyNumberFormat="1" applyFont="1" applyFill="1" applyBorder="1" applyAlignment="1">
      <alignment vertical="center"/>
    </xf>
    <xf numFmtId="0" fontId="47" fillId="0" borderId="0" xfId="0" applyFont="1" applyAlignment="1">
      <alignment horizontal="center"/>
    </xf>
    <xf numFmtId="3" fontId="49" fillId="0" borderId="76" xfId="0" applyNumberFormat="1" applyFont="1" applyBorder="1"/>
    <xf numFmtId="3" fontId="49" fillId="0" borderId="14" xfId="0" applyNumberFormat="1" applyFont="1" applyBorder="1"/>
    <xf numFmtId="4" fontId="49" fillId="0" borderId="62" xfId="0" applyNumberFormat="1" applyFont="1" applyBorder="1"/>
    <xf numFmtId="4" fontId="49" fillId="0" borderId="77" xfId="0" applyNumberFormat="1" applyFont="1" applyBorder="1"/>
    <xf numFmtId="0" fontId="56" fillId="0" borderId="0" xfId="0" applyFont="1" applyAlignment="1">
      <alignment vertical="center"/>
    </xf>
    <xf numFmtId="4" fontId="47" fillId="31" borderId="78" xfId="0" applyNumberFormat="1" applyFont="1" applyFill="1" applyBorder="1" applyAlignment="1">
      <alignment vertical="center"/>
    </xf>
    <xf numFmtId="3" fontId="51" fillId="30" borderId="29" xfId="0" applyNumberFormat="1" applyFont="1" applyFill="1" applyBorder="1" applyAlignment="1">
      <alignment vertical="center"/>
    </xf>
    <xf numFmtId="3" fontId="51" fillId="30" borderId="14" xfId="0" applyNumberFormat="1" applyFont="1" applyFill="1" applyBorder="1" applyAlignment="1">
      <alignment vertical="center"/>
    </xf>
    <xf numFmtId="4" fontId="51" fillId="30" borderId="14" xfId="0" applyNumberFormat="1" applyFont="1" applyFill="1" applyBorder="1" applyAlignment="1">
      <alignment vertical="center"/>
    </xf>
    <xf numFmtId="4" fontId="51" fillId="30" borderId="15" xfId="0" applyNumberFormat="1" applyFont="1" applyFill="1" applyBorder="1" applyAlignment="1">
      <alignment vertical="center"/>
    </xf>
    <xf numFmtId="3" fontId="51" fillId="30" borderId="28" xfId="0" applyNumberFormat="1" applyFont="1" applyFill="1" applyBorder="1" applyAlignment="1">
      <alignment vertical="center"/>
    </xf>
    <xf numFmtId="4" fontId="47" fillId="31" borderId="79" xfId="0" applyNumberFormat="1" applyFont="1" applyFill="1" applyBorder="1" applyAlignment="1">
      <alignment vertical="center"/>
    </xf>
    <xf numFmtId="4" fontId="46" fillId="0" borderId="0" xfId="0" applyNumberFormat="1" applyFont="1" applyAlignment="1">
      <alignment vertical="center"/>
    </xf>
    <xf numFmtId="4" fontId="46" fillId="0" borderId="13" xfId="0" applyNumberFormat="1" applyFont="1" applyBorder="1" applyAlignment="1">
      <alignment vertical="center"/>
    </xf>
    <xf numFmtId="4" fontId="46" fillId="29" borderId="13" xfId="0" applyNumberFormat="1" applyFont="1" applyFill="1" applyBorder="1" applyAlignment="1">
      <alignment vertical="center"/>
    </xf>
    <xf numFmtId="4" fontId="46" fillId="30" borderId="13" xfId="0" applyNumberFormat="1" applyFont="1" applyFill="1" applyBorder="1" applyAlignment="1">
      <alignment vertical="center"/>
    </xf>
    <xf numFmtId="4" fontId="46" fillId="0" borderId="13" xfId="0" applyNumberFormat="1" applyFont="1" applyFill="1" applyBorder="1" applyAlignment="1">
      <alignment vertical="center"/>
    </xf>
    <xf numFmtId="166" fontId="46" fillId="0" borderId="0" xfId="0" applyNumberFormat="1" applyFont="1"/>
    <xf numFmtId="4" fontId="47" fillId="0" borderId="0" xfId="0" applyNumberFormat="1" applyFont="1" applyFill="1" applyBorder="1" applyAlignment="1">
      <alignment vertical="center"/>
    </xf>
    <xf numFmtId="0" fontId="49" fillId="0" borderId="58" xfId="0" applyFont="1" applyBorder="1"/>
    <xf numFmtId="0" fontId="49" fillId="0" borderId="59" xfId="0" applyFont="1" applyBorder="1" applyAlignment="1">
      <alignment horizontal="center"/>
    </xf>
    <xf numFmtId="3" fontId="51" fillId="0" borderId="0" xfId="0" applyNumberFormat="1" applyFont="1"/>
    <xf numFmtId="4" fontId="51" fillId="0" borderId="0" xfId="0" applyNumberFormat="1" applyFont="1"/>
    <xf numFmtId="0" fontId="49" fillId="0" borderId="45" xfId="0" applyFont="1" applyBorder="1"/>
    <xf numFmtId="0" fontId="51" fillId="0" borderId="44" xfId="0" applyFont="1" applyBorder="1" applyAlignment="1">
      <alignment horizontal="center"/>
    </xf>
    <xf numFmtId="165" fontId="51" fillId="0" borderId="44" xfId="0" applyNumberFormat="1" applyFont="1" applyBorder="1"/>
    <xf numFmtId="166" fontId="51" fillId="0" borderId="44" xfId="0" applyNumberFormat="1" applyFont="1" applyBorder="1"/>
    <xf numFmtId="164" fontId="51" fillId="0" borderId="46" xfId="0" applyNumberFormat="1" applyFont="1" applyBorder="1"/>
    <xf numFmtId="0" fontId="51" fillId="0" borderId="0" xfId="0" applyFont="1" applyAlignment="1">
      <alignment horizontal="center"/>
    </xf>
    <xf numFmtId="165" fontId="49" fillId="0" borderId="0" xfId="0" applyNumberFormat="1" applyFont="1"/>
    <xf numFmtId="166" fontId="49" fillId="0" borderId="0" xfId="0" applyNumberFormat="1" applyFont="1"/>
    <xf numFmtId="0" fontId="51" fillId="30" borderId="29" xfId="0" applyFont="1" applyFill="1" applyBorder="1" applyAlignment="1">
      <alignment vertical="center"/>
    </xf>
    <xf numFmtId="0" fontId="51" fillId="30" borderId="14" xfId="0" applyFont="1" applyFill="1" applyBorder="1" applyAlignment="1">
      <alignment horizontal="center" vertical="center"/>
    </xf>
    <xf numFmtId="165" fontId="51" fillId="30" borderId="14" xfId="0" applyNumberFormat="1" applyFont="1" applyFill="1" applyBorder="1" applyAlignment="1">
      <alignment vertical="center"/>
    </xf>
    <xf numFmtId="166" fontId="51" fillId="30" borderId="14" xfId="0" applyNumberFormat="1" applyFont="1" applyFill="1" applyBorder="1" applyAlignment="1">
      <alignment horizontal="center" vertical="center"/>
    </xf>
    <xf numFmtId="164" fontId="51" fillId="30" borderId="15" xfId="0" applyNumberFormat="1" applyFont="1" applyFill="1" applyBorder="1" applyAlignment="1">
      <alignment vertical="center"/>
    </xf>
    <xf numFmtId="4" fontId="46" fillId="29" borderId="64" xfId="0" applyNumberFormat="1" applyFont="1" applyFill="1" applyBorder="1"/>
    <xf numFmtId="4" fontId="46" fillId="29" borderId="80" xfId="0" applyNumberFormat="1" applyFont="1" applyFill="1" applyBorder="1"/>
    <xf numFmtId="4" fontId="49" fillId="0" borderId="0" xfId="0" applyNumberFormat="1" applyFont="1" applyFill="1" applyBorder="1"/>
    <xf numFmtId="4" fontId="49" fillId="0" borderId="0" xfId="0" applyNumberFormat="1" applyFont="1" applyFill="1"/>
    <xf numFmtId="4" fontId="47" fillId="34" borderId="81" xfId="0" applyNumberFormat="1" applyFont="1" applyFill="1" applyBorder="1"/>
    <xf numFmtId="4" fontId="46" fillId="30" borderId="42" xfId="0" applyNumberFormat="1" applyFont="1" applyFill="1" applyBorder="1"/>
    <xf numFmtId="0" fontId="57" fillId="0" borderId="0" xfId="0" applyFont="1" applyAlignment="1">
      <alignment vertical="center"/>
    </xf>
    <xf numFmtId="165" fontId="46" fillId="0" borderId="0" xfId="0" applyNumberFormat="1" applyFont="1" applyAlignment="1">
      <alignment horizontal="center" vertical="center" wrapText="1"/>
    </xf>
    <xf numFmtId="0" fontId="51" fillId="0" borderId="45" xfId="0" applyFont="1" applyBorder="1" applyAlignment="1">
      <alignment vertical="center"/>
    </xf>
    <xf numFmtId="0" fontId="51" fillId="0" borderId="44" xfId="0" applyFont="1" applyBorder="1" applyAlignment="1">
      <alignment horizontal="center" vertical="center" wrapText="1"/>
    </xf>
    <xf numFmtId="0" fontId="49" fillId="0" borderId="40" xfId="0" applyFont="1" applyBorder="1"/>
    <xf numFmtId="3" fontId="49" fillId="0" borderId="0" xfId="0" applyNumberFormat="1" applyFont="1" applyBorder="1"/>
    <xf numFmtId="0" fontId="49" fillId="0" borderId="82" xfId="0" applyFont="1" applyBorder="1"/>
    <xf numFmtId="0" fontId="49" fillId="0" borderId="22" xfId="0" applyFont="1" applyBorder="1" applyAlignment="1">
      <alignment horizontal="right"/>
    </xf>
    <xf numFmtId="164" fontId="49" fillId="0" borderId="74" xfId="0" applyNumberFormat="1" applyFont="1" applyBorder="1"/>
    <xf numFmtId="3" fontId="49" fillId="0" borderId="64" xfId="0" applyNumberFormat="1" applyFont="1" applyBorder="1"/>
    <xf numFmtId="3" fontId="49" fillId="0" borderId="42" xfId="0" applyNumberFormat="1" applyFont="1" applyBorder="1"/>
    <xf numFmtId="4" fontId="49" fillId="0" borderId="73" xfId="0" applyNumberFormat="1" applyFont="1" applyBorder="1"/>
    <xf numFmtId="0" fontId="49" fillId="0" borderId="20" xfId="0" applyFont="1" applyBorder="1" applyAlignment="1">
      <alignment horizontal="right"/>
    </xf>
    <xf numFmtId="3" fontId="49" fillId="0" borderId="55" xfId="0" applyNumberFormat="1" applyFont="1" applyBorder="1"/>
    <xf numFmtId="4" fontId="49" fillId="0" borderId="56" xfId="0" applyNumberFormat="1" applyFont="1" applyBorder="1"/>
    <xf numFmtId="0" fontId="51" fillId="30" borderId="43" xfId="0" applyFont="1" applyFill="1" applyBorder="1" applyAlignment="1">
      <alignment horizontal="right"/>
    </xf>
    <xf numFmtId="166" fontId="51" fillId="30" borderId="43" xfId="0" applyNumberFormat="1" applyFont="1" applyFill="1" applyBorder="1" applyAlignment="1">
      <alignment horizontal="right"/>
    </xf>
    <xf numFmtId="3" fontId="49" fillId="0" borderId="83" xfId="0" applyNumberFormat="1" applyFont="1" applyBorder="1"/>
    <xf numFmtId="4" fontId="49" fillId="0" borderId="83" xfId="0" applyNumberFormat="1" applyFont="1" applyBorder="1"/>
    <xf numFmtId="4" fontId="49" fillId="0" borderId="84" xfId="0" applyNumberFormat="1" applyFont="1" applyBorder="1"/>
    <xf numFmtId="0" fontId="49" fillId="0" borderId="17" xfId="0" applyFont="1" applyBorder="1" applyAlignment="1">
      <alignment horizontal="right"/>
    </xf>
    <xf numFmtId="0" fontId="49" fillId="0" borderId="85" xfId="0" applyFont="1" applyBorder="1"/>
    <xf numFmtId="0" fontId="49" fillId="0" borderId="86" xfId="0" applyFont="1" applyBorder="1" applyAlignment="1">
      <alignment horizontal="right"/>
    </xf>
    <xf numFmtId="165" fontId="49" fillId="0" borderId="86" xfId="0" applyNumberFormat="1" applyFont="1" applyBorder="1"/>
    <xf numFmtId="166" fontId="49" fillId="0" borderId="86" xfId="0" applyNumberFormat="1" applyFont="1" applyBorder="1"/>
    <xf numFmtId="164" fontId="49" fillId="0" borderId="87" xfId="0" applyNumberFormat="1" applyFont="1" applyBorder="1"/>
    <xf numFmtId="4" fontId="49" fillId="0" borderId="88" xfId="0" applyNumberFormat="1" applyFont="1" applyBorder="1"/>
    <xf numFmtId="165" fontId="47" fillId="0" borderId="0" xfId="0" applyNumberFormat="1" applyFont="1"/>
    <xf numFmtId="166" fontId="47" fillId="0" borderId="0" xfId="0" applyNumberFormat="1" applyFont="1" applyAlignment="1">
      <alignment horizontal="center"/>
    </xf>
    <xf numFmtId="3" fontId="47" fillId="0" borderId="0" xfId="0" applyNumberFormat="1" applyFont="1"/>
    <xf numFmtId="0" fontId="51" fillId="30" borderId="14" xfId="0" applyFont="1" applyFill="1" applyBorder="1" applyAlignment="1">
      <alignment horizontal="right" vertical="center"/>
    </xf>
    <xf numFmtId="164" fontId="51" fillId="30" borderId="15" xfId="0" applyNumberFormat="1" applyFont="1" applyFill="1" applyBorder="1" applyAlignment="1">
      <alignment horizontal="right" vertical="center"/>
    </xf>
    <xf numFmtId="4" fontId="47" fillId="0" borderId="0" xfId="0" applyNumberFormat="1" applyFont="1" applyFill="1"/>
    <xf numFmtId="4" fontId="51" fillId="0" borderId="0" xfId="0" applyNumberFormat="1" applyFont="1" applyAlignment="1">
      <alignment vertical="center"/>
    </xf>
    <xf numFmtId="10" fontId="46" fillId="0" borderId="89" xfId="0" applyNumberFormat="1" applyFont="1" applyBorder="1" applyAlignment="1">
      <alignment vertical="center"/>
    </xf>
    <xf numFmtId="3" fontId="46" fillId="0" borderId="0" xfId="0" applyNumberFormat="1" applyFont="1" applyBorder="1"/>
    <xf numFmtId="4" fontId="46" fillId="0" borderId="89" xfId="0" applyNumberFormat="1" applyFont="1" applyBorder="1"/>
    <xf numFmtId="10" fontId="46" fillId="0" borderId="0" xfId="0" applyNumberFormat="1" applyFont="1" applyBorder="1"/>
    <xf numFmtId="10" fontId="46" fillId="0" borderId="89" xfId="0" applyNumberFormat="1" applyFont="1" applyBorder="1"/>
    <xf numFmtId="4" fontId="46" fillId="0" borderId="90" xfId="0" applyNumberFormat="1" applyFont="1" applyBorder="1"/>
    <xf numFmtId="4" fontId="53" fillId="35" borderId="34" xfId="0" applyNumberFormat="1" applyFont="1" applyFill="1" applyBorder="1" applyAlignment="1">
      <alignment horizontal="center" vertical="center"/>
    </xf>
    <xf numFmtId="4" fontId="47" fillId="29" borderId="32" xfId="0" applyNumberFormat="1" applyFont="1" applyFill="1" applyBorder="1" applyAlignment="1">
      <alignment horizontal="center" vertical="center"/>
    </xf>
    <xf numFmtId="4" fontId="47" fillId="29" borderId="41" xfId="0" applyNumberFormat="1" applyFont="1" applyFill="1" applyBorder="1" applyAlignment="1">
      <alignment horizontal="center" vertical="center"/>
    </xf>
    <xf numFmtId="4" fontId="47" fillId="27" borderId="32" xfId="0" applyNumberFormat="1" applyFont="1" applyFill="1" applyBorder="1" applyAlignment="1">
      <alignment horizontal="center" vertical="center"/>
    </xf>
    <xf numFmtId="4" fontId="48" fillId="35" borderId="91" xfId="0" applyNumberFormat="1" applyFont="1" applyFill="1" applyBorder="1" applyAlignment="1">
      <alignment horizontal="center" vertical="center" wrapText="1"/>
    </xf>
    <xf numFmtId="4" fontId="48" fillId="35" borderId="42" xfId="0" applyNumberFormat="1" applyFont="1" applyFill="1" applyBorder="1" applyAlignment="1">
      <alignment horizontal="center" vertical="center" wrapText="1"/>
    </xf>
    <xf numFmtId="4" fontId="48" fillId="35" borderId="13" xfId="0" applyNumberFormat="1" applyFont="1" applyFill="1" applyBorder="1" applyAlignment="1">
      <alignment horizontal="center" vertical="center" wrapText="1"/>
    </xf>
    <xf numFmtId="4" fontId="48" fillId="35" borderId="13" xfId="2" applyNumberFormat="1" applyFont="1" applyFill="1" applyBorder="1" applyAlignment="1">
      <alignment horizontal="center" vertical="center" wrapText="1"/>
    </xf>
    <xf numFmtId="4" fontId="48" fillId="35" borderId="73" xfId="2" applyNumberFormat="1" applyFont="1" applyFill="1" applyBorder="1" applyAlignment="1">
      <alignment horizontal="center" vertical="center" wrapText="1"/>
    </xf>
    <xf numFmtId="4" fontId="51" fillId="29" borderId="32" xfId="0" applyNumberFormat="1" applyFont="1" applyFill="1" applyBorder="1" applyAlignment="1">
      <alignment horizontal="center" vertical="center" wrapText="1"/>
    </xf>
    <xf numFmtId="4" fontId="51" fillId="29" borderId="92" xfId="0" applyNumberFormat="1" applyFont="1" applyFill="1" applyBorder="1" applyAlignment="1">
      <alignment horizontal="center" vertical="center" wrapText="1"/>
    </xf>
    <xf numFmtId="4" fontId="51" fillId="36" borderId="93" xfId="0" applyNumberFormat="1" applyFont="1" applyFill="1" applyBorder="1" applyAlignment="1">
      <alignment horizontal="center" vertical="center" wrapText="1"/>
    </xf>
    <xf numFmtId="4" fontId="51" fillId="36" borderId="32" xfId="0" applyNumberFormat="1" applyFont="1" applyFill="1" applyBorder="1" applyAlignment="1">
      <alignment horizontal="center" vertical="center" wrapText="1"/>
    </xf>
    <xf numFmtId="4" fontId="51" fillId="36" borderId="64" xfId="0" applyNumberFormat="1" applyFont="1" applyFill="1" applyBorder="1" applyAlignment="1">
      <alignment horizontal="center" vertical="center" wrapText="1"/>
    </xf>
    <xf numFmtId="4" fontId="51" fillId="36" borderId="94" xfId="0" applyNumberFormat="1" applyFont="1" applyFill="1" applyBorder="1" applyAlignment="1">
      <alignment horizontal="center" vertical="center" wrapText="1"/>
    </xf>
    <xf numFmtId="4" fontId="51" fillId="29" borderId="93" xfId="0" applyNumberFormat="1" applyFont="1" applyFill="1" applyBorder="1" applyAlignment="1">
      <alignment horizontal="center" vertical="center" wrapText="1"/>
    </xf>
    <xf numFmtId="4" fontId="51" fillId="29" borderId="64" xfId="0" applyNumberFormat="1" applyFont="1" applyFill="1" applyBorder="1" applyAlignment="1">
      <alignment horizontal="center" vertical="center" wrapText="1"/>
    </xf>
    <xf numFmtId="4" fontId="51" fillId="29" borderId="94" xfId="0" applyNumberFormat="1" applyFont="1" applyFill="1" applyBorder="1" applyAlignment="1">
      <alignment horizontal="center" vertical="center" wrapText="1"/>
    </xf>
    <xf numFmtId="4" fontId="51" fillId="27" borderId="32" xfId="0" applyNumberFormat="1" applyFont="1" applyFill="1" applyBorder="1" applyAlignment="1">
      <alignment horizontal="center" vertical="center" wrapText="1"/>
    </xf>
    <xf numFmtId="4" fontId="51" fillId="27" borderId="92" xfId="0" applyNumberFormat="1" applyFont="1" applyFill="1" applyBorder="1" applyAlignment="1">
      <alignment horizontal="center" vertical="center" wrapText="1"/>
    </xf>
    <xf numFmtId="4" fontId="51" fillId="37" borderId="32" xfId="0" applyNumberFormat="1" applyFont="1" applyFill="1" applyBorder="1" applyAlignment="1">
      <alignment horizontal="center" vertical="center" wrapText="1"/>
    </xf>
    <xf numFmtId="4" fontId="51" fillId="37" borderId="64" xfId="0" applyNumberFormat="1" applyFont="1" applyFill="1" applyBorder="1" applyAlignment="1">
      <alignment horizontal="center" vertical="center" wrapText="1"/>
    </xf>
    <xf numFmtId="4" fontId="51" fillId="37" borderId="94" xfId="0" applyNumberFormat="1" applyFont="1" applyFill="1" applyBorder="1" applyAlignment="1">
      <alignment horizontal="center" vertical="center" wrapText="1"/>
    </xf>
    <xf numFmtId="4" fontId="51" fillId="37" borderId="88" xfId="0" applyNumberFormat="1" applyFont="1" applyFill="1" applyBorder="1" applyAlignment="1">
      <alignment horizontal="center" vertical="center" wrapText="1"/>
    </xf>
    <xf numFmtId="4" fontId="51" fillId="27" borderId="93" xfId="0" applyNumberFormat="1" applyFont="1" applyFill="1" applyBorder="1" applyAlignment="1">
      <alignment horizontal="center" vertical="center" wrapText="1"/>
    </xf>
    <xf numFmtId="4" fontId="51" fillId="27" borderId="64" xfId="0" applyNumberFormat="1" applyFont="1" applyFill="1" applyBorder="1" applyAlignment="1">
      <alignment horizontal="center" vertical="center" wrapText="1"/>
    </xf>
    <xf numFmtId="4" fontId="51" fillId="27" borderId="94" xfId="0" applyNumberFormat="1" applyFont="1" applyFill="1" applyBorder="1" applyAlignment="1">
      <alignment horizontal="center" vertical="center" wrapText="1"/>
    </xf>
    <xf numFmtId="4" fontId="51" fillId="27" borderId="95" xfId="0" applyNumberFormat="1" applyFont="1" applyFill="1" applyBorder="1" applyAlignment="1">
      <alignment horizontal="center" vertical="center" wrapText="1"/>
    </xf>
    <xf numFmtId="4" fontId="48" fillId="35" borderId="35" xfId="0" applyNumberFormat="1" applyFont="1" applyFill="1" applyBorder="1" applyAlignment="1">
      <alignment horizontal="center" vertical="center"/>
    </xf>
    <xf numFmtId="4" fontId="48" fillId="35" borderId="33" xfId="0" applyNumberFormat="1" applyFont="1" applyFill="1" applyBorder="1" applyAlignment="1">
      <alignment horizontal="center" vertical="center"/>
    </xf>
    <xf numFmtId="3" fontId="48" fillId="35" borderId="33" xfId="0" applyNumberFormat="1" applyFont="1" applyFill="1" applyBorder="1" applyAlignment="1">
      <alignment horizontal="center" vertical="center"/>
    </xf>
    <xf numFmtId="4" fontId="48" fillId="35" borderId="96" xfId="0" applyNumberFormat="1" applyFont="1" applyFill="1" applyBorder="1" applyAlignment="1">
      <alignment horizontal="center" vertical="center"/>
    </xf>
    <xf numFmtId="4" fontId="48" fillId="35" borderId="33" xfId="2" applyNumberFormat="1" applyFont="1" applyFill="1" applyBorder="1" applyAlignment="1">
      <alignment horizontal="center" vertical="center"/>
    </xf>
    <xf numFmtId="4" fontId="48" fillId="35" borderId="97" xfId="2" applyNumberFormat="1" applyFont="1" applyFill="1" applyBorder="1" applyAlignment="1">
      <alignment horizontal="center" vertical="center"/>
    </xf>
    <xf numFmtId="4" fontId="51" fillId="29" borderId="37" xfId="0" applyNumberFormat="1" applyFont="1" applyFill="1" applyBorder="1" applyAlignment="1">
      <alignment horizontal="center" vertical="center"/>
    </xf>
    <xf numFmtId="4" fontId="51" fillId="29" borderId="40" xfId="0" applyNumberFormat="1" applyFont="1" applyFill="1" applyBorder="1" applyAlignment="1">
      <alignment horizontal="center" vertical="center"/>
    </xf>
    <xf numFmtId="4" fontId="51" fillId="29" borderId="79" xfId="0" applyNumberFormat="1" applyFont="1" applyFill="1" applyBorder="1" applyAlignment="1">
      <alignment horizontal="center" vertical="center"/>
    </xf>
    <xf numFmtId="4" fontId="51" fillId="36" borderId="98" xfId="0" applyNumberFormat="1" applyFont="1" applyFill="1" applyBorder="1" applyAlignment="1">
      <alignment horizontal="center" vertical="center"/>
    </xf>
    <xf numFmtId="10" fontId="51" fillId="36" borderId="79" xfId="0" applyNumberFormat="1" applyFont="1" applyFill="1" applyBorder="1" applyAlignment="1">
      <alignment horizontal="center" vertical="center"/>
    </xf>
    <xf numFmtId="4" fontId="51" fillId="29" borderId="99" xfId="0" applyNumberFormat="1" applyFont="1" applyFill="1" applyBorder="1" applyAlignment="1">
      <alignment horizontal="center" vertical="center"/>
    </xf>
    <xf numFmtId="4" fontId="51" fillId="29" borderId="98" xfId="0" applyNumberFormat="1" applyFont="1" applyFill="1" applyBorder="1" applyAlignment="1">
      <alignment horizontal="center" vertical="center"/>
    </xf>
    <xf numFmtId="10" fontId="51" fillId="29" borderId="79" xfId="0" applyNumberFormat="1" applyFont="1" applyFill="1" applyBorder="1" applyAlignment="1">
      <alignment horizontal="center" vertical="center"/>
    </xf>
    <xf numFmtId="10" fontId="51" fillId="29" borderId="90" xfId="0" applyNumberFormat="1" applyFont="1" applyFill="1" applyBorder="1" applyAlignment="1">
      <alignment horizontal="center" vertical="center"/>
    </xf>
    <xf numFmtId="4" fontId="51" fillId="27" borderId="40" xfId="0" applyNumberFormat="1" applyFont="1" applyFill="1" applyBorder="1" applyAlignment="1">
      <alignment horizontal="center" vertical="center"/>
    </xf>
    <xf numFmtId="4" fontId="51" fillId="27" borderId="79" xfId="0" applyNumberFormat="1" applyFont="1" applyFill="1" applyBorder="1" applyAlignment="1">
      <alignment horizontal="center" vertical="center"/>
    </xf>
    <xf numFmtId="4" fontId="51" fillId="37" borderId="40" xfId="0" applyNumberFormat="1" applyFont="1" applyFill="1" applyBorder="1" applyAlignment="1">
      <alignment horizontal="center" vertical="center"/>
    </xf>
    <xf numFmtId="4" fontId="51" fillId="37" borderId="98" xfId="0" applyNumberFormat="1" applyFont="1" applyFill="1" applyBorder="1" applyAlignment="1">
      <alignment horizontal="center" vertical="center"/>
    </xf>
    <xf numFmtId="4" fontId="51" fillId="37" borderId="38" xfId="0" applyNumberFormat="1" applyFont="1" applyFill="1" applyBorder="1" applyAlignment="1">
      <alignment horizontal="center" vertical="center"/>
    </xf>
    <xf numFmtId="4" fontId="51" fillId="27" borderId="99" xfId="0" applyNumberFormat="1" applyFont="1" applyFill="1" applyBorder="1" applyAlignment="1">
      <alignment horizontal="center" vertical="center"/>
    </xf>
    <xf numFmtId="4" fontId="51" fillId="27" borderId="98" xfId="0" applyNumberFormat="1" applyFont="1" applyFill="1" applyBorder="1" applyAlignment="1">
      <alignment horizontal="center" vertical="center"/>
    </xf>
    <xf numFmtId="4" fontId="51" fillId="27" borderId="57" xfId="0" applyNumberFormat="1" applyFont="1" applyFill="1" applyBorder="1" applyAlignment="1">
      <alignment horizontal="center" vertical="center"/>
    </xf>
    <xf numFmtId="4" fontId="51" fillId="27" borderId="100" xfId="0" applyNumberFormat="1" applyFont="1" applyFill="1" applyBorder="1" applyAlignment="1">
      <alignment horizontal="center" vertical="center"/>
    </xf>
    <xf numFmtId="1" fontId="49" fillId="0" borderId="47" xfId="0" applyNumberFormat="1" applyFont="1" applyFill="1" applyBorder="1" applyAlignment="1">
      <alignment horizontal="center" vertical="center"/>
    </xf>
    <xf numFmtId="1" fontId="49" fillId="0" borderId="101" xfId="0" applyNumberFormat="1" applyFont="1" applyFill="1" applyBorder="1" applyAlignment="1">
      <alignment horizontal="center" vertical="center"/>
    </xf>
    <xf numFmtId="1" fontId="49" fillId="0" borderId="28" xfId="0" applyNumberFormat="1" applyFont="1" applyFill="1" applyBorder="1" applyAlignment="1">
      <alignment horizontal="center" vertical="center"/>
    </xf>
    <xf numFmtId="3" fontId="49" fillId="0" borderId="28" xfId="0" applyNumberFormat="1" applyFont="1" applyFill="1" applyBorder="1" applyAlignment="1">
      <alignment horizontal="center" vertical="center"/>
    </xf>
    <xf numFmtId="4" fontId="49" fillId="0" borderId="28" xfId="0" applyNumberFormat="1" applyFont="1" applyFill="1" applyBorder="1" applyAlignment="1">
      <alignment horizontal="center" vertical="center"/>
    </xf>
    <xf numFmtId="1" fontId="49" fillId="0" borderId="90" xfId="0" applyNumberFormat="1" applyFont="1" applyFill="1" applyBorder="1" applyAlignment="1">
      <alignment horizontal="center" vertical="center"/>
    </xf>
    <xf numFmtId="1" fontId="49" fillId="0" borderId="28" xfId="2" applyNumberFormat="1" applyFont="1" applyFill="1" applyBorder="1" applyAlignment="1">
      <alignment horizontal="center" vertical="center"/>
    </xf>
    <xf numFmtId="3" fontId="49" fillId="0" borderId="90" xfId="2" applyNumberFormat="1" applyFont="1" applyFill="1" applyBorder="1" applyAlignment="1">
      <alignment horizontal="center" vertical="center"/>
    </xf>
    <xf numFmtId="3" fontId="49" fillId="0" borderId="14" xfId="0" applyNumberFormat="1" applyFont="1" applyFill="1" applyBorder="1" applyAlignment="1">
      <alignment horizontal="center"/>
    </xf>
    <xf numFmtId="3" fontId="49" fillId="0" borderId="101" xfId="0" applyNumberFormat="1" applyFont="1" applyFill="1" applyBorder="1" applyAlignment="1">
      <alignment horizontal="center"/>
    </xf>
    <xf numFmtId="10" fontId="49" fillId="0" borderId="14" xfId="0" applyNumberFormat="1" applyFont="1" applyFill="1" applyBorder="1" applyAlignment="1">
      <alignment horizontal="center"/>
    </xf>
    <xf numFmtId="10" fontId="49" fillId="0" borderId="101" xfId="0" applyNumberFormat="1" applyFont="1" applyFill="1" applyBorder="1" applyAlignment="1">
      <alignment horizontal="center"/>
    </xf>
    <xf numFmtId="0" fontId="64" fillId="0" borderId="0" xfId="0" applyFont="1" applyAlignment="1">
      <alignment horizontal="center"/>
    </xf>
    <xf numFmtId="4" fontId="53" fillId="35" borderId="102" xfId="0" applyNumberFormat="1" applyFont="1" applyFill="1" applyBorder="1" applyAlignment="1">
      <alignment vertical="center" textRotation="90" wrapText="1"/>
    </xf>
    <xf numFmtId="0" fontId="46" fillId="0" borderId="93" xfId="0" applyFont="1" applyBorder="1" applyAlignment="1">
      <alignment horizontal="center"/>
    </xf>
    <xf numFmtId="4" fontId="46" fillId="0" borderId="103" xfId="0" applyNumberFormat="1" applyFont="1" applyFill="1" applyBorder="1" applyAlignment="1">
      <alignment vertical="center"/>
    </xf>
    <xf numFmtId="0" fontId="46" fillId="0" borderId="32" xfId="0" applyNumberFormat="1" applyFont="1" applyFill="1" applyBorder="1" applyAlignment="1" applyProtection="1">
      <alignment horizontal="right" vertical="center"/>
      <protection locked="0"/>
    </xf>
    <xf numFmtId="4" fontId="46" fillId="0" borderId="64" xfId="0" applyNumberFormat="1" applyFont="1" applyFill="1" applyBorder="1" applyAlignment="1" applyProtection="1">
      <alignment vertical="center"/>
      <protection locked="0"/>
    </xf>
    <xf numFmtId="4" fontId="46" fillId="0" borderId="64" xfId="0" applyNumberFormat="1" applyFont="1" applyFill="1" applyBorder="1" applyAlignment="1">
      <alignment horizontal="right"/>
    </xf>
    <xf numFmtId="3" fontId="46" fillId="0" borderId="64" xfId="0" applyNumberFormat="1" applyFont="1" applyFill="1" applyBorder="1"/>
    <xf numFmtId="4" fontId="46" fillId="0" borderId="64" xfId="0" applyNumberFormat="1" applyFont="1" applyFill="1" applyBorder="1"/>
    <xf numFmtId="4" fontId="46" fillId="0" borderId="80" xfId="0" applyNumberFormat="1" applyFont="1" applyFill="1" applyBorder="1"/>
    <xf numFmtId="4" fontId="46" fillId="0" borderId="95" xfId="0" applyNumberFormat="1" applyFont="1" applyFill="1" applyBorder="1"/>
    <xf numFmtId="4" fontId="46" fillId="0" borderId="32" xfId="0" applyNumberFormat="1" applyFont="1" applyBorder="1"/>
    <xf numFmtId="4" fontId="46" fillId="0" borderId="64" xfId="0" applyNumberFormat="1" applyFont="1" applyBorder="1"/>
    <xf numFmtId="4" fontId="46" fillId="0" borderId="34" xfId="0" applyNumberFormat="1" applyFont="1" applyFill="1" applyBorder="1" applyAlignment="1"/>
    <xf numFmtId="4" fontId="46" fillId="0" borderId="41" xfId="0" applyNumberFormat="1" applyFont="1" applyFill="1" applyBorder="1" applyAlignment="1"/>
    <xf numFmtId="4" fontId="46" fillId="29" borderId="104" xfId="0" applyNumberFormat="1" applyFont="1" applyFill="1" applyBorder="1"/>
    <xf numFmtId="4" fontId="46" fillId="29" borderId="105" xfId="0" applyNumberFormat="1" applyFont="1" applyFill="1" applyBorder="1"/>
    <xf numFmtId="4" fontId="46" fillId="36" borderId="61" xfId="0" applyNumberFormat="1" applyFont="1" applyFill="1" applyBorder="1"/>
    <xf numFmtId="4" fontId="46" fillId="36" borderId="105" xfId="0" applyNumberFormat="1" applyFont="1" applyFill="1" applyBorder="1"/>
    <xf numFmtId="10" fontId="46" fillId="36" borderId="63" xfId="0" applyNumberFormat="1" applyFont="1" applyFill="1" applyBorder="1"/>
    <xf numFmtId="4" fontId="46" fillId="29" borderId="34" xfId="0" applyNumberFormat="1" applyFont="1" applyFill="1" applyBorder="1"/>
    <xf numFmtId="10" fontId="46" fillId="29" borderId="63" xfId="0" applyNumberFormat="1" applyFont="1" applyFill="1" applyBorder="1"/>
    <xf numFmtId="10" fontId="46" fillId="29" borderId="104" xfId="0" applyNumberFormat="1" applyFont="1" applyFill="1" applyBorder="1"/>
    <xf numFmtId="4" fontId="46" fillId="27" borderId="105" xfId="0" applyNumberFormat="1" applyFont="1" applyFill="1" applyBorder="1"/>
    <xf numFmtId="4" fontId="46" fillId="27" borderId="63" xfId="0" applyNumberFormat="1" applyFont="1" applyFill="1" applyBorder="1"/>
    <xf numFmtId="4" fontId="46" fillId="37" borderId="32" xfId="0" applyNumberFormat="1" applyFont="1" applyFill="1" applyBorder="1"/>
    <xf numFmtId="4" fontId="46" fillId="37" borderId="64" xfId="0" applyNumberFormat="1" applyFont="1" applyFill="1" applyBorder="1"/>
    <xf numFmtId="4" fontId="46" fillId="37" borderId="63" xfId="0" applyNumberFormat="1" applyFont="1" applyFill="1" applyBorder="1"/>
    <xf numFmtId="4" fontId="46" fillId="27" borderId="32" xfId="0" applyNumberFormat="1" applyFont="1" applyFill="1" applyBorder="1"/>
    <xf numFmtId="4" fontId="46" fillId="27" borderId="64" xfId="0" applyNumberFormat="1" applyFont="1" applyFill="1" applyBorder="1"/>
    <xf numFmtId="4" fontId="46" fillId="27" borderId="106" xfId="0" applyNumberFormat="1" applyFont="1" applyFill="1" applyBorder="1"/>
    <xf numFmtId="4" fontId="46" fillId="28" borderId="105" xfId="0" applyNumberFormat="1" applyFont="1" applyFill="1" applyBorder="1"/>
    <xf numFmtId="4" fontId="46" fillId="28" borderId="63" xfId="0" applyNumberFormat="1" applyFont="1" applyFill="1" applyBorder="1"/>
    <xf numFmtId="4" fontId="46" fillId="36" borderId="34" xfId="0" applyNumberFormat="1" applyFont="1" applyFill="1" applyBorder="1"/>
    <xf numFmtId="4" fontId="46" fillId="28" borderId="61" xfId="0" applyNumberFormat="1" applyFont="1" applyFill="1" applyBorder="1"/>
    <xf numFmtId="4" fontId="46" fillId="28" borderId="34" xfId="0" applyNumberFormat="1" applyFont="1" applyFill="1" applyBorder="1"/>
    <xf numFmtId="10" fontId="46" fillId="28" borderId="63" xfId="0" applyNumberFormat="1" applyFont="1" applyFill="1" applyBorder="1"/>
    <xf numFmtId="10" fontId="46" fillId="28" borderId="104" xfId="0" applyNumberFormat="1" applyFont="1" applyFill="1" applyBorder="1"/>
    <xf numFmtId="0" fontId="46" fillId="0" borderId="67" xfId="0" applyFont="1" applyBorder="1" applyAlignment="1">
      <alignment horizontal="center"/>
    </xf>
    <xf numFmtId="4" fontId="65" fillId="0" borderId="107" xfId="0" applyNumberFormat="1" applyFont="1" applyFill="1" applyBorder="1" applyAlignment="1">
      <alignment vertical="center"/>
    </xf>
    <xf numFmtId="0" fontId="46" fillId="0" borderId="42" xfId="0" applyNumberFormat="1" applyFont="1" applyFill="1" applyBorder="1" applyAlignment="1" applyProtection="1">
      <alignment horizontal="right" vertical="center"/>
      <protection locked="0"/>
    </xf>
    <xf numFmtId="4" fontId="46" fillId="0" borderId="13" xfId="0" applyNumberFormat="1" applyFont="1" applyFill="1" applyBorder="1" applyAlignment="1" applyProtection="1">
      <alignment horizontal="right" vertical="center"/>
      <protection locked="0"/>
    </xf>
    <xf numFmtId="4" fontId="46" fillId="0" borderId="13" xfId="0" applyNumberFormat="1" applyFont="1" applyFill="1" applyBorder="1" applyAlignment="1">
      <alignment horizontal="right"/>
    </xf>
    <xf numFmtId="3" fontId="46" fillId="0" borderId="13" xfId="0" applyNumberFormat="1" applyFont="1" applyBorder="1"/>
    <xf numFmtId="4" fontId="46" fillId="0" borderId="91" xfId="0" applyNumberFormat="1" applyFont="1" applyFill="1" applyBorder="1"/>
    <xf numFmtId="4" fontId="46" fillId="0" borderId="42" xfId="0" applyNumberFormat="1" applyFont="1" applyBorder="1"/>
    <xf numFmtId="4" fontId="46" fillId="0" borderId="13" xfId="0" applyNumberFormat="1" applyFont="1" applyFill="1" applyBorder="1" applyAlignment="1"/>
    <xf numFmtId="4" fontId="46" fillId="0" borderId="68" xfId="0" applyNumberFormat="1" applyFont="1" applyFill="1" applyBorder="1" applyAlignment="1"/>
    <xf numFmtId="4" fontId="46" fillId="29" borderId="108" xfId="0" applyNumberFormat="1" applyFont="1" applyFill="1" applyBorder="1"/>
    <xf numFmtId="4" fontId="46" fillId="29" borderId="42" xfId="0" applyNumberFormat="1" applyFont="1" applyFill="1" applyBorder="1"/>
    <xf numFmtId="4" fontId="46" fillId="36" borderId="67" xfId="0" applyNumberFormat="1" applyFont="1" applyFill="1" applyBorder="1"/>
    <xf numFmtId="4" fontId="46" fillId="36" borderId="42" xfId="0" applyNumberFormat="1" applyFont="1" applyFill="1" applyBorder="1"/>
    <xf numFmtId="4" fontId="46" fillId="36" borderId="13" xfId="0" applyNumberFormat="1" applyFont="1" applyFill="1" applyBorder="1"/>
    <xf numFmtId="10" fontId="46" fillId="36" borderId="68" xfId="0" applyNumberFormat="1" applyFont="1" applyFill="1" applyBorder="1"/>
    <xf numFmtId="10" fontId="46" fillId="29" borderId="68" xfId="0" applyNumberFormat="1" applyFont="1" applyFill="1" applyBorder="1"/>
    <xf numFmtId="10" fontId="46" fillId="29" borderId="109" xfId="0" applyNumberFormat="1" applyFont="1" applyFill="1" applyBorder="1"/>
    <xf numFmtId="4" fontId="46" fillId="27" borderId="42" xfId="0" applyNumberFormat="1" applyFont="1" applyFill="1" applyBorder="1"/>
    <xf numFmtId="4" fontId="46" fillId="27" borderId="88" xfId="0" applyNumberFormat="1" applyFont="1" applyFill="1" applyBorder="1"/>
    <xf numFmtId="4" fontId="46" fillId="37" borderId="13" xfId="0" applyNumberFormat="1" applyFont="1" applyFill="1" applyBorder="1"/>
    <xf numFmtId="4" fontId="46" fillId="37" borderId="68" xfId="0" applyNumberFormat="1" applyFont="1" applyFill="1" applyBorder="1"/>
    <xf numFmtId="4" fontId="46" fillId="27" borderId="13" xfId="0" applyNumberFormat="1" applyFont="1" applyFill="1" applyBorder="1"/>
    <xf numFmtId="4" fontId="46" fillId="27" borderId="91" xfId="0" applyNumberFormat="1" applyFont="1" applyFill="1" applyBorder="1"/>
    <xf numFmtId="4" fontId="46" fillId="28" borderId="42" xfId="0" applyNumberFormat="1" applyFont="1" applyFill="1" applyBorder="1"/>
    <xf numFmtId="4" fontId="46" fillId="28" borderId="68" xfId="0" applyNumberFormat="1" applyFont="1" applyFill="1" applyBorder="1"/>
    <xf numFmtId="4" fontId="46" fillId="28" borderId="67" xfId="0" applyNumberFormat="1" applyFont="1" applyFill="1" applyBorder="1"/>
    <xf numFmtId="4" fontId="46" fillId="28" borderId="13" xfId="0" applyNumberFormat="1" applyFont="1" applyFill="1" applyBorder="1"/>
    <xf numFmtId="10" fontId="46" fillId="28" borderId="68" xfId="0" applyNumberFormat="1" applyFont="1" applyFill="1" applyBorder="1"/>
    <xf numFmtId="10" fontId="46" fillId="28" borderId="109" xfId="0" applyNumberFormat="1" applyFont="1" applyFill="1" applyBorder="1"/>
    <xf numFmtId="4" fontId="46" fillId="35" borderId="103" xfId="0" applyNumberFormat="1" applyFont="1" applyFill="1" applyBorder="1" applyAlignment="1">
      <alignment horizontal="left" vertical="center"/>
    </xf>
    <xf numFmtId="4" fontId="65" fillId="35" borderId="64" xfId="1" applyNumberFormat="1" applyFont="1" applyFill="1" applyBorder="1" applyAlignment="1">
      <alignment vertical="center"/>
    </xf>
    <xf numFmtId="4" fontId="65" fillId="38" borderId="64" xfId="1" applyNumberFormat="1" applyFont="1" applyFill="1" applyBorder="1" applyAlignment="1">
      <alignment vertical="center"/>
    </xf>
    <xf numFmtId="3" fontId="65" fillId="35" borderId="64" xfId="1" applyNumberFormat="1" applyFont="1" applyFill="1" applyBorder="1" applyAlignment="1">
      <alignment vertical="center"/>
    </xf>
    <xf numFmtId="4" fontId="65" fillId="35" borderId="95" xfId="1" applyNumberFormat="1" applyFont="1" applyFill="1" applyBorder="1" applyAlignment="1">
      <alignment vertical="center"/>
    </xf>
    <xf numFmtId="4" fontId="46" fillId="0" borderId="88" xfId="0" applyNumberFormat="1" applyFont="1" applyFill="1" applyBorder="1" applyAlignment="1"/>
    <xf numFmtId="4" fontId="46" fillId="29" borderId="32" xfId="0" applyNumberFormat="1" applyFont="1" applyFill="1" applyBorder="1"/>
    <xf numFmtId="4" fontId="46" fillId="36" borderId="93" xfId="0" applyNumberFormat="1" applyFont="1" applyFill="1" applyBorder="1"/>
    <xf numFmtId="4" fontId="46" fillId="36" borderId="32" xfId="0" applyNumberFormat="1" applyFont="1" applyFill="1" applyBorder="1"/>
    <xf numFmtId="10" fontId="46" fillId="29" borderId="88" xfId="0" applyNumberFormat="1" applyFont="1" applyFill="1" applyBorder="1"/>
    <xf numFmtId="10" fontId="46" fillId="29" borderId="108" xfId="0" applyNumberFormat="1" applyFont="1" applyFill="1" applyBorder="1"/>
    <xf numFmtId="0" fontId="46" fillId="0" borderId="42" xfId="0" applyNumberFormat="1" applyFont="1" applyFill="1" applyBorder="1" applyAlignment="1">
      <alignment horizontal="right"/>
    </xf>
    <xf numFmtId="3" fontId="46" fillId="0" borderId="13" xfId="0" applyNumberFormat="1" applyFont="1" applyFill="1" applyBorder="1"/>
    <xf numFmtId="4" fontId="46" fillId="38" borderId="107" xfId="0" applyNumberFormat="1" applyFont="1" applyFill="1" applyBorder="1" applyAlignment="1">
      <alignment horizontal="left" vertical="center"/>
    </xf>
    <xf numFmtId="4" fontId="65" fillId="38" borderId="13" xfId="1" applyNumberFormat="1" applyFont="1" applyFill="1" applyBorder="1" applyAlignment="1">
      <alignment vertical="center"/>
    </xf>
    <xf numFmtId="3" fontId="65" fillId="38" borderId="13" xfId="1" applyNumberFormat="1" applyFont="1" applyFill="1" applyBorder="1" applyAlignment="1">
      <alignment vertical="center"/>
    </xf>
    <xf numFmtId="4" fontId="46" fillId="35" borderId="107" xfId="0" applyNumberFormat="1" applyFont="1" applyFill="1" applyBorder="1" applyAlignment="1">
      <alignment horizontal="left" vertical="center"/>
    </xf>
    <xf numFmtId="4" fontId="65" fillId="35" borderId="13" xfId="1" applyNumberFormat="1" applyFont="1" applyFill="1" applyBorder="1" applyAlignment="1">
      <alignment vertical="center"/>
    </xf>
    <xf numFmtId="3" fontId="65" fillId="35" borderId="13" xfId="1" applyNumberFormat="1" applyFont="1" applyFill="1" applyBorder="1" applyAlignment="1">
      <alignment vertical="center"/>
    </xf>
    <xf numFmtId="4" fontId="46" fillId="0" borderId="107" xfId="0" applyNumberFormat="1" applyFont="1" applyFill="1" applyBorder="1" applyAlignment="1">
      <alignment horizontal="left" vertical="center"/>
    </xf>
    <xf numFmtId="4" fontId="46" fillId="0" borderId="107" xfId="0" applyNumberFormat="1" applyFont="1" applyFill="1" applyBorder="1" applyAlignment="1">
      <alignment vertical="center"/>
    </xf>
    <xf numFmtId="4" fontId="65" fillId="0" borderId="107" xfId="0" applyNumberFormat="1" applyFont="1" applyFill="1" applyBorder="1" applyAlignment="1">
      <alignment horizontal="left" vertical="center"/>
    </xf>
    <xf numFmtId="4" fontId="65" fillId="35" borderId="91" xfId="1" applyNumberFormat="1" applyFont="1" applyFill="1" applyBorder="1" applyAlignment="1">
      <alignment vertical="center"/>
    </xf>
    <xf numFmtId="4" fontId="46" fillId="35" borderId="107" xfId="0" applyNumberFormat="1" applyFont="1" applyFill="1" applyBorder="1" applyAlignment="1">
      <alignment vertical="center"/>
    </xf>
    <xf numFmtId="0" fontId="46" fillId="0" borderId="42" xfId="0" applyNumberFormat="1" applyFont="1" applyBorder="1" applyAlignment="1">
      <alignment horizontal="right"/>
    </xf>
    <xf numFmtId="4" fontId="46" fillId="0" borderId="13" xfId="0" applyNumberFormat="1" applyFont="1" applyBorder="1" applyAlignment="1">
      <alignment horizontal="right"/>
    </xf>
    <xf numFmtId="4" fontId="65" fillId="0" borderId="13" xfId="1" applyNumberFormat="1" applyFont="1" applyFill="1" applyBorder="1" applyAlignment="1">
      <alignment vertical="center"/>
    </xf>
    <xf numFmtId="3" fontId="65" fillId="0" borderId="13" xfId="1" applyNumberFormat="1" applyFont="1" applyFill="1" applyBorder="1" applyAlignment="1">
      <alignment vertical="center"/>
    </xf>
    <xf numFmtId="4" fontId="46" fillId="0" borderId="42" xfId="0" applyNumberFormat="1" applyFont="1" applyFill="1" applyBorder="1"/>
    <xf numFmtId="4" fontId="46" fillId="35" borderId="110" xfId="0" applyNumberFormat="1" applyFont="1" applyFill="1" applyBorder="1" applyAlignment="1">
      <alignment horizontal="left" vertical="center"/>
    </xf>
    <xf numFmtId="4" fontId="65" fillId="35" borderId="52" xfId="1" applyNumberFormat="1" applyFont="1" applyFill="1" applyBorder="1" applyAlignment="1">
      <alignment vertical="center"/>
    </xf>
    <xf numFmtId="3" fontId="46" fillId="0" borderId="80" xfId="0" applyNumberFormat="1" applyFont="1" applyFill="1" applyBorder="1"/>
    <xf numFmtId="4" fontId="46" fillId="0" borderId="91" xfId="0" applyNumberFormat="1" applyFont="1" applyFill="1" applyBorder="1" applyAlignment="1">
      <alignment horizontal="left" vertical="center"/>
    </xf>
    <xf numFmtId="4" fontId="46" fillId="0" borderId="64" xfId="0" applyNumberFormat="1" applyFont="1" applyFill="1" applyBorder="1" applyAlignment="1" applyProtection="1">
      <alignment horizontal="right" vertical="center"/>
      <protection locked="0"/>
    </xf>
    <xf numFmtId="4" fontId="46" fillId="35" borderId="103" xfId="0" applyNumberFormat="1" applyFont="1" applyFill="1" applyBorder="1" applyAlignment="1">
      <alignment vertical="center"/>
    </xf>
    <xf numFmtId="4" fontId="65" fillId="35" borderId="32" xfId="1" applyNumberFormat="1" applyFont="1" applyFill="1" applyBorder="1" applyAlignment="1">
      <alignment vertical="center"/>
    </xf>
    <xf numFmtId="0" fontId="46" fillId="0" borderId="95" xfId="0" applyFont="1" applyFill="1" applyBorder="1" applyAlignment="1"/>
    <xf numFmtId="4" fontId="65" fillId="35" borderId="13" xfId="1" applyNumberFormat="1" applyFont="1" applyFill="1" applyBorder="1" applyAlignment="1"/>
    <xf numFmtId="3" fontId="65" fillId="35" borderId="13" xfId="1" applyNumberFormat="1" applyFont="1" applyFill="1" applyBorder="1" applyAlignment="1"/>
    <xf numFmtId="4" fontId="46" fillId="0" borderId="95" xfId="0" applyNumberFormat="1" applyFont="1" applyFill="1" applyBorder="1" applyAlignment="1"/>
    <xf numFmtId="4" fontId="46" fillId="0" borderId="32" xfId="0" applyNumberFormat="1" applyFont="1" applyFill="1" applyBorder="1" applyAlignment="1"/>
    <xf numFmtId="4" fontId="46" fillId="0" borderId="64" xfId="0" applyNumberFormat="1" applyFont="1" applyFill="1" applyBorder="1" applyAlignment="1"/>
    <xf numFmtId="4" fontId="65" fillId="35" borderId="42" xfId="1" applyNumberFormat="1" applyFont="1" applyFill="1" applyBorder="1" applyAlignment="1">
      <alignment vertical="center"/>
    </xf>
    <xf numFmtId="0" fontId="46" fillId="0" borderId="91" xfId="0" applyFont="1" applyFill="1" applyBorder="1" applyAlignment="1"/>
    <xf numFmtId="4" fontId="46" fillId="0" borderId="91" xfId="0" applyNumberFormat="1" applyFont="1" applyFill="1" applyBorder="1" applyAlignment="1"/>
    <xf numFmtId="4" fontId="46" fillId="0" borderId="42" xfId="0" applyNumberFormat="1" applyFont="1" applyFill="1" applyBorder="1" applyAlignment="1"/>
    <xf numFmtId="4" fontId="46" fillId="0" borderId="103" xfId="0" applyNumberFormat="1" applyFont="1" applyFill="1" applyBorder="1" applyAlignment="1">
      <alignment horizontal="left" vertical="center"/>
    </xf>
    <xf numFmtId="0" fontId="46" fillId="0" borderId="55" xfId="0" applyNumberFormat="1" applyFont="1" applyBorder="1" applyAlignment="1">
      <alignment horizontal="right"/>
    </xf>
    <xf numFmtId="4" fontId="46" fillId="0" borderId="52" xfId="0" applyNumberFormat="1" applyFont="1" applyBorder="1" applyAlignment="1">
      <alignment horizontal="right"/>
    </xf>
    <xf numFmtId="3" fontId="46" fillId="0" borderId="52" xfId="0" applyNumberFormat="1" applyFont="1" applyBorder="1"/>
    <xf numFmtId="4" fontId="46" fillId="0" borderId="52" xfId="0" applyNumberFormat="1" applyFont="1" applyBorder="1"/>
    <xf numFmtId="4" fontId="65" fillId="0" borderId="110" xfId="0" applyNumberFormat="1" applyFont="1" applyFill="1" applyBorder="1" applyAlignment="1">
      <alignment vertical="center"/>
    </xf>
    <xf numFmtId="0" fontId="46" fillId="0" borderId="111" xfId="0" applyFont="1" applyBorder="1" applyAlignment="1">
      <alignment horizontal="center"/>
    </xf>
    <xf numFmtId="4" fontId="65" fillId="35" borderId="112" xfId="0" applyNumberFormat="1" applyFont="1" applyFill="1" applyBorder="1" applyAlignment="1">
      <alignment horizontal="left" vertical="center"/>
    </xf>
    <xf numFmtId="4" fontId="46" fillId="29" borderId="40" xfId="0" applyNumberFormat="1" applyFont="1" applyFill="1" applyBorder="1"/>
    <xf numFmtId="4" fontId="46" fillId="36" borderId="99" xfId="0" applyNumberFormat="1" applyFont="1" applyFill="1" applyBorder="1"/>
    <xf numFmtId="4" fontId="46" fillId="36" borderId="40" xfId="0" applyNumberFormat="1" applyFont="1" applyFill="1" applyBorder="1"/>
    <xf numFmtId="4" fontId="46" fillId="36" borderId="33" xfId="0" applyNumberFormat="1" applyFont="1" applyFill="1" applyBorder="1"/>
    <xf numFmtId="4" fontId="46" fillId="36" borderId="35" xfId="0" applyNumberFormat="1" applyFont="1" applyFill="1" applyBorder="1"/>
    <xf numFmtId="10" fontId="46" fillId="36" borderId="36" xfId="0" applyNumberFormat="1" applyFont="1" applyFill="1" applyBorder="1"/>
    <xf numFmtId="4" fontId="46" fillId="29" borderId="98" xfId="0" applyNumberFormat="1" applyFont="1" applyFill="1" applyBorder="1"/>
    <xf numFmtId="10" fontId="46" fillId="29" borderId="38" xfId="0" applyNumberFormat="1" applyFont="1" applyFill="1" applyBorder="1"/>
    <xf numFmtId="10" fontId="46" fillId="29" borderId="113" xfId="0" applyNumberFormat="1" applyFont="1" applyFill="1" applyBorder="1"/>
    <xf numFmtId="4" fontId="46" fillId="37" borderId="33" xfId="0" applyNumberFormat="1" applyFont="1" applyFill="1" applyBorder="1"/>
    <xf numFmtId="4" fontId="46" fillId="37" borderId="36" xfId="0" applyNumberFormat="1" applyFont="1" applyFill="1" applyBorder="1"/>
    <xf numFmtId="4" fontId="46" fillId="27" borderId="35" xfId="0" applyNumberFormat="1" applyFont="1" applyFill="1" applyBorder="1"/>
    <xf numFmtId="4" fontId="46" fillId="27" borderId="33" xfId="0" applyNumberFormat="1" applyFont="1" applyFill="1" applyBorder="1"/>
    <xf numFmtId="4" fontId="46" fillId="27" borderId="96" xfId="0" applyNumberFormat="1" applyFont="1" applyFill="1" applyBorder="1"/>
    <xf numFmtId="4" fontId="46" fillId="28" borderId="35" xfId="0" applyNumberFormat="1" applyFont="1" applyFill="1" applyBorder="1"/>
    <xf numFmtId="4" fontId="46" fillId="28" borderId="36" xfId="0" applyNumberFormat="1" applyFont="1" applyFill="1" applyBorder="1"/>
    <xf numFmtId="4" fontId="46" fillId="36" borderId="111" xfId="0" applyNumberFormat="1" applyFont="1" applyFill="1" applyBorder="1"/>
    <xf numFmtId="4" fontId="46" fillId="28" borderId="111" xfId="0" applyNumberFormat="1" applyFont="1" applyFill="1" applyBorder="1"/>
    <xf numFmtId="4" fontId="46" fillId="28" borderId="33" xfId="0" applyNumberFormat="1" applyFont="1" applyFill="1" applyBorder="1"/>
    <xf numFmtId="10" fontId="46" fillId="28" borderId="36" xfId="0" applyNumberFormat="1" applyFont="1" applyFill="1" applyBorder="1"/>
    <xf numFmtId="10" fontId="46" fillId="28" borderId="37" xfId="0" applyNumberFormat="1" applyFont="1" applyFill="1" applyBorder="1"/>
    <xf numFmtId="49" fontId="53" fillId="35" borderId="29" xfId="0" applyNumberFormat="1" applyFont="1" applyFill="1" applyBorder="1" applyAlignment="1">
      <alignment horizontal="center" vertical="center" wrapText="1"/>
    </xf>
    <xf numFmtId="4" fontId="53" fillId="0" borderId="101" xfId="0" applyNumberFormat="1" applyFont="1" applyFill="1" applyBorder="1" applyAlignment="1">
      <alignment horizontal="left" vertical="center" wrapText="1"/>
    </xf>
    <xf numFmtId="3" fontId="47" fillId="0" borderId="14" xfId="0" applyNumberFormat="1" applyFont="1" applyBorder="1" applyAlignment="1">
      <alignment vertical="center"/>
    </xf>
    <xf numFmtId="4" fontId="47" fillId="0" borderId="14" xfId="0" applyNumberFormat="1" applyFont="1" applyBorder="1" applyAlignment="1">
      <alignment vertical="center"/>
    </xf>
    <xf numFmtId="4" fontId="47" fillId="0" borderId="101" xfId="0" applyNumberFormat="1" applyFont="1" applyBorder="1" applyAlignment="1">
      <alignment vertical="center"/>
    </xf>
    <xf numFmtId="10" fontId="47" fillId="0" borderId="14" xfId="0" applyNumberFormat="1" applyFont="1" applyFill="1" applyBorder="1" applyAlignment="1">
      <alignment vertical="center"/>
    </xf>
    <xf numFmtId="4" fontId="47" fillId="0" borderId="14" xfId="0" applyNumberFormat="1" applyFont="1" applyFill="1" applyBorder="1" applyAlignment="1">
      <alignment vertical="center"/>
    </xf>
    <xf numFmtId="10" fontId="47" fillId="0" borderId="101" xfId="0" applyNumberFormat="1" applyFont="1" applyFill="1" applyBorder="1" applyAlignment="1">
      <alignment vertical="center"/>
    </xf>
    <xf numFmtId="0" fontId="46" fillId="0" borderId="61" xfId="0" applyFont="1" applyBorder="1" applyAlignment="1">
      <alignment horizontal="center"/>
    </xf>
    <xf numFmtId="4" fontId="46" fillId="0" borderId="106" xfId="0" applyNumberFormat="1" applyFont="1" applyFill="1" applyBorder="1" applyAlignment="1"/>
    <xf numFmtId="10" fontId="46" fillId="36" borderId="88" xfId="0" applyNumberFormat="1" applyFont="1" applyFill="1" applyBorder="1"/>
    <xf numFmtId="4" fontId="46" fillId="27" borderId="105" xfId="0" applyNumberFormat="1" applyFont="1" applyFill="1" applyBorder="1" applyAlignment="1"/>
    <xf numFmtId="0" fontId="46" fillId="0" borderId="0" xfId="0" applyFont="1" applyAlignment="1"/>
    <xf numFmtId="4" fontId="46" fillId="0" borderId="96" xfId="0" applyNumberFormat="1" applyFont="1" applyFill="1" applyBorder="1" applyAlignment="1"/>
    <xf numFmtId="4" fontId="46" fillId="0" borderId="33" xfId="0" applyNumberFormat="1" applyFont="1" applyBorder="1"/>
    <xf numFmtId="2" fontId="46" fillId="0" borderId="33" xfId="0" applyNumberFormat="1" applyFont="1" applyBorder="1"/>
    <xf numFmtId="3" fontId="46" fillId="0" borderId="33" xfId="0" applyNumberFormat="1" applyFont="1" applyBorder="1"/>
    <xf numFmtId="4" fontId="46" fillId="0" borderId="96" xfId="0" applyNumberFormat="1" applyFont="1" applyBorder="1"/>
    <xf numFmtId="4" fontId="46" fillId="0" borderId="35" xfId="0" applyNumberFormat="1" applyFont="1" applyBorder="1"/>
    <xf numFmtId="4" fontId="46" fillId="0" borderId="33" xfId="0" applyNumberFormat="1" applyFont="1" applyBorder="1" applyAlignment="1">
      <alignment vertical="center"/>
    </xf>
    <xf numFmtId="4" fontId="46" fillId="29" borderId="37" xfId="0" applyNumberFormat="1" applyFont="1" applyFill="1" applyBorder="1"/>
    <xf numFmtId="4" fontId="46" fillId="29" borderId="35" xfId="0" applyNumberFormat="1" applyFont="1" applyFill="1" applyBorder="1"/>
    <xf numFmtId="4" fontId="46" fillId="29" borderId="33" xfId="0" applyNumberFormat="1" applyFont="1" applyFill="1" applyBorder="1"/>
    <xf numFmtId="4" fontId="46" fillId="27" borderId="35" xfId="0" applyNumberFormat="1" applyFont="1" applyFill="1" applyBorder="1" applyAlignment="1"/>
    <xf numFmtId="4" fontId="46" fillId="27" borderId="36" xfId="0" applyNumberFormat="1" applyFont="1" applyFill="1" applyBorder="1"/>
    <xf numFmtId="4" fontId="46" fillId="37" borderId="111" xfId="0" applyNumberFormat="1" applyFont="1" applyFill="1" applyBorder="1"/>
    <xf numFmtId="4" fontId="46" fillId="27" borderId="111" xfId="0" applyNumberFormat="1" applyFont="1" applyFill="1" applyBorder="1"/>
    <xf numFmtId="49" fontId="53" fillId="0" borderId="28" xfId="0" applyNumberFormat="1" applyFont="1" applyFill="1" applyBorder="1" applyAlignment="1">
      <alignment horizontal="center" vertical="center" wrapText="1"/>
    </xf>
    <xf numFmtId="4" fontId="53" fillId="0" borderId="90" xfId="0" applyNumberFormat="1" applyFont="1" applyFill="1" applyBorder="1" applyAlignment="1">
      <alignment horizontal="left" vertical="center" wrapText="1"/>
    </xf>
    <xf numFmtId="3" fontId="47" fillId="0" borderId="28" xfId="0" applyNumberFormat="1" applyFont="1" applyFill="1" applyBorder="1" applyAlignment="1">
      <alignment vertical="center"/>
    </xf>
    <xf numFmtId="4" fontId="47" fillId="0" borderId="28" xfId="0" applyNumberFormat="1" applyFont="1" applyFill="1" applyBorder="1" applyAlignment="1">
      <alignment vertical="center"/>
    </xf>
    <xf numFmtId="4" fontId="47" fillId="0" borderId="90" xfId="0" applyNumberFormat="1" applyFont="1" applyFill="1" applyBorder="1" applyAlignment="1">
      <alignment vertical="center"/>
    </xf>
    <xf numFmtId="4" fontId="47" fillId="0" borderId="90" xfId="0" applyNumberFormat="1" applyFont="1" applyBorder="1" applyAlignment="1">
      <alignment vertical="center"/>
    </xf>
    <xf numFmtId="10" fontId="47" fillId="0" borderId="28" xfId="0" applyNumberFormat="1" applyFont="1" applyFill="1" applyBorder="1" applyAlignment="1">
      <alignment vertical="center"/>
    </xf>
    <xf numFmtId="0" fontId="46" fillId="0" borderId="114" xfId="0" applyFont="1" applyBorder="1" applyAlignment="1">
      <alignment horizontal="center"/>
    </xf>
    <xf numFmtId="0" fontId="46" fillId="0" borderId="106" xfId="207" applyFont="1" applyFill="1" applyBorder="1" applyAlignment="1"/>
    <xf numFmtId="0" fontId="46" fillId="0" borderId="32" xfId="0" applyFont="1" applyBorder="1"/>
    <xf numFmtId="3" fontId="46" fillId="0" borderId="64" xfId="0" applyNumberFormat="1" applyFont="1" applyBorder="1" applyAlignment="1">
      <alignment horizontal="center"/>
    </xf>
    <xf numFmtId="4" fontId="46" fillId="0" borderId="64" xfId="0" applyNumberFormat="1" applyFont="1" applyBorder="1" applyAlignment="1">
      <alignment horizontal="center"/>
    </xf>
    <xf numFmtId="0" fontId="46" fillId="0" borderId="95" xfId="0" applyFont="1" applyBorder="1"/>
    <xf numFmtId="4" fontId="46" fillId="0" borderId="34" xfId="0" applyNumberFormat="1" applyFont="1" applyBorder="1"/>
    <xf numFmtId="4" fontId="46" fillId="0" borderId="41" xfId="0" applyNumberFormat="1" applyFont="1" applyBorder="1"/>
    <xf numFmtId="4" fontId="46" fillId="29" borderId="115" xfId="0" applyNumberFormat="1" applyFont="1" applyFill="1" applyBorder="1"/>
    <xf numFmtId="4" fontId="46" fillId="27" borderId="0" xfId="0" applyNumberFormat="1" applyFont="1" applyFill="1" applyBorder="1"/>
    <xf numFmtId="4" fontId="46" fillId="27" borderId="95" xfId="0" applyNumberFormat="1" applyFont="1" applyFill="1" applyBorder="1"/>
    <xf numFmtId="3" fontId="65" fillId="35" borderId="93" xfId="0" applyNumberFormat="1" applyFont="1" applyFill="1" applyBorder="1" applyAlignment="1">
      <alignment horizontal="center"/>
    </xf>
    <xf numFmtId="0" fontId="46" fillId="0" borderId="95" xfId="207" applyFont="1" applyFill="1" applyBorder="1" applyAlignment="1"/>
    <xf numFmtId="0" fontId="46" fillId="0" borderId="42" xfId="0" applyFont="1" applyBorder="1"/>
    <xf numFmtId="2" fontId="46" fillId="0" borderId="13" xfId="0" applyNumberFormat="1" applyFont="1" applyBorder="1"/>
    <xf numFmtId="3" fontId="46" fillId="0" borderId="13" xfId="0" applyNumberFormat="1" applyFont="1" applyBorder="1" applyAlignment="1">
      <alignment horizontal="center"/>
    </xf>
    <xf numFmtId="4" fontId="46" fillId="0" borderId="13" xfId="0" applyNumberFormat="1" applyFont="1" applyBorder="1" applyAlignment="1">
      <alignment horizontal="center"/>
    </xf>
    <xf numFmtId="0" fontId="46" fillId="0" borderId="91" xfId="0" applyFont="1" applyBorder="1"/>
    <xf numFmtId="4" fontId="46" fillId="29" borderId="116" xfId="0" applyNumberFormat="1" applyFont="1" applyFill="1" applyBorder="1"/>
    <xf numFmtId="4" fontId="46" fillId="27" borderId="32" xfId="0" applyNumberFormat="1" applyFont="1" applyFill="1" applyBorder="1" applyAlignment="1"/>
    <xf numFmtId="4" fontId="46" fillId="37" borderId="67" xfId="0" applyNumberFormat="1" applyFont="1" applyFill="1" applyBorder="1"/>
    <xf numFmtId="4" fontId="46" fillId="37" borderId="88" xfId="0" applyNumberFormat="1" applyFont="1" applyFill="1" applyBorder="1"/>
    <xf numFmtId="0" fontId="46" fillId="0" borderId="117" xfId="207" applyFont="1" applyFill="1" applyBorder="1" applyAlignment="1"/>
    <xf numFmtId="4" fontId="46" fillId="29" borderId="92" xfId="0" applyNumberFormat="1" applyFont="1" applyFill="1" applyBorder="1"/>
    <xf numFmtId="0" fontId="46" fillId="0" borderId="118" xfId="207" applyFont="1" applyFill="1" applyBorder="1" applyAlignment="1"/>
    <xf numFmtId="0" fontId="46" fillId="0" borderId="42" xfId="0" applyFont="1" applyBorder="1" applyAlignment="1">
      <alignment horizontal="center"/>
    </xf>
    <xf numFmtId="0" fontId="46" fillId="0" borderId="13" xfId="0" applyFont="1" applyBorder="1" applyAlignment="1">
      <alignment horizontal="center"/>
    </xf>
    <xf numFmtId="3" fontId="46" fillId="0" borderId="13" xfId="0" applyNumberFormat="1" applyFont="1" applyBorder="1" applyAlignment="1"/>
    <xf numFmtId="4" fontId="46" fillId="0" borderId="13" xfId="0" applyNumberFormat="1" applyFont="1" applyBorder="1" applyAlignment="1"/>
    <xf numFmtId="4" fontId="46" fillId="0" borderId="91" xfId="0" applyNumberFormat="1" applyFont="1" applyBorder="1"/>
    <xf numFmtId="3" fontId="65" fillId="35" borderId="111" xfId="0" applyNumberFormat="1" applyFont="1" applyFill="1" applyBorder="1" applyAlignment="1">
      <alignment horizontal="center"/>
    </xf>
    <xf numFmtId="0" fontId="46" fillId="0" borderId="96" xfId="207" applyFont="1" applyFill="1" applyBorder="1" applyAlignment="1"/>
    <xf numFmtId="0" fontId="46" fillId="0" borderId="55" xfId="0" applyFont="1" applyBorder="1" applyAlignment="1">
      <alignment horizontal="center"/>
    </xf>
    <xf numFmtId="4" fontId="46" fillId="0" borderId="52" xfId="0" applyNumberFormat="1" applyFont="1" applyBorder="1" applyAlignment="1">
      <alignment horizontal="center"/>
    </xf>
    <xf numFmtId="0" fontId="46" fillId="0" borderId="52" xfId="0" applyFont="1" applyBorder="1" applyAlignment="1">
      <alignment horizontal="center"/>
    </xf>
    <xf numFmtId="3" fontId="46" fillId="0" borderId="52" xfId="0" applyNumberFormat="1" applyFont="1" applyBorder="1" applyAlignment="1">
      <alignment horizontal="center"/>
    </xf>
    <xf numFmtId="4" fontId="46" fillId="0" borderId="55" xfId="0" applyNumberFormat="1" applyFont="1" applyBorder="1"/>
    <xf numFmtId="4" fontId="46" fillId="29" borderId="40" xfId="0" applyNumberFormat="1" applyFont="1" applyFill="1" applyBorder="1" applyAlignment="1">
      <alignment horizontal="center"/>
    </xf>
    <xf numFmtId="4" fontId="46" fillId="29" borderId="79" xfId="0" applyNumberFormat="1" applyFont="1" applyFill="1" applyBorder="1" applyAlignment="1">
      <alignment horizontal="center"/>
    </xf>
    <xf numFmtId="10" fontId="46" fillId="29" borderId="113" xfId="0" applyNumberFormat="1" applyFont="1" applyFill="1" applyBorder="1" applyAlignment="1">
      <alignment horizontal="center" vertical="center"/>
    </xf>
    <xf numFmtId="4" fontId="46" fillId="27" borderId="55" xfId="0" applyNumberFormat="1" applyFont="1" applyFill="1" applyBorder="1"/>
    <xf numFmtId="4" fontId="46" fillId="27" borderId="52" xfId="0" applyNumberFormat="1" applyFont="1" applyFill="1" applyBorder="1"/>
    <xf numFmtId="49" fontId="53" fillId="0" borderId="14" xfId="0" applyNumberFormat="1" applyFont="1" applyFill="1" applyBorder="1" applyAlignment="1">
      <alignment horizontal="center" vertical="center" wrapText="1"/>
    </xf>
    <xf numFmtId="0" fontId="47" fillId="0" borderId="14" xfId="0" applyFont="1" applyBorder="1" applyAlignment="1">
      <alignment vertical="center"/>
    </xf>
    <xf numFmtId="2" fontId="47" fillId="0" borderId="14" xfId="0" applyNumberFormat="1" applyFont="1" applyBorder="1" applyAlignment="1">
      <alignment vertical="center"/>
    </xf>
    <xf numFmtId="4" fontId="47" fillId="0" borderId="62" xfId="0" applyNumberFormat="1" applyFont="1" applyBorder="1" applyAlignment="1">
      <alignment vertical="center"/>
    </xf>
    <xf numFmtId="4" fontId="47" fillId="0" borderId="119" xfId="0" applyNumberFormat="1" applyFont="1" applyBorder="1" applyAlignment="1">
      <alignment vertical="center"/>
    </xf>
    <xf numFmtId="10" fontId="47" fillId="0" borderId="90" xfId="0" applyNumberFormat="1" applyFont="1" applyFill="1" applyBorder="1" applyAlignment="1">
      <alignment vertical="center"/>
    </xf>
    <xf numFmtId="0" fontId="47" fillId="0" borderId="101" xfId="207" applyFont="1" applyFill="1" applyBorder="1" applyAlignment="1">
      <alignment vertical="center" wrapText="1"/>
    </xf>
    <xf numFmtId="3" fontId="47" fillId="0" borderId="28" xfId="0" applyNumberFormat="1" applyFont="1" applyBorder="1" applyAlignment="1">
      <alignment vertical="center"/>
    </xf>
    <xf numFmtId="2" fontId="47" fillId="0" borderId="28" xfId="0" applyNumberFormat="1" applyFont="1" applyBorder="1" applyAlignment="1">
      <alignment vertical="center"/>
    </xf>
    <xf numFmtId="2" fontId="46" fillId="0" borderId="64" xfId="0" applyNumberFormat="1" applyFont="1" applyFill="1" applyBorder="1"/>
    <xf numFmtId="3" fontId="46" fillId="0" borderId="64" xfId="0" applyNumberFormat="1" applyFont="1" applyBorder="1"/>
    <xf numFmtId="4" fontId="46" fillId="0" borderId="95" xfId="0" applyNumberFormat="1" applyFont="1" applyBorder="1"/>
    <xf numFmtId="4" fontId="46" fillId="0" borderId="64" xfId="0" applyNumberFormat="1" applyFont="1" applyBorder="1" applyAlignment="1">
      <alignment vertical="center"/>
    </xf>
    <xf numFmtId="4" fontId="46" fillId="0" borderId="94" xfId="0" applyNumberFormat="1" applyFont="1" applyBorder="1"/>
    <xf numFmtId="2" fontId="46" fillId="27" borderId="88" xfId="0" applyNumberFormat="1" applyFont="1" applyFill="1" applyBorder="1"/>
    <xf numFmtId="3" fontId="46" fillId="0" borderId="32" xfId="0" applyNumberFormat="1" applyFont="1" applyBorder="1"/>
    <xf numFmtId="2" fontId="46" fillId="0" borderId="64" xfId="0" applyNumberFormat="1" applyFont="1" applyBorder="1"/>
    <xf numFmtId="4" fontId="46" fillId="0" borderId="68" xfId="0" applyNumberFormat="1" applyFont="1" applyBorder="1"/>
    <xf numFmtId="4" fontId="46" fillId="28" borderId="108" xfId="0" applyNumberFormat="1" applyFont="1" applyFill="1" applyBorder="1"/>
    <xf numFmtId="4" fontId="46" fillId="37" borderId="93" xfId="0" applyNumberFormat="1" applyFont="1" applyFill="1" applyBorder="1"/>
    <xf numFmtId="4" fontId="46" fillId="27" borderId="93" xfId="0" applyNumberFormat="1" applyFont="1" applyFill="1" applyBorder="1"/>
    <xf numFmtId="4" fontId="46" fillId="0" borderId="88" xfId="0" applyNumberFormat="1" applyFont="1" applyBorder="1"/>
    <xf numFmtId="4" fontId="46" fillId="28" borderId="109" xfId="0" applyNumberFormat="1" applyFont="1" applyFill="1" applyBorder="1"/>
    <xf numFmtId="4" fontId="46" fillId="27" borderId="67" xfId="0" applyNumberFormat="1" applyFont="1" applyFill="1" applyBorder="1"/>
    <xf numFmtId="0" fontId="46" fillId="0" borderId="71" xfId="0" applyFont="1" applyBorder="1" applyAlignment="1">
      <alignment horizontal="center"/>
    </xf>
    <xf numFmtId="0" fontId="46" fillId="0" borderId="120" xfId="0" applyFont="1" applyFill="1" applyBorder="1"/>
    <xf numFmtId="0" fontId="46" fillId="0" borderId="35" xfId="0" applyFont="1" applyBorder="1"/>
    <xf numFmtId="4" fontId="46" fillId="0" borderId="38" xfId="0" applyNumberFormat="1" applyFont="1" applyBorder="1"/>
    <xf numFmtId="10" fontId="46" fillId="36" borderId="38" xfId="0" applyNumberFormat="1" applyFont="1" applyFill="1" applyBorder="1"/>
    <xf numFmtId="2" fontId="46" fillId="27" borderId="36" xfId="0" applyNumberFormat="1" applyFont="1" applyFill="1" applyBorder="1"/>
    <xf numFmtId="4" fontId="46" fillId="27" borderId="97" xfId="0" applyNumberFormat="1" applyFont="1" applyFill="1" applyBorder="1"/>
    <xf numFmtId="0" fontId="47" fillId="0" borderId="14" xfId="0" applyFont="1" applyBorder="1" applyAlignment="1">
      <alignment horizontal="center" vertical="center"/>
    </xf>
    <xf numFmtId="0" fontId="47" fillId="0" borderId="101" xfId="0" applyFont="1" applyBorder="1" applyAlignment="1">
      <alignment vertical="center"/>
    </xf>
    <xf numFmtId="4" fontId="46" fillId="27" borderId="68" xfId="0" applyNumberFormat="1" applyFont="1" applyFill="1" applyBorder="1"/>
    <xf numFmtId="4" fontId="46" fillId="29" borderId="109" xfId="0" applyNumberFormat="1" applyFont="1" applyFill="1" applyBorder="1"/>
    <xf numFmtId="4" fontId="46" fillId="0" borderId="73" xfId="0" applyNumberFormat="1" applyFont="1" applyBorder="1"/>
    <xf numFmtId="2" fontId="46" fillId="0" borderId="13" xfId="0" applyNumberFormat="1" applyFont="1" applyFill="1" applyBorder="1"/>
    <xf numFmtId="0" fontId="46" fillId="0" borderId="13" xfId="0" applyFont="1" applyBorder="1" applyAlignment="1"/>
    <xf numFmtId="2" fontId="46" fillId="0" borderId="13" xfId="0" applyNumberFormat="1" applyFont="1" applyBorder="1" applyAlignment="1"/>
    <xf numFmtId="4" fontId="46" fillId="27" borderId="42" xfId="0" applyNumberFormat="1" applyFont="1" applyFill="1" applyBorder="1" applyAlignment="1"/>
    <xf numFmtId="2" fontId="46" fillId="0" borderId="33" xfId="0" applyNumberFormat="1" applyFont="1" applyFill="1" applyBorder="1"/>
    <xf numFmtId="4" fontId="46" fillId="0" borderId="97" xfId="0" applyNumberFormat="1" applyFont="1" applyBorder="1"/>
    <xf numFmtId="4" fontId="46" fillId="27" borderId="40" xfId="0" applyNumberFormat="1" applyFont="1" applyFill="1" applyBorder="1" applyAlignment="1"/>
    <xf numFmtId="4" fontId="46" fillId="27" borderId="98" xfId="0" applyNumberFormat="1" applyFont="1" applyFill="1" applyBorder="1"/>
    <xf numFmtId="4" fontId="46" fillId="37" borderId="35" xfId="0" applyNumberFormat="1" applyFont="1" applyFill="1" applyBorder="1"/>
    <xf numFmtId="4" fontId="46" fillId="37" borderId="98" xfId="0" applyNumberFormat="1" applyFont="1" applyFill="1" applyBorder="1"/>
    <xf numFmtId="0" fontId="47" fillId="0" borderId="28" xfId="0" applyFont="1" applyFill="1" applyBorder="1" applyAlignment="1">
      <alignment horizontal="center" vertical="center"/>
    </xf>
    <xf numFmtId="0" fontId="47" fillId="0" borderId="90" xfId="0" applyFont="1" applyFill="1" applyBorder="1" applyAlignment="1">
      <alignment vertical="center" wrapText="1"/>
    </xf>
    <xf numFmtId="0" fontId="47" fillId="0" borderId="28" xfId="0" applyFont="1" applyBorder="1" applyAlignment="1">
      <alignment vertical="center"/>
    </xf>
    <xf numFmtId="2" fontId="47" fillId="0" borderId="28" xfId="0" applyNumberFormat="1" applyFont="1" applyFill="1" applyBorder="1" applyAlignment="1">
      <alignment vertical="center"/>
    </xf>
    <xf numFmtId="4" fontId="46" fillId="27" borderId="61" xfId="0" applyNumberFormat="1" applyFont="1" applyFill="1" applyBorder="1"/>
    <xf numFmtId="4" fontId="46" fillId="0" borderId="64" xfId="0" applyNumberFormat="1" applyFont="1" applyBorder="1" applyAlignment="1"/>
    <xf numFmtId="0" fontId="46" fillId="0" borderId="64" xfId="0" applyFont="1" applyBorder="1" applyAlignment="1"/>
    <xf numFmtId="0" fontId="46" fillId="0" borderId="13" xfId="0" applyFont="1" applyBorder="1"/>
    <xf numFmtId="4" fontId="46" fillId="0" borderId="120" xfId="0" applyNumberFormat="1" applyFont="1" applyFill="1" applyBorder="1" applyAlignment="1"/>
    <xf numFmtId="0" fontId="46" fillId="0" borderId="121" xfId="0" applyFont="1" applyBorder="1"/>
    <xf numFmtId="4" fontId="46" fillId="0" borderId="122" xfId="0" applyNumberFormat="1" applyFont="1" applyBorder="1" applyAlignment="1"/>
    <xf numFmtId="2" fontId="46" fillId="0" borderId="122" xfId="0" applyNumberFormat="1" applyFont="1" applyFill="1" applyBorder="1"/>
    <xf numFmtId="0" fontId="46" fillId="0" borderId="122" xfId="0" applyFont="1" applyBorder="1" applyAlignment="1"/>
    <xf numFmtId="4" fontId="46" fillId="0" borderId="122" xfId="0" applyNumberFormat="1" applyFont="1" applyBorder="1"/>
    <xf numFmtId="2" fontId="46" fillId="0" borderId="122" xfId="0" applyNumberFormat="1" applyFont="1" applyBorder="1" applyAlignment="1"/>
    <xf numFmtId="4" fontId="46" fillId="0" borderId="120" xfId="0" applyNumberFormat="1" applyFont="1" applyBorder="1"/>
    <xf numFmtId="4" fontId="46" fillId="27" borderId="99" xfId="0" applyNumberFormat="1" applyFont="1" applyFill="1" applyBorder="1"/>
    <xf numFmtId="0" fontId="47" fillId="0" borderId="28" xfId="0" applyFont="1" applyBorder="1" applyAlignment="1">
      <alignment horizontal="center" vertical="center"/>
    </xf>
    <xf numFmtId="2" fontId="47" fillId="0" borderId="14" xfId="0" applyNumberFormat="1" applyFont="1" applyFill="1" applyBorder="1" applyAlignment="1">
      <alignment vertical="center"/>
    </xf>
    <xf numFmtId="0" fontId="47" fillId="0" borderId="29" xfId="0" applyFont="1" applyBorder="1" applyAlignment="1">
      <alignment vertical="center"/>
    </xf>
    <xf numFmtId="0" fontId="47" fillId="0" borderId="101" xfId="0" applyFont="1" applyBorder="1" applyAlignment="1">
      <alignment vertical="center" wrapText="1"/>
    </xf>
    <xf numFmtId="10" fontId="47" fillId="0" borderId="90" xfId="0" applyNumberFormat="1" applyFont="1" applyFill="1" applyBorder="1" applyAlignment="1">
      <alignment horizontal="center" vertical="center"/>
    </xf>
    <xf numFmtId="0" fontId="46" fillId="0" borderId="89" xfId="0" applyFont="1" applyBorder="1"/>
    <xf numFmtId="4" fontId="46" fillId="0" borderId="14" xfId="0" applyNumberFormat="1" applyFont="1" applyFill="1" applyBorder="1"/>
    <xf numFmtId="10" fontId="46" fillId="0" borderId="14" xfId="0" applyNumberFormat="1" applyFont="1" applyFill="1" applyBorder="1"/>
    <xf numFmtId="10" fontId="46" fillId="0" borderId="101" xfId="0" applyNumberFormat="1" applyFont="1" applyFill="1" applyBorder="1"/>
    <xf numFmtId="4" fontId="46" fillId="0" borderId="14" xfId="0" applyNumberFormat="1" applyFont="1" applyBorder="1"/>
    <xf numFmtId="10" fontId="46" fillId="0" borderId="14" xfId="0" applyNumberFormat="1" applyFont="1" applyBorder="1"/>
    <xf numFmtId="10" fontId="46" fillId="0" borderId="101" xfId="0" applyNumberFormat="1" applyFont="1" applyBorder="1"/>
    <xf numFmtId="0" fontId="46" fillId="0" borderId="106" xfId="0" applyFont="1" applyBorder="1"/>
    <xf numFmtId="4" fontId="46" fillId="37" borderId="34" xfId="0" applyNumberFormat="1" applyFont="1" applyFill="1" applyBorder="1"/>
    <xf numFmtId="10" fontId="46" fillId="28" borderId="123" xfId="0" applyNumberFormat="1" applyFont="1" applyFill="1" applyBorder="1"/>
    <xf numFmtId="0" fontId="46" fillId="0" borderId="96" xfId="0" applyFont="1" applyBorder="1"/>
    <xf numFmtId="0" fontId="46" fillId="0" borderId="33" xfId="0" applyFont="1" applyBorder="1"/>
    <xf numFmtId="10" fontId="46" fillId="28" borderId="97" xfId="0" applyNumberFormat="1" applyFont="1" applyFill="1" applyBorder="1"/>
    <xf numFmtId="4" fontId="46" fillId="36" borderId="64" xfId="0" applyNumberFormat="1" applyFont="1" applyFill="1" applyBorder="1"/>
    <xf numFmtId="4" fontId="46" fillId="28" borderId="32" xfId="0" applyNumberFormat="1" applyFont="1" applyFill="1" applyBorder="1"/>
    <xf numFmtId="4" fontId="46" fillId="28" borderId="88" xfId="0" applyNumberFormat="1" applyFont="1" applyFill="1" applyBorder="1"/>
    <xf numFmtId="4" fontId="46" fillId="0" borderId="42" xfId="0" applyNumberFormat="1" applyFont="1" applyFill="1" applyBorder="1" applyAlignment="1">
      <alignment horizontal="center"/>
    </xf>
    <xf numFmtId="4" fontId="46" fillId="0" borderId="13" xfId="0" applyNumberFormat="1" applyFont="1" applyFill="1" applyBorder="1" applyAlignment="1">
      <alignment horizontal="center"/>
    </xf>
    <xf numFmtId="4" fontId="46" fillId="0" borderId="43" xfId="0" applyNumberFormat="1" applyFont="1" applyBorder="1"/>
    <xf numFmtId="10" fontId="46" fillId="28" borderId="73" xfId="0" applyNumberFormat="1" applyFont="1" applyFill="1" applyBorder="1"/>
    <xf numFmtId="4" fontId="46" fillId="0" borderId="28" xfId="0" applyNumberFormat="1" applyFont="1" applyBorder="1"/>
    <xf numFmtId="0" fontId="47" fillId="0" borderId="90" xfId="0" applyFont="1" applyBorder="1" applyAlignment="1">
      <alignment vertical="center" wrapText="1"/>
    </xf>
    <xf numFmtId="10" fontId="47" fillId="0" borderId="14" xfId="0" applyNumberFormat="1" applyFont="1" applyBorder="1" applyAlignment="1">
      <alignment vertical="center"/>
    </xf>
    <xf numFmtId="0" fontId="46" fillId="0" borderId="124" xfId="0" applyFont="1" applyBorder="1" applyAlignment="1">
      <alignment vertical="center"/>
    </xf>
    <xf numFmtId="4" fontId="46" fillId="0" borderId="48" xfId="0" applyNumberFormat="1" applyFont="1" applyBorder="1" applyAlignment="1">
      <alignment vertical="center"/>
    </xf>
    <xf numFmtId="4" fontId="46" fillId="29" borderId="39" xfId="0" applyNumberFormat="1" applyFont="1" applyFill="1" applyBorder="1" applyAlignment="1">
      <alignment horizontal="center" vertical="center"/>
    </xf>
    <xf numFmtId="4" fontId="46" fillId="29" borderId="125" xfId="0" applyNumberFormat="1" applyFont="1" applyFill="1" applyBorder="1" applyAlignment="1">
      <alignment horizontal="center" vertical="center"/>
    </xf>
    <xf numFmtId="10" fontId="46" fillId="29" borderId="126" xfId="0" applyNumberFormat="1" applyFont="1" applyFill="1" applyBorder="1" applyAlignment="1">
      <alignment horizontal="center" vertical="center"/>
    </xf>
    <xf numFmtId="4" fontId="46" fillId="27" borderId="40" xfId="0" applyNumberFormat="1" applyFont="1" applyFill="1" applyBorder="1" applyAlignment="1">
      <alignment horizontal="center" vertical="center"/>
    </xf>
    <xf numFmtId="4" fontId="46" fillId="27" borderId="38" xfId="0" applyNumberFormat="1" applyFont="1" applyFill="1" applyBorder="1" applyAlignment="1">
      <alignment horizontal="center" vertical="center"/>
    </xf>
    <xf numFmtId="4" fontId="46" fillId="37" borderId="48" xfId="0" applyNumberFormat="1" applyFont="1" applyFill="1" applyBorder="1" applyAlignment="1">
      <alignment vertical="center"/>
    </xf>
    <xf numFmtId="4" fontId="46" fillId="37" borderId="125" xfId="0" applyNumberFormat="1" applyFont="1" applyFill="1" applyBorder="1" applyAlignment="1">
      <alignment vertical="center"/>
    </xf>
    <xf numFmtId="4" fontId="46" fillId="27" borderId="48" xfId="0" applyNumberFormat="1" applyFont="1" applyFill="1" applyBorder="1" applyAlignment="1">
      <alignment vertical="center"/>
    </xf>
    <xf numFmtId="4" fontId="46" fillId="27" borderId="124" xfId="0" applyNumberFormat="1" applyFont="1" applyFill="1" applyBorder="1" applyAlignment="1">
      <alignment vertical="center"/>
    </xf>
    <xf numFmtId="4" fontId="46" fillId="36" borderId="47" xfId="0" applyNumberFormat="1" applyFont="1" applyFill="1" applyBorder="1"/>
    <xf numFmtId="4" fontId="46" fillId="36" borderId="48" xfId="0" applyNumberFormat="1" applyFont="1" applyFill="1" applyBorder="1"/>
    <xf numFmtId="10" fontId="46" fillId="36" borderId="125" xfId="0" applyNumberFormat="1" applyFont="1" applyFill="1" applyBorder="1"/>
    <xf numFmtId="0" fontId="46" fillId="0" borderId="106" xfId="0" applyFont="1" applyFill="1" applyBorder="1"/>
    <xf numFmtId="0" fontId="46" fillId="0" borderId="105" xfId="0" applyFont="1" applyBorder="1"/>
    <xf numFmtId="3" fontId="46" fillId="0" borderId="34" xfId="0" applyNumberFormat="1" applyFont="1" applyBorder="1"/>
    <xf numFmtId="4" fontId="46" fillId="29" borderId="63" xfId="0" applyNumberFormat="1" applyFont="1" applyFill="1" applyBorder="1"/>
    <xf numFmtId="0" fontId="46" fillId="0" borderId="99" xfId="0" applyFont="1" applyBorder="1" applyAlignment="1">
      <alignment horizontal="center"/>
    </xf>
    <xf numFmtId="0" fontId="46" fillId="0" borderId="40" xfId="0" applyFont="1" applyBorder="1" applyAlignment="1">
      <alignment horizontal="center" vertical="center"/>
    </xf>
    <xf numFmtId="0" fontId="46" fillId="0" borderId="98" xfId="0" applyFont="1" applyBorder="1" applyAlignment="1">
      <alignment horizontal="center" vertical="center"/>
    </xf>
    <xf numFmtId="0" fontId="46" fillId="0" borderId="100" xfId="0" applyFont="1" applyBorder="1" applyAlignment="1">
      <alignment horizontal="center" vertical="center"/>
    </xf>
    <xf numFmtId="4" fontId="46" fillId="0" borderId="98" xfId="0" applyNumberFormat="1" applyFont="1" applyBorder="1" applyAlignment="1"/>
    <xf numFmtId="4" fontId="46" fillId="0" borderId="28" xfId="0" applyNumberFormat="1" applyFont="1" applyBorder="1" applyAlignment="1"/>
    <xf numFmtId="4" fontId="46" fillId="29" borderId="35" xfId="0" applyNumberFormat="1" applyFont="1" applyFill="1" applyBorder="1" applyAlignment="1">
      <alignment horizontal="center" vertical="center"/>
    </xf>
    <xf numFmtId="4" fontId="46" fillId="29" borderId="36" xfId="0" applyNumberFormat="1" applyFont="1" applyFill="1" applyBorder="1" applyAlignment="1">
      <alignment horizontal="center" vertical="center"/>
    </xf>
    <xf numFmtId="10" fontId="46" fillId="29" borderId="37" xfId="0" applyNumberFormat="1" applyFont="1" applyFill="1" applyBorder="1" applyAlignment="1">
      <alignment horizontal="center" vertical="center"/>
    </xf>
    <xf numFmtId="4" fontId="46" fillId="37" borderId="40" xfId="0" applyNumberFormat="1" applyFont="1" applyFill="1" applyBorder="1" applyAlignment="1"/>
    <xf numFmtId="4" fontId="46" fillId="37" borderId="98" xfId="0" applyNumberFormat="1" applyFont="1" applyFill="1" applyBorder="1" applyAlignment="1"/>
    <xf numFmtId="4" fontId="46" fillId="37" borderId="38" xfId="0" applyNumberFormat="1" applyFont="1" applyFill="1" applyBorder="1" applyAlignment="1"/>
    <xf numFmtId="4" fontId="46" fillId="27" borderId="98" xfId="0" applyNumberFormat="1" applyFont="1" applyFill="1" applyBorder="1" applyAlignment="1"/>
    <xf numFmtId="4" fontId="46" fillId="27" borderId="96" xfId="0" applyNumberFormat="1" applyFont="1" applyFill="1" applyBorder="1" applyAlignment="1"/>
    <xf numFmtId="0" fontId="46" fillId="0" borderId="28" xfId="0" applyFont="1" applyBorder="1"/>
    <xf numFmtId="4" fontId="47" fillId="0" borderId="28" xfId="0" applyNumberFormat="1" applyFont="1" applyBorder="1" applyAlignment="1">
      <alignment horizontal="right" vertical="center"/>
    </xf>
    <xf numFmtId="2" fontId="47" fillId="0" borderId="28" xfId="0" applyNumberFormat="1" applyFont="1" applyBorder="1" applyAlignment="1">
      <alignment horizontal="right" vertical="center"/>
    </xf>
    <xf numFmtId="3" fontId="47" fillId="0" borderId="28" xfId="0" applyNumberFormat="1" applyFont="1" applyBorder="1" applyAlignment="1">
      <alignment horizontal="right" vertical="center"/>
    </xf>
    <xf numFmtId="10" fontId="47" fillId="0" borderId="101" xfId="0" applyNumberFormat="1" applyFont="1" applyBorder="1" applyAlignment="1">
      <alignment vertical="center"/>
    </xf>
    <xf numFmtId="0" fontId="46" fillId="0" borderId="90" xfId="0" applyFont="1" applyBorder="1"/>
    <xf numFmtId="3" fontId="46" fillId="0" borderId="28" xfId="0" applyNumberFormat="1" applyFont="1" applyBorder="1"/>
    <xf numFmtId="4" fontId="46" fillId="0" borderId="101" xfId="0" applyNumberFormat="1" applyFont="1" applyBorder="1"/>
    <xf numFmtId="0" fontId="46" fillId="0" borderId="61" xfId="0" applyFont="1" applyFill="1" applyBorder="1" applyAlignment="1">
      <alignment horizontal="center" vertical="center"/>
    </xf>
    <xf numFmtId="0" fontId="46" fillId="0" borderId="106" xfId="0" applyFont="1" applyFill="1" applyBorder="1" applyAlignment="1">
      <alignment vertical="center" wrapText="1"/>
    </xf>
    <xf numFmtId="0" fontId="46" fillId="0" borderId="32" xfId="0" applyFont="1" applyBorder="1" applyAlignment="1">
      <alignment vertical="center"/>
    </xf>
    <xf numFmtId="0" fontId="46" fillId="0" borderId="64" xfId="0" applyFont="1" applyBorder="1" applyAlignment="1">
      <alignment vertical="center"/>
    </xf>
    <xf numFmtId="3" fontId="46" fillId="0" borderId="64" xfId="0" applyNumberFormat="1" applyFont="1" applyBorder="1" applyAlignment="1">
      <alignment vertical="center"/>
    </xf>
    <xf numFmtId="0" fontId="46" fillId="0" borderId="95" xfId="0" applyFont="1" applyBorder="1" applyAlignment="1">
      <alignment vertical="center"/>
    </xf>
    <xf numFmtId="0" fontId="46" fillId="0" borderId="34" xfId="0" applyFont="1" applyBorder="1" applyAlignment="1">
      <alignment vertical="center"/>
    </xf>
    <xf numFmtId="0" fontId="46" fillId="0" borderId="92" xfId="0" applyFont="1" applyBorder="1" applyAlignment="1">
      <alignment vertical="center"/>
    </xf>
    <xf numFmtId="4" fontId="46" fillId="29" borderId="108" xfId="0" applyNumberFormat="1" applyFont="1" applyFill="1" applyBorder="1" applyAlignment="1">
      <alignment vertical="center"/>
    </xf>
    <xf numFmtId="4" fontId="46" fillId="29" borderId="32" xfId="0" applyNumberFormat="1" applyFont="1" applyFill="1" applyBorder="1" applyAlignment="1">
      <alignment vertical="center"/>
    </xf>
    <xf numFmtId="4" fontId="46" fillId="29" borderId="88" xfId="0" applyNumberFormat="1" applyFont="1" applyFill="1" applyBorder="1" applyAlignment="1">
      <alignment horizontal="center" vertical="center"/>
    </xf>
    <xf numFmtId="4" fontId="46" fillId="36" borderId="61" xfId="0" applyNumberFormat="1" applyFont="1" applyFill="1" applyBorder="1" applyAlignment="1">
      <alignment vertical="center"/>
    </xf>
    <xf numFmtId="4" fontId="46" fillId="36" borderId="105" xfId="0" applyNumberFormat="1" applyFont="1" applyFill="1" applyBorder="1" applyAlignment="1">
      <alignment vertical="center"/>
    </xf>
    <xf numFmtId="4" fontId="46" fillId="36" borderId="34" xfId="0" applyNumberFormat="1" applyFont="1" applyFill="1" applyBorder="1" applyAlignment="1">
      <alignment vertical="center"/>
    </xf>
    <xf numFmtId="10" fontId="46" fillId="36" borderId="63" xfId="0" applyNumberFormat="1" applyFont="1" applyFill="1" applyBorder="1" applyAlignment="1">
      <alignment vertical="center"/>
    </xf>
    <xf numFmtId="4" fontId="46" fillId="29" borderId="61" xfId="0" applyNumberFormat="1" applyFont="1" applyFill="1" applyBorder="1" applyAlignment="1">
      <alignment horizontal="center" vertical="center"/>
    </xf>
    <xf numFmtId="4" fontId="46" fillId="29" borderId="32" xfId="0" applyNumberFormat="1" applyFont="1" applyFill="1" applyBorder="1" applyAlignment="1">
      <alignment horizontal="center" vertical="center"/>
    </xf>
    <xf numFmtId="10" fontId="46" fillId="29" borderId="94" xfId="0" applyNumberFormat="1" applyFont="1" applyFill="1" applyBorder="1" applyAlignment="1">
      <alignment horizontal="center" vertical="center"/>
    </xf>
    <xf numFmtId="10" fontId="46" fillId="29" borderId="104" xfId="0" applyNumberFormat="1" applyFont="1" applyFill="1" applyBorder="1" applyAlignment="1">
      <alignment horizontal="center" vertical="center"/>
    </xf>
    <xf numFmtId="4" fontId="46" fillId="27" borderId="32" xfId="0" applyNumberFormat="1" applyFont="1" applyFill="1" applyBorder="1" applyAlignment="1">
      <alignment vertical="center"/>
    </xf>
    <xf numFmtId="4" fontId="46" fillId="27" borderId="64" xfId="0" applyNumberFormat="1" applyFont="1" applyFill="1" applyBorder="1" applyAlignment="1">
      <alignment vertical="center"/>
    </xf>
    <xf numFmtId="4" fontId="46" fillId="27" borderId="88" xfId="0" applyNumberFormat="1" applyFont="1" applyFill="1" applyBorder="1" applyAlignment="1">
      <alignment horizontal="center" vertical="center"/>
    </xf>
    <xf numFmtId="4" fontId="46" fillId="37" borderId="32" xfId="0" applyNumberFormat="1" applyFont="1" applyFill="1" applyBorder="1" applyAlignment="1">
      <alignment vertical="center"/>
    </xf>
    <xf numFmtId="4" fontId="46" fillId="37" borderId="64" xfId="0" applyNumberFormat="1" applyFont="1" applyFill="1" applyBorder="1" applyAlignment="1">
      <alignment vertical="center"/>
    </xf>
    <xf numFmtId="4" fontId="46" fillId="37" borderId="94" xfId="0" applyNumberFormat="1" applyFont="1" applyFill="1" applyBorder="1" applyAlignment="1">
      <alignment vertical="center"/>
    </xf>
    <xf numFmtId="4" fontId="46" fillId="27" borderId="93" xfId="0" applyNumberFormat="1" applyFont="1" applyFill="1" applyBorder="1" applyAlignment="1">
      <alignment horizontal="center" vertical="center"/>
    </xf>
    <xf numFmtId="4" fontId="46" fillId="27" borderId="32" xfId="0" applyNumberFormat="1" applyFont="1" applyFill="1" applyBorder="1" applyAlignment="1">
      <alignment horizontal="center" vertical="center"/>
    </xf>
    <xf numFmtId="4" fontId="46" fillId="27" borderId="103" xfId="0" applyNumberFormat="1" applyFont="1" applyFill="1" applyBorder="1" applyAlignment="1">
      <alignment horizontal="center" vertical="center"/>
    </xf>
    <xf numFmtId="4" fontId="46" fillId="28" borderId="105" xfId="0" applyNumberFormat="1" applyFont="1" applyFill="1" applyBorder="1" applyAlignment="1">
      <alignment vertical="center"/>
    </xf>
    <xf numFmtId="4" fontId="46" fillId="28" borderId="105" xfId="0" applyNumberFormat="1" applyFont="1" applyFill="1" applyBorder="1" applyAlignment="1">
      <alignment horizontal="center" vertical="center"/>
    </xf>
    <xf numFmtId="4" fontId="46" fillId="28" borderId="34" xfId="0" applyNumberFormat="1" applyFont="1" applyFill="1" applyBorder="1" applyAlignment="1">
      <alignment horizontal="center" vertical="center"/>
    </xf>
    <xf numFmtId="10" fontId="46" fillId="28" borderId="123" xfId="0" applyNumberFormat="1" applyFont="1" applyFill="1" applyBorder="1" applyAlignment="1">
      <alignment vertical="center"/>
    </xf>
    <xf numFmtId="10" fontId="46" fillId="28" borderId="104" xfId="0" applyNumberFormat="1" applyFont="1" applyFill="1" applyBorder="1" applyAlignment="1">
      <alignment vertical="center"/>
    </xf>
    <xf numFmtId="0" fontId="46" fillId="0" borderId="93" xfId="0" applyFont="1" applyFill="1" applyBorder="1" applyAlignment="1">
      <alignment horizontal="center" vertical="center"/>
    </xf>
    <xf numFmtId="0" fontId="46" fillId="0" borderId="95" xfId="0" applyFont="1" applyFill="1" applyBorder="1" applyAlignment="1">
      <alignment vertical="center" wrapText="1"/>
    </xf>
    <xf numFmtId="0" fontId="46" fillId="0" borderId="42" xfId="0" applyFont="1" applyBorder="1" applyAlignment="1">
      <alignment vertical="center"/>
    </xf>
    <xf numFmtId="0" fontId="46" fillId="0" borderId="13" xfId="0" applyFont="1" applyBorder="1" applyAlignment="1">
      <alignment vertical="center"/>
    </xf>
    <xf numFmtId="3" fontId="46" fillId="0" borderId="13" xfId="0" applyNumberFormat="1" applyFont="1" applyBorder="1" applyAlignment="1">
      <alignment vertical="center"/>
    </xf>
    <xf numFmtId="0" fontId="46" fillId="0" borderId="91" xfId="0" applyFont="1" applyBorder="1" applyAlignment="1">
      <alignment vertical="center"/>
    </xf>
    <xf numFmtId="0" fontId="46" fillId="0" borderId="116" xfId="0" applyFont="1" applyBorder="1" applyAlignment="1">
      <alignment vertical="center"/>
    </xf>
    <xf numFmtId="4" fontId="46" fillId="29" borderId="109" xfId="0" applyNumberFormat="1" applyFont="1" applyFill="1" applyBorder="1" applyAlignment="1">
      <alignment vertical="center"/>
    </xf>
    <xf numFmtId="4" fontId="46" fillId="29" borderId="42" xfId="0" applyNumberFormat="1" applyFont="1" applyFill="1" applyBorder="1" applyAlignment="1">
      <alignment vertical="center"/>
    </xf>
    <xf numFmtId="4" fontId="46" fillId="29" borderId="68" xfId="0" applyNumberFormat="1" applyFont="1" applyFill="1" applyBorder="1" applyAlignment="1">
      <alignment horizontal="center" vertical="center"/>
    </xf>
    <xf numFmtId="4" fontId="46" fillId="36" borderId="93" xfId="0" applyNumberFormat="1" applyFont="1" applyFill="1" applyBorder="1" applyAlignment="1">
      <alignment vertical="center"/>
    </xf>
    <xf numFmtId="4" fontId="46" fillId="36" borderId="32" xfId="0" applyNumberFormat="1" applyFont="1" applyFill="1" applyBorder="1" applyAlignment="1">
      <alignment vertical="center"/>
    </xf>
    <xf numFmtId="4" fontId="46" fillId="36" borderId="64" xfId="0" applyNumberFormat="1" applyFont="1" applyFill="1" applyBorder="1" applyAlignment="1">
      <alignment vertical="center"/>
    </xf>
    <xf numFmtId="10" fontId="46" fillId="36" borderId="88" xfId="0" applyNumberFormat="1" applyFont="1" applyFill="1" applyBorder="1" applyAlignment="1">
      <alignment vertical="center"/>
    </xf>
    <xf numFmtId="4" fontId="46" fillId="29" borderId="93" xfId="0" applyNumberFormat="1" applyFont="1" applyFill="1" applyBorder="1" applyAlignment="1">
      <alignment horizontal="center" vertical="center"/>
    </xf>
    <xf numFmtId="10" fontId="46" fillId="29" borderId="108" xfId="0" applyNumberFormat="1" applyFont="1" applyFill="1" applyBorder="1" applyAlignment="1">
      <alignment horizontal="center" vertical="center"/>
    </xf>
    <xf numFmtId="4" fontId="46" fillId="27" borderId="42" xfId="0" applyNumberFormat="1" applyFont="1" applyFill="1" applyBorder="1" applyAlignment="1">
      <alignment vertical="center"/>
    </xf>
    <xf numFmtId="4" fontId="46" fillId="27" borderId="68" xfId="0" applyNumberFormat="1" applyFont="1" applyFill="1" applyBorder="1" applyAlignment="1">
      <alignment horizontal="center" vertical="center"/>
    </xf>
    <xf numFmtId="4" fontId="46" fillId="37" borderId="42" xfId="0" applyNumberFormat="1" applyFont="1" applyFill="1" applyBorder="1" applyAlignment="1">
      <alignment vertical="center"/>
    </xf>
    <xf numFmtId="4" fontId="46" fillId="37" borderId="13" xfId="0" applyNumberFormat="1" applyFont="1" applyFill="1" applyBorder="1" applyAlignment="1">
      <alignment vertical="center"/>
    </xf>
    <xf numFmtId="4" fontId="46" fillId="28" borderId="42" xfId="0" applyNumberFormat="1" applyFont="1" applyFill="1" applyBorder="1" applyAlignment="1">
      <alignment vertical="center"/>
    </xf>
    <xf numFmtId="4" fontId="46" fillId="36" borderId="42" xfId="0" applyNumberFormat="1" applyFont="1" applyFill="1" applyBorder="1" applyAlignment="1">
      <alignment vertical="center"/>
    </xf>
    <xf numFmtId="4" fontId="46" fillId="36" borderId="13" xfId="0" applyNumberFormat="1" applyFont="1" applyFill="1" applyBorder="1" applyAlignment="1">
      <alignment vertical="center"/>
    </xf>
    <xf numFmtId="10" fontId="46" fillId="36" borderId="68" xfId="0" applyNumberFormat="1" applyFont="1" applyFill="1" applyBorder="1" applyAlignment="1">
      <alignment vertical="center"/>
    </xf>
    <xf numFmtId="4" fontId="46" fillId="28" borderId="42" xfId="0" applyNumberFormat="1" applyFont="1" applyFill="1" applyBorder="1" applyAlignment="1">
      <alignment horizontal="center" vertical="center"/>
    </xf>
    <xf numFmtId="4" fontId="46" fillId="28" borderId="13" xfId="0" applyNumberFormat="1" applyFont="1" applyFill="1" applyBorder="1" applyAlignment="1">
      <alignment horizontal="center" vertical="center"/>
    </xf>
    <xf numFmtId="10" fontId="46" fillId="28" borderId="73" xfId="0" applyNumberFormat="1" applyFont="1" applyFill="1" applyBorder="1" applyAlignment="1">
      <alignment vertical="center"/>
    </xf>
    <xf numFmtId="10" fontId="46" fillId="28" borderId="109" xfId="0" applyNumberFormat="1" applyFont="1" applyFill="1" applyBorder="1" applyAlignment="1">
      <alignment vertical="center"/>
    </xf>
    <xf numFmtId="0" fontId="47" fillId="0" borderId="93" xfId="0" applyFont="1" applyFill="1" applyBorder="1" applyAlignment="1">
      <alignment horizontal="center" vertical="center"/>
    </xf>
    <xf numFmtId="0" fontId="47" fillId="0" borderId="95" xfId="0" applyFont="1" applyFill="1" applyBorder="1" applyAlignment="1">
      <alignment vertical="center" wrapText="1"/>
    </xf>
    <xf numFmtId="0" fontId="47" fillId="0" borderId="32" xfId="0" applyFont="1" applyBorder="1" applyAlignment="1">
      <alignment vertical="center"/>
    </xf>
    <xf numFmtId="4" fontId="47" fillId="0" borderId="64" xfId="0" applyNumberFormat="1" applyFont="1" applyBorder="1" applyAlignment="1">
      <alignment vertical="center"/>
    </xf>
    <xf numFmtId="0" fontId="47" fillId="0" borderId="64" xfId="0" applyFont="1" applyBorder="1" applyAlignment="1">
      <alignment vertical="center"/>
    </xf>
    <xf numFmtId="3" fontId="47" fillId="0" borderId="64" xfId="0" applyNumberFormat="1" applyFont="1" applyBorder="1" applyAlignment="1">
      <alignment vertical="center"/>
    </xf>
    <xf numFmtId="0" fontId="47" fillId="0" borderId="95" xfId="0" applyFont="1" applyBorder="1" applyAlignment="1">
      <alignment vertical="center"/>
    </xf>
    <xf numFmtId="0" fontId="47" fillId="0" borderId="92" xfId="0" applyFont="1" applyBorder="1" applyAlignment="1">
      <alignment vertical="center"/>
    </xf>
    <xf numFmtId="4" fontId="47" fillId="29" borderId="108" xfId="0" applyNumberFormat="1" applyFont="1" applyFill="1" applyBorder="1" applyAlignment="1">
      <alignment vertical="center"/>
    </xf>
    <xf numFmtId="4" fontId="47" fillId="29" borderId="42" xfId="0" applyNumberFormat="1" applyFont="1" applyFill="1" applyBorder="1" applyAlignment="1">
      <alignment vertical="center"/>
    </xf>
    <xf numFmtId="4" fontId="47" fillId="29" borderId="68" xfId="0" applyNumberFormat="1" applyFont="1" applyFill="1" applyBorder="1" applyAlignment="1">
      <alignment horizontal="center" vertical="center"/>
    </xf>
    <xf numFmtId="4" fontId="47" fillId="36" borderId="93" xfId="0" applyNumberFormat="1" applyFont="1" applyFill="1" applyBorder="1" applyAlignment="1">
      <alignment vertical="center"/>
    </xf>
    <xf numFmtId="4" fontId="47" fillId="36" borderId="32" xfId="0" applyNumberFormat="1" applyFont="1" applyFill="1" applyBorder="1" applyAlignment="1">
      <alignment vertical="center"/>
    </xf>
    <xf numFmtId="10" fontId="47" fillId="36" borderId="88" xfId="0" applyNumberFormat="1" applyFont="1" applyFill="1" applyBorder="1" applyAlignment="1">
      <alignment vertical="center"/>
    </xf>
    <xf numFmtId="4" fontId="47" fillId="29" borderId="93" xfId="0" applyNumberFormat="1" applyFont="1" applyFill="1" applyBorder="1" applyAlignment="1">
      <alignment horizontal="center" vertical="center"/>
    </xf>
    <xf numFmtId="10" fontId="47" fillId="29" borderId="94" xfId="0" applyNumberFormat="1" applyFont="1" applyFill="1" applyBorder="1" applyAlignment="1">
      <alignment horizontal="center" vertical="center"/>
    </xf>
    <xf numFmtId="10" fontId="47" fillId="29" borderId="108" xfId="0" applyNumberFormat="1" applyFont="1" applyFill="1" applyBorder="1" applyAlignment="1">
      <alignment horizontal="center" vertical="center"/>
    </xf>
    <xf numFmtId="4" fontId="47" fillId="27" borderId="42" xfId="0" applyNumberFormat="1" applyFont="1" applyFill="1" applyBorder="1" applyAlignment="1">
      <alignment vertical="center"/>
    </xf>
    <xf numFmtId="4" fontId="47" fillId="27" borderId="13" xfId="0" applyNumberFormat="1" applyFont="1" applyFill="1" applyBorder="1" applyAlignment="1">
      <alignment vertical="center"/>
    </xf>
    <xf numFmtId="4" fontId="47" fillId="27" borderId="68" xfId="0" applyNumberFormat="1" applyFont="1" applyFill="1" applyBorder="1" applyAlignment="1">
      <alignment horizontal="center" vertical="center"/>
    </xf>
    <xf numFmtId="4" fontId="47" fillId="37" borderId="42" xfId="0" applyNumberFormat="1" applyFont="1" applyFill="1" applyBorder="1" applyAlignment="1">
      <alignment vertical="center"/>
    </xf>
    <xf numFmtId="4" fontId="47" fillId="37" borderId="43" xfId="0" applyNumberFormat="1" applyFont="1" applyFill="1" applyBorder="1" applyAlignment="1">
      <alignment vertical="center"/>
    </xf>
    <xf numFmtId="4" fontId="47" fillId="27" borderId="93" xfId="0" applyNumberFormat="1" applyFont="1" applyFill="1" applyBorder="1" applyAlignment="1">
      <alignment horizontal="center" vertical="center"/>
    </xf>
    <xf numFmtId="4" fontId="47" fillId="27" borderId="103" xfId="0" applyNumberFormat="1" applyFont="1" applyFill="1" applyBorder="1" applyAlignment="1">
      <alignment horizontal="center" vertical="center"/>
    </xf>
    <xf numFmtId="4" fontId="47" fillId="28" borderId="42" xfId="0" applyNumberFormat="1" applyFont="1" applyFill="1" applyBorder="1" applyAlignment="1">
      <alignment vertical="center"/>
    </xf>
    <xf numFmtId="4" fontId="47" fillId="36" borderId="42" xfId="0" applyNumberFormat="1" applyFont="1" applyFill="1" applyBorder="1" applyAlignment="1">
      <alignment vertical="center"/>
    </xf>
    <xf numFmtId="4" fontId="47" fillId="36" borderId="13" xfId="0" applyNumberFormat="1" applyFont="1" applyFill="1" applyBorder="1" applyAlignment="1">
      <alignment vertical="center"/>
    </xf>
    <xf numFmtId="10" fontId="47" fillId="36" borderId="68" xfId="0" applyNumberFormat="1" applyFont="1" applyFill="1" applyBorder="1" applyAlignment="1">
      <alignment vertical="center"/>
    </xf>
    <xf numFmtId="4" fontId="47" fillId="28" borderId="42" xfId="0" applyNumberFormat="1" applyFont="1" applyFill="1" applyBorder="1" applyAlignment="1">
      <alignment horizontal="center" vertical="center"/>
    </xf>
    <xf numFmtId="4" fontId="47" fillId="28" borderId="13" xfId="0" applyNumberFormat="1" applyFont="1" applyFill="1" applyBorder="1" applyAlignment="1">
      <alignment horizontal="center" vertical="center"/>
    </xf>
    <xf numFmtId="10" fontId="47" fillId="28" borderId="73" xfId="0" applyNumberFormat="1" applyFont="1" applyFill="1" applyBorder="1" applyAlignment="1">
      <alignment vertical="center"/>
    </xf>
    <xf numFmtId="10" fontId="47" fillId="28" borderId="109" xfId="0" applyNumberFormat="1" applyFont="1" applyFill="1" applyBorder="1" applyAlignment="1">
      <alignment vertical="center"/>
    </xf>
    <xf numFmtId="4" fontId="46" fillId="27" borderId="13" xfId="0" applyNumberFormat="1" applyFont="1" applyFill="1" applyBorder="1" applyAlignment="1">
      <alignment vertical="center"/>
    </xf>
    <xf numFmtId="0" fontId="46" fillId="0" borderId="67" xfId="0" applyFont="1" applyFill="1" applyBorder="1" applyAlignment="1">
      <alignment horizontal="center" vertical="center"/>
    </xf>
    <xf numFmtId="0" fontId="46" fillId="0" borderId="91" xfId="0" applyFont="1" applyFill="1" applyBorder="1" applyAlignment="1">
      <alignment vertical="center"/>
    </xf>
    <xf numFmtId="4" fontId="46" fillId="29" borderId="64" xfId="0" applyNumberFormat="1" applyFont="1" applyFill="1" applyBorder="1" applyAlignment="1">
      <alignment vertical="center"/>
    </xf>
    <xf numFmtId="10" fontId="46" fillId="29" borderId="94" xfId="0" applyNumberFormat="1" applyFont="1" applyFill="1" applyBorder="1" applyAlignment="1">
      <alignment vertical="center"/>
    </xf>
    <xf numFmtId="10" fontId="46" fillId="29" borderId="108" xfId="0" applyNumberFormat="1" applyFont="1" applyFill="1" applyBorder="1" applyAlignment="1">
      <alignment vertical="center"/>
    </xf>
    <xf numFmtId="4" fontId="46" fillId="27" borderId="67" xfId="0" applyNumberFormat="1" applyFont="1" applyFill="1" applyBorder="1" applyAlignment="1">
      <alignment vertical="center"/>
    </xf>
    <xf numFmtId="4" fontId="46" fillId="27" borderId="91" xfId="0" applyNumberFormat="1" applyFont="1" applyFill="1" applyBorder="1" applyAlignment="1">
      <alignment vertical="center"/>
    </xf>
    <xf numFmtId="4" fontId="46" fillId="28" borderId="13" xfId="0" applyNumberFormat="1" applyFont="1" applyFill="1" applyBorder="1" applyAlignment="1">
      <alignment vertical="center"/>
    </xf>
    <xf numFmtId="0" fontId="46" fillId="0" borderId="91" xfId="0" applyFont="1" applyFill="1" applyBorder="1" applyAlignment="1">
      <alignment vertical="center" wrapText="1"/>
    </xf>
    <xf numFmtId="0" fontId="46" fillId="0" borderId="71" xfId="0" applyFont="1" applyFill="1" applyBorder="1" applyAlignment="1">
      <alignment horizontal="center" vertical="center"/>
    </xf>
    <xf numFmtId="0" fontId="46" fillId="0" borderId="118" xfId="0" applyFont="1" applyFill="1" applyBorder="1" applyAlignment="1">
      <alignment vertical="center" wrapText="1"/>
    </xf>
    <xf numFmtId="0" fontId="46" fillId="0" borderId="111" xfId="0" applyFont="1" applyBorder="1" applyAlignment="1">
      <alignment horizontal="center" vertical="center"/>
    </xf>
    <xf numFmtId="0" fontId="46" fillId="0" borderId="96" xfId="0" applyFont="1" applyFill="1" applyBorder="1" applyAlignment="1">
      <alignment vertical="center" wrapText="1"/>
    </xf>
    <xf numFmtId="0" fontId="46" fillId="0" borderId="35" xfId="0" applyFont="1" applyBorder="1" applyAlignment="1">
      <alignment vertical="center"/>
    </xf>
    <xf numFmtId="0" fontId="46" fillId="0" borderId="33" xfId="0" applyFont="1" applyBorder="1" applyAlignment="1">
      <alignment vertical="center"/>
    </xf>
    <xf numFmtId="3" fontId="46" fillId="0" borderId="33" xfId="0" applyNumberFormat="1" applyFont="1" applyBorder="1" applyAlignment="1">
      <alignment vertical="center"/>
    </xf>
    <xf numFmtId="0" fontId="46" fillId="0" borderId="96" xfId="0" applyFont="1" applyBorder="1" applyAlignment="1">
      <alignment vertical="center"/>
    </xf>
    <xf numFmtId="0" fontId="46" fillId="0" borderId="127" xfId="0" applyFont="1" applyBorder="1" applyAlignment="1">
      <alignment vertical="center"/>
    </xf>
    <xf numFmtId="4" fontId="46" fillId="29" borderId="37" xfId="0" applyNumberFormat="1" applyFont="1" applyFill="1" applyBorder="1" applyAlignment="1">
      <alignment vertical="center"/>
    </xf>
    <xf numFmtId="4" fontId="46" fillId="29" borderId="35" xfId="0" applyNumberFormat="1" applyFont="1" applyFill="1" applyBorder="1" applyAlignment="1">
      <alignment vertical="center"/>
    </xf>
    <xf numFmtId="4" fontId="46" fillId="36" borderId="99" xfId="0" applyNumberFormat="1" applyFont="1" applyFill="1" applyBorder="1" applyAlignment="1">
      <alignment horizontal="center" vertical="center"/>
    </xf>
    <xf numFmtId="4" fontId="46" fillId="36" borderId="40" xfId="0" applyNumberFormat="1" applyFont="1" applyFill="1" applyBorder="1" applyAlignment="1">
      <alignment horizontal="center" vertical="center"/>
    </xf>
    <xf numFmtId="10" fontId="46" fillId="36" borderId="38" xfId="0" applyNumberFormat="1" applyFont="1" applyFill="1" applyBorder="1" applyAlignment="1">
      <alignment vertical="center"/>
    </xf>
    <xf numFmtId="4" fontId="46" fillId="29" borderId="111" xfId="0" applyNumberFormat="1" applyFont="1" applyFill="1" applyBorder="1" applyAlignment="1">
      <alignment vertical="center"/>
    </xf>
    <xf numFmtId="4" fontId="46" fillId="29" borderId="33" xfId="0" applyNumberFormat="1" applyFont="1" applyFill="1" applyBorder="1" applyAlignment="1">
      <alignment vertical="center"/>
    </xf>
    <xf numFmtId="10" fontId="46" fillId="29" borderId="97" xfId="0" applyNumberFormat="1" applyFont="1" applyFill="1" applyBorder="1" applyAlignment="1">
      <alignment vertical="center"/>
    </xf>
    <xf numFmtId="10" fontId="46" fillId="29" borderId="37" xfId="0" applyNumberFormat="1" applyFont="1" applyFill="1" applyBorder="1" applyAlignment="1">
      <alignment vertical="center"/>
    </xf>
    <xf numFmtId="4" fontId="46" fillId="27" borderId="35" xfId="0" applyNumberFormat="1" applyFont="1" applyFill="1" applyBorder="1" applyAlignment="1">
      <alignment vertical="center"/>
    </xf>
    <xf numFmtId="4" fontId="46" fillId="27" borderId="33" xfId="0" applyNumberFormat="1" applyFont="1" applyFill="1" applyBorder="1" applyAlignment="1">
      <alignment vertical="center"/>
    </xf>
    <xf numFmtId="4" fontId="46" fillId="27" borderId="36" xfId="0" applyNumberFormat="1" applyFont="1" applyFill="1" applyBorder="1" applyAlignment="1">
      <alignment horizontal="center" vertical="center"/>
    </xf>
    <xf numFmtId="4" fontId="46" fillId="37" borderId="35" xfId="0" applyNumberFormat="1" applyFont="1" applyFill="1" applyBorder="1" applyAlignment="1">
      <alignment horizontal="center" vertical="center"/>
    </xf>
    <xf numFmtId="4" fontId="46" fillId="37" borderId="97" xfId="0" applyNumberFormat="1" applyFont="1" applyFill="1" applyBorder="1" applyAlignment="1">
      <alignment horizontal="center" vertical="center"/>
    </xf>
    <xf numFmtId="4" fontId="46" fillId="27" borderId="111" xfId="0" applyNumberFormat="1" applyFont="1" applyFill="1" applyBorder="1" applyAlignment="1">
      <alignment vertical="center"/>
    </xf>
    <xf numFmtId="4" fontId="46" fillId="27" borderId="96" xfId="0" applyNumberFormat="1" applyFont="1" applyFill="1" applyBorder="1" applyAlignment="1">
      <alignment vertical="center"/>
    </xf>
    <xf numFmtId="4" fontId="46" fillId="28" borderId="35" xfId="0" applyNumberFormat="1" applyFont="1" applyFill="1" applyBorder="1" applyAlignment="1">
      <alignment vertical="center"/>
    </xf>
    <xf numFmtId="10" fontId="46" fillId="36" borderId="36" xfId="0" applyNumberFormat="1" applyFont="1" applyFill="1" applyBorder="1" applyAlignment="1">
      <alignment vertical="center"/>
    </xf>
    <xf numFmtId="4" fontId="46" fillId="28" borderId="33" xfId="0" applyNumberFormat="1" applyFont="1" applyFill="1" applyBorder="1" applyAlignment="1">
      <alignment vertical="center"/>
    </xf>
    <xf numFmtId="10" fontId="46" fillId="28" borderId="97" xfId="0" applyNumberFormat="1" applyFont="1" applyFill="1" applyBorder="1" applyAlignment="1">
      <alignment vertical="center"/>
    </xf>
    <xf numFmtId="10" fontId="46" fillId="28" borderId="37" xfId="0" applyNumberFormat="1" applyFont="1" applyFill="1" applyBorder="1" applyAlignment="1">
      <alignment vertical="center"/>
    </xf>
    <xf numFmtId="4" fontId="46" fillId="0" borderId="28" xfId="0" applyNumberFormat="1" applyFont="1" applyFill="1" applyBorder="1"/>
    <xf numFmtId="4" fontId="46" fillId="0" borderId="0" xfId="0" applyNumberFormat="1" applyFont="1" applyFill="1" applyBorder="1"/>
    <xf numFmtId="10" fontId="46" fillId="0" borderId="0" xfId="0" applyNumberFormat="1" applyFont="1" applyFill="1" applyBorder="1"/>
    <xf numFmtId="10" fontId="46" fillId="0" borderId="28" xfId="0" applyNumberFormat="1" applyFont="1" applyFill="1" applyBorder="1"/>
    <xf numFmtId="10" fontId="46" fillId="0" borderId="90" xfId="0" applyNumberFormat="1" applyFont="1" applyFill="1" applyBorder="1"/>
    <xf numFmtId="0" fontId="46" fillId="0" borderId="34" xfId="0" applyFont="1" applyBorder="1"/>
    <xf numFmtId="0" fontId="46" fillId="0" borderId="115" xfId="0" applyFont="1" applyBorder="1"/>
    <xf numFmtId="4" fontId="46" fillId="29" borderId="128" xfId="0" applyNumberFormat="1" applyFont="1" applyFill="1" applyBorder="1"/>
    <xf numFmtId="4" fontId="46" fillId="29" borderId="105" xfId="0" applyNumberFormat="1" applyFont="1" applyFill="1" applyBorder="1" applyAlignment="1">
      <alignment vertical="center"/>
    </xf>
    <xf numFmtId="4" fontId="46" fillId="29" borderId="94" xfId="0" applyNumberFormat="1" applyFont="1" applyFill="1" applyBorder="1" applyAlignment="1">
      <alignment horizontal="center"/>
    </xf>
    <xf numFmtId="4" fontId="46" fillId="36" borderId="61" xfId="0" applyNumberFormat="1" applyFont="1" applyFill="1" applyBorder="1" applyAlignment="1">
      <alignment horizontal="center" vertical="center"/>
    </xf>
    <xf numFmtId="4" fontId="46" fillId="36" borderId="34" xfId="0" applyNumberFormat="1" applyFont="1" applyFill="1" applyBorder="1" applyAlignment="1">
      <alignment horizontal="center" vertical="center"/>
    </xf>
    <xf numFmtId="4" fontId="46" fillId="36" borderId="63" xfId="0" applyNumberFormat="1" applyFont="1" applyFill="1" applyBorder="1" applyAlignment="1">
      <alignment horizontal="center" vertical="center"/>
    </xf>
    <xf numFmtId="4" fontId="46" fillId="29" borderId="34" xfId="0" applyNumberFormat="1" applyFont="1" applyFill="1" applyBorder="1" applyAlignment="1">
      <alignment vertical="center"/>
    </xf>
    <xf numFmtId="10" fontId="46" fillId="29" borderId="63" xfId="0" applyNumberFormat="1" applyFont="1" applyFill="1" applyBorder="1" applyAlignment="1">
      <alignment vertical="center"/>
    </xf>
    <xf numFmtId="4" fontId="46" fillId="27" borderId="105" xfId="0" applyNumberFormat="1" applyFont="1" applyFill="1" applyBorder="1" applyAlignment="1">
      <alignment vertical="center"/>
    </xf>
    <xf numFmtId="4" fontId="46" fillId="27" borderId="88" xfId="0" applyNumberFormat="1" applyFont="1" applyFill="1" applyBorder="1" applyAlignment="1">
      <alignment horizontal="center"/>
    </xf>
    <xf numFmtId="4" fontId="46" fillId="37" borderId="61" xfId="0" applyNumberFormat="1" applyFont="1" applyFill="1" applyBorder="1" applyAlignment="1">
      <alignment horizontal="center" vertical="center"/>
    </xf>
    <xf numFmtId="4" fontId="46" fillId="37" borderId="105" xfId="0" applyNumberFormat="1" applyFont="1" applyFill="1" applyBorder="1" applyAlignment="1">
      <alignment horizontal="center" vertical="center"/>
    </xf>
    <xf numFmtId="4" fontId="46" fillId="37" borderId="63" xfId="0" applyNumberFormat="1" applyFont="1" applyFill="1" applyBorder="1" applyAlignment="1">
      <alignment horizontal="center" vertical="center"/>
    </xf>
    <xf numFmtId="4" fontId="46" fillId="29" borderId="63" xfId="0" applyNumberFormat="1" applyFont="1" applyFill="1" applyBorder="1" applyAlignment="1">
      <alignment horizontal="center" vertical="center"/>
    </xf>
    <xf numFmtId="0" fontId="46" fillId="0" borderId="127" xfId="0" applyFont="1" applyBorder="1"/>
    <xf numFmtId="4" fontId="46" fillId="29" borderId="112" xfId="0" applyNumberFormat="1" applyFont="1" applyFill="1" applyBorder="1"/>
    <xf numFmtId="4" fontId="46" fillId="29" borderId="40" xfId="0" applyNumberFormat="1" applyFont="1" applyFill="1" applyBorder="1" applyAlignment="1">
      <alignment vertical="center"/>
    </xf>
    <xf numFmtId="4" fontId="46" fillId="29" borderId="97" xfId="0" applyNumberFormat="1" applyFont="1" applyFill="1" applyBorder="1" applyAlignment="1">
      <alignment horizontal="center" vertical="center"/>
    </xf>
    <xf numFmtId="4" fontId="46" fillId="36" borderId="111" xfId="0" applyNumberFormat="1" applyFont="1" applyFill="1" applyBorder="1" applyAlignment="1">
      <alignment horizontal="center" vertical="center"/>
    </xf>
    <xf numFmtId="4" fontId="46" fillId="36" borderId="33" xfId="0" applyNumberFormat="1" applyFont="1" applyFill="1" applyBorder="1" applyAlignment="1">
      <alignment horizontal="center" vertical="center"/>
    </xf>
    <xf numFmtId="4" fontId="46" fillId="36" borderId="36" xfId="0" applyNumberFormat="1" applyFont="1" applyFill="1" applyBorder="1" applyAlignment="1">
      <alignment horizontal="center" vertical="center"/>
    </xf>
    <xf numFmtId="4" fontId="46" fillId="29" borderId="98" xfId="0" applyNumberFormat="1" applyFont="1" applyFill="1" applyBorder="1" applyAlignment="1">
      <alignment vertical="center"/>
    </xf>
    <xf numFmtId="10" fontId="46" fillId="29" borderId="88" xfId="0" applyNumberFormat="1" applyFont="1" applyFill="1" applyBorder="1" applyAlignment="1">
      <alignment vertical="center"/>
    </xf>
    <xf numFmtId="4" fontId="46" fillId="27" borderId="40" xfId="0" applyNumberFormat="1" applyFont="1" applyFill="1" applyBorder="1" applyAlignment="1">
      <alignment vertical="center"/>
    </xf>
    <xf numFmtId="4" fontId="46" fillId="37" borderId="40" xfId="0" applyNumberFormat="1" applyFont="1" applyFill="1" applyBorder="1" applyAlignment="1">
      <alignment horizontal="center" vertical="center"/>
    </xf>
    <xf numFmtId="4" fontId="46" fillId="37" borderId="38" xfId="0" applyNumberFormat="1" applyFont="1" applyFill="1" applyBorder="1" applyAlignment="1">
      <alignment horizontal="center" vertical="center"/>
    </xf>
    <xf numFmtId="4" fontId="46" fillId="29" borderId="38" xfId="0" applyNumberFormat="1" applyFont="1" applyFill="1" applyBorder="1" applyAlignment="1">
      <alignment horizontal="center" vertical="center"/>
    </xf>
    <xf numFmtId="0" fontId="47" fillId="0" borderId="90" xfId="0" applyFont="1" applyBorder="1" applyAlignment="1">
      <alignment vertical="center"/>
    </xf>
    <xf numFmtId="4" fontId="47" fillId="0" borderId="14" xfId="0" applyNumberFormat="1" applyFont="1" applyFill="1" applyBorder="1" applyAlignment="1">
      <alignment horizontal="center" vertical="center"/>
    </xf>
    <xf numFmtId="4" fontId="47" fillId="0" borderId="28" xfId="0" applyNumberFormat="1" applyFont="1" applyFill="1" applyBorder="1" applyAlignment="1">
      <alignment horizontal="center" vertical="center"/>
    </xf>
    <xf numFmtId="0" fontId="47" fillId="0" borderId="0" xfId="0" applyFont="1" applyBorder="1" applyAlignment="1">
      <alignment horizontal="center" vertical="center" wrapText="1"/>
    </xf>
    <xf numFmtId="0" fontId="47" fillId="0" borderId="0" xfId="0" applyFont="1" applyBorder="1" applyAlignment="1">
      <alignment horizontal="center" vertical="center"/>
    </xf>
    <xf numFmtId="0" fontId="47" fillId="0" borderId="89" xfId="0" applyFont="1" applyBorder="1" applyAlignment="1">
      <alignment vertical="center" wrapText="1"/>
    </xf>
    <xf numFmtId="0" fontId="46" fillId="0" borderId="14" xfId="0" applyFont="1" applyBorder="1"/>
    <xf numFmtId="4" fontId="46" fillId="0" borderId="62" xfId="0" applyNumberFormat="1" applyFont="1" applyFill="1" applyBorder="1"/>
    <xf numFmtId="10" fontId="46" fillId="0" borderId="62" xfId="0" applyNumberFormat="1" applyFont="1" applyFill="1" applyBorder="1"/>
    <xf numFmtId="10" fontId="46" fillId="0" borderId="119" xfId="0" applyNumberFormat="1" applyFont="1" applyFill="1" applyBorder="1"/>
    <xf numFmtId="0" fontId="47" fillId="0" borderId="47" xfId="0" applyFont="1" applyBorder="1" applyAlignment="1">
      <alignment horizontal="center" vertical="center"/>
    </xf>
    <xf numFmtId="0" fontId="47" fillId="0" borderId="124" xfId="0" applyFont="1" applyBorder="1" applyAlignment="1">
      <alignment vertical="center" wrapText="1"/>
    </xf>
    <xf numFmtId="0" fontId="46" fillId="0" borderId="39" xfId="0" applyFont="1" applyBorder="1" applyAlignment="1">
      <alignment vertical="center"/>
    </xf>
    <xf numFmtId="0" fontId="46" fillId="0" borderId="48" xfId="0" applyFont="1" applyBorder="1" applyAlignment="1">
      <alignment vertical="center"/>
    </xf>
    <xf numFmtId="3" fontId="46" fillId="0" borderId="48" xfId="0" applyNumberFormat="1" applyFont="1" applyBorder="1" applyAlignment="1">
      <alignment vertical="center"/>
    </xf>
    <xf numFmtId="0" fontId="46" fillId="0" borderId="14" xfId="0" applyFont="1" applyBorder="1" applyAlignment="1">
      <alignment vertical="center"/>
    </xf>
    <xf numFmtId="0" fontId="46" fillId="0" borderId="15" xfId="0" applyFont="1" applyBorder="1" applyAlignment="1">
      <alignment vertical="center"/>
    </xf>
    <xf numFmtId="4" fontId="46" fillId="29" borderId="126" xfId="0" applyNumberFormat="1" applyFont="1" applyFill="1" applyBorder="1" applyAlignment="1">
      <alignment vertical="center"/>
    </xf>
    <xf numFmtId="4" fontId="46" fillId="36" borderId="47" xfId="0" applyNumberFormat="1" applyFont="1" applyFill="1" applyBorder="1" applyAlignment="1">
      <alignment vertical="center"/>
    </xf>
    <xf numFmtId="4" fontId="46" fillId="36" borderId="39" xfId="0" applyNumberFormat="1" applyFont="1" applyFill="1" applyBorder="1" applyAlignment="1">
      <alignment vertical="center"/>
    </xf>
    <xf numFmtId="4" fontId="46" fillId="36" borderId="48" xfId="0" applyNumberFormat="1" applyFont="1" applyFill="1" applyBorder="1" applyAlignment="1">
      <alignment vertical="center"/>
    </xf>
    <xf numFmtId="10" fontId="46" fillId="36" borderId="125" xfId="0" applyNumberFormat="1" applyFont="1" applyFill="1" applyBorder="1" applyAlignment="1">
      <alignment vertical="center"/>
    </xf>
    <xf numFmtId="4" fontId="46" fillId="29" borderId="39" xfId="0" applyNumberFormat="1" applyFont="1" applyFill="1" applyBorder="1" applyAlignment="1">
      <alignment vertical="center"/>
    </xf>
    <xf numFmtId="10" fontId="46" fillId="29" borderId="125" xfId="0" applyNumberFormat="1" applyFont="1" applyFill="1" applyBorder="1" applyAlignment="1">
      <alignment vertical="center"/>
    </xf>
    <xf numFmtId="10" fontId="46" fillId="29" borderId="126" xfId="0" applyNumberFormat="1" applyFont="1" applyFill="1" applyBorder="1" applyAlignment="1">
      <alignment vertical="center"/>
    </xf>
    <xf numFmtId="4" fontId="46" fillId="27" borderId="39" xfId="0" applyNumberFormat="1" applyFont="1" applyFill="1" applyBorder="1" applyAlignment="1">
      <alignment horizontal="center" vertical="center"/>
    </xf>
    <xf numFmtId="4" fontId="46" fillId="27" borderId="125" xfId="0" applyNumberFormat="1" applyFont="1" applyFill="1" applyBorder="1" applyAlignment="1">
      <alignment horizontal="center" vertical="center"/>
    </xf>
    <xf numFmtId="4" fontId="46" fillId="37" borderId="47" xfId="0" applyNumberFormat="1" applyFont="1" applyFill="1" applyBorder="1" applyAlignment="1">
      <alignment vertical="center"/>
    </xf>
    <xf numFmtId="4" fontId="46" fillId="37" borderId="88" xfId="0" applyNumberFormat="1" applyFont="1" applyFill="1" applyBorder="1" applyAlignment="1">
      <alignment vertical="center"/>
    </xf>
    <xf numFmtId="4" fontId="46" fillId="27" borderId="47" xfId="0" applyNumberFormat="1" applyFont="1" applyFill="1" applyBorder="1" applyAlignment="1">
      <alignment vertical="center"/>
    </xf>
    <xf numFmtId="4" fontId="46" fillId="29" borderId="50" xfId="0" applyNumberFormat="1" applyFont="1" applyFill="1" applyBorder="1" applyAlignment="1">
      <alignment horizontal="center" vertical="center"/>
    </xf>
    <xf numFmtId="4" fontId="46" fillId="28" borderId="39" xfId="0" applyNumberFormat="1" applyFont="1" applyFill="1" applyBorder="1" applyAlignment="1">
      <alignment vertical="center"/>
    </xf>
    <xf numFmtId="4" fontId="46" fillId="28" borderId="48" xfId="0" applyNumberFormat="1" applyFont="1" applyFill="1" applyBorder="1" applyAlignment="1">
      <alignment vertical="center"/>
    </xf>
    <xf numFmtId="10" fontId="46" fillId="28" borderId="50" xfId="0" applyNumberFormat="1" applyFont="1" applyFill="1" applyBorder="1" applyAlignment="1">
      <alignment vertical="center"/>
    </xf>
    <xf numFmtId="10" fontId="46" fillId="28" borderId="126" xfId="0" applyNumberFormat="1" applyFont="1" applyFill="1" applyBorder="1" applyAlignment="1">
      <alignment vertical="center"/>
    </xf>
    <xf numFmtId="4" fontId="46" fillId="0" borderId="61" xfId="0" applyNumberFormat="1" applyFont="1" applyBorder="1" applyAlignment="1">
      <alignment horizontal="center" vertical="center"/>
    </xf>
    <xf numFmtId="4" fontId="46" fillId="0" borderId="124" xfId="0" applyNumberFormat="1" applyFont="1" applyBorder="1" applyAlignment="1">
      <alignment vertical="center"/>
    </xf>
    <xf numFmtId="0" fontId="46" fillId="0" borderId="105" xfId="0" applyFont="1" applyBorder="1" applyAlignment="1">
      <alignment vertical="center"/>
    </xf>
    <xf numFmtId="4" fontId="46" fillId="0" borderId="34" xfId="0" applyNumberFormat="1" applyFont="1" applyBorder="1" applyAlignment="1">
      <alignment vertical="center"/>
    </xf>
    <xf numFmtId="3" fontId="46" fillId="0" borderId="34" xfId="0" applyNumberFormat="1" applyFont="1" applyBorder="1" applyAlignment="1">
      <alignment vertical="center"/>
    </xf>
    <xf numFmtId="0" fontId="46" fillId="0" borderId="106" xfId="0" applyFont="1" applyBorder="1" applyAlignment="1">
      <alignment vertical="center"/>
    </xf>
    <xf numFmtId="0" fontId="46" fillId="0" borderId="115" xfId="0" applyFont="1" applyBorder="1" applyAlignment="1">
      <alignment vertical="center"/>
    </xf>
    <xf numFmtId="4" fontId="46" fillId="29" borderId="128" xfId="0" applyNumberFormat="1" applyFont="1" applyFill="1" applyBorder="1" applyAlignment="1">
      <alignment vertical="center"/>
    </xf>
    <xf numFmtId="10" fontId="46" fillId="29" borderId="104" xfId="0" applyNumberFormat="1" applyFont="1" applyFill="1" applyBorder="1" applyAlignment="1">
      <alignment vertical="center"/>
    </xf>
    <xf numFmtId="4" fontId="46" fillId="27" borderId="48" xfId="0" applyNumberFormat="1" applyFont="1" applyFill="1" applyBorder="1" applyAlignment="1">
      <alignment horizontal="center" vertical="center"/>
    </xf>
    <xf numFmtId="4" fontId="46" fillId="37" borderId="34" xfId="0" applyNumberFormat="1" applyFont="1" applyFill="1" applyBorder="1" applyAlignment="1">
      <alignment vertical="center"/>
    </xf>
    <xf numFmtId="4" fontId="46" fillId="37" borderId="63" xfId="0" applyNumberFormat="1" applyFont="1" applyFill="1" applyBorder="1" applyAlignment="1">
      <alignment vertical="center"/>
    </xf>
    <xf numFmtId="4" fontId="47" fillId="0" borderId="101" xfId="0" applyNumberFormat="1" applyFont="1" applyBorder="1" applyAlignment="1">
      <alignment vertical="center" wrapText="1"/>
    </xf>
    <xf numFmtId="0" fontId="46" fillId="0" borderId="14" xfId="0" applyFont="1" applyFill="1" applyBorder="1"/>
    <xf numFmtId="0" fontId="46" fillId="0" borderId="101" xfId="0" applyFont="1" applyFill="1" applyBorder="1"/>
    <xf numFmtId="3" fontId="46" fillId="0" borderId="14" xfId="0" applyNumberFormat="1" applyFont="1" applyBorder="1"/>
    <xf numFmtId="0" fontId="46" fillId="0" borderId="101" xfId="0" applyFont="1" applyBorder="1"/>
    <xf numFmtId="0" fontId="47" fillId="0" borderId="47" xfId="0" applyFont="1" applyFill="1" applyBorder="1" applyAlignment="1">
      <alignment vertical="center"/>
    </xf>
    <xf numFmtId="0" fontId="47" fillId="0" borderId="124" xfId="0" applyFont="1" applyFill="1" applyBorder="1" applyAlignment="1">
      <alignment vertical="center"/>
    </xf>
    <xf numFmtId="4" fontId="46" fillId="29" borderId="47" xfId="0" applyNumberFormat="1" applyFont="1" applyFill="1" applyBorder="1" applyAlignment="1">
      <alignment horizontal="center" vertical="center"/>
    </xf>
    <xf numFmtId="10" fontId="46" fillId="29" borderId="50" xfId="0" applyNumberFormat="1" applyFont="1" applyFill="1" applyBorder="1" applyAlignment="1">
      <alignment horizontal="center" vertical="center"/>
    </xf>
    <xf numFmtId="4" fontId="46" fillId="27" borderId="47" xfId="0" applyNumberFormat="1" applyFont="1" applyFill="1" applyBorder="1" applyAlignment="1">
      <alignment horizontal="center" vertical="center"/>
    </xf>
    <xf numFmtId="4" fontId="46" fillId="27" borderId="101" xfId="0" applyNumberFormat="1" applyFont="1" applyFill="1" applyBorder="1" applyAlignment="1">
      <alignment horizontal="center" vertical="center"/>
    </xf>
    <xf numFmtId="4" fontId="46" fillId="28" borderId="48" xfId="0" applyNumberFormat="1" applyFont="1" applyFill="1" applyBorder="1" applyAlignment="1">
      <alignment horizontal="center" vertical="center"/>
    </xf>
    <xf numFmtId="10" fontId="46" fillId="28" borderId="125" xfId="0" applyNumberFormat="1" applyFont="1" applyFill="1" applyBorder="1" applyAlignment="1">
      <alignment vertical="center"/>
    </xf>
    <xf numFmtId="0" fontId="46" fillId="0" borderId="0" xfId="0" applyFont="1" applyFill="1" applyBorder="1"/>
    <xf numFmtId="0" fontId="46" fillId="0" borderId="89" xfId="0" applyFont="1" applyFill="1" applyBorder="1"/>
    <xf numFmtId="10" fontId="46" fillId="0" borderId="89" xfId="0" applyNumberFormat="1" applyFont="1" applyFill="1" applyBorder="1"/>
    <xf numFmtId="0" fontId="46" fillId="0" borderId="61" xfId="0" applyFont="1" applyFill="1" applyBorder="1" applyAlignment="1">
      <alignment horizontal="center" vertical="center" wrapText="1"/>
    </xf>
    <xf numFmtId="0" fontId="46" fillId="0" borderId="106" xfId="0" applyFont="1" applyFill="1" applyBorder="1" applyAlignment="1">
      <alignment vertical="center"/>
    </xf>
    <xf numFmtId="0" fontId="46" fillId="0" borderId="129" xfId="0" applyFont="1" applyBorder="1" applyAlignment="1">
      <alignment vertical="center"/>
    </xf>
    <xf numFmtId="4" fontId="46" fillId="29" borderId="104" xfId="0" applyNumberFormat="1" applyFont="1" applyFill="1" applyBorder="1" applyAlignment="1">
      <alignment vertical="center"/>
    </xf>
    <xf numFmtId="4" fontId="46" fillId="29" borderId="105" xfId="0" applyNumberFormat="1" applyFont="1" applyFill="1" applyBorder="1" applyAlignment="1">
      <alignment horizontal="center" vertical="center"/>
    </xf>
    <xf numFmtId="4" fontId="46" fillId="36" borderId="34" xfId="0" applyNumberFormat="1" applyFont="1" applyFill="1" applyBorder="1" applyAlignment="1">
      <alignment horizontal="right" vertical="center"/>
    </xf>
    <xf numFmtId="4" fontId="46" fillId="36" borderId="105" xfId="0" applyNumberFormat="1" applyFont="1" applyFill="1" applyBorder="1" applyAlignment="1">
      <alignment horizontal="right" vertical="center"/>
    </xf>
    <xf numFmtId="4" fontId="46" fillId="27" borderId="105" xfId="0" applyNumberFormat="1" applyFont="1" applyFill="1" applyBorder="1" applyAlignment="1">
      <alignment horizontal="center" vertical="center"/>
    </xf>
    <xf numFmtId="4" fontId="46" fillId="27" borderId="34" xfId="0" applyNumberFormat="1" applyFont="1" applyFill="1" applyBorder="1" applyAlignment="1">
      <alignment horizontal="center" vertical="center"/>
    </xf>
    <xf numFmtId="4" fontId="46" fillId="27" borderId="63" xfId="0" applyNumberFormat="1" applyFont="1" applyFill="1" applyBorder="1" applyAlignment="1">
      <alignment horizontal="center" vertical="center"/>
    </xf>
    <xf numFmtId="4" fontId="46" fillId="37" borderId="105" xfId="0" applyNumberFormat="1" applyFont="1" applyFill="1" applyBorder="1" applyAlignment="1">
      <alignment vertical="center"/>
    </xf>
    <xf numFmtId="4" fontId="46" fillId="37" borderId="123" xfId="0" applyNumberFormat="1" applyFont="1" applyFill="1" applyBorder="1" applyAlignment="1">
      <alignment vertical="center"/>
    </xf>
    <xf numFmtId="4" fontId="46" fillId="27" borderId="61" xfId="0" applyNumberFormat="1" applyFont="1" applyFill="1" applyBorder="1" applyAlignment="1">
      <alignment vertical="center"/>
    </xf>
    <xf numFmtId="4" fontId="46" fillId="27" borderId="34" xfId="0" applyNumberFormat="1" applyFont="1" applyFill="1" applyBorder="1" applyAlignment="1">
      <alignment vertical="center"/>
    </xf>
    <xf numFmtId="4" fontId="46" fillId="27" borderId="106" xfId="0" applyNumberFormat="1" applyFont="1" applyFill="1" applyBorder="1" applyAlignment="1">
      <alignment vertical="center"/>
    </xf>
    <xf numFmtId="4" fontId="46" fillId="29" borderId="123" xfId="0" applyNumberFormat="1" applyFont="1" applyFill="1" applyBorder="1" applyAlignment="1">
      <alignment horizontal="center" vertical="center"/>
    </xf>
    <xf numFmtId="4" fontId="46" fillId="28" borderId="34" xfId="0" applyNumberFormat="1" applyFont="1" applyFill="1" applyBorder="1" applyAlignment="1">
      <alignment vertical="center"/>
    </xf>
    <xf numFmtId="0" fontId="46" fillId="0" borderId="111" xfId="0" applyFont="1" applyFill="1" applyBorder="1" applyAlignment="1">
      <alignment horizontal="center" vertical="center" wrapText="1"/>
    </xf>
    <xf numFmtId="0" fontId="46" fillId="0" borderId="96" xfId="0" applyFont="1" applyFill="1" applyBorder="1" applyAlignment="1">
      <alignment vertical="center"/>
    </xf>
    <xf numFmtId="0" fontId="46" fillId="0" borderId="130" xfId="0" applyFont="1" applyBorder="1" applyAlignment="1">
      <alignment vertical="center"/>
    </xf>
    <xf numFmtId="4" fontId="46" fillId="36" borderId="40" xfId="0" applyNumberFormat="1" applyFont="1" applyFill="1" applyBorder="1" applyAlignment="1">
      <alignment vertical="center"/>
    </xf>
    <xf numFmtId="4" fontId="46" fillId="36" borderId="98" xfId="0" applyNumberFormat="1" applyFont="1" applyFill="1" applyBorder="1" applyAlignment="1">
      <alignment horizontal="right" vertical="center"/>
    </xf>
    <xf numFmtId="4" fontId="46" fillId="36" borderId="40" xfId="0" applyNumberFormat="1" applyFont="1" applyFill="1" applyBorder="1" applyAlignment="1">
      <alignment horizontal="right" vertical="center"/>
    </xf>
    <xf numFmtId="10" fontId="46" fillId="29" borderId="38" xfId="0" applyNumberFormat="1" applyFont="1" applyFill="1" applyBorder="1" applyAlignment="1">
      <alignment vertical="center"/>
    </xf>
    <xf numFmtId="10" fontId="46" fillId="29" borderId="113" xfId="0" applyNumberFormat="1" applyFont="1" applyFill="1" applyBorder="1" applyAlignment="1">
      <alignment vertical="center"/>
    </xf>
    <xf numFmtId="4" fontId="46" fillId="27" borderId="35" xfId="0" applyNumberFormat="1" applyFont="1" applyFill="1" applyBorder="1" applyAlignment="1">
      <alignment horizontal="center" vertical="center"/>
    </xf>
    <xf numFmtId="4" fontId="46" fillId="27" borderId="33" xfId="0" applyNumberFormat="1" applyFont="1" applyFill="1" applyBorder="1" applyAlignment="1">
      <alignment horizontal="center" vertical="center"/>
    </xf>
    <xf numFmtId="4" fontId="46" fillId="37" borderId="35" xfId="0" applyNumberFormat="1" applyFont="1" applyFill="1" applyBorder="1" applyAlignment="1">
      <alignment vertical="center"/>
    </xf>
    <xf numFmtId="4" fontId="46" fillId="37" borderId="33" xfId="0" applyNumberFormat="1" applyFont="1" applyFill="1" applyBorder="1" applyAlignment="1">
      <alignment vertical="center"/>
    </xf>
    <xf numFmtId="4" fontId="46" fillId="37" borderId="97" xfId="0" applyNumberFormat="1" applyFont="1" applyFill="1" applyBorder="1" applyAlignment="1">
      <alignment vertical="center"/>
    </xf>
    <xf numFmtId="4" fontId="46" fillId="36" borderId="111" xfId="0" applyNumberFormat="1" applyFont="1" applyFill="1" applyBorder="1" applyAlignment="1">
      <alignment vertical="center"/>
    </xf>
    <xf numFmtId="4" fontId="46" fillId="36" borderId="33" xfId="0" applyNumberFormat="1" applyFont="1" applyFill="1" applyBorder="1" applyAlignment="1">
      <alignment vertical="center"/>
    </xf>
    <xf numFmtId="0" fontId="46" fillId="0" borderId="14" xfId="0" applyFont="1" applyFill="1" applyBorder="1" applyAlignment="1">
      <alignment horizontal="left" vertical="center" textRotation="90"/>
    </xf>
    <xf numFmtId="0" fontId="47" fillId="0" borderId="90" xfId="0" applyFont="1" applyFill="1" applyBorder="1" applyAlignment="1">
      <alignment vertical="center"/>
    </xf>
    <xf numFmtId="4" fontId="46" fillId="36" borderId="34" xfId="0" applyNumberFormat="1" applyFont="1" applyFill="1" applyBorder="1" applyAlignment="1">
      <alignment horizontal="right"/>
    </xf>
    <xf numFmtId="4" fontId="46" fillId="36" borderId="105" xfId="0" applyNumberFormat="1" applyFont="1" applyFill="1" applyBorder="1" applyAlignment="1">
      <alignment horizontal="right"/>
    </xf>
    <xf numFmtId="4" fontId="46" fillId="29" borderId="64" xfId="0" applyNumberFormat="1" applyFont="1" applyFill="1" applyBorder="1" applyAlignment="1"/>
    <xf numFmtId="4" fontId="46" fillId="29" borderId="32" xfId="0" applyNumberFormat="1" applyFont="1" applyFill="1" applyBorder="1" applyAlignment="1"/>
    <xf numFmtId="4" fontId="46" fillId="27" borderId="129" xfId="0" applyNumberFormat="1" applyFont="1" applyFill="1" applyBorder="1" applyAlignment="1">
      <alignment horizontal="center" vertical="center"/>
    </xf>
    <xf numFmtId="4" fontId="46" fillId="27" borderId="115" xfId="0" applyNumberFormat="1" applyFont="1" applyFill="1" applyBorder="1" applyAlignment="1">
      <alignment horizontal="center" vertical="center"/>
    </xf>
    <xf numFmtId="0" fontId="46" fillId="0" borderId="131" xfId="0" applyFont="1" applyFill="1" applyBorder="1" applyAlignment="1">
      <alignment horizontal="center" vertical="center"/>
    </xf>
    <xf numFmtId="0" fontId="46" fillId="0" borderId="117" xfId="0" applyFont="1" applyFill="1" applyBorder="1" applyAlignment="1">
      <alignment vertical="center" wrapText="1"/>
    </xf>
    <xf numFmtId="0" fontId="46" fillId="0" borderId="54" xfId="0" applyFont="1" applyBorder="1" applyAlignment="1">
      <alignment vertical="center"/>
    </xf>
    <xf numFmtId="4" fontId="46" fillId="0" borderId="80" xfId="0" applyNumberFormat="1" applyFont="1" applyBorder="1" applyAlignment="1">
      <alignment vertical="center"/>
    </xf>
    <xf numFmtId="0" fontId="46" fillId="0" borderId="80" xfId="0" applyFont="1" applyBorder="1" applyAlignment="1">
      <alignment vertical="center"/>
    </xf>
    <xf numFmtId="3" fontId="46" fillId="0" borderId="80" xfId="0" applyNumberFormat="1" applyFont="1" applyBorder="1" applyAlignment="1">
      <alignment vertical="center"/>
    </xf>
    <xf numFmtId="0" fontId="46" fillId="0" borderId="117" xfId="0" applyFont="1" applyBorder="1" applyAlignment="1">
      <alignment vertical="center"/>
    </xf>
    <xf numFmtId="0" fontId="46" fillId="0" borderId="132" xfId="0" applyFont="1" applyBorder="1" applyAlignment="1">
      <alignment vertical="center"/>
    </xf>
    <xf numFmtId="4" fontId="46" fillId="29" borderId="133" xfId="0" applyNumberFormat="1" applyFont="1" applyFill="1" applyBorder="1" applyAlignment="1">
      <alignment vertical="center"/>
    </xf>
    <xf numFmtId="4" fontId="46" fillId="29" borderId="42" xfId="0" applyNumberFormat="1" applyFont="1" applyFill="1" applyBorder="1" applyAlignment="1">
      <alignment horizontal="center" vertical="center"/>
    </xf>
    <xf numFmtId="4" fontId="46" fillId="36" borderId="13" xfId="0" applyNumberFormat="1" applyFont="1" applyFill="1" applyBorder="1" applyAlignment="1">
      <alignment horizontal="right"/>
    </xf>
    <xf numFmtId="4" fontId="46" fillId="36" borderId="42" xfId="0" applyNumberFormat="1" applyFont="1" applyFill="1" applyBorder="1" applyAlignment="1">
      <alignment horizontal="right"/>
    </xf>
    <xf numFmtId="4" fontId="46" fillId="27" borderId="41" xfId="0" applyNumberFormat="1" applyFont="1" applyFill="1" applyBorder="1" applyAlignment="1">
      <alignment horizontal="center" vertical="center"/>
    </xf>
    <xf numFmtId="4" fontId="46" fillId="27" borderId="64" xfId="0" applyNumberFormat="1" applyFont="1" applyFill="1" applyBorder="1" applyAlignment="1">
      <alignment horizontal="center" vertical="center"/>
    </xf>
    <xf numFmtId="4" fontId="46" fillId="27" borderId="92" xfId="0" applyNumberFormat="1" applyFont="1" applyFill="1" applyBorder="1" applyAlignment="1">
      <alignment horizontal="center" vertical="center"/>
    </xf>
    <xf numFmtId="4" fontId="46" fillId="37" borderId="54" xfId="0" applyNumberFormat="1" applyFont="1" applyFill="1" applyBorder="1" applyAlignment="1">
      <alignment vertical="center"/>
    </xf>
    <xf numFmtId="4" fontId="46" fillId="37" borderId="80" xfId="0" applyNumberFormat="1" applyFont="1" applyFill="1" applyBorder="1" applyAlignment="1">
      <alignment vertical="center"/>
    </xf>
    <xf numFmtId="4" fontId="46" fillId="27" borderId="54" xfId="0" applyNumberFormat="1" applyFont="1" applyFill="1" applyBorder="1" applyAlignment="1">
      <alignment vertical="center"/>
    </xf>
    <xf numFmtId="4" fontId="46" fillId="27" borderId="80" xfId="0" applyNumberFormat="1" applyFont="1" applyFill="1" applyBorder="1" applyAlignment="1">
      <alignment vertical="center"/>
    </xf>
    <xf numFmtId="4" fontId="46" fillId="27" borderId="95" xfId="0" applyNumberFormat="1" applyFont="1" applyFill="1" applyBorder="1" applyAlignment="1">
      <alignment vertical="center"/>
    </xf>
    <xf numFmtId="0" fontId="46" fillId="0" borderId="111" xfId="0" applyFont="1" applyFill="1" applyBorder="1" applyAlignment="1">
      <alignment horizontal="center" vertical="center"/>
    </xf>
    <xf numFmtId="4" fontId="46" fillId="36" borderId="98" xfId="0" applyNumberFormat="1" applyFont="1" applyFill="1" applyBorder="1" applyAlignment="1">
      <alignment horizontal="right"/>
    </xf>
    <xf numFmtId="4" fontId="46" fillId="36" borderId="40" xfId="0" applyNumberFormat="1" applyFont="1" applyFill="1" applyBorder="1" applyAlignment="1">
      <alignment horizontal="right"/>
    </xf>
    <xf numFmtId="4" fontId="46" fillId="27" borderId="28" xfId="0" applyNumberFormat="1" applyFont="1" applyFill="1" applyBorder="1" applyAlignment="1">
      <alignment horizontal="center" vertical="center"/>
    </xf>
    <xf numFmtId="4" fontId="46" fillId="27" borderId="98" xfId="0" applyNumberFormat="1" applyFont="1" applyFill="1" applyBorder="1" applyAlignment="1">
      <alignment horizontal="center" vertical="center"/>
    </xf>
    <xf numFmtId="4" fontId="46" fillId="27" borderId="79" xfId="0" applyNumberFormat="1" applyFont="1" applyFill="1" applyBorder="1" applyAlignment="1">
      <alignment horizontal="center" vertical="center"/>
    </xf>
    <xf numFmtId="4" fontId="46" fillId="37" borderId="55" xfId="0" applyNumberFormat="1" applyFont="1" applyFill="1" applyBorder="1" applyAlignment="1">
      <alignment vertical="center"/>
    </xf>
    <xf numFmtId="4" fontId="46" fillId="37" borderId="52" xfId="0" applyNumberFormat="1" applyFont="1" applyFill="1" applyBorder="1" applyAlignment="1">
      <alignment vertical="center"/>
    </xf>
    <xf numFmtId="4" fontId="46" fillId="27" borderId="55" xfId="0" applyNumberFormat="1" applyFont="1" applyFill="1" applyBorder="1" applyAlignment="1">
      <alignment vertical="center"/>
    </xf>
    <xf numFmtId="4" fontId="46" fillId="27" borderId="52" xfId="0" applyNumberFormat="1" applyFont="1" applyFill="1" applyBorder="1" applyAlignment="1">
      <alignment vertical="center"/>
    </xf>
    <xf numFmtId="0" fontId="47" fillId="0" borderId="14" xfId="0" applyFont="1" applyFill="1" applyBorder="1" applyAlignment="1">
      <alignment horizontal="center" vertical="center"/>
    </xf>
    <xf numFmtId="0" fontId="47" fillId="0" borderId="101" xfId="0" applyFont="1" applyFill="1" applyBorder="1" applyAlignment="1">
      <alignment vertical="center" wrapText="1"/>
    </xf>
    <xf numFmtId="0" fontId="46" fillId="0" borderId="0" xfId="0" applyFont="1" applyFill="1" applyBorder="1" applyAlignment="1">
      <alignment horizontal="left" vertical="center" textRotation="90"/>
    </xf>
    <xf numFmtId="0" fontId="47" fillId="0" borderId="89" xfId="0" applyFont="1" applyFill="1" applyBorder="1" applyAlignment="1">
      <alignment vertical="center"/>
    </xf>
    <xf numFmtId="4" fontId="47" fillId="36" borderId="81" xfId="0" applyNumberFormat="1" applyFont="1" applyFill="1" applyBorder="1" applyAlignment="1">
      <alignment vertical="center"/>
    </xf>
    <xf numFmtId="4" fontId="47" fillId="0" borderId="15" xfId="0" applyNumberFormat="1" applyFont="1" applyFill="1" applyBorder="1" applyAlignment="1">
      <alignment vertical="center"/>
    </xf>
    <xf numFmtId="4" fontId="47" fillId="29" borderId="81" xfId="0" applyNumberFormat="1" applyFont="1" applyFill="1" applyBorder="1" applyAlignment="1">
      <alignment vertical="center"/>
    </xf>
    <xf numFmtId="10" fontId="47" fillId="0" borderId="119" xfId="0" applyNumberFormat="1" applyFont="1" applyFill="1" applyBorder="1" applyAlignment="1">
      <alignment vertical="center"/>
    </xf>
    <xf numFmtId="4" fontId="47" fillId="37" borderId="81" xfId="0" applyNumberFormat="1" applyFont="1" applyFill="1" applyBorder="1" applyAlignment="1">
      <alignment vertical="center"/>
    </xf>
    <xf numFmtId="4" fontId="47" fillId="27" borderId="81" xfId="0" applyNumberFormat="1" applyFont="1" applyFill="1" applyBorder="1" applyAlignment="1">
      <alignment vertical="center"/>
    </xf>
    <xf numFmtId="4" fontId="47" fillId="27" borderId="126" xfId="0" applyNumberFormat="1" applyFont="1" applyFill="1" applyBorder="1" applyAlignment="1">
      <alignment vertical="center"/>
    </xf>
    <xf numFmtId="10" fontId="47" fillId="0" borderId="15" xfId="0" applyNumberFormat="1" applyFont="1" applyFill="1" applyBorder="1" applyAlignment="1">
      <alignment vertical="center"/>
    </xf>
    <xf numFmtId="4" fontId="47" fillId="0" borderId="101" xfId="0" applyNumberFormat="1" applyFont="1" applyFill="1" applyBorder="1" applyAlignment="1">
      <alignment vertical="center"/>
    </xf>
    <xf numFmtId="4" fontId="46" fillId="28" borderId="135" xfId="0" applyNumberFormat="1" applyFont="1" applyFill="1" applyBorder="1"/>
    <xf numFmtId="10" fontId="46" fillId="36" borderId="123" xfId="0" applyNumberFormat="1" applyFont="1" applyFill="1" applyBorder="1"/>
    <xf numFmtId="4" fontId="46" fillId="28" borderId="136" xfId="0" applyNumberFormat="1" applyFont="1" applyFill="1" applyBorder="1"/>
    <xf numFmtId="10" fontId="46" fillId="36" borderId="73" xfId="0" applyNumberFormat="1" applyFont="1" applyFill="1" applyBorder="1"/>
    <xf numFmtId="4" fontId="65" fillId="35" borderId="96" xfId="1" applyNumberFormat="1" applyFont="1" applyFill="1" applyBorder="1" applyAlignment="1">
      <alignment vertical="center"/>
    </xf>
    <xf numFmtId="4" fontId="46" fillId="28" borderId="137" xfId="0" applyNumberFormat="1" applyFont="1" applyFill="1" applyBorder="1"/>
    <xf numFmtId="10" fontId="46" fillId="36" borderId="97" xfId="0" applyNumberFormat="1" applyFont="1" applyFill="1" applyBorder="1"/>
    <xf numFmtId="10" fontId="46" fillId="28" borderId="112" xfId="0" applyNumberFormat="1" applyFont="1" applyFill="1" applyBorder="1"/>
    <xf numFmtId="0" fontId="47" fillId="0" borderId="0" xfId="0" applyFont="1" applyFill="1" applyAlignment="1">
      <alignment vertical="center"/>
    </xf>
    <xf numFmtId="4" fontId="46" fillId="28" borderId="93" xfId="0" applyNumberFormat="1" applyFont="1" applyFill="1" applyBorder="1"/>
    <xf numFmtId="4" fontId="46" fillId="28" borderId="64" xfId="0" applyNumberFormat="1" applyFont="1" applyFill="1" applyBorder="1"/>
    <xf numFmtId="4" fontId="47" fillId="0" borderId="28" xfId="0" applyNumberFormat="1" applyFont="1" applyFill="1" applyBorder="1" applyAlignment="1">
      <alignment horizontal="right" vertical="center"/>
    </xf>
    <xf numFmtId="4" fontId="46" fillId="28" borderId="93" xfId="0" applyNumberFormat="1" applyFont="1" applyFill="1" applyBorder="1" applyAlignment="1">
      <alignment vertical="center"/>
    </xf>
    <xf numFmtId="4" fontId="46" fillId="28" borderId="61" xfId="0" applyNumberFormat="1" applyFont="1" applyFill="1" applyBorder="1" applyAlignment="1">
      <alignment horizontal="center" vertical="center"/>
    </xf>
    <xf numFmtId="0" fontId="46" fillId="0" borderId="42" xfId="0" applyFont="1" applyBorder="1" applyAlignment="1">
      <alignment horizontal="center" vertical="center"/>
    </xf>
    <xf numFmtId="0" fontId="46" fillId="0" borderId="13" xfId="0" applyFont="1" applyBorder="1" applyAlignment="1">
      <alignment horizontal="center" vertical="center"/>
    </xf>
    <xf numFmtId="0" fontId="46" fillId="0" borderId="91" xfId="0" applyFont="1" applyBorder="1" applyAlignment="1">
      <alignment horizontal="center" vertical="center"/>
    </xf>
    <xf numFmtId="4" fontId="46" fillId="28" borderId="67" xfId="0" applyNumberFormat="1" applyFont="1" applyFill="1" applyBorder="1" applyAlignment="1">
      <alignment vertical="center"/>
    </xf>
    <xf numFmtId="4" fontId="46" fillId="36" borderId="67" xfId="0" applyNumberFormat="1" applyFont="1" applyFill="1" applyBorder="1" applyAlignment="1">
      <alignment vertical="center"/>
    </xf>
    <xf numFmtId="4" fontId="46" fillId="28" borderId="67" xfId="0" applyNumberFormat="1" applyFont="1" applyFill="1" applyBorder="1" applyAlignment="1">
      <alignment horizontal="center" vertical="center"/>
    </xf>
    <xf numFmtId="4" fontId="46" fillId="28" borderId="111" xfId="0" applyNumberFormat="1" applyFont="1" applyFill="1" applyBorder="1" applyAlignment="1">
      <alignment vertical="center"/>
    </xf>
    <xf numFmtId="10" fontId="46" fillId="28" borderId="108" xfId="0" applyNumberFormat="1" applyFont="1" applyFill="1" applyBorder="1"/>
    <xf numFmtId="0" fontId="47" fillId="0" borderId="0" xfId="0" applyFont="1" applyBorder="1" applyAlignment="1">
      <alignment vertical="center" wrapText="1"/>
    </xf>
    <xf numFmtId="4" fontId="46" fillId="28" borderId="47" xfId="0" applyNumberFormat="1" applyFont="1" applyFill="1" applyBorder="1" applyAlignment="1">
      <alignment vertical="center"/>
    </xf>
    <xf numFmtId="4" fontId="46" fillId="28" borderId="61" xfId="0" applyNumberFormat="1" applyFont="1" applyFill="1" applyBorder="1" applyAlignment="1">
      <alignment vertical="center"/>
    </xf>
    <xf numFmtId="10" fontId="46" fillId="28" borderId="63" xfId="0" applyNumberFormat="1" applyFont="1" applyFill="1" applyBorder="1" applyAlignment="1">
      <alignment vertical="center"/>
    </xf>
    <xf numFmtId="10" fontId="46" fillId="28" borderId="36" xfId="0" applyNumberFormat="1" applyFont="1" applyFill="1" applyBorder="1" applyAlignment="1">
      <alignment vertical="center"/>
    </xf>
    <xf numFmtId="0" fontId="47" fillId="0" borderId="0" xfId="0" applyFont="1" applyFill="1" applyBorder="1" applyAlignment="1">
      <alignment vertical="center"/>
    </xf>
    <xf numFmtId="164" fontId="46" fillId="0" borderId="22" xfId="0" applyNumberFormat="1" applyFont="1" applyFill="1" applyBorder="1" applyAlignment="1">
      <alignment vertical="center"/>
    </xf>
    <xf numFmtId="164" fontId="46" fillId="0" borderId="20" xfId="0" applyNumberFormat="1" applyFont="1" applyBorder="1" applyAlignment="1">
      <alignment vertical="center"/>
    </xf>
    <xf numFmtId="10" fontId="46" fillId="28" borderId="38" xfId="0" applyNumberFormat="1" applyFont="1" applyFill="1" applyBorder="1"/>
    <xf numFmtId="0" fontId="67" fillId="0" borderId="107" xfId="0" applyFont="1" applyFill="1" applyBorder="1"/>
    <xf numFmtId="0" fontId="67" fillId="0" borderId="103" xfId="0" applyFont="1" applyFill="1" applyBorder="1"/>
    <xf numFmtId="0" fontId="67" fillId="0" borderId="91" xfId="0" applyFont="1" applyBorder="1"/>
    <xf numFmtId="0" fontId="67" fillId="0" borderId="0" xfId="0" applyFont="1"/>
    <xf numFmtId="4" fontId="67" fillId="0" borderId="13" xfId="0" applyNumberFormat="1" applyFont="1" applyFill="1" applyBorder="1" applyAlignment="1"/>
    <xf numFmtId="4" fontId="67" fillId="0" borderId="91" xfId="0" applyNumberFormat="1" applyFont="1" applyFill="1" applyBorder="1" applyAlignment="1"/>
    <xf numFmtId="4" fontId="67" fillId="28" borderId="64" xfId="0" applyNumberFormat="1" applyFont="1" applyFill="1" applyBorder="1"/>
    <xf numFmtId="4" fontId="67" fillId="36" borderId="64" xfId="0" applyNumberFormat="1" applyFont="1" applyFill="1" applyBorder="1"/>
    <xf numFmtId="4" fontId="67" fillId="28" borderId="42" xfId="0" applyNumberFormat="1" applyFont="1" applyFill="1" applyBorder="1"/>
    <xf numFmtId="4" fontId="67" fillId="36" borderId="67" xfId="0" applyNumberFormat="1" applyFont="1" applyFill="1" applyBorder="1"/>
    <xf numFmtId="4" fontId="67" fillId="36" borderId="13" xfId="0" applyNumberFormat="1" applyFont="1" applyFill="1" applyBorder="1"/>
    <xf numFmtId="10" fontId="67" fillId="36" borderId="68" xfId="0" applyNumberFormat="1" applyFont="1" applyFill="1" applyBorder="1"/>
    <xf numFmtId="4" fontId="67" fillId="28" borderId="67" xfId="0" applyNumberFormat="1" applyFont="1" applyFill="1" applyBorder="1"/>
    <xf numFmtId="4" fontId="67" fillId="28" borderId="13" xfId="0" applyNumberFormat="1" applyFont="1" applyFill="1" applyBorder="1"/>
    <xf numFmtId="10" fontId="67" fillId="28" borderId="68" xfId="0" applyNumberFormat="1" applyFont="1" applyFill="1" applyBorder="1"/>
    <xf numFmtId="0" fontId="67" fillId="0" borderId="93" xfId="0" applyFont="1" applyBorder="1" applyAlignment="1">
      <alignment horizontal="center"/>
    </xf>
    <xf numFmtId="0" fontId="67" fillId="0" borderId="32" xfId="0" applyFont="1" applyBorder="1" applyAlignment="1"/>
    <xf numFmtId="4" fontId="67" fillId="0" borderId="64" xfId="0" applyNumberFormat="1" applyFont="1" applyBorder="1" applyAlignment="1"/>
    <xf numFmtId="2" fontId="67" fillId="0" borderId="64" xfId="0" applyNumberFormat="1" applyFont="1" applyFill="1" applyBorder="1" applyAlignment="1"/>
    <xf numFmtId="3" fontId="67" fillId="0" borderId="64" xfId="0" applyNumberFormat="1" applyFont="1" applyBorder="1" applyAlignment="1"/>
    <xf numFmtId="4" fontId="67" fillId="0" borderId="95" xfId="0" applyNumberFormat="1" applyFont="1" applyBorder="1" applyAlignment="1"/>
    <xf numFmtId="4" fontId="67" fillId="29" borderId="108" xfId="0" applyNumberFormat="1" applyFont="1" applyFill="1" applyBorder="1" applyAlignment="1"/>
    <xf numFmtId="4" fontId="67" fillId="29" borderId="32" xfId="0" applyNumberFormat="1" applyFont="1" applyFill="1" applyBorder="1" applyAlignment="1"/>
    <xf numFmtId="4" fontId="67" fillId="36" borderId="93" xfId="0" applyNumberFormat="1" applyFont="1" applyFill="1" applyBorder="1" applyAlignment="1"/>
    <xf numFmtId="4" fontId="67" fillId="36" borderId="32" xfId="0" applyNumberFormat="1" applyFont="1" applyFill="1" applyBorder="1" applyAlignment="1"/>
    <xf numFmtId="4" fontId="67" fillId="29" borderId="64" xfId="0" applyNumberFormat="1" applyFont="1" applyFill="1" applyBorder="1" applyAlignment="1"/>
    <xf numFmtId="10" fontId="67" fillId="29" borderId="88" xfId="0" applyNumberFormat="1" applyFont="1" applyFill="1" applyBorder="1" applyAlignment="1"/>
    <xf numFmtId="10" fontId="67" fillId="29" borderId="108" xfId="0" applyNumberFormat="1" applyFont="1" applyFill="1" applyBorder="1" applyAlignment="1"/>
    <xf numFmtId="4" fontId="67" fillId="27" borderId="42" xfId="0" applyNumberFormat="1" applyFont="1" applyFill="1" applyBorder="1" applyAlignment="1"/>
    <xf numFmtId="4" fontId="67" fillId="27" borderId="64" xfId="0" applyNumberFormat="1" applyFont="1" applyFill="1" applyBorder="1" applyAlignment="1"/>
    <xf numFmtId="4" fontId="67" fillId="27" borderId="88" xfId="0" applyNumberFormat="1" applyFont="1" applyFill="1" applyBorder="1" applyAlignment="1"/>
    <xf numFmtId="4" fontId="67" fillId="27" borderId="13" xfId="0" applyNumberFormat="1" applyFont="1" applyFill="1" applyBorder="1" applyAlignment="1"/>
    <xf numFmtId="4" fontId="67" fillId="27" borderId="91" xfId="0" applyNumberFormat="1" applyFont="1" applyFill="1" applyBorder="1" applyAlignment="1"/>
    <xf numFmtId="0" fontId="67" fillId="0" borderId="0" xfId="0" applyFont="1" applyAlignment="1"/>
    <xf numFmtId="0" fontId="67" fillId="0" borderId="67" xfId="0" applyFont="1" applyBorder="1" applyAlignment="1">
      <alignment horizontal="center"/>
    </xf>
    <xf numFmtId="0" fontId="67" fillId="0" borderId="42" xfId="0" applyFont="1" applyBorder="1"/>
    <xf numFmtId="4" fontId="67" fillId="0" borderId="13" xfId="0" applyNumberFormat="1" applyFont="1" applyBorder="1"/>
    <xf numFmtId="2" fontId="67" fillId="0" borderId="13" xfId="0" applyNumberFormat="1" applyFont="1" applyFill="1" applyBorder="1"/>
    <xf numFmtId="3" fontId="67" fillId="0" borderId="13" xfId="0" applyNumberFormat="1" applyFont="1" applyBorder="1"/>
    <xf numFmtId="4" fontId="67" fillId="0" borderId="64" xfId="0" applyNumberFormat="1" applyFont="1" applyBorder="1"/>
    <xf numFmtId="3" fontId="67" fillId="0" borderId="64" xfId="0" applyNumberFormat="1" applyFont="1" applyBorder="1"/>
    <xf numFmtId="4" fontId="67" fillId="0" borderId="95" xfId="0" applyNumberFormat="1" applyFont="1" applyBorder="1"/>
    <xf numFmtId="4" fontId="67" fillId="0" borderId="43" xfId="0" applyNumberFormat="1" applyFont="1" applyBorder="1"/>
    <xf numFmtId="4" fontId="67" fillId="29" borderId="108" xfId="0" applyNumberFormat="1" applyFont="1" applyFill="1" applyBorder="1"/>
    <xf numFmtId="4" fontId="67" fillId="29" borderId="32" xfId="0" applyNumberFormat="1" applyFont="1" applyFill="1" applyBorder="1"/>
    <xf numFmtId="4" fontId="67" fillId="36" borderId="93" xfId="0" applyNumberFormat="1" applyFont="1" applyFill="1" applyBorder="1"/>
    <xf numFmtId="4" fontId="67" fillId="36" borderId="32" xfId="0" applyNumberFormat="1" applyFont="1" applyFill="1" applyBorder="1"/>
    <xf numFmtId="4" fontId="67" fillId="36" borderId="42" xfId="0" applyNumberFormat="1" applyFont="1" applyFill="1" applyBorder="1"/>
    <xf numFmtId="4" fontId="67" fillId="29" borderId="64" xfId="0" applyNumberFormat="1" applyFont="1" applyFill="1" applyBorder="1"/>
    <xf numFmtId="10" fontId="67" fillId="29" borderId="88" xfId="0" applyNumberFormat="1" applyFont="1" applyFill="1" applyBorder="1"/>
    <xf numFmtId="10" fontId="67" fillId="29" borderId="108" xfId="0" applyNumberFormat="1" applyFont="1" applyFill="1" applyBorder="1"/>
    <xf numFmtId="4" fontId="67" fillId="27" borderId="64" xfId="0" applyNumberFormat="1" applyFont="1" applyFill="1" applyBorder="1"/>
    <xf numFmtId="4" fontId="67" fillId="27" borderId="88" xfId="0" applyNumberFormat="1" applyFont="1" applyFill="1" applyBorder="1"/>
    <xf numFmtId="4" fontId="67" fillId="37" borderId="67" xfId="0" applyNumberFormat="1" applyFont="1" applyFill="1" applyBorder="1"/>
    <xf numFmtId="4" fontId="67" fillId="37" borderId="13" xfId="0" applyNumberFormat="1" applyFont="1" applyFill="1" applyBorder="1"/>
    <xf numFmtId="4" fontId="67" fillId="37" borderId="73" xfId="0" applyNumberFormat="1" applyFont="1" applyFill="1" applyBorder="1"/>
    <xf numFmtId="4" fontId="67" fillId="27" borderId="67" xfId="0" applyNumberFormat="1" applyFont="1" applyFill="1" applyBorder="1"/>
    <xf numFmtId="4" fontId="67" fillId="27" borderId="13" xfId="0" applyNumberFormat="1" applyFont="1" applyFill="1" applyBorder="1"/>
    <xf numFmtId="4" fontId="67" fillId="27" borderId="91" xfId="0" applyNumberFormat="1" applyFont="1" applyFill="1" applyBorder="1"/>
    <xf numFmtId="4" fontId="67" fillId="28" borderId="68" xfId="0" applyNumberFormat="1" applyFont="1" applyFill="1" applyBorder="1"/>
    <xf numFmtId="10" fontId="67" fillId="28" borderId="73" xfId="0" applyNumberFormat="1" applyFont="1" applyFill="1" applyBorder="1"/>
    <xf numFmtId="10" fontId="67" fillId="28" borderId="109" xfId="0" applyNumberFormat="1" applyFont="1" applyFill="1" applyBorder="1"/>
    <xf numFmtId="2" fontId="67" fillId="0" borderId="13" xfId="0" applyNumberFormat="1" applyFont="1" applyBorder="1"/>
    <xf numFmtId="4" fontId="67" fillId="0" borderId="91" xfId="0" applyNumberFormat="1" applyFont="1" applyBorder="1"/>
    <xf numFmtId="4" fontId="67" fillId="29" borderId="109" xfId="0" applyNumberFormat="1" applyFont="1" applyFill="1" applyBorder="1"/>
    <xf numFmtId="4" fontId="67" fillId="29" borderId="13" xfId="0" applyNumberFormat="1" applyFont="1" applyFill="1" applyBorder="1"/>
    <xf numFmtId="4" fontId="67" fillId="29" borderId="42" xfId="0" applyNumberFormat="1" applyFont="1" applyFill="1" applyBorder="1"/>
    <xf numFmtId="10" fontId="67" fillId="29" borderId="68" xfId="0" applyNumberFormat="1" applyFont="1" applyFill="1" applyBorder="1"/>
    <xf numFmtId="10" fontId="67" fillId="29" borderId="109" xfId="0" applyNumberFormat="1" applyFont="1" applyFill="1" applyBorder="1"/>
    <xf numFmtId="4" fontId="67" fillId="27" borderId="68" xfId="0" applyNumberFormat="1" applyFont="1" applyFill="1" applyBorder="1"/>
    <xf numFmtId="4" fontId="68" fillId="35" borderId="13" xfId="1" applyNumberFormat="1" applyFont="1" applyFill="1" applyBorder="1" applyAlignment="1"/>
    <xf numFmtId="4" fontId="67" fillId="0" borderId="13" xfId="0" applyNumberFormat="1" applyFont="1" applyFill="1" applyBorder="1" applyAlignment="1">
      <alignment horizontal="right"/>
    </xf>
    <xf numFmtId="3" fontId="68" fillId="35" borderId="13" xfId="1" applyNumberFormat="1" applyFont="1" applyFill="1" applyBorder="1" applyAlignment="1"/>
    <xf numFmtId="4" fontId="67" fillId="0" borderId="68" xfId="0" applyNumberFormat="1" applyFont="1" applyFill="1" applyBorder="1" applyAlignment="1"/>
    <xf numFmtId="4" fontId="67" fillId="29" borderId="109" xfId="0" applyNumberFormat="1" applyFont="1" applyFill="1" applyBorder="1" applyAlignment="1"/>
    <xf numFmtId="4" fontId="67" fillId="29" borderId="68" xfId="0" applyNumberFormat="1" applyFont="1" applyFill="1" applyBorder="1"/>
    <xf numFmtId="4" fontId="67" fillId="37" borderId="42" xfId="0" applyNumberFormat="1" applyFont="1" applyFill="1" applyBorder="1"/>
    <xf numFmtId="4" fontId="67" fillId="37" borderId="68" xfId="0" applyNumberFormat="1" applyFont="1" applyFill="1" applyBorder="1" applyAlignment="1"/>
    <xf numFmtId="4" fontId="67" fillId="27" borderId="42" xfId="0" applyNumberFormat="1" applyFont="1" applyFill="1" applyBorder="1"/>
    <xf numFmtId="10" fontId="67" fillId="28" borderId="107" xfId="0" applyNumberFormat="1" applyFont="1" applyFill="1" applyBorder="1"/>
    <xf numFmtId="0" fontId="67" fillId="0" borderId="32" xfId="0" applyFont="1" applyBorder="1"/>
    <xf numFmtId="2" fontId="67" fillId="0" borderId="64" xfId="0" applyNumberFormat="1" applyFont="1" applyBorder="1"/>
    <xf numFmtId="4" fontId="67" fillId="0" borderId="41" xfId="0" applyNumberFormat="1" applyFont="1" applyBorder="1"/>
    <xf numFmtId="2" fontId="67" fillId="0" borderId="64" xfId="0" applyNumberFormat="1" applyFont="1" applyFill="1" applyBorder="1"/>
    <xf numFmtId="4" fontId="67" fillId="0" borderId="52" xfId="0" applyNumberFormat="1" applyFont="1" applyBorder="1"/>
    <xf numFmtId="3" fontId="46" fillId="0" borderId="42" xfId="0" applyNumberFormat="1" applyFont="1" applyBorder="1"/>
    <xf numFmtId="10" fontId="46" fillId="29" borderId="36" xfId="0" applyNumberFormat="1" applyFont="1" applyFill="1" applyBorder="1"/>
    <xf numFmtId="4" fontId="46" fillId="37" borderId="64" xfId="0" applyNumberFormat="1" applyFont="1" applyFill="1" applyBorder="1" applyAlignment="1"/>
    <xf numFmtId="4" fontId="46" fillId="37" borderId="88" xfId="0" applyNumberFormat="1" applyFont="1" applyFill="1" applyBorder="1" applyAlignment="1"/>
    <xf numFmtId="10" fontId="46" fillId="28" borderId="88" xfId="0" applyNumberFormat="1" applyFont="1" applyFill="1" applyBorder="1"/>
    <xf numFmtId="4" fontId="46" fillId="37" borderId="42" xfId="0" applyNumberFormat="1" applyFont="1" applyFill="1" applyBorder="1"/>
    <xf numFmtId="4" fontId="46" fillId="28" borderId="138" xfId="0" applyNumberFormat="1" applyFont="1" applyFill="1" applyBorder="1"/>
    <xf numFmtId="4" fontId="67" fillId="28" borderId="88" xfId="0" applyNumberFormat="1" applyFont="1" applyFill="1" applyBorder="1"/>
    <xf numFmtId="10" fontId="67" fillId="36" borderId="88" xfId="0" applyNumberFormat="1" applyFont="1" applyFill="1" applyBorder="1"/>
    <xf numFmtId="10" fontId="67" fillId="28" borderId="108" xfId="0" applyNumberFormat="1" applyFont="1" applyFill="1" applyBorder="1"/>
    <xf numFmtId="4" fontId="67" fillId="28" borderId="136" xfId="0" applyNumberFormat="1" applyFont="1" applyFill="1" applyBorder="1"/>
    <xf numFmtId="4" fontId="67" fillId="28" borderId="138" xfId="0" applyNumberFormat="1" applyFont="1" applyFill="1" applyBorder="1"/>
    <xf numFmtId="4" fontId="67" fillId="28" borderId="93" xfId="0" applyNumberFormat="1" applyFont="1" applyFill="1" applyBorder="1"/>
    <xf numFmtId="10" fontId="67" fillId="28" borderId="88" xfId="0" applyNumberFormat="1" applyFont="1" applyFill="1" applyBorder="1"/>
    <xf numFmtId="4" fontId="46" fillId="36" borderId="99" xfId="0" applyNumberFormat="1" applyFont="1" applyFill="1" applyBorder="1" applyAlignment="1">
      <alignment vertical="center"/>
    </xf>
    <xf numFmtId="4" fontId="46" fillId="36" borderId="98" xfId="0" applyNumberFormat="1" applyFont="1" applyFill="1" applyBorder="1" applyAlignment="1">
      <alignment vertical="center"/>
    </xf>
    <xf numFmtId="4" fontId="46" fillId="28" borderId="64" xfId="0" applyNumberFormat="1" applyFont="1" applyFill="1" applyBorder="1" applyAlignment="1">
      <alignment vertical="center"/>
    </xf>
    <xf numFmtId="4" fontId="46" fillId="28" borderId="99" xfId="0" applyNumberFormat="1" applyFont="1" applyFill="1" applyBorder="1" applyAlignment="1">
      <alignment vertical="center"/>
    </xf>
    <xf numFmtId="4" fontId="46" fillId="28" borderId="98" xfId="0" applyNumberFormat="1" applyFont="1" applyFill="1" applyBorder="1" applyAlignment="1">
      <alignment vertical="center"/>
    </xf>
    <xf numFmtId="10" fontId="46" fillId="28" borderId="128" xfId="0" applyNumberFormat="1" applyFont="1" applyFill="1" applyBorder="1"/>
    <xf numFmtId="10" fontId="46" fillId="28" borderId="107" xfId="0" applyNumberFormat="1" applyFont="1" applyFill="1" applyBorder="1"/>
    <xf numFmtId="10" fontId="47" fillId="0" borderId="28" xfId="0" applyNumberFormat="1" applyFont="1" applyBorder="1" applyAlignment="1">
      <alignment vertical="center"/>
    </xf>
    <xf numFmtId="10" fontId="67" fillId="28" borderId="103" xfId="0" applyNumberFormat="1" applyFont="1" applyFill="1" applyBorder="1"/>
    <xf numFmtId="10" fontId="46" fillId="28" borderId="38" xfId="0" applyNumberFormat="1" applyFont="1" applyFill="1" applyBorder="1" applyAlignment="1">
      <alignment vertical="center"/>
    </xf>
    <xf numFmtId="4" fontId="46" fillId="28" borderId="64" xfId="0" applyNumberFormat="1" applyFont="1" applyFill="1" applyBorder="1" applyAlignment="1">
      <alignment horizontal="center" vertical="center"/>
    </xf>
    <xf numFmtId="10" fontId="46" fillId="28" borderId="94" xfId="0" applyNumberFormat="1" applyFont="1" applyFill="1" applyBorder="1" applyAlignment="1">
      <alignment vertical="center"/>
    </xf>
    <xf numFmtId="4" fontId="67" fillId="37" borderId="64" xfId="0" applyNumberFormat="1" applyFont="1" applyFill="1" applyBorder="1"/>
    <xf numFmtId="4" fontId="67" fillId="37" borderId="94" xfId="0" applyNumberFormat="1" applyFont="1" applyFill="1" applyBorder="1"/>
    <xf numFmtId="4" fontId="67" fillId="27" borderId="93" xfId="0" applyNumberFormat="1" applyFont="1" applyFill="1" applyBorder="1"/>
    <xf numFmtId="4" fontId="67" fillId="27" borderId="95" xfId="0" applyNumberFormat="1" applyFont="1" applyFill="1" applyBorder="1"/>
    <xf numFmtId="4" fontId="67" fillId="37" borderId="68" xfId="0" applyNumberFormat="1" applyFont="1" applyFill="1" applyBorder="1"/>
    <xf numFmtId="4" fontId="67" fillId="27" borderId="136" xfId="0" applyNumberFormat="1" applyFont="1" applyFill="1" applyBorder="1" applyAlignment="1"/>
    <xf numFmtId="4" fontId="67" fillId="37" borderId="93" xfId="0" applyNumberFormat="1" applyFont="1" applyFill="1" applyBorder="1"/>
    <xf numFmtId="0" fontId="56" fillId="0" borderId="0" xfId="0" applyFont="1" applyAlignment="1">
      <alignment horizontal="center" vertical="center" wrapText="1"/>
    </xf>
    <xf numFmtId="4" fontId="46" fillId="27" borderId="93" xfId="0" applyNumberFormat="1" applyFont="1" applyFill="1" applyBorder="1" applyAlignment="1">
      <alignment horizontal="right" vertical="center"/>
    </xf>
    <xf numFmtId="4" fontId="46" fillId="27" borderId="32" xfId="0" applyNumberFormat="1" applyFont="1" applyFill="1" applyBorder="1" applyAlignment="1">
      <alignment horizontal="right" vertical="center"/>
    </xf>
    <xf numFmtId="4" fontId="46" fillId="27" borderId="103" xfId="0" applyNumberFormat="1" applyFont="1" applyFill="1" applyBorder="1" applyAlignment="1">
      <alignment horizontal="right" vertical="center"/>
    </xf>
    <xf numFmtId="164" fontId="36" fillId="0" borderId="17" xfId="205" applyNumberFormat="1" applyBorder="1" applyAlignment="1">
      <alignment vertical="center"/>
    </xf>
    <xf numFmtId="164" fontId="36" fillId="0" borderId="18" xfId="205" applyNumberFormat="1" applyBorder="1" applyAlignment="1">
      <alignment vertical="center"/>
    </xf>
    <xf numFmtId="164" fontId="36" fillId="0" borderId="20" xfId="205" applyNumberFormat="1" applyFont="1" applyFill="1" applyBorder="1" applyAlignment="1">
      <alignment vertical="center"/>
    </xf>
    <xf numFmtId="164" fontId="36" fillId="0" borderId="17" xfId="205" applyNumberFormat="1" applyFont="1" applyBorder="1" applyAlignment="1">
      <alignment horizontal="right" vertical="center"/>
    </xf>
    <xf numFmtId="164" fontId="36" fillId="0" borderId="18" xfId="205" applyNumberFormat="1" applyFont="1" applyBorder="1" applyAlignment="1">
      <alignment horizontal="right" vertical="center"/>
    </xf>
    <xf numFmtId="164" fontId="36" fillId="0" borderId="25" xfId="205" applyNumberFormat="1" applyFont="1" applyBorder="1" applyAlignment="1">
      <alignment horizontal="right" vertical="center"/>
    </xf>
    <xf numFmtId="164" fontId="36" fillId="0" borderId="22" xfId="205" applyNumberFormat="1" applyBorder="1" applyAlignment="1">
      <alignment vertical="center"/>
    </xf>
    <xf numFmtId="10" fontId="46" fillId="29" borderId="68" xfId="0" applyNumberFormat="1" applyFont="1" applyFill="1" applyBorder="1" applyAlignment="1">
      <alignment horizontal="center" vertical="center"/>
    </xf>
    <xf numFmtId="4" fontId="46" fillId="29" borderId="67" xfId="0" applyNumberFormat="1" applyFont="1" applyFill="1" applyBorder="1" applyAlignment="1">
      <alignment vertical="center"/>
    </xf>
    <xf numFmtId="164" fontId="36" fillId="0" borderId="17" xfId="206" applyNumberFormat="1" applyBorder="1" applyAlignment="1">
      <alignment vertical="center"/>
    </xf>
    <xf numFmtId="164" fontId="36" fillId="0" borderId="18" xfId="206" applyNumberFormat="1" applyBorder="1" applyAlignment="1">
      <alignment vertical="center"/>
    </xf>
    <xf numFmtId="164" fontId="36" fillId="0" borderId="26" xfId="206" applyNumberFormat="1" applyBorder="1" applyAlignment="1">
      <alignment vertical="center"/>
    </xf>
    <xf numFmtId="164" fontId="36" fillId="0" borderId="18" xfId="206" applyNumberFormat="1" applyFont="1" applyBorder="1" applyAlignment="1">
      <alignment vertical="center"/>
    </xf>
    <xf numFmtId="164" fontId="36" fillId="0" borderId="17" xfId="206" applyNumberFormat="1" applyFont="1" applyBorder="1" applyAlignment="1">
      <alignment vertical="center"/>
    </xf>
    <xf numFmtId="164" fontId="36" fillId="0" borderId="24" xfId="206" applyNumberFormat="1" applyBorder="1" applyAlignment="1">
      <alignment vertical="center"/>
    </xf>
    <xf numFmtId="164" fontId="36" fillId="0" borderId="17" xfId="206" applyNumberFormat="1" applyFill="1" applyBorder="1" applyAlignment="1">
      <alignment vertical="center"/>
    </xf>
    <xf numFmtId="4" fontId="67" fillId="36" borderId="54" xfId="0" applyNumberFormat="1" applyFont="1" applyFill="1" applyBorder="1"/>
    <xf numFmtId="4" fontId="67" fillId="36" borderId="80" xfId="0" applyNumberFormat="1" applyFont="1" applyFill="1" applyBorder="1"/>
    <xf numFmtId="4" fontId="67" fillId="36" borderId="55" xfId="0" applyNumberFormat="1" applyFont="1" applyFill="1" applyBorder="1"/>
    <xf numFmtId="4" fontId="67" fillId="27" borderId="52" xfId="0" applyNumberFormat="1" applyFont="1" applyFill="1" applyBorder="1"/>
    <xf numFmtId="4" fontId="67" fillId="27" borderId="72" xfId="0" applyNumberFormat="1" applyFont="1" applyFill="1" applyBorder="1"/>
    <xf numFmtId="4" fontId="67" fillId="37" borderId="55" xfId="0" applyNumberFormat="1" applyFont="1" applyFill="1" applyBorder="1"/>
    <xf numFmtId="4" fontId="67" fillId="37" borderId="52" xfId="0" applyNumberFormat="1" applyFont="1" applyFill="1" applyBorder="1"/>
    <xf numFmtId="4" fontId="67" fillId="27" borderId="55" xfId="0" applyNumberFormat="1" applyFont="1" applyFill="1" applyBorder="1"/>
    <xf numFmtId="4" fontId="67" fillId="28" borderId="55" xfId="0" applyNumberFormat="1" applyFont="1" applyFill="1" applyBorder="1"/>
    <xf numFmtId="4" fontId="67" fillId="28" borderId="72" xfId="0" applyNumberFormat="1" applyFont="1" applyFill="1" applyBorder="1"/>
    <xf numFmtId="4" fontId="67" fillId="36" borderId="52" xfId="0" applyNumberFormat="1" applyFont="1" applyFill="1" applyBorder="1"/>
    <xf numFmtId="4" fontId="67" fillId="0" borderId="64" xfId="0" applyNumberFormat="1" applyFont="1" applyFill="1" applyBorder="1" applyAlignment="1"/>
    <xf numFmtId="4" fontId="67" fillId="27" borderId="32" xfId="0" applyNumberFormat="1" applyFont="1" applyFill="1" applyBorder="1" applyAlignment="1"/>
    <xf numFmtId="4" fontId="67" fillId="37" borderId="32" xfId="0" applyNumberFormat="1" applyFont="1" applyFill="1" applyBorder="1"/>
    <xf numFmtId="4" fontId="67" fillId="27" borderId="32" xfId="0" applyNumberFormat="1" applyFont="1" applyFill="1" applyBorder="1"/>
    <xf numFmtId="4" fontId="67" fillId="27" borderId="95" xfId="0" applyNumberFormat="1" applyFont="1" applyFill="1" applyBorder="1" applyAlignment="1"/>
    <xf numFmtId="4" fontId="67" fillId="28" borderId="32" xfId="0" applyNumberFormat="1" applyFont="1" applyFill="1" applyBorder="1"/>
    <xf numFmtId="4" fontId="67" fillId="0" borderId="41" xfId="0" applyNumberFormat="1" applyFont="1" applyBorder="1" applyAlignment="1"/>
    <xf numFmtId="4" fontId="67" fillId="36" borderId="64" xfId="0" applyNumberFormat="1" applyFont="1" applyFill="1" applyBorder="1" applyAlignment="1"/>
    <xf numFmtId="10" fontId="67" fillId="36" borderId="88" xfId="0" applyNumberFormat="1" applyFont="1" applyFill="1" applyBorder="1" applyAlignment="1"/>
    <xf numFmtId="4" fontId="67" fillId="37" borderId="93" xfId="0" applyNumberFormat="1" applyFont="1" applyFill="1" applyBorder="1" applyAlignment="1"/>
    <xf numFmtId="4" fontId="67" fillId="37" borderId="64" xfId="0" applyNumberFormat="1" applyFont="1" applyFill="1" applyBorder="1" applyAlignment="1"/>
    <xf numFmtId="4" fontId="67" fillId="37" borderId="94" xfId="0" applyNumberFormat="1" applyFont="1" applyFill="1" applyBorder="1" applyAlignment="1"/>
    <xf numFmtId="4" fontId="67" fillId="27" borderId="93" xfId="0" applyNumberFormat="1" applyFont="1" applyFill="1" applyBorder="1" applyAlignment="1"/>
    <xf numFmtId="4" fontId="67" fillId="28" borderId="32" xfId="0" applyNumberFormat="1" applyFont="1" applyFill="1" applyBorder="1" applyAlignment="1"/>
    <xf numFmtId="4" fontId="67" fillId="28" borderId="88" xfId="0" applyNumberFormat="1" applyFont="1" applyFill="1" applyBorder="1" applyAlignment="1"/>
    <xf numFmtId="4" fontId="67" fillId="28" borderId="64" xfId="0" applyNumberFormat="1" applyFont="1" applyFill="1" applyBorder="1" applyAlignment="1"/>
    <xf numFmtId="10" fontId="67" fillId="28" borderId="94" xfId="0" applyNumberFormat="1" applyFont="1" applyFill="1" applyBorder="1" applyAlignment="1"/>
    <xf numFmtId="10" fontId="67" fillId="28" borderId="108" xfId="0" applyNumberFormat="1" applyFont="1" applyFill="1" applyBorder="1" applyAlignment="1"/>
    <xf numFmtId="4" fontId="65" fillId="35" borderId="34" xfId="1" applyNumberFormat="1" applyFont="1" applyFill="1" applyBorder="1" applyAlignment="1"/>
    <xf numFmtId="4" fontId="46" fillId="0" borderId="34" xfId="0" applyNumberFormat="1" applyFont="1" applyFill="1" applyBorder="1" applyAlignment="1">
      <alignment horizontal="right"/>
    </xf>
    <xf numFmtId="3" fontId="65" fillId="35" borderId="34" xfId="1" applyNumberFormat="1" applyFont="1" applyFill="1" applyBorder="1" applyAlignment="1"/>
    <xf numFmtId="4" fontId="46" fillId="0" borderId="63" xfId="0" applyNumberFormat="1" applyFont="1" applyFill="1" applyBorder="1" applyAlignment="1"/>
    <xf numFmtId="4" fontId="46" fillId="29" borderId="104" xfId="0" applyNumberFormat="1" applyFont="1" applyFill="1" applyBorder="1" applyAlignment="1"/>
    <xf numFmtId="4" fontId="46" fillId="37" borderId="105" xfId="0" applyNumberFormat="1" applyFont="1" applyFill="1" applyBorder="1"/>
    <xf numFmtId="4" fontId="46" fillId="37" borderId="63" xfId="0" applyNumberFormat="1" applyFont="1" applyFill="1" applyBorder="1" applyAlignment="1"/>
    <xf numFmtId="4" fontId="46" fillId="27" borderId="106" xfId="0" applyNumberFormat="1" applyFont="1" applyFill="1" applyBorder="1" applyAlignment="1"/>
    <xf numFmtId="4" fontId="46" fillId="29" borderId="68" xfId="0" applyNumberFormat="1" applyFont="1" applyFill="1" applyBorder="1"/>
    <xf numFmtId="4" fontId="67" fillId="27" borderId="43" xfId="0" applyNumberFormat="1" applyFont="1" applyFill="1" applyBorder="1" applyAlignment="1"/>
    <xf numFmtId="4" fontId="67" fillId="36" borderId="43" xfId="0" applyNumberFormat="1" applyFont="1" applyFill="1" applyBorder="1"/>
    <xf numFmtId="0" fontId="46" fillId="29" borderId="109" xfId="0" applyFont="1" applyFill="1" applyBorder="1" applyAlignment="1">
      <alignment horizontal="center" vertical="center"/>
    </xf>
    <xf numFmtId="0" fontId="46" fillId="29" borderId="136" xfId="0" applyFont="1" applyFill="1" applyBorder="1" applyAlignment="1">
      <alignment horizontal="center" vertical="center"/>
    </xf>
    <xf numFmtId="0" fontId="46" fillId="29" borderId="68" xfId="0" applyFont="1" applyFill="1" applyBorder="1" applyAlignment="1">
      <alignment horizontal="center" vertical="center"/>
    </xf>
    <xf numFmtId="4" fontId="66" fillId="28" borderId="42" xfId="0" applyNumberFormat="1" applyFont="1" applyFill="1" applyBorder="1"/>
    <xf numFmtId="4" fontId="67" fillId="0" borderId="68" xfId="0" applyNumberFormat="1" applyFont="1" applyBorder="1"/>
    <xf numFmtId="0" fontId="67" fillId="29" borderId="109" xfId="0" applyFont="1" applyFill="1" applyBorder="1" applyAlignment="1">
      <alignment horizontal="center" vertical="center"/>
    </xf>
    <xf numFmtId="0" fontId="67" fillId="29" borderId="136" xfId="0" applyFont="1" applyFill="1" applyBorder="1" applyAlignment="1">
      <alignment horizontal="center" vertical="center"/>
    </xf>
    <xf numFmtId="0" fontId="67" fillId="29" borderId="68" xfId="0" applyFont="1" applyFill="1" applyBorder="1" applyAlignment="1">
      <alignment horizontal="center" vertical="center"/>
    </xf>
    <xf numFmtId="10" fontId="67" fillId="29" borderId="107" xfId="0" applyNumberFormat="1" applyFont="1" applyFill="1" applyBorder="1"/>
    <xf numFmtId="10" fontId="67" fillId="28" borderId="94" xfId="0" applyNumberFormat="1" applyFont="1" applyFill="1" applyBorder="1"/>
    <xf numFmtId="4" fontId="46" fillId="0" borderId="105" xfId="0" applyNumberFormat="1" applyFont="1" applyFill="1" applyBorder="1" applyAlignment="1">
      <alignment horizontal="center" vertical="center"/>
    </xf>
    <xf numFmtId="4" fontId="46" fillId="0" borderId="34" xfId="0" applyNumberFormat="1" applyFont="1" applyFill="1" applyBorder="1" applyAlignment="1">
      <alignment horizontal="center" vertical="center"/>
    </xf>
    <xf numFmtId="4" fontId="67" fillId="0" borderId="32" xfId="0" applyNumberFormat="1" applyFont="1" applyFill="1" applyBorder="1" applyAlignment="1">
      <alignment horizontal="center" vertical="center"/>
    </xf>
    <xf numFmtId="4" fontId="67" fillId="0" borderId="64" xfId="0" applyNumberFormat="1" applyFont="1" applyFill="1" applyBorder="1" applyAlignment="1">
      <alignment horizontal="center" vertical="center"/>
    </xf>
    <xf numFmtId="4" fontId="67" fillId="0" borderId="42" xfId="0" applyNumberFormat="1" applyFont="1" applyFill="1" applyBorder="1" applyAlignment="1">
      <alignment horizontal="center" vertical="center"/>
    </xf>
    <xf numFmtId="4" fontId="67" fillId="0" borderId="13" xfId="0" applyNumberFormat="1" applyFont="1" applyFill="1" applyBorder="1" applyAlignment="1">
      <alignment horizontal="center" vertical="center"/>
    </xf>
    <xf numFmtId="4" fontId="46" fillId="0" borderId="42" xfId="0" applyNumberFormat="1" applyFont="1" applyFill="1" applyBorder="1" applyAlignment="1">
      <alignment horizontal="center" vertical="center"/>
    </xf>
    <xf numFmtId="4" fontId="46" fillId="0" borderId="13" xfId="0" applyNumberFormat="1" applyFont="1" applyFill="1" applyBorder="1" applyAlignment="1">
      <alignment horizontal="center" vertical="center"/>
    </xf>
    <xf numFmtId="4" fontId="67" fillId="0" borderId="54" xfId="0" applyNumberFormat="1" applyFont="1" applyFill="1" applyBorder="1" applyAlignment="1">
      <alignment horizontal="center" vertical="center"/>
    </xf>
    <xf numFmtId="4" fontId="67" fillId="0" borderId="80" xfId="0" applyNumberFormat="1" applyFont="1" applyFill="1" applyBorder="1" applyAlignment="1">
      <alignment horizontal="center" vertical="center"/>
    </xf>
    <xf numFmtId="4" fontId="46" fillId="28" borderId="73" xfId="0" applyNumberFormat="1" applyFont="1" applyFill="1" applyBorder="1"/>
    <xf numFmtId="4" fontId="66" fillId="36" borderId="42" xfId="0" applyNumberFormat="1" applyFont="1" applyFill="1" applyBorder="1"/>
    <xf numFmtId="4" fontId="46" fillId="28" borderId="123" xfId="0" applyNumberFormat="1" applyFont="1" applyFill="1" applyBorder="1"/>
    <xf numFmtId="0" fontId="46" fillId="0" borderId="67" xfId="0" applyFont="1" applyFill="1" applyBorder="1" applyAlignment="1">
      <alignment horizontal="center"/>
    </xf>
    <xf numFmtId="4" fontId="67" fillId="0" borderId="0" xfId="0" applyNumberFormat="1" applyFont="1"/>
    <xf numFmtId="4" fontId="46" fillId="27" borderId="43" xfId="0" applyNumberFormat="1" applyFont="1" applyFill="1" applyBorder="1" applyAlignment="1"/>
    <xf numFmtId="10" fontId="46" fillId="28" borderId="109" xfId="0" applyNumberFormat="1" applyFont="1" applyFill="1" applyBorder="1" applyAlignment="1">
      <alignment horizontal="center" vertical="center"/>
    </xf>
    <xf numFmtId="3" fontId="65" fillId="35" borderId="42" xfId="1" applyNumberFormat="1" applyFont="1" applyFill="1" applyBorder="1" applyAlignment="1">
      <alignment horizontal="center" vertical="center"/>
    </xf>
    <xf numFmtId="4" fontId="46" fillId="0" borderId="91" xfId="0" applyNumberFormat="1" applyFont="1" applyFill="1" applyBorder="1" applyAlignment="1">
      <alignment horizontal="center" vertical="center"/>
    </xf>
    <xf numFmtId="4" fontId="46" fillId="37" borderId="68" xfId="0" applyNumberFormat="1" applyFont="1" applyFill="1" applyBorder="1" applyAlignment="1"/>
    <xf numFmtId="4" fontId="46" fillId="27" borderId="91" xfId="0" applyNumberFormat="1" applyFont="1" applyFill="1" applyBorder="1" applyAlignment="1"/>
    <xf numFmtId="10" fontId="46" fillId="28" borderId="136" xfId="0" applyNumberFormat="1" applyFont="1" applyFill="1" applyBorder="1" applyAlignment="1">
      <alignment horizontal="center" vertical="center"/>
    </xf>
    <xf numFmtId="10" fontId="46" fillId="28" borderId="42" xfId="0" applyNumberFormat="1" applyFont="1" applyFill="1" applyBorder="1" applyAlignment="1">
      <alignment horizontal="center" vertical="center"/>
    </xf>
    <xf numFmtId="0" fontId="46" fillId="0" borderId="91" xfId="0" applyFont="1" applyFill="1" applyBorder="1"/>
    <xf numFmtId="4" fontId="67" fillId="0" borderId="72" xfId="0" applyNumberFormat="1" applyFont="1" applyBorder="1"/>
    <xf numFmtId="0" fontId="67" fillId="29" borderId="139" xfId="0" applyFont="1" applyFill="1" applyBorder="1" applyAlignment="1">
      <alignment horizontal="center" vertical="center"/>
    </xf>
    <xf numFmtId="0" fontId="67" fillId="29" borderId="72" xfId="0" applyFont="1" applyFill="1" applyBorder="1" applyAlignment="1">
      <alignment horizontal="center" vertical="center"/>
    </xf>
    <xf numFmtId="4" fontId="67" fillId="29" borderId="52" xfId="0" applyNumberFormat="1" applyFont="1" applyFill="1" applyBorder="1"/>
    <xf numFmtId="10" fontId="67" fillId="29" borderId="110" xfId="0" applyNumberFormat="1" applyFont="1" applyFill="1" applyBorder="1"/>
    <xf numFmtId="4" fontId="67" fillId="28" borderId="139" xfId="0" applyNumberFormat="1" applyFont="1" applyFill="1" applyBorder="1"/>
    <xf numFmtId="4" fontId="67" fillId="27" borderId="140" xfId="0" applyNumberFormat="1" applyFont="1" applyFill="1" applyBorder="1" applyAlignment="1"/>
    <xf numFmtId="4" fontId="46" fillId="29" borderId="113" xfId="0" applyNumberFormat="1" applyFont="1" applyFill="1" applyBorder="1" applyAlignment="1">
      <alignment horizontal="center" vertical="center"/>
    </xf>
    <xf numFmtId="10" fontId="47" fillId="0" borderId="101" xfId="0" applyNumberFormat="1" applyFont="1" applyFill="1" applyBorder="1" applyAlignment="1">
      <alignment horizontal="center" vertical="center"/>
    </xf>
    <xf numFmtId="10" fontId="47" fillId="0" borderId="90" xfId="0" applyNumberFormat="1" applyFont="1" applyBorder="1" applyAlignment="1">
      <alignment horizontal="center" vertical="center"/>
    </xf>
    <xf numFmtId="4" fontId="46" fillId="37" borderId="35" xfId="0" applyNumberFormat="1" applyFont="1" applyFill="1" applyBorder="1" applyAlignment="1"/>
    <xf numFmtId="4" fontId="46" fillId="37" borderId="33" xfId="0" applyNumberFormat="1" applyFont="1" applyFill="1" applyBorder="1" applyAlignment="1"/>
    <xf numFmtId="4" fontId="46" fillId="37" borderId="36" xfId="0" applyNumberFormat="1" applyFont="1" applyFill="1" applyBorder="1" applyAlignment="1"/>
    <xf numFmtId="4" fontId="46" fillId="27" borderId="33" xfId="0" applyNumberFormat="1" applyFont="1" applyFill="1" applyBorder="1" applyAlignment="1"/>
    <xf numFmtId="4" fontId="66" fillId="28" borderId="68" xfId="0" applyNumberFormat="1" applyFont="1" applyFill="1" applyBorder="1"/>
    <xf numFmtId="10" fontId="66" fillId="36" borderId="68" xfId="0" applyNumberFormat="1" applyFont="1" applyFill="1" applyBorder="1"/>
    <xf numFmtId="10" fontId="66" fillId="28" borderId="68" xfId="0" applyNumberFormat="1" applyFont="1" applyFill="1" applyBorder="1"/>
    <xf numFmtId="4" fontId="67" fillId="37" borderId="88" xfId="0" applyNumberFormat="1" applyFont="1" applyFill="1" applyBorder="1"/>
    <xf numFmtId="10" fontId="46" fillId="29" borderId="42" xfId="0" applyNumberFormat="1" applyFont="1" applyFill="1" applyBorder="1"/>
    <xf numFmtId="10" fontId="49" fillId="29" borderId="109" xfId="0" applyNumberFormat="1" applyFont="1" applyFill="1" applyBorder="1" applyAlignment="1">
      <alignment horizontal="center" vertical="center"/>
    </xf>
    <xf numFmtId="164" fontId="46" fillId="0" borderId="17" xfId="0" applyNumberFormat="1" applyFont="1" applyFill="1" applyBorder="1" applyAlignment="1">
      <alignment horizontal="right" vertical="center"/>
    </xf>
    <xf numFmtId="4" fontId="65" fillId="35" borderId="89" xfId="0" applyNumberFormat="1" applyFont="1" applyFill="1" applyBorder="1" applyAlignment="1">
      <alignment horizontal="left" vertical="center"/>
    </xf>
    <xf numFmtId="4" fontId="65" fillId="35" borderId="33" xfId="1" applyNumberFormat="1" applyFont="1" applyFill="1" applyBorder="1" applyAlignment="1">
      <alignment vertical="center"/>
    </xf>
    <xf numFmtId="4" fontId="65" fillId="38" borderId="33" xfId="1" applyNumberFormat="1" applyFont="1" applyFill="1" applyBorder="1" applyAlignment="1">
      <alignment vertical="center"/>
    </xf>
    <xf numFmtId="3" fontId="65" fillId="35" borderId="33" xfId="1" applyNumberFormat="1" applyFont="1" applyFill="1" applyBorder="1" applyAlignment="1">
      <alignment vertical="center"/>
    </xf>
    <xf numFmtId="4" fontId="65" fillId="35" borderId="35" xfId="1" applyNumberFormat="1" applyFont="1" applyFill="1" applyBorder="1" applyAlignment="1">
      <alignment vertical="center"/>
    </xf>
    <xf numFmtId="4" fontId="46" fillId="35" borderId="33" xfId="2" applyNumberFormat="1" applyFont="1" applyFill="1" applyBorder="1" applyAlignment="1">
      <alignment horizontal="right" vertical="center"/>
    </xf>
    <xf numFmtId="4" fontId="65" fillId="35" borderId="128" xfId="0" applyNumberFormat="1" applyFont="1" applyFill="1" applyBorder="1" applyAlignment="1">
      <alignment horizontal="left" vertical="center"/>
    </xf>
    <xf numFmtId="4" fontId="46" fillId="29" borderId="89" xfId="2" applyNumberFormat="1" applyFont="1" applyFill="1" applyBorder="1" applyAlignment="1">
      <alignment horizontal="right" vertical="center"/>
    </xf>
    <xf numFmtId="10" fontId="46" fillId="29" borderId="90" xfId="0" applyNumberFormat="1" applyFont="1" applyFill="1" applyBorder="1"/>
    <xf numFmtId="4" fontId="46" fillId="0" borderId="36" xfId="0" applyNumberFormat="1" applyFont="1" applyFill="1" applyBorder="1" applyAlignment="1"/>
    <xf numFmtId="4" fontId="46" fillId="29" borderId="128" xfId="2" applyNumberFormat="1" applyFont="1" applyFill="1" applyBorder="1" applyAlignment="1">
      <alignment horizontal="right" vertical="center"/>
    </xf>
    <xf numFmtId="4" fontId="70" fillId="35" borderId="49" xfId="0" applyNumberFormat="1" applyFont="1" applyFill="1" applyBorder="1" applyAlignment="1">
      <alignment vertical="center" textRotation="90" wrapText="1"/>
    </xf>
    <xf numFmtId="0" fontId="0" fillId="0" borderId="51" xfId="0" applyBorder="1" applyAlignment="1"/>
    <xf numFmtId="0" fontId="0" fillId="0" borderId="75" xfId="0" applyBorder="1" applyAlignment="1"/>
    <xf numFmtId="0" fontId="46" fillId="0" borderId="61" xfId="0" applyFont="1" applyBorder="1" applyAlignment="1">
      <alignment horizontal="center" vertical="center"/>
    </xf>
    <xf numFmtId="10" fontId="46" fillId="29" borderId="128" xfId="0" applyNumberFormat="1" applyFont="1" applyFill="1" applyBorder="1" applyAlignment="1">
      <alignment vertical="center"/>
    </xf>
    <xf numFmtId="10" fontId="46" fillId="28" borderId="128" xfId="0" applyNumberFormat="1" applyFont="1" applyFill="1" applyBorder="1" applyAlignment="1">
      <alignment vertical="center"/>
    </xf>
    <xf numFmtId="4" fontId="46" fillId="27" borderId="128" xfId="0" applyNumberFormat="1" applyFont="1" applyFill="1" applyBorder="1" applyAlignment="1">
      <alignment vertical="center"/>
    </xf>
    <xf numFmtId="4" fontId="46" fillId="27" borderId="40" xfId="0" applyNumberFormat="1" applyFont="1" applyFill="1" applyBorder="1"/>
    <xf numFmtId="4" fontId="46" fillId="37" borderId="40" xfId="0" applyNumberFormat="1" applyFont="1" applyFill="1" applyBorder="1"/>
    <xf numFmtId="4" fontId="46" fillId="28" borderId="63" xfId="0" applyNumberFormat="1" applyFont="1" applyFill="1" applyBorder="1" applyAlignment="1">
      <alignment vertical="center"/>
    </xf>
    <xf numFmtId="4" fontId="46" fillId="27" borderId="63" xfId="0" applyNumberFormat="1" applyFont="1" applyFill="1" applyBorder="1" applyAlignment="1">
      <alignment vertical="center"/>
    </xf>
    <xf numFmtId="4" fontId="46" fillId="27" borderId="88" xfId="0" applyNumberFormat="1" applyFont="1" applyFill="1" applyBorder="1" applyAlignment="1"/>
    <xf numFmtId="10" fontId="46" fillId="29" borderId="103" xfId="0" applyNumberFormat="1" applyFont="1" applyFill="1" applyBorder="1"/>
    <xf numFmtId="10" fontId="46" fillId="29" borderId="112" xfId="0" applyNumberFormat="1" applyFont="1" applyFill="1" applyBorder="1"/>
    <xf numFmtId="4" fontId="46" fillId="29" borderId="103" xfId="0" applyNumberFormat="1" applyFont="1" applyFill="1" applyBorder="1"/>
    <xf numFmtId="4" fontId="46" fillId="29" borderId="112" xfId="2" applyNumberFormat="1" applyFont="1" applyFill="1" applyBorder="1" applyAlignment="1">
      <alignment horizontal="right" vertical="center"/>
    </xf>
    <xf numFmtId="10" fontId="46" fillId="28" borderId="115" xfId="0" applyNumberFormat="1" applyFont="1" applyFill="1" applyBorder="1" applyAlignment="1">
      <alignment vertical="center"/>
    </xf>
    <xf numFmtId="10" fontId="46" fillId="36" borderId="115" xfId="0" applyNumberFormat="1" applyFont="1" applyFill="1" applyBorder="1" applyAlignment="1">
      <alignment vertical="center"/>
    </xf>
    <xf numFmtId="10" fontId="46" fillId="36" borderId="79" xfId="0" applyNumberFormat="1" applyFont="1" applyFill="1" applyBorder="1"/>
    <xf numFmtId="4" fontId="46" fillId="28" borderId="115" xfId="0" applyNumberFormat="1" applyFont="1" applyFill="1" applyBorder="1" applyAlignment="1">
      <alignment vertical="center"/>
    </xf>
    <xf numFmtId="4" fontId="46" fillId="37" borderId="115" xfId="0" applyNumberFormat="1" applyFont="1" applyFill="1" applyBorder="1" applyAlignment="1">
      <alignment vertical="center"/>
    </xf>
    <xf numFmtId="4" fontId="46" fillId="37" borderId="79" xfId="0" applyNumberFormat="1" applyFont="1" applyFill="1" applyBorder="1"/>
    <xf numFmtId="4" fontId="46" fillId="27" borderId="115" xfId="0" applyNumberFormat="1" applyFont="1" applyFill="1" applyBorder="1" applyAlignment="1">
      <alignment vertical="center"/>
    </xf>
    <xf numFmtId="4" fontId="46" fillId="27" borderId="79" xfId="0" applyNumberFormat="1" applyFont="1" applyFill="1" applyBorder="1"/>
    <xf numFmtId="10" fontId="46" fillId="29" borderId="115" xfId="0" applyNumberFormat="1" applyFont="1" applyFill="1" applyBorder="1" applyAlignment="1">
      <alignment vertical="center"/>
    </xf>
    <xf numFmtId="10" fontId="46" fillId="29" borderId="79" xfId="0" applyNumberFormat="1" applyFont="1" applyFill="1" applyBorder="1"/>
    <xf numFmtId="4" fontId="46" fillId="29" borderId="127" xfId="0" applyNumberFormat="1" applyFont="1" applyFill="1" applyBorder="1"/>
    <xf numFmtId="4" fontId="46" fillId="29" borderId="115" xfId="0" applyNumberFormat="1" applyFont="1" applyFill="1" applyBorder="1" applyAlignment="1">
      <alignment vertical="center"/>
    </xf>
    <xf numFmtId="4" fontId="46" fillId="29" borderId="79" xfId="0" applyNumberFormat="1" applyFont="1" applyFill="1" applyBorder="1"/>
    <xf numFmtId="4" fontId="65" fillId="35" borderId="115" xfId="1" applyNumberFormat="1" applyFont="1" applyFill="1" applyBorder="1" applyAlignment="1">
      <alignment vertical="center"/>
    </xf>
    <xf numFmtId="4" fontId="65" fillId="35" borderId="105" xfId="1" applyNumberFormat="1" applyFont="1" applyFill="1" applyBorder="1" applyAlignment="1">
      <alignment vertical="center"/>
    </xf>
    <xf numFmtId="4" fontId="65" fillId="35" borderId="40" xfId="1" applyNumberFormat="1" applyFont="1" applyFill="1" applyBorder="1" applyAlignment="1">
      <alignment vertical="center"/>
    </xf>
    <xf numFmtId="4" fontId="65" fillId="38" borderId="105" xfId="1" applyNumberFormat="1" applyFont="1" applyFill="1" applyBorder="1" applyAlignment="1">
      <alignment vertical="center"/>
    </xf>
    <xf numFmtId="4" fontId="65" fillId="38" borderId="40" xfId="1" applyNumberFormat="1" applyFont="1" applyFill="1" applyBorder="1" applyAlignment="1">
      <alignment vertical="center"/>
    </xf>
    <xf numFmtId="3" fontId="65" fillId="35" borderId="105" xfId="1" applyNumberFormat="1" applyFont="1" applyFill="1" applyBorder="1" applyAlignment="1">
      <alignment vertical="center"/>
    </xf>
    <xf numFmtId="3" fontId="65" fillId="35" borderId="40" xfId="1" applyNumberFormat="1" applyFont="1" applyFill="1" applyBorder="1" applyAlignment="1">
      <alignment vertical="center"/>
    </xf>
    <xf numFmtId="4" fontId="65" fillId="35" borderId="106" xfId="1" applyNumberFormat="1" applyFont="1" applyFill="1" applyBorder="1" applyAlignment="1">
      <alignment vertical="center"/>
    </xf>
    <xf numFmtId="0" fontId="49" fillId="0" borderId="0" xfId="0" applyFont="1" applyAlignment="1">
      <alignment vertical="center"/>
    </xf>
    <xf numFmtId="10" fontId="47" fillId="0" borderId="125" xfId="0" applyNumberFormat="1" applyFont="1" applyFill="1" applyBorder="1" applyAlignment="1">
      <alignment vertical="center"/>
    </xf>
    <xf numFmtId="10" fontId="46" fillId="28" borderId="68" xfId="0" applyNumberFormat="1" applyFont="1" applyFill="1" applyBorder="1" applyAlignment="1">
      <alignment vertical="center"/>
    </xf>
    <xf numFmtId="3" fontId="51" fillId="40" borderId="47" xfId="0" applyNumberFormat="1" applyFont="1" applyFill="1" applyBorder="1" applyAlignment="1">
      <alignment horizontal="center" vertical="center" wrapText="1"/>
    </xf>
    <xf numFmtId="3" fontId="51" fillId="40" borderId="48" xfId="0" applyNumberFormat="1" applyFont="1" applyFill="1" applyBorder="1" applyAlignment="1">
      <alignment horizontal="center" vertical="center" wrapText="1"/>
    </xf>
    <xf numFmtId="4" fontId="51" fillId="40" borderId="48" xfId="0" applyNumberFormat="1" applyFont="1" applyFill="1" applyBorder="1" applyAlignment="1">
      <alignment horizontal="center" vertical="center" wrapText="1"/>
    </xf>
    <xf numFmtId="4" fontId="51" fillId="27" borderId="96" xfId="0" applyNumberFormat="1" applyFont="1" applyFill="1" applyBorder="1" applyAlignment="1">
      <alignment horizontal="center" vertical="center"/>
    </xf>
    <xf numFmtId="4" fontId="46" fillId="0" borderId="118" xfId="0" applyNumberFormat="1" applyFont="1" applyBorder="1"/>
    <xf numFmtId="4" fontId="46" fillId="29" borderId="113" xfId="0" applyNumberFormat="1" applyFont="1" applyFill="1" applyBorder="1" applyAlignment="1">
      <alignment horizontal="center"/>
    </xf>
    <xf numFmtId="4" fontId="46" fillId="28" borderId="141" xfId="0" applyNumberFormat="1" applyFont="1" applyFill="1" applyBorder="1"/>
    <xf numFmtId="4" fontId="46" fillId="28" borderId="84" xfId="0" applyNumberFormat="1" applyFont="1" applyFill="1" applyBorder="1"/>
    <xf numFmtId="4" fontId="46" fillId="28" borderId="32" xfId="0" applyNumberFormat="1" applyFont="1" applyFill="1" applyBorder="1" applyAlignment="1">
      <alignment vertical="center"/>
    </xf>
    <xf numFmtId="4" fontId="46" fillId="28" borderId="135" xfId="0" applyNumberFormat="1" applyFont="1" applyFill="1" applyBorder="1" applyAlignment="1">
      <alignment vertical="center"/>
    </xf>
    <xf numFmtId="4" fontId="67" fillId="28" borderId="94" xfId="0" applyNumberFormat="1" applyFont="1" applyFill="1" applyBorder="1"/>
    <xf numFmtId="4" fontId="67" fillId="28" borderId="73" xfId="0" applyNumberFormat="1" applyFont="1" applyFill="1" applyBorder="1"/>
    <xf numFmtId="10" fontId="46" fillId="28" borderId="73" xfId="0" applyNumberFormat="1" applyFont="1" applyFill="1" applyBorder="1" applyAlignment="1">
      <alignment horizontal="center" vertical="center"/>
    </xf>
    <xf numFmtId="0" fontId="46" fillId="29" borderId="73" xfId="0" applyFont="1" applyFill="1" applyBorder="1" applyAlignment="1">
      <alignment horizontal="center" vertical="center"/>
    </xf>
    <xf numFmtId="0" fontId="67" fillId="29" borderId="73" xfId="0" applyFont="1" applyFill="1" applyBorder="1" applyAlignment="1">
      <alignment horizontal="center" vertical="center"/>
    </xf>
    <xf numFmtId="0" fontId="67" fillId="29" borderId="56" xfId="0" applyFont="1" applyFill="1" applyBorder="1" applyAlignment="1">
      <alignment horizontal="center" vertical="center"/>
    </xf>
    <xf numFmtId="4" fontId="46" fillId="28" borderId="97" xfId="0" applyNumberFormat="1" applyFont="1" applyFill="1" applyBorder="1" applyAlignment="1">
      <alignment horizontal="center" vertical="center"/>
    </xf>
    <xf numFmtId="4" fontId="46" fillId="27" borderId="97" xfId="0" applyNumberFormat="1" applyFont="1" applyFill="1" applyBorder="1" applyAlignment="1"/>
    <xf numFmtId="4" fontId="46" fillId="28" borderId="137" xfId="0" applyNumberFormat="1" applyFont="1" applyFill="1" applyBorder="1" applyAlignment="1">
      <alignment horizontal="center" vertical="center"/>
    </xf>
    <xf numFmtId="4" fontId="47" fillId="0" borderId="142" xfId="0" applyNumberFormat="1" applyFont="1" applyBorder="1" applyAlignment="1">
      <alignment horizontal="right" vertical="center"/>
    </xf>
    <xf numFmtId="4" fontId="47" fillId="36" borderId="67" xfId="0" applyNumberFormat="1" applyFont="1" applyFill="1" applyBorder="1" applyAlignment="1">
      <alignment vertical="center"/>
    </xf>
    <xf numFmtId="10" fontId="49" fillId="28" borderId="68" xfId="0" applyNumberFormat="1" applyFont="1" applyFill="1" applyBorder="1" applyAlignment="1">
      <alignment vertical="center"/>
    </xf>
    <xf numFmtId="4" fontId="47" fillId="0" borderId="29" xfId="0" applyNumberFormat="1" applyFont="1" applyFill="1" applyBorder="1" applyAlignment="1">
      <alignment vertical="center"/>
    </xf>
    <xf numFmtId="4" fontId="47" fillId="0" borderId="29" xfId="0" applyNumberFormat="1" applyFont="1" applyBorder="1" applyAlignment="1">
      <alignment horizontal="right" vertical="center"/>
    </xf>
    <xf numFmtId="4" fontId="47" fillId="0" borderId="14" xfId="0" applyNumberFormat="1" applyFont="1" applyBorder="1" applyAlignment="1">
      <alignment horizontal="right" vertical="center"/>
    </xf>
    <xf numFmtId="4" fontId="47" fillId="28" borderId="67" xfId="0" applyNumberFormat="1" applyFont="1" applyFill="1" applyBorder="1" applyAlignment="1">
      <alignment horizontal="center" vertical="center"/>
    </xf>
    <xf numFmtId="10" fontId="47" fillId="28" borderId="68" xfId="0" applyNumberFormat="1" applyFont="1" applyFill="1" applyBorder="1" applyAlignment="1">
      <alignment vertical="center"/>
    </xf>
    <xf numFmtId="4" fontId="46" fillId="28" borderId="68" xfId="0" applyNumberFormat="1" applyFont="1" applyFill="1" applyBorder="1" applyAlignment="1">
      <alignment vertical="center"/>
    </xf>
    <xf numFmtId="4" fontId="46" fillId="28" borderId="36" xfId="0" applyNumberFormat="1" applyFont="1" applyFill="1" applyBorder="1" applyAlignment="1">
      <alignment vertical="center"/>
    </xf>
    <xf numFmtId="4" fontId="67" fillId="29" borderId="43" xfId="0" applyNumberFormat="1" applyFont="1" applyFill="1" applyBorder="1"/>
    <xf numFmtId="4" fontId="67" fillId="27" borderId="41" xfId="0" applyNumberFormat="1" applyFont="1" applyFill="1" applyBorder="1" applyAlignment="1"/>
    <xf numFmtId="4" fontId="67" fillId="0" borderId="140" xfId="0" applyNumberFormat="1" applyFont="1" applyBorder="1"/>
    <xf numFmtId="0" fontId="67" fillId="29" borderId="55" xfId="0" applyFont="1" applyFill="1" applyBorder="1" applyAlignment="1">
      <alignment horizontal="center" vertical="center"/>
    </xf>
    <xf numFmtId="4" fontId="67" fillId="29" borderId="55" xfId="0" applyNumberFormat="1" applyFont="1" applyFill="1" applyBorder="1"/>
    <xf numFmtId="3" fontId="51" fillId="30" borderId="43" xfId="0" applyNumberFormat="1" applyFont="1" applyFill="1" applyBorder="1" applyAlignment="1">
      <alignment horizontal="right"/>
    </xf>
    <xf numFmtId="10" fontId="46" fillId="28" borderId="129" xfId="0" applyNumberFormat="1" applyFont="1" applyFill="1" applyBorder="1"/>
    <xf numFmtId="10" fontId="67" fillId="28" borderId="143" xfId="0" applyNumberFormat="1" applyFont="1" applyFill="1" applyBorder="1"/>
    <xf numFmtId="10" fontId="46" fillId="28" borderId="144" xfId="0" applyNumberFormat="1" applyFont="1" applyFill="1" applyBorder="1" applyAlignment="1">
      <alignment horizontal="center" vertical="center"/>
    </xf>
    <xf numFmtId="10" fontId="46" fillId="28" borderId="144" xfId="0" applyNumberFormat="1" applyFont="1" applyFill="1" applyBorder="1"/>
    <xf numFmtId="10" fontId="46" fillId="28" borderId="145" xfId="0" applyNumberFormat="1" applyFont="1" applyFill="1" applyBorder="1" applyAlignment="1">
      <alignment horizontal="center" vertical="center"/>
    </xf>
    <xf numFmtId="4" fontId="67" fillId="37" borderId="32" xfId="0" applyNumberFormat="1" applyFont="1" applyFill="1" applyBorder="1" applyAlignment="1"/>
    <xf numFmtId="4" fontId="46" fillId="27" borderId="61" xfId="0" applyNumberFormat="1" applyFont="1" applyFill="1" applyBorder="1" applyAlignment="1"/>
    <xf numFmtId="4" fontId="46" fillId="27" borderId="115" xfId="0" applyNumberFormat="1" applyFont="1" applyFill="1" applyBorder="1" applyAlignment="1"/>
    <xf numFmtId="4" fontId="67" fillId="27" borderId="67" xfId="0" applyNumberFormat="1" applyFont="1" applyFill="1" applyBorder="1" applyAlignment="1"/>
    <xf numFmtId="4" fontId="46" fillId="27" borderId="67" xfId="0" applyNumberFormat="1" applyFont="1" applyFill="1" applyBorder="1" applyAlignment="1"/>
    <xf numFmtId="4" fontId="46" fillId="27" borderId="116" xfId="0" applyNumberFormat="1" applyFont="1" applyFill="1" applyBorder="1" applyAlignment="1"/>
    <xf numFmtId="4" fontId="46" fillId="27" borderId="146" xfId="0" applyNumberFormat="1" applyFont="1" applyFill="1" applyBorder="1" applyAlignment="1"/>
    <xf numFmtId="4" fontId="67" fillId="27" borderId="144" xfId="0" applyNumberFormat="1" applyFont="1" applyFill="1" applyBorder="1" applyAlignment="1"/>
    <xf numFmtId="4" fontId="67" fillId="27" borderId="147" xfId="0" applyNumberFormat="1" applyFont="1" applyFill="1" applyBorder="1" applyAlignment="1"/>
    <xf numFmtId="4" fontId="46" fillId="27" borderId="111" xfId="0" applyNumberFormat="1" applyFont="1" applyFill="1" applyBorder="1" applyAlignment="1">
      <alignment horizontal="center" vertical="center"/>
    </xf>
    <xf numFmtId="4" fontId="46" fillId="28" borderId="137" xfId="0" applyNumberFormat="1" applyFont="1" applyFill="1" applyBorder="1" applyAlignment="1">
      <alignment vertical="center"/>
    </xf>
    <xf numFmtId="164" fontId="74" fillId="0" borderId="17" xfId="0" applyNumberFormat="1" applyFont="1" applyFill="1" applyBorder="1" applyAlignment="1">
      <alignment horizontal="right" vertical="center"/>
    </xf>
    <xf numFmtId="10" fontId="47" fillId="0" borderId="0" xfId="0" applyNumberFormat="1" applyFont="1" applyBorder="1" applyAlignment="1">
      <alignment horizontal="right" vertical="center"/>
    </xf>
    <xf numFmtId="10" fontId="47" fillId="0" borderId="148" xfId="0" applyNumberFormat="1" applyFont="1" applyFill="1" applyBorder="1" applyAlignment="1">
      <alignment vertical="center"/>
    </xf>
    <xf numFmtId="10" fontId="47" fillId="0" borderId="50" xfId="0" applyNumberFormat="1" applyFont="1" applyFill="1" applyBorder="1" applyAlignment="1">
      <alignment vertical="center"/>
    </xf>
    <xf numFmtId="10" fontId="46" fillId="0" borderId="50" xfId="0" applyNumberFormat="1" applyFont="1" applyFill="1" applyBorder="1"/>
    <xf numFmtId="10" fontId="47" fillId="0" borderId="57" xfId="0" applyNumberFormat="1" applyFont="1" applyFill="1" applyBorder="1" applyAlignment="1">
      <alignment vertical="center"/>
    </xf>
    <xf numFmtId="10" fontId="47" fillId="0" borderId="149" xfId="0" applyNumberFormat="1" applyFont="1" applyFill="1" applyBorder="1" applyAlignment="1">
      <alignment vertical="center"/>
    </xf>
    <xf numFmtId="4" fontId="46" fillId="36" borderId="114" xfId="0" applyNumberFormat="1" applyFont="1" applyFill="1" applyBorder="1"/>
    <xf numFmtId="4" fontId="46" fillId="36" borderId="144" xfId="0" applyNumberFormat="1" applyFont="1" applyFill="1" applyBorder="1"/>
    <xf numFmtId="4" fontId="46" fillId="36" borderId="145" xfId="0" applyNumberFormat="1" applyFont="1" applyFill="1" applyBorder="1"/>
    <xf numFmtId="4" fontId="46" fillId="36" borderId="123" xfId="0" applyNumberFormat="1" applyFont="1" applyFill="1" applyBorder="1"/>
    <xf numFmtId="4" fontId="46" fillId="36" borderId="73" xfId="0" applyNumberFormat="1" applyFont="1" applyFill="1" applyBorder="1"/>
    <xf numFmtId="4" fontId="46" fillId="36" borderId="97" xfId="0" applyNumberFormat="1" applyFont="1" applyFill="1" applyBorder="1"/>
    <xf numFmtId="10" fontId="47" fillId="0" borderId="38" xfId="0" applyNumberFormat="1" applyFont="1" applyFill="1" applyBorder="1" applyAlignment="1">
      <alignment vertical="center"/>
    </xf>
    <xf numFmtId="0" fontId="67" fillId="0" borderId="103" xfId="0" applyFont="1" applyFill="1" applyBorder="1" applyAlignment="1"/>
    <xf numFmtId="3" fontId="68" fillId="35" borderId="42" xfId="1" applyNumberFormat="1" applyFont="1" applyFill="1" applyBorder="1" applyAlignment="1">
      <alignment horizontal="center" vertical="center"/>
    </xf>
    <xf numFmtId="4" fontId="67" fillId="0" borderId="91" xfId="0" applyNumberFormat="1" applyFont="1" applyFill="1" applyBorder="1" applyAlignment="1">
      <alignment horizontal="center" vertical="center"/>
    </xf>
    <xf numFmtId="10" fontId="67" fillId="29" borderId="109" xfId="0" applyNumberFormat="1" applyFont="1" applyFill="1" applyBorder="1" applyAlignment="1">
      <alignment horizontal="center" vertical="center"/>
    </xf>
    <xf numFmtId="10" fontId="67" fillId="28" borderId="138" xfId="0" applyNumberFormat="1" applyFont="1" applyFill="1" applyBorder="1" applyAlignment="1">
      <alignment horizontal="center" vertical="center"/>
    </xf>
    <xf numFmtId="10" fontId="67" fillId="28" borderId="32" xfId="0" applyNumberFormat="1" applyFont="1" applyFill="1" applyBorder="1" applyAlignment="1">
      <alignment horizontal="center" vertical="center"/>
    </xf>
    <xf numFmtId="10" fontId="67" fillId="28" borderId="108" xfId="0" applyNumberFormat="1" applyFont="1" applyFill="1" applyBorder="1" applyAlignment="1">
      <alignment horizontal="center" vertical="center"/>
    </xf>
    <xf numFmtId="10" fontId="67" fillId="28" borderId="143" xfId="0" applyNumberFormat="1" applyFont="1" applyFill="1" applyBorder="1" applyAlignment="1">
      <alignment horizontal="center" vertical="center"/>
    </xf>
    <xf numFmtId="10" fontId="67" fillId="28" borderId="41" xfId="0" applyNumberFormat="1" applyFont="1" applyFill="1" applyBorder="1" applyAlignment="1">
      <alignment horizontal="center" vertical="center"/>
    </xf>
    <xf numFmtId="10" fontId="67" fillId="28" borderId="136" xfId="0" applyNumberFormat="1" applyFont="1" applyFill="1" applyBorder="1" applyAlignment="1">
      <alignment horizontal="center" vertical="center"/>
    </xf>
    <xf numFmtId="10" fontId="67" fillId="28" borderId="42" xfId="0" applyNumberFormat="1" applyFont="1" applyFill="1" applyBorder="1" applyAlignment="1">
      <alignment horizontal="center" vertical="center"/>
    </xf>
    <xf numFmtId="10" fontId="67" fillId="28" borderId="43" xfId="0" applyNumberFormat="1" applyFont="1" applyFill="1" applyBorder="1" applyAlignment="1">
      <alignment horizontal="center" vertical="center"/>
    </xf>
    <xf numFmtId="0" fontId="67" fillId="0" borderId="42" xfId="0" applyFont="1" applyBorder="1" applyAlignment="1">
      <alignment horizontal="center" vertical="center"/>
    </xf>
    <xf numFmtId="0" fontId="67" fillId="0" borderId="13" xfId="0" applyFont="1" applyBorder="1" applyAlignment="1">
      <alignment horizontal="center" vertical="center"/>
    </xf>
    <xf numFmtId="0" fontId="67" fillId="0" borderId="91" xfId="0" applyFont="1" applyBorder="1" applyAlignment="1">
      <alignment horizontal="center" vertical="center"/>
    </xf>
    <xf numFmtId="0" fontId="67" fillId="0" borderId="110" xfId="0" applyFont="1" applyFill="1" applyBorder="1"/>
    <xf numFmtId="0" fontId="67" fillId="0" borderId="139" xfId="0" applyFont="1" applyBorder="1" applyAlignment="1">
      <alignment horizontal="center" vertical="center"/>
    </xf>
    <xf numFmtId="0" fontId="67" fillId="0" borderId="52" xfId="0" applyFont="1" applyBorder="1" applyAlignment="1">
      <alignment horizontal="center" vertical="center"/>
    </xf>
    <xf numFmtId="0" fontId="67" fillId="0" borderId="118" xfId="0" applyFont="1" applyBorder="1" applyAlignment="1">
      <alignment horizontal="center" vertical="center"/>
    </xf>
    <xf numFmtId="0" fontId="67" fillId="0" borderId="55" xfId="0" applyFont="1" applyBorder="1" applyAlignment="1">
      <alignment horizontal="center" vertical="center"/>
    </xf>
    <xf numFmtId="10" fontId="67" fillId="28" borderId="144" xfId="0" applyNumberFormat="1" applyFont="1" applyFill="1" applyBorder="1" applyAlignment="1">
      <alignment horizontal="center" vertical="center"/>
    </xf>
    <xf numFmtId="0" fontId="67" fillId="0" borderId="140" xfId="0" applyFont="1" applyFill="1" applyBorder="1"/>
    <xf numFmtId="10" fontId="67" fillId="28" borderId="133" xfId="0" applyNumberFormat="1" applyFont="1" applyFill="1" applyBorder="1" applyAlignment="1">
      <alignment horizontal="center" vertical="center"/>
    </xf>
    <xf numFmtId="10" fontId="67" fillId="28" borderId="102" xfId="0" applyNumberFormat="1" applyFont="1" applyFill="1" applyBorder="1" applyAlignment="1">
      <alignment horizontal="center" vertical="center"/>
    </xf>
    <xf numFmtId="10" fontId="67" fillId="28" borderId="109" xfId="0" applyNumberFormat="1" applyFont="1" applyFill="1" applyBorder="1" applyAlignment="1">
      <alignment horizontal="center" vertical="center"/>
    </xf>
    <xf numFmtId="3" fontId="51" fillId="39" borderId="47" xfId="0" applyNumberFormat="1" applyFont="1" applyFill="1" applyBorder="1" applyAlignment="1">
      <alignment horizontal="center" vertical="center" wrapText="1"/>
    </xf>
    <xf numFmtId="3" fontId="51" fillId="39" borderId="48" xfId="0" applyNumberFormat="1" applyFont="1" applyFill="1" applyBorder="1" applyAlignment="1">
      <alignment horizontal="center" vertical="center" wrapText="1"/>
    </xf>
    <xf numFmtId="4" fontId="51" fillId="39" borderId="48" xfId="0" applyNumberFormat="1" applyFont="1" applyFill="1" applyBorder="1" applyAlignment="1">
      <alignment horizontal="center" vertical="center" wrapText="1"/>
    </xf>
    <xf numFmtId="4" fontId="46" fillId="29" borderId="115" xfId="0" applyNumberFormat="1" applyFont="1" applyFill="1" applyBorder="1" applyAlignment="1">
      <alignment horizontal="center" vertical="center"/>
    </xf>
    <xf numFmtId="4" fontId="46" fillId="29" borderId="79" xfId="0" applyNumberFormat="1" applyFont="1" applyFill="1" applyBorder="1" applyAlignment="1">
      <alignment horizontal="center" vertical="center"/>
    </xf>
    <xf numFmtId="4" fontId="46" fillId="29" borderId="135" xfId="0" applyNumberFormat="1" applyFont="1" applyFill="1" applyBorder="1" applyAlignment="1">
      <alignment horizontal="center" vertical="center"/>
    </xf>
    <xf numFmtId="4" fontId="46" fillId="29" borderId="150" xfId="0" applyNumberFormat="1" applyFont="1" applyFill="1" applyBorder="1" applyAlignment="1">
      <alignment horizontal="center" vertical="center"/>
    </xf>
    <xf numFmtId="0" fontId="49" fillId="0" borderId="67" xfId="0" applyFont="1" applyBorder="1" applyAlignment="1">
      <alignment horizontal="center" vertical="center"/>
    </xf>
    <xf numFmtId="4" fontId="50" fillId="35" borderId="107" xfId="0" applyNumberFormat="1" applyFont="1" applyFill="1" applyBorder="1" applyAlignment="1">
      <alignment horizontal="left" vertical="center"/>
    </xf>
    <xf numFmtId="3" fontId="50" fillId="35" borderId="42" xfId="1" applyNumberFormat="1" applyFont="1" applyFill="1" applyBorder="1" applyAlignment="1">
      <alignment vertical="center"/>
    </xf>
    <xf numFmtId="4" fontId="50" fillId="35" borderId="42" xfId="1" applyNumberFormat="1" applyFont="1" applyFill="1" applyBorder="1" applyAlignment="1">
      <alignment vertical="center"/>
    </xf>
    <xf numFmtId="4" fontId="50" fillId="38" borderId="42" xfId="1" applyNumberFormat="1" applyFont="1" applyFill="1" applyBorder="1" applyAlignment="1">
      <alignment vertical="center"/>
    </xf>
    <xf numFmtId="4" fontId="50" fillId="35" borderId="91" xfId="1" applyNumberFormat="1" applyFont="1" applyFill="1" applyBorder="1" applyAlignment="1">
      <alignment vertical="center"/>
    </xf>
    <xf numFmtId="4" fontId="50" fillId="35" borderId="116" xfId="1" applyNumberFormat="1" applyFont="1" applyFill="1" applyBorder="1" applyAlignment="1">
      <alignment vertical="center"/>
    </xf>
    <xf numFmtId="4" fontId="49" fillId="29" borderId="107" xfId="2" applyNumberFormat="1" applyFont="1" applyFill="1" applyBorder="1" applyAlignment="1">
      <alignment horizontal="right" vertical="center"/>
    </xf>
    <xf numFmtId="4" fontId="49" fillId="29" borderId="42" xfId="0" applyNumberFormat="1" applyFont="1" applyFill="1" applyBorder="1" applyAlignment="1">
      <alignment vertical="center"/>
    </xf>
    <xf numFmtId="4" fontId="49" fillId="29" borderId="116" xfId="0" applyNumberFormat="1" applyFont="1" applyFill="1" applyBorder="1" applyAlignment="1">
      <alignment vertical="center"/>
    </xf>
    <xf numFmtId="4" fontId="49" fillId="36" borderId="42" xfId="0" applyNumberFormat="1" applyFont="1" applyFill="1" applyBorder="1" applyAlignment="1">
      <alignment vertical="center"/>
    </xf>
    <xf numFmtId="10" fontId="49" fillId="36" borderId="116" xfId="0" applyNumberFormat="1" applyFont="1" applyFill="1" applyBorder="1" applyAlignment="1">
      <alignment vertical="center"/>
    </xf>
    <xf numFmtId="10" fontId="49" fillId="29" borderId="116" xfId="0" applyNumberFormat="1" applyFont="1" applyFill="1" applyBorder="1" applyAlignment="1">
      <alignment vertical="center"/>
    </xf>
    <xf numFmtId="10" fontId="49" fillId="29" borderId="107" xfId="0" applyNumberFormat="1" applyFont="1" applyFill="1" applyBorder="1" applyAlignment="1">
      <alignment vertical="center"/>
    </xf>
    <xf numFmtId="4" fontId="49" fillId="27" borderId="42" xfId="0" applyNumberFormat="1" applyFont="1" applyFill="1" applyBorder="1" applyAlignment="1">
      <alignment vertical="center"/>
    </xf>
    <xf numFmtId="4" fontId="49" fillId="27" borderId="116" xfId="0" applyNumberFormat="1" applyFont="1" applyFill="1" applyBorder="1" applyAlignment="1">
      <alignment vertical="center"/>
    </xf>
    <xf numFmtId="4" fontId="49" fillId="37" borderId="42" xfId="0" applyNumberFormat="1" applyFont="1" applyFill="1" applyBorder="1" applyAlignment="1">
      <alignment vertical="center"/>
    </xf>
    <xf numFmtId="4" fontId="49" fillId="37" borderId="116" xfId="0" applyNumberFormat="1" applyFont="1" applyFill="1" applyBorder="1" applyAlignment="1">
      <alignment vertical="center"/>
    </xf>
    <xf numFmtId="4" fontId="49" fillId="27" borderId="107" xfId="0" applyNumberFormat="1" applyFont="1" applyFill="1" applyBorder="1" applyAlignment="1">
      <alignment vertical="center"/>
    </xf>
    <xf numFmtId="4" fontId="49" fillId="28" borderId="42" xfId="0" applyNumberFormat="1" applyFont="1" applyFill="1" applyBorder="1" applyAlignment="1">
      <alignment vertical="center"/>
    </xf>
    <xf numFmtId="4" fontId="49" fillId="28" borderId="116" xfId="0" applyNumberFormat="1" applyFont="1" applyFill="1" applyBorder="1" applyAlignment="1">
      <alignment vertical="center"/>
    </xf>
    <xf numFmtId="10" fontId="49" fillId="28" borderId="116" xfId="0" applyNumberFormat="1" applyFont="1" applyFill="1" applyBorder="1" applyAlignment="1">
      <alignment vertical="center"/>
    </xf>
    <xf numFmtId="10" fontId="49" fillId="28" borderId="107" xfId="0" applyNumberFormat="1" applyFont="1" applyFill="1" applyBorder="1" applyAlignment="1">
      <alignment vertical="center"/>
    </xf>
    <xf numFmtId="4" fontId="49" fillId="27" borderId="68" xfId="0" applyNumberFormat="1" applyFont="1" applyFill="1" applyBorder="1" applyAlignment="1">
      <alignment vertical="center"/>
    </xf>
    <xf numFmtId="4" fontId="49" fillId="37" borderId="68" xfId="0" applyNumberFormat="1" applyFont="1" applyFill="1" applyBorder="1" applyAlignment="1">
      <alignment vertical="center"/>
    </xf>
    <xf numFmtId="4" fontId="49" fillId="28" borderId="68" xfId="0" applyNumberFormat="1" applyFont="1" applyFill="1" applyBorder="1" applyAlignment="1">
      <alignment vertical="center"/>
    </xf>
    <xf numFmtId="10" fontId="49" fillId="36" borderId="68" xfId="0" applyNumberFormat="1" applyFont="1" applyFill="1" applyBorder="1" applyAlignment="1">
      <alignment vertical="center"/>
    </xf>
    <xf numFmtId="4" fontId="65" fillId="35" borderId="38" xfId="1" applyNumberFormat="1" applyFont="1" applyFill="1" applyBorder="1" applyAlignment="1">
      <alignment vertical="center"/>
    </xf>
    <xf numFmtId="4" fontId="46" fillId="27" borderId="100" xfId="0" applyNumberFormat="1" applyFont="1" applyFill="1" applyBorder="1"/>
    <xf numFmtId="4" fontId="65" fillId="35" borderId="42" xfId="1" applyNumberFormat="1" applyFont="1" applyFill="1" applyBorder="1" applyAlignment="1"/>
    <xf numFmtId="4" fontId="46" fillId="0" borderId="42" xfId="0" applyNumberFormat="1" applyFont="1" applyFill="1" applyBorder="1" applyAlignment="1">
      <alignment horizontal="right"/>
    </xf>
    <xf numFmtId="4" fontId="46" fillId="0" borderId="42" xfId="0" applyNumberFormat="1" applyFont="1" applyBorder="1" applyAlignment="1"/>
    <xf numFmtId="4" fontId="46" fillId="0" borderId="116" xfId="0" applyNumberFormat="1" applyFont="1" applyFill="1" applyBorder="1" applyAlignment="1"/>
    <xf numFmtId="4" fontId="46" fillId="29" borderId="107" xfId="0" applyNumberFormat="1" applyFont="1" applyFill="1" applyBorder="1" applyAlignment="1"/>
    <xf numFmtId="10" fontId="46" fillId="29" borderId="107" xfId="0" applyNumberFormat="1" applyFont="1" applyFill="1" applyBorder="1"/>
    <xf numFmtId="4" fontId="46" fillId="27" borderId="68" xfId="0" applyNumberFormat="1" applyFont="1" applyFill="1" applyBorder="1" applyAlignment="1"/>
    <xf numFmtId="4" fontId="46" fillId="37" borderId="42" xfId="0" applyNumberFormat="1" applyFont="1" applyFill="1" applyBorder="1" applyAlignment="1"/>
    <xf numFmtId="4" fontId="46" fillId="37" borderId="13" xfId="0" applyNumberFormat="1" applyFont="1" applyFill="1" applyBorder="1" applyAlignment="1"/>
    <xf numFmtId="4" fontId="46" fillId="37" borderId="116" xfId="0" applyNumberFormat="1" applyFont="1" applyFill="1" applyBorder="1" applyAlignment="1"/>
    <xf numFmtId="4" fontId="46" fillId="27" borderId="107" xfId="0" applyNumberFormat="1" applyFont="1" applyFill="1" applyBorder="1" applyAlignment="1"/>
    <xf numFmtId="4" fontId="46" fillId="28" borderId="116" xfId="0" applyNumberFormat="1" applyFont="1" applyFill="1" applyBorder="1"/>
    <xf numFmtId="10" fontId="46" fillId="36" borderId="116" xfId="0" applyNumberFormat="1" applyFont="1" applyFill="1" applyBorder="1"/>
    <xf numFmtId="10" fontId="46" fillId="28" borderId="116" xfId="0" applyNumberFormat="1" applyFont="1" applyFill="1" applyBorder="1"/>
    <xf numFmtId="0" fontId="46" fillId="0" borderId="42" xfId="0" applyFont="1" applyBorder="1" applyAlignment="1"/>
    <xf numFmtId="4" fontId="46" fillId="0" borderId="91" xfId="0" applyNumberFormat="1" applyFont="1" applyBorder="1" applyAlignment="1"/>
    <xf numFmtId="4" fontId="46" fillId="28" borderId="138" xfId="0" applyNumberFormat="1" applyFont="1" applyFill="1" applyBorder="1" applyAlignment="1"/>
    <xf numFmtId="4" fontId="46" fillId="28" borderId="88" xfId="0" applyNumberFormat="1" applyFont="1" applyFill="1" applyBorder="1" applyAlignment="1"/>
    <xf numFmtId="4" fontId="46" fillId="36" borderId="93" xfId="0" applyNumberFormat="1" applyFont="1" applyFill="1" applyBorder="1" applyAlignment="1"/>
    <xf numFmtId="4" fontId="46" fillId="36" borderId="64" xfId="0" applyNumberFormat="1" applyFont="1" applyFill="1" applyBorder="1" applyAlignment="1"/>
    <xf numFmtId="10" fontId="46" fillId="36" borderId="88" xfId="0" applyNumberFormat="1" applyFont="1" applyFill="1" applyBorder="1" applyAlignment="1"/>
    <xf numFmtId="4" fontId="46" fillId="28" borderId="93" xfId="0" applyNumberFormat="1" applyFont="1" applyFill="1" applyBorder="1" applyAlignment="1"/>
    <xf numFmtId="4" fontId="46" fillId="28" borderId="64" xfId="0" applyNumberFormat="1" applyFont="1" applyFill="1" applyBorder="1" applyAlignment="1"/>
    <xf numFmtId="10" fontId="46" fillId="28" borderId="88" xfId="0" applyNumberFormat="1" applyFont="1" applyFill="1" applyBorder="1" applyAlignment="1"/>
    <xf numFmtId="10" fontId="46" fillId="28" borderId="108" xfId="0" applyNumberFormat="1" applyFont="1" applyFill="1" applyBorder="1" applyAlignment="1"/>
    <xf numFmtId="4" fontId="46" fillId="28" borderId="32" xfId="0" applyNumberFormat="1" applyFont="1" applyFill="1" applyBorder="1" applyAlignment="1"/>
    <xf numFmtId="4" fontId="46" fillId="0" borderId="88" xfId="0" applyNumberFormat="1" applyFont="1" applyBorder="1" applyAlignment="1"/>
    <xf numFmtId="4" fontId="46" fillId="28" borderId="108" xfId="0" applyNumberFormat="1" applyFont="1" applyFill="1" applyBorder="1" applyAlignment="1"/>
    <xf numFmtId="4" fontId="46" fillId="36" borderId="32" xfId="0" applyNumberFormat="1" applyFont="1" applyFill="1" applyBorder="1" applyAlignment="1"/>
    <xf numFmtId="10" fontId="46" fillId="29" borderId="88" xfId="0" applyNumberFormat="1" applyFont="1" applyFill="1" applyBorder="1" applyAlignment="1"/>
    <xf numFmtId="10" fontId="46" fillId="29" borderId="108" xfId="0" applyNumberFormat="1" applyFont="1" applyFill="1" applyBorder="1" applyAlignment="1"/>
    <xf numFmtId="4" fontId="46" fillId="27" borderId="64" xfId="0" applyNumberFormat="1" applyFont="1" applyFill="1" applyBorder="1" applyAlignment="1"/>
    <xf numFmtId="4" fontId="46" fillId="37" borderId="93" xfId="0" applyNumberFormat="1" applyFont="1" applyFill="1" applyBorder="1" applyAlignment="1"/>
    <xf numFmtId="4" fontId="46" fillId="27" borderId="93" xfId="0" applyNumberFormat="1" applyFont="1" applyFill="1" applyBorder="1" applyAlignment="1"/>
    <xf numFmtId="4" fontId="46" fillId="27" borderId="95" xfId="0" applyNumberFormat="1" applyFont="1" applyFill="1" applyBorder="1" applyAlignment="1"/>
    <xf numFmtId="4" fontId="47" fillId="31" borderId="28" xfId="0" applyNumberFormat="1" applyFont="1" applyFill="1" applyBorder="1" applyAlignment="1">
      <alignment horizontal="right" vertical="center"/>
    </xf>
    <xf numFmtId="4" fontId="47" fillId="31" borderId="28" xfId="0" applyNumberFormat="1" applyFont="1" applyFill="1" applyBorder="1" applyAlignment="1">
      <alignment vertical="center"/>
    </xf>
    <xf numFmtId="4" fontId="47" fillId="31" borderId="14" xfId="0" applyNumberFormat="1" applyFont="1" applyFill="1" applyBorder="1" applyAlignment="1">
      <alignment vertical="center"/>
    </xf>
    <xf numFmtId="4" fontId="46" fillId="31" borderId="48" xfId="0" applyNumberFormat="1" applyFont="1" applyFill="1" applyBorder="1" applyAlignment="1">
      <alignment vertical="center"/>
    </xf>
    <xf numFmtId="4" fontId="47" fillId="28" borderId="81" xfId="0" applyNumberFormat="1" applyFont="1" applyFill="1" applyBorder="1" applyAlignment="1">
      <alignment vertical="center"/>
    </xf>
    <xf numFmtId="4" fontId="73" fillId="27" borderId="32" xfId="0" applyNumberFormat="1" applyFont="1" applyFill="1" applyBorder="1" applyAlignment="1"/>
    <xf numFmtId="4" fontId="46" fillId="28" borderId="32" xfId="0" applyNumberFormat="1" applyFont="1" applyFill="1" applyBorder="1" applyAlignment="1">
      <alignment horizontal="center" vertical="center"/>
    </xf>
    <xf numFmtId="10" fontId="46" fillId="28" borderId="108" xfId="0" applyNumberFormat="1" applyFont="1" applyFill="1" applyBorder="1" applyAlignment="1">
      <alignment vertical="center"/>
    </xf>
    <xf numFmtId="0" fontId="51" fillId="0" borderId="0" xfId="0" applyFont="1" applyAlignment="1">
      <alignment vertical="center"/>
    </xf>
    <xf numFmtId="4" fontId="46" fillId="41" borderId="48" xfId="0" applyNumberFormat="1" applyFont="1" applyFill="1" applyBorder="1" applyAlignment="1">
      <alignment vertical="center"/>
    </xf>
    <xf numFmtId="10" fontId="46" fillId="28" borderId="113" xfId="0" applyNumberFormat="1" applyFont="1" applyFill="1" applyBorder="1"/>
    <xf numFmtId="0" fontId="51" fillId="30" borderId="73" xfId="0" applyFont="1" applyFill="1" applyBorder="1" applyAlignment="1">
      <alignment vertical="center"/>
    </xf>
    <xf numFmtId="0" fontId="51" fillId="30" borderId="73" xfId="0" applyFont="1" applyFill="1" applyBorder="1" applyAlignment="1"/>
    <xf numFmtId="165" fontId="51" fillId="30" borderId="43" xfId="0" applyNumberFormat="1" applyFont="1" applyFill="1" applyBorder="1" applyAlignment="1">
      <alignment vertical="center"/>
    </xf>
    <xf numFmtId="164" fontId="51" fillId="30" borderId="42" xfId="0" applyNumberFormat="1" applyFont="1" applyFill="1" applyBorder="1" applyAlignment="1">
      <alignment vertical="center"/>
    </xf>
    <xf numFmtId="164" fontId="51" fillId="0" borderId="0" xfId="0" applyNumberFormat="1" applyFont="1" applyAlignment="1">
      <alignment vertical="center"/>
    </xf>
    <xf numFmtId="4" fontId="51" fillId="29" borderId="13" xfId="0" applyNumberFormat="1" applyFont="1" applyFill="1" applyBorder="1" applyAlignment="1">
      <alignment vertical="center"/>
    </xf>
    <xf numFmtId="4" fontId="51" fillId="30" borderId="13" xfId="0" applyNumberFormat="1" applyFont="1" applyFill="1" applyBorder="1" applyAlignment="1">
      <alignment vertical="center"/>
    </xf>
    <xf numFmtId="4" fontId="51" fillId="0" borderId="13" xfId="0" applyNumberFormat="1" applyFont="1" applyFill="1" applyBorder="1" applyAlignment="1">
      <alignment vertical="center"/>
    </xf>
    <xf numFmtId="0" fontId="51" fillId="30" borderId="43" xfId="0" applyFont="1" applyFill="1" applyBorder="1" applyAlignment="1">
      <alignment horizontal="right" vertical="center"/>
    </xf>
    <xf numFmtId="0" fontId="49" fillId="0" borderId="58" xfId="0" applyFont="1" applyFill="1" applyBorder="1" applyAlignment="1"/>
    <xf numFmtId="0" fontId="49" fillId="0" borderId="59" xfId="0" applyFont="1" applyFill="1" applyBorder="1" applyAlignment="1">
      <alignment horizontal="right"/>
    </xf>
    <xf numFmtId="165" fontId="49" fillId="0" borderId="59" xfId="0" applyNumberFormat="1" applyFont="1" applyFill="1" applyBorder="1" applyAlignment="1"/>
    <xf numFmtId="166" fontId="49" fillId="0" borderId="59" xfId="0" applyNumberFormat="1" applyFont="1" applyFill="1" applyBorder="1" applyAlignment="1">
      <alignment horizontal="right"/>
    </xf>
    <xf numFmtId="164" fontId="49" fillId="0" borderId="60" xfId="0" applyNumberFormat="1" applyFont="1" applyFill="1" applyBorder="1" applyAlignment="1"/>
    <xf numFmtId="164" fontId="49" fillId="0" borderId="0" xfId="0" applyNumberFormat="1" applyFont="1" applyAlignment="1"/>
    <xf numFmtId="4" fontId="49" fillId="0" borderId="0" xfId="0" applyNumberFormat="1" applyFont="1" applyAlignment="1"/>
    <xf numFmtId="4" fontId="49" fillId="29" borderId="13" xfId="0" applyNumberFormat="1" applyFont="1" applyFill="1" applyBorder="1" applyAlignment="1"/>
    <xf numFmtId="4" fontId="49" fillId="30" borderId="13" xfId="0" applyNumberFormat="1" applyFont="1" applyFill="1" applyBorder="1" applyAlignment="1"/>
    <xf numFmtId="4" fontId="49" fillId="0" borderId="13" xfId="0" applyNumberFormat="1" applyFont="1" applyFill="1" applyBorder="1" applyAlignment="1"/>
    <xf numFmtId="0" fontId="49" fillId="0" borderId="0" xfId="0" applyFont="1" applyAlignment="1"/>
    <xf numFmtId="0" fontId="49" fillId="0" borderId="85" xfId="0" applyFont="1" applyFill="1" applyBorder="1" applyAlignment="1"/>
    <xf numFmtId="0" fontId="49" fillId="0" borderId="86" xfId="0" applyFont="1" applyFill="1" applyBorder="1" applyAlignment="1">
      <alignment horizontal="right"/>
    </xf>
    <xf numFmtId="165" fontId="49" fillId="0" borderId="86" xfId="0" applyNumberFormat="1" applyFont="1" applyFill="1" applyBorder="1" applyAlignment="1"/>
    <xf numFmtId="166" fontId="49" fillId="0" borderId="86" xfId="0" applyNumberFormat="1" applyFont="1" applyFill="1" applyBorder="1" applyAlignment="1">
      <alignment horizontal="right"/>
    </xf>
    <xf numFmtId="164" fontId="49" fillId="0" borderId="87" xfId="0" applyNumberFormat="1" applyFont="1" applyFill="1" applyBorder="1" applyAlignment="1"/>
    <xf numFmtId="4" fontId="49" fillId="0" borderId="86" xfId="0" applyNumberFormat="1" applyFont="1" applyFill="1" applyBorder="1" applyAlignment="1"/>
    <xf numFmtId="4" fontId="49" fillId="0" borderId="153" xfId="0" applyNumberFormat="1" applyFont="1" applyFill="1" applyBorder="1" applyAlignment="1"/>
    <xf numFmtId="0" fontId="51" fillId="30" borderId="154" xfId="0" applyFont="1" applyFill="1" applyBorder="1" applyAlignment="1">
      <alignment vertical="center"/>
    </xf>
    <xf numFmtId="3" fontId="51" fillId="30" borderId="155" xfId="0" applyNumberFormat="1" applyFont="1" applyFill="1" applyBorder="1" applyAlignment="1">
      <alignment vertical="center"/>
    </xf>
    <xf numFmtId="4" fontId="51" fillId="30" borderId="155" xfId="0" applyNumberFormat="1" applyFont="1" applyFill="1" applyBorder="1" applyAlignment="1">
      <alignment vertical="center"/>
    </xf>
    <xf numFmtId="4" fontId="51" fillId="30" borderId="156" xfId="0" applyNumberFormat="1" applyFont="1" applyFill="1" applyBorder="1" applyAlignment="1">
      <alignment vertical="center"/>
    </xf>
    <xf numFmtId="4" fontId="49" fillId="0" borderId="22" xfId="0" applyNumberFormat="1" applyFont="1" applyFill="1" applyBorder="1" applyAlignment="1"/>
    <xf numFmtId="4" fontId="49" fillId="0" borderId="157" xfId="0" applyNumberFormat="1" applyFont="1" applyFill="1" applyBorder="1" applyAlignment="1"/>
    <xf numFmtId="3" fontId="51" fillId="0" borderId="41" xfId="0" applyNumberFormat="1" applyFont="1" applyFill="1" applyBorder="1" applyAlignment="1">
      <alignment vertical="center"/>
    </xf>
    <xf numFmtId="4" fontId="51" fillId="0" borderId="41" xfId="0" applyNumberFormat="1" applyFont="1" applyFill="1" applyBorder="1" applyAlignment="1">
      <alignment vertical="center"/>
    </xf>
    <xf numFmtId="0" fontId="51" fillId="0" borderId="143" xfId="0" applyFont="1" applyFill="1" applyBorder="1" applyAlignment="1">
      <alignment vertical="center"/>
    </xf>
    <xf numFmtId="4" fontId="51" fillId="0" borderId="92" xfId="0" applyNumberFormat="1" applyFont="1" applyFill="1" applyBorder="1" applyAlignment="1">
      <alignment vertical="center"/>
    </xf>
    <xf numFmtId="0" fontId="49" fillId="0" borderId="158" xfId="0" applyFont="1" applyFill="1" applyBorder="1" applyAlignment="1"/>
    <xf numFmtId="0" fontId="49" fillId="0" borderId="159" xfId="0" applyFont="1" applyFill="1" applyBorder="1" applyAlignment="1"/>
    <xf numFmtId="4" fontId="49" fillId="0" borderId="160" xfId="0" applyNumberFormat="1" applyFont="1" applyFill="1" applyBorder="1" applyAlignment="1"/>
    <xf numFmtId="4" fontId="49" fillId="0" borderId="161" xfId="0" applyNumberFormat="1" applyFont="1" applyFill="1" applyBorder="1" applyAlignment="1"/>
    <xf numFmtId="3" fontId="49" fillId="0" borderId="59" xfId="0" applyNumberFormat="1" applyFont="1" applyBorder="1"/>
    <xf numFmtId="3" fontId="49" fillId="0" borderId="86" xfId="0" applyNumberFormat="1" applyFont="1" applyBorder="1"/>
    <xf numFmtId="3" fontId="51" fillId="0" borderId="143" xfId="0" applyNumberFormat="1" applyFont="1" applyFill="1" applyBorder="1" applyAlignment="1">
      <alignment vertical="center"/>
    </xf>
    <xf numFmtId="4" fontId="46" fillId="41" borderId="13" xfId="0" applyNumberFormat="1" applyFont="1" applyFill="1" applyBorder="1" applyAlignment="1">
      <alignment vertical="center"/>
    </xf>
    <xf numFmtId="0" fontId="74" fillId="0" borderId="0" xfId="0" applyFont="1" applyAlignment="1">
      <alignment vertical="center"/>
    </xf>
    <xf numFmtId="0" fontId="74" fillId="0" borderId="0" xfId="0" applyFont="1"/>
    <xf numFmtId="4" fontId="75" fillId="29" borderId="32" xfId="0" applyNumberFormat="1" applyFont="1" applyFill="1" applyBorder="1" applyAlignment="1">
      <alignment horizontal="center" vertical="center" wrapText="1"/>
    </xf>
    <xf numFmtId="4" fontId="75" fillId="29" borderId="40" xfId="0" applyNumberFormat="1" applyFont="1" applyFill="1" applyBorder="1" applyAlignment="1">
      <alignment horizontal="center" vertical="center"/>
    </xf>
    <xf numFmtId="3" fontId="76" fillId="0" borderId="14" xfId="0" applyNumberFormat="1" applyFont="1" applyFill="1" applyBorder="1" applyAlignment="1">
      <alignment horizontal="center"/>
    </xf>
    <xf numFmtId="4" fontId="74" fillId="28" borderId="135" xfId="0" applyNumberFormat="1" applyFont="1" applyFill="1" applyBorder="1"/>
    <xf numFmtId="4" fontId="74" fillId="28" borderId="136" xfId="0" applyNumberFormat="1" applyFont="1" applyFill="1" applyBorder="1"/>
    <xf numFmtId="4" fontId="74" fillId="28" borderId="138" xfId="0" applyNumberFormat="1" applyFont="1" applyFill="1" applyBorder="1"/>
    <xf numFmtId="4" fontId="74" fillId="28" borderId="137" xfId="0" applyNumberFormat="1" applyFont="1" applyFill="1" applyBorder="1"/>
    <xf numFmtId="4" fontId="74" fillId="28" borderId="105" xfId="0" applyNumberFormat="1" applyFont="1" applyFill="1" applyBorder="1" applyAlignment="1">
      <alignment vertical="center"/>
    </xf>
    <xf numFmtId="4" fontId="76" fillId="28" borderId="42" xfId="0" applyNumberFormat="1" applyFont="1" applyFill="1" applyBorder="1" applyAlignment="1">
      <alignment vertical="center"/>
    </xf>
    <xf numFmtId="4" fontId="74" fillId="28" borderId="42" xfId="0" applyNumberFormat="1" applyFont="1" applyFill="1" applyBorder="1"/>
    <xf numFmtId="4" fontId="74" fillId="28" borderId="32" xfId="0" applyNumberFormat="1" applyFont="1" applyFill="1" applyBorder="1" applyAlignment="1"/>
    <xf numFmtId="4" fontId="74" fillId="29" borderId="40" xfId="0" applyNumberFormat="1" applyFont="1" applyFill="1" applyBorder="1"/>
    <xf numFmtId="4" fontId="77" fillId="0" borderId="14" xfId="0" applyNumberFormat="1" applyFont="1" applyBorder="1" applyAlignment="1">
      <alignment vertical="center"/>
    </xf>
    <xf numFmtId="4" fontId="77" fillId="0" borderId="28" xfId="0" applyNumberFormat="1" applyFont="1" applyBorder="1" applyAlignment="1">
      <alignment vertical="center"/>
    </xf>
    <xf numFmtId="4" fontId="74" fillId="28" borderId="141" xfId="0" applyNumberFormat="1" applyFont="1" applyFill="1" applyBorder="1"/>
    <xf numFmtId="4" fontId="74" fillId="28" borderId="35" xfId="0" applyNumberFormat="1" applyFont="1" applyFill="1" applyBorder="1" applyAlignment="1">
      <alignment horizontal="center" vertical="center"/>
    </xf>
    <xf numFmtId="4" fontId="77" fillId="0" borderId="0" xfId="0" applyNumberFormat="1" applyFont="1" applyBorder="1" applyAlignment="1">
      <alignment vertical="center"/>
    </xf>
    <xf numFmtId="4" fontId="74" fillId="0" borderId="14" xfId="0" applyNumberFormat="1" applyFont="1" applyBorder="1"/>
    <xf numFmtId="4" fontId="74" fillId="28" borderId="105" xfId="0" applyNumberFormat="1" applyFont="1" applyFill="1" applyBorder="1"/>
    <xf numFmtId="4" fontId="78" fillId="28" borderId="138" xfId="0" applyNumberFormat="1" applyFont="1" applyFill="1" applyBorder="1"/>
    <xf numFmtId="4" fontId="78" fillId="28" borderId="136" xfId="0" applyNumberFormat="1" applyFont="1" applyFill="1" applyBorder="1"/>
    <xf numFmtId="10" fontId="74" fillId="28" borderId="136" xfId="0" applyNumberFormat="1" applyFont="1" applyFill="1" applyBorder="1" applyAlignment="1">
      <alignment horizontal="center" vertical="center"/>
    </xf>
    <xf numFmtId="10" fontId="78" fillId="28" borderId="138" xfId="0" applyNumberFormat="1" applyFont="1" applyFill="1" applyBorder="1" applyAlignment="1">
      <alignment horizontal="center" vertical="center"/>
    </xf>
    <xf numFmtId="10" fontId="78" fillId="28" borderId="136" xfId="0" applyNumberFormat="1" applyFont="1" applyFill="1" applyBorder="1" applyAlignment="1">
      <alignment horizontal="center" vertical="center"/>
    </xf>
    <xf numFmtId="0" fontId="74" fillId="29" borderId="136" xfId="0" applyFont="1" applyFill="1" applyBorder="1" applyAlignment="1">
      <alignment horizontal="center" vertical="center"/>
    </xf>
    <xf numFmtId="0" fontId="78" fillId="29" borderId="136" xfId="0" applyFont="1" applyFill="1" applyBorder="1" applyAlignment="1">
      <alignment horizontal="center" vertical="center"/>
    </xf>
    <xf numFmtId="0" fontId="78" fillId="29" borderId="139" xfId="0" applyFont="1" applyFill="1" applyBorder="1" applyAlignment="1">
      <alignment horizontal="center" vertical="center"/>
    </xf>
    <xf numFmtId="0" fontId="78" fillId="29" borderId="55" xfId="0" applyFont="1" applyFill="1" applyBorder="1" applyAlignment="1">
      <alignment horizontal="center" vertical="center"/>
    </xf>
    <xf numFmtId="4" fontId="74" fillId="28" borderId="137" xfId="0" applyNumberFormat="1" applyFont="1" applyFill="1" applyBorder="1" applyAlignment="1">
      <alignment horizontal="center" vertical="center"/>
    </xf>
    <xf numFmtId="4" fontId="77" fillId="0" borderId="142" xfId="0" applyNumberFormat="1" applyFont="1" applyBorder="1" applyAlignment="1">
      <alignment horizontal="right" vertical="center"/>
    </xf>
    <xf numFmtId="4" fontId="74" fillId="0" borderId="0" xfId="0" applyNumberFormat="1" applyFont="1" applyBorder="1"/>
    <xf numFmtId="4" fontId="74" fillId="28" borderId="135" xfId="0" applyNumberFormat="1" applyFont="1" applyFill="1" applyBorder="1" applyAlignment="1">
      <alignment vertical="center"/>
    </xf>
    <xf numFmtId="4" fontId="74" fillId="28" borderId="32" xfId="0" applyNumberFormat="1" applyFont="1" applyFill="1" applyBorder="1" applyAlignment="1">
      <alignment vertical="center"/>
    </xf>
    <xf numFmtId="4" fontId="74" fillId="28" borderId="42" xfId="0" applyNumberFormat="1" applyFont="1" applyFill="1" applyBorder="1" applyAlignment="1">
      <alignment vertical="center"/>
    </xf>
    <xf numFmtId="4" fontId="74" fillId="28" borderId="137" xfId="0" applyNumberFormat="1" applyFont="1" applyFill="1" applyBorder="1" applyAlignment="1">
      <alignment vertical="center"/>
    </xf>
    <xf numFmtId="4" fontId="74" fillId="29" borderId="135" xfId="0" applyNumberFormat="1" applyFont="1" applyFill="1" applyBorder="1" applyAlignment="1">
      <alignment horizontal="center" vertical="center"/>
    </xf>
    <xf numFmtId="4" fontId="74" fillId="29" borderId="150" xfId="0" applyNumberFormat="1" applyFont="1" applyFill="1" applyBorder="1" applyAlignment="1">
      <alignment horizontal="center" vertical="center"/>
    </xf>
    <xf numFmtId="4" fontId="77" fillId="0" borderId="14" xfId="0" applyNumberFormat="1" applyFont="1" applyBorder="1" applyAlignment="1">
      <alignment horizontal="center" vertical="center"/>
    </xf>
    <xf numFmtId="4" fontId="74" fillId="29" borderId="39" xfId="0" applyNumberFormat="1" applyFont="1" applyFill="1" applyBorder="1" applyAlignment="1">
      <alignment horizontal="center" vertical="center"/>
    </xf>
    <xf numFmtId="4" fontId="74" fillId="0" borderId="0" xfId="0" applyNumberFormat="1" applyFont="1" applyFill="1" applyBorder="1"/>
    <xf numFmtId="4" fontId="77" fillId="0" borderId="28" xfId="0" applyNumberFormat="1" applyFont="1" applyFill="1" applyBorder="1" applyAlignment="1">
      <alignment horizontal="center" vertical="center"/>
    </xf>
    <xf numFmtId="4" fontId="74" fillId="0" borderId="14" xfId="0" applyNumberFormat="1" applyFont="1" applyFill="1" applyBorder="1"/>
    <xf numFmtId="4" fontId="74" fillId="29" borderId="105" xfId="0" applyNumberFormat="1" applyFont="1" applyFill="1" applyBorder="1" applyAlignment="1">
      <alignment horizontal="center" vertical="center"/>
    </xf>
    <xf numFmtId="4" fontId="74" fillId="29" borderId="35" xfId="0" applyNumberFormat="1" applyFont="1" applyFill="1" applyBorder="1" applyAlignment="1">
      <alignment horizontal="center" vertical="center"/>
    </xf>
    <xf numFmtId="4" fontId="74" fillId="29" borderId="42" xfId="0" applyNumberFormat="1" applyFont="1" applyFill="1" applyBorder="1" applyAlignment="1">
      <alignment horizontal="center" vertical="center"/>
    </xf>
    <xf numFmtId="0" fontId="74" fillId="0" borderId="0" xfId="0" applyFont="1" applyBorder="1"/>
    <xf numFmtId="4" fontId="77" fillId="0" borderId="14" xfId="0" applyNumberFormat="1" applyFont="1" applyFill="1" applyBorder="1" applyAlignment="1">
      <alignment vertical="center"/>
    </xf>
    <xf numFmtId="4" fontId="77" fillId="0" borderId="28" xfId="0" applyNumberFormat="1" applyFont="1" applyFill="1" applyBorder="1" applyAlignment="1">
      <alignment vertical="center"/>
    </xf>
    <xf numFmtId="4" fontId="51" fillId="35" borderId="35" xfId="0" applyNumberFormat="1" applyFont="1" applyFill="1" applyBorder="1" applyAlignment="1">
      <alignment horizontal="center" vertical="center"/>
    </xf>
    <xf numFmtId="3" fontId="46" fillId="35" borderId="32" xfId="1" applyNumberFormat="1" applyFont="1" applyFill="1" applyBorder="1" applyAlignment="1">
      <alignment vertical="center"/>
    </xf>
    <xf numFmtId="3" fontId="46" fillId="38" borderId="42" xfId="1" applyNumberFormat="1" applyFont="1" applyFill="1" applyBorder="1" applyAlignment="1">
      <alignment vertical="center"/>
    </xf>
    <xf numFmtId="3" fontId="46" fillId="35" borderId="42" xfId="1" applyNumberFormat="1" applyFont="1" applyFill="1" applyBorder="1" applyAlignment="1">
      <alignment vertical="center"/>
    </xf>
    <xf numFmtId="3" fontId="46" fillId="0" borderId="42" xfId="1" applyNumberFormat="1" applyFont="1" applyFill="1" applyBorder="1" applyAlignment="1">
      <alignment vertical="center"/>
    </xf>
    <xf numFmtId="3" fontId="46" fillId="35" borderId="55" xfId="1" applyNumberFormat="1" applyFont="1" applyFill="1" applyBorder="1" applyAlignment="1">
      <alignment vertical="center"/>
    </xf>
    <xf numFmtId="3" fontId="46" fillId="35" borderId="42" xfId="1" applyNumberFormat="1" applyFont="1" applyFill="1" applyBorder="1" applyAlignment="1"/>
    <xf numFmtId="3" fontId="46" fillId="35" borderId="35" xfId="1" applyNumberFormat="1" applyFont="1" applyFill="1" applyBorder="1" applyAlignment="1">
      <alignment vertical="center"/>
    </xf>
    <xf numFmtId="3" fontId="46" fillId="35" borderId="105" xfId="1" applyNumberFormat="1" applyFont="1" applyFill="1" applyBorder="1" applyAlignment="1">
      <alignment vertical="center"/>
    </xf>
    <xf numFmtId="3" fontId="49" fillId="35" borderId="42" xfId="1" applyNumberFormat="1" applyFont="1" applyFill="1" applyBorder="1" applyAlignment="1">
      <alignment vertical="center"/>
    </xf>
    <xf numFmtId="3" fontId="46" fillId="35" borderId="40" xfId="1" applyNumberFormat="1" applyFont="1" applyFill="1" applyBorder="1" applyAlignment="1">
      <alignment vertical="center"/>
    </xf>
    <xf numFmtId="3" fontId="46" fillId="35" borderId="105" xfId="1" applyNumberFormat="1" applyFont="1" applyFill="1" applyBorder="1" applyAlignment="1"/>
    <xf numFmtId="3" fontId="67" fillId="35" borderId="42" xfId="1" applyNumberFormat="1" applyFont="1" applyFill="1" applyBorder="1" applyAlignment="1"/>
    <xf numFmtId="3" fontId="46" fillId="35" borderId="42" xfId="1" applyNumberFormat="1" applyFont="1" applyFill="1" applyBorder="1" applyAlignment="1">
      <alignment horizontal="center" vertical="center"/>
    </xf>
    <xf numFmtId="3" fontId="67" fillId="35" borderId="42" xfId="1" applyNumberFormat="1" applyFont="1" applyFill="1" applyBorder="1" applyAlignment="1">
      <alignment horizontal="center" vertical="center"/>
    </xf>
    <xf numFmtId="4" fontId="46" fillId="0" borderId="98" xfId="0" applyNumberFormat="1" applyFont="1" applyBorder="1" applyAlignment="1">
      <alignment vertical="center"/>
    </xf>
    <xf numFmtId="4" fontId="47" fillId="0" borderId="39" xfId="0" applyNumberFormat="1" applyFont="1" applyBorder="1" applyAlignment="1">
      <alignment vertical="center"/>
    </xf>
    <xf numFmtId="10" fontId="46" fillId="28" borderId="113" xfId="0" applyNumberFormat="1" applyFont="1" applyFill="1" applyBorder="1" applyAlignment="1">
      <alignment vertical="center"/>
    </xf>
    <xf numFmtId="3" fontId="47" fillId="0" borderId="134" xfId="0" applyNumberFormat="1" applyFont="1" applyBorder="1" applyAlignment="1">
      <alignment vertical="center"/>
    </xf>
    <xf numFmtId="0" fontId="46" fillId="0" borderId="99" xfId="0" applyFont="1" applyBorder="1" applyAlignment="1">
      <alignment horizontal="center" vertical="center"/>
    </xf>
    <xf numFmtId="4" fontId="46" fillId="0" borderId="100" xfId="0" applyNumberFormat="1" applyFont="1" applyFill="1" applyBorder="1" applyAlignment="1">
      <alignment vertical="center"/>
    </xf>
    <xf numFmtId="0" fontId="46" fillId="0" borderId="40" xfId="0" applyFont="1" applyBorder="1" applyAlignment="1">
      <alignment vertical="center"/>
    </xf>
    <xf numFmtId="2" fontId="46" fillId="0" borderId="98" xfId="0" applyNumberFormat="1" applyFont="1" applyFill="1" applyBorder="1" applyAlignment="1">
      <alignment vertical="center"/>
    </xf>
    <xf numFmtId="3" fontId="46" fillId="0" borderId="98" xfId="0" applyNumberFormat="1" applyFont="1" applyBorder="1" applyAlignment="1">
      <alignment vertical="center"/>
    </xf>
    <xf numFmtId="4" fontId="46" fillId="0" borderId="100" xfId="0" applyNumberFormat="1" applyFont="1" applyBorder="1" applyAlignment="1">
      <alignment vertical="center"/>
    </xf>
    <xf numFmtId="4" fontId="46" fillId="0" borderId="40" xfId="0" applyNumberFormat="1" applyFont="1" applyBorder="1" applyAlignment="1">
      <alignment vertical="center"/>
    </xf>
    <xf numFmtId="4" fontId="46" fillId="0" borderId="57" xfId="0" applyNumberFormat="1" applyFont="1" applyBorder="1" applyAlignment="1">
      <alignment vertical="center"/>
    </xf>
    <xf numFmtId="4" fontId="46" fillId="0" borderId="28" xfId="0" applyNumberFormat="1" applyFont="1" applyBorder="1" applyAlignment="1">
      <alignment vertical="center"/>
    </xf>
    <xf numFmtId="4" fontId="46" fillId="29" borderId="113" xfId="0" applyNumberFormat="1" applyFont="1" applyFill="1" applyBorder="1" applyAlignment="1">
      <alignment vertical="center"/>
    </xf>
    <xf numFmtId="4" fontId="46" fillId="27" borderId="98" xfId="0" applyNumberFormat="1" applyFont="1" applyFill="1" applyBorder="1" applyAlignment="1">
      <alignment vertical="center"/>
    </xf>
    <xf numFmtId="2" fontId="46" fillId="27" borderId="38" xfId="0" applyNumberFormat="1" applyFont="1" applyFill="1" applyBorder="1" applyAlignment="1">
      <alignment vertical="center"/>
    </xf>
    <xf numFmtId="4" fontId="46" fillId="37" borderId="40" xfId="0" applyNumberFormat="1" applyFont="1" applyFill="1" applyBorder="1" applyAlignment="1">
      <alignment vertical="center"/>
    </xf>
    <xf numFmtId="4" fontId="46" fillId="37" borderId="98" xfId="0" applyNumberFormat="1" applyFont="1" applyFill="1" applyBorder="1" applyAlignment="1">
      <alignment vertical="center"/>
    </xf>
    <xf numFmtId="4" fontId="46" fillId="37" borderId="38" xfId="0" applyNumberFormat="1" applyFont="1" applyFill="1" applyBorder="1" applyAlignment="1">
      <alignment vertical="center"/>
    </xf>
    <xf numFmtId="4" fontId="46" fillId="27" borderId="100" xfId="0" applyNumberFormat="1" applyFont="1" applyFill="1" applyBorder="1" applyAlignment="1">
      <alignment vertical="center"/>
    </xf>
    <xf numFmtId="4" fontId="46" fillId="28" borderId="40" xfId="0" applyNumberFormat="1" applyFont="1" applyFill="1" applyBorder="1" applyAlignment="1">
      <alignment vertical="center"/>
    </xf>
    <xf numFmtId="4" fontId="46" fillId="28" borderId="38" xfId="0" applyNumberFormat="1" applyFont="1" applyFill="1" applyBorder="1" applyAlignment="1">
      <alignment vertical="center"/>
    </xf>
    <xf numFmtId="4" fontId="46" fillId="28" borderId="150" xfId="0" applyNumberFormat="1" applyFont="1" applyFill="1" applyBorder="1" applyAlignment="1">
      <alignment vertical="center"/>
    </xf>
    <xf numFmtId="4" fontId="46" fillId="36" borderId="78" xfId="0" applyNumberFormat="1" applyFont="1" applyFill="1" applyBorder="1" applyAlignment="1">
      <alignment vertical="center"/>
    </xf>
    <xf numFmtId="4" fontId="46" fillId="36" borderId="57" xfId="0" applyNumberFormat="1" applyFont="1" applyFill="1" applyBorder="1" applyAlignment="1">
      <alignment vertical="center"/>
    </xf>
    <xf numFmtId="4" fontId="46" fillId="27" borderId="38" xfId="0" applyNumberFormat="1" applyFont="1" applyFill="1" applyBorder="1" applyAlignment="1">
      <alignment vertical="center"/>
    </xf>
    <xf numFmtId="4" fontId="46" fillId="42" borderId="150" xfId="0" applyNumberFormat="1" applyFont="1" applyFill="1" applyBorder="1" applyAlignment="1">
      <alignment vertical="center"/>
    </xf>
    <xf numFmtId="4" fontId="74" fillId="28" borderId="150" xfId="0" applyNumberFormat="1" applyFont="1" applyFill="1" applyBorder="1" applyAlignment="1">
      <alignment vertical="center"/>
    </xf>
    <xf numFmtId="3" fontId="49" fillId="0" borderId="93" xfId="0" applyNumberFormat="1" applyFont="1" applyBorder="1"/>
    <xf numFmtId="3" fontId="49" fillId="0" borderId="162" xfId="0" applyNumberFormat="1" applyFont="1" applyBorder="1"/>
    <xf numFmtId="4" fontId="49" fillId="0" borderId="162" xfId="0" applyNumberFormat="1" applyFont="1" applyBorder="1"/>
    <xf numFmtId="4" fontId="49" fillId="0" borderId="67" xfId="0" applyNumberFormat="1" applyFont="1" applyBorder="1"/>
    <xf numFmtId="4" fontId="49" fillId="0" borderId="93" xfId="0" applyNumberFormat="1" applyFont="1" applyBorder="1"/>
    <xf numFmtId="3" fontId="49" fillId="0" borderId="123" xfId="0" applyNumberFormat="1" applyFont="1" applyBorder="1"/>
    <xf numFmtId="3" fontId="49" fillId="0" borderId="73" xfId="0" applyNumberFormat="1" applyFont="1" applyBorder="1"/>
    <xf numFmtId="4" fontId="49" fillId="0" borderId="163" xfId="0" applyNumberFormat="1" applyFont="1" applyBorder="1"/>
    <xf numFmtId="4" fontId="49" fillId="0" borderId="42" xfId="0" applyNumberFormat="1" applyFont="1" applyBorder="1"/>
    <xf numFmtId="4" fontId="49" fillId="0" borderId="32" xfId="0" applyNumberFormat="1" applyFont="1" applyBorder="1"/>
    <xf numFmtId="4" fontId="49" fillId="0" borderId="98" xfId="0" applyNumberFormat="1" applyFont="1" applyBorder="1"/>
    <xf numFmtId="3" fontId="49" fillId="0" borderId="99" xfId="0" applyNumberFormat="1" applyFont="1" applyBorder="1"/>
    <xf numFmtId="4" fontId="49" fillId="0" borderId="99" xfId="0" applyNumberFormat="1" applyFont="1" applyBorder="1"/>
    <xf numFmtId="4" fontId="46" fillId="0" borderId="143" xfId="0" applyNumberFormat="1" applyFont="1" applyBorder="1"/>
    <xf numFmtId="4" fontId="49" fillId="0" borderId="33" xfId="0" applyNumberFormat="1" applyFont="1" applyBorder="1"/>
    <xf numFmtId="3" fontId="49" fillId="0" borderId="164" xfId="0" applyNumberFormat="1" applyFont="1" applyBorder="1"/>
    <xf numFmtId="4" fontId="49" fillId="0" borderId="59" xfId="0" applyNumberFormat="1" applyFont="1" applyBorder="1"/>
    <xf numFmtId="3" fontId="49" fillId="0" borderId="165" xfId="0" applyNumberFormat="1" applyFont="1" applyBorder="1"/>
    <xf numFmtId="4" fontId="49" fillId="0" borderId="86" xfId="0" applyNumberFormat="1" applyFont="1" applyBorder="1"/>
    <xf numFmtId="4" fontId="49" fillId="0" borderId="80" xfId="0" applyNumberFormat="1" applyFont="1" applyBorder="1"/>
    <xf numFmtId="0" fontId="49" fillId="0" borderId="65" xfId="0" applyFont="1" applyFill="1" applyBorder="1"/>
    <xf numFmtId="4" fontId="65" fillId="58" borderId="105" xfId="1" applyNumberFormat="1" applyFont="1" applyFill="1" applyBorder="1" applyAlignment="1">
      <alignment vertical="center"/>
    </xf>
    <xf numFmtId="4" fontId="96" fillId="30" borderId="14" xfId="0" applyNumberFormat="1" applyFont="1" applyFill="1" applyBorder="1"/>
    <xf numFmtId="0" fontId="49" fillId="0" borderId="0" xfId="0" applyFont="1" applyAlignment="1">
      <alignment horizontal="center"/>
    </xf>
    <xf numFmtId="0" fontId="46" fillId="0" borderId="0" xfId="0" applyFont="1" applyBorder="1" applyAlignment="1"/>
    <xf numFmtId="0" fontId="122" fillId="0" borderId="0" xfId="0" applyFont="1"/>
    <xf numFmtId="4" fontId="122" fillId="0" borderId="0" xfId="0" applyNumberFormat="1" applyFont="1"/>
    <xf numFmtId="3" fontId="122" fillId="0" borderId="0" xfId="0" applyNumberFormat="1" applyFont="1"/>
    <xf numFmtId="0" fontId="122" fillId="0" borderId="0" xfId="0" applyFont="1" applyBorder="1" applyAlignment="1"/>
    <xf numFmtId="4" fontId="122" fillId="0" borderId="0" xfId="0" applyNumberFormat="1" applyFont="1" applyBorder="1"/>
    <xf numFmtId="3" fontId="122" fillId="0" borderId="0" xfId="0" applyNumberFormat="1" applyFont="1" applyBorder="1"/>
    <xf numFmtId="0" fontId="122" fillId="0" borderId="65" xfId="0" applyFont="1" applyBorder="1" applyAlignment="1">
      <alignment horizontal="center"/>
    </xf>
    <xf numFmtId="3" fontId="122" fillId="35" borderId="85" xfId="0" applyNumberFormat="1" applyFont="1" applyFill="1" applyBorder="1" applyAlignment="1">
      <alignment horizontal="center"/>
    </xf>
    <xf numFmtId="0" fontId="123" fillId="0" borderId="193" xfId="0" applyFont="1" applyFill="1" applyBorder="1" applyAlignment="1">
      <alignment horizontal="center" vertical="center"/>
    </xf>
    <xf numFmtId="0" fontId="122" fillId="0" borderId="82" xfId="0" applyFont="1" applyBorder="1" applyAlignment="1">
      <alignment horizontal="center"/>
    </xf>
    <xf numFmtId="0" fontId="123" fillId="0" borderId="193" xfId="0" applyFont="1" applyFill="1" applyBorder="1" applyAlignment="1">
      <alignment vertical="center"/>
    </xf>
    <xf numFmtId="0" fontId="122" fillId="0" borderId="65" xfId="0" applyFont="1" applyFill="1" applyBorder="1" applyAlignment="1">
      <alignment horizontal="center"/>
    </xf>
    <xf numFmtId="0" fontId="122" fillId="0" borderId="85" xfId="0" applyFont="1" applyFill="1" applyBorder="1" applyAlignment="1">
      <alignment horizontal="center"/>
    </xf>
    <xf numFmtId="4" fontId="122" fillId="0" borderId="17" xfId="0" applyNumberFormat="1" applyFont="1" applyBorder="1"/>
    <xf numFmtId="2" fontId="122" fillId="0" borderId="17" xfId="0" applyNumberFormat="1" applyFont="1" applyBorder="1"/>
    <xf numFmtId="3" fontId="122" fillId="0" borderId="17" xfId="0" applyNumberFormat="1" applyFont="1" applyBorder="1"/>
    <xf numFmtId="4" fontId="122" fillId="0" borderId="86" xfId="0" applyNumberFormat="1" applyFont="1" applyBorder="1"/>
    <xf numFmtId="0" fontId="122" fillId="0" borderId="204" xfId="0" applyFont="1" applyBorder="1"/>
    <xf numFmtId="0" fontId="122" fillId="0" borderId="17" xfId="0" applyFont="1" applyBorder="1" applyAlignment="1">
      <alignment horizontal="center"/>
    </xf>
    <xf numFmtId="4" fontId="122" fillId="0" borderId="17" xfId="0" applyNumberFormat="1" applyFont="1" applyBorder="1" applyAlignment="1"/>
    <xf numFmtId="4" fontId="122" fillId="0" borderId="86" xfId="0" applyNumberFormat="1" applyFont="1" applyBorder="1" applyAlignment="1">
      <alignment horizontal="center"/>
    </xf>
    <xf numFmtId="0" fontId="122" fillId="0" borderId="86" xfId="0" applyFont="1" applyBorder="1" applyAlignment="1">
      <alignment horizontal="center"/>
    </xf>
    <xf numFmtId="4" fontId="103" fillId="0" borderId="17" xfId="0" applyNumberFormat="1" applyFont="1" applyBorder="1"/>
    <xf numFmtId="4" fontId="122" fillId="0" borderId="17" xfId="0" applyNumberFormat="1" applyFont="1" applyBorder="1" applyAlignment="1">
      <alignment horizontal="center" vertical="center"/>
    </xf>
    <xf numFmtId="0" fontId="122" fillId="0" borderId="161" xfId="0" applyFont="1" applyBorder="1" applyAlignment="1">
      <alignment horizontal="center" vertical="center"/>
    </xf>
    <xf numFmtId="0" fontId="122" fillId="0" borderId="86" xfId="0" applyFont="1" applyBorder="1" applyAlignment="1">
      <alignment horizontal="center" vertical="center"/>
    </xf>
    <xf numFmtId="0" fontId="122" fillId="0" borderId="17" xfId="0" applyFont="1" applyBorder="1" applyAlignment="1">
      <alignment horizontal="center" vertical="center"/>
    </xf>
    <xf numFmtId="4" fontId="122" fillId="0" borderId="0" xfId="0" applyNumberFormat="1" applyFont="1" applyBorder="1" applyAlignment="1"/>
    <xf numFmtId="3" fontId="122" fillId="0" borderId="0" xfId="0" applyNumberFormat="1" applyFont="1" applyBorder="1" applyAlignment="1"/>
    <xf numFmtId="4" fontId="122" fillId="0" borderId="17" xfId="0" applyNumberFormat="1" applyFont="1" applyFill="1" applyBorder="1"/>
    <xf numFmtId="4" fontId="122" fillId="0" borderId="17" xfId="0" applyNumberFormat="1" applyFont="1" applyBorder="1" applyAlignment="1">
      <alignment vertical="center"/>
    </xf>
    <xf numFmtId="4" fontId="122" fillId="0" borderId="20" xfId="0" applyNumberFormat="1" applyFont="1" applyBorder="1"/>
    <xf numFmtId="4" fontId="122" fillId="0" borderId="202" xfId="0" applyNumberFormat="1" applyFont="1" applyFill="1" applyBorder="1"/>
    <xf numFmtId="4" fontId="122" fillId="0" borderId="204" xfId="0" applyNumberFormat="1" applyFont="1" applyFill="1" applyBorder="1"/>
    <xf numFmtId="4" fontId="122" fillId="0" borderId="17" xfId="0" applyNumberFormat="1" applyFont="1" applyFill="1" applyBorder="1" applyAlignment="1">
      <alignment horizontal="center" vertical="center"/>
    </xf>
    <xf numFmtId="4" fontId="122" fillId="0" borderId="17" xfId="0" applyNumberFormat="1" applyFont="1" applyFill="1" applyBorder="1" applyAlignment="1">
      <alignment horizontal="center"/>
    </xf>
    <xf numFmtId="0" fontId="122" fillId="0" borderId="206" xfId="0" applyFont="1" applyBorder="1" applyAlignment="1">
      <alignment horizontal="center" vertical="center"/>
    </xf>
    <xf numFmtId="0" fontId="122" fillId="0" borderId="207" xfId="0" applyFont="1" applyBorder="1" applyAlignment="1">
      <alignment horizontal="center" vertical="center"/>
    </xf>
    <xf numFmtId="4" fontId="122" fillId="61" borderId="65" xfId="0" applyNumberFormat="1" applyFont="1" applyFill="1" applyBorder="1" applyAlignment="1"/>
    <xf numFmtId="4" fontId="122" fillId="61" borderId="17" xfId="0" applyNumberFormat="1" applyFont="1" applyFill="1" applyBorder="1" applyAlignment="1"/>
    <xf numFmtId="4" fontId="122" fillId="60" borderId="17" xfId="0" applyNumberFormat="1" applyFont="1" applyFill="1" applyBorder="1" applyAlignment="1"/>
    <xf numFmtId="4" fontId="122" fillId="61" borderId="85" xfId="0" applyNumberFormat="1" applyFont="1" applyFill="1" applyBorder="1"/>
    <xf numFmtId="4" fontId="122" fillId="60" borderId="86" xfId="0" applyNumberFormat="1" applyFont="1" applyFill="1" applyBorder="1"/>
    <xf numFmtId="4" fontId="122" fillId="60" borderId="161" xfId="0" applyNumberFormat="1" applyFont="1" applyFill="1" applyBorder="1"/>
    <xf numFmtId="4" fontId="122" fillId="60" borderId="17" xfId="0" applyNumberFormat="1" applyFont="1" applyFill="1" applyBorder="1" applyAlignment="1">
      <alignment horizontal="center" vertical="center"/>
    </xf>
    <xf numFmtId="4" fontId="122" fillId="60" borderId="86" xfId="0" applyNumberFormat="1" applyFont="1" applyFill="1" applyBorder="1" applyAlignment="1">
      <alignment vertical="center"/>
    </xf>
    <xf numFmtId="4" fontId="122" fillId="61" borderId="85" xfId="0" applyNumberFormat="1" applyFont="1" applyFill="1" applyBorder="1" applyAlignment="1"/>
    <xf numFmtId="4" fontId="122" fillId="61" borderId="86" xfId="0" applyNumberFormat="1" applyFont="1" applyFill="1" applyBorder="1" applyAlignment="1"/>
    <xf numFmtId="4" fontId="122" fillId="60" borderId="86" xfId="0" applyNumberFormat="1" applyFont="1" applyFill="1" applyBorder="1" applyAlignment="1"/>
    <xf numFmtId="4" fontId="122" fillId="59" borderId="17" xfId="0" applyNumberFormat="1" applyFont="1" applyFill="1" applyBorder="1"/>
    <xf numFmtId="4" fontId="122" fillId="59" borderId="151" xfId="0" applyNumberFormat="1" applyFont="1" applyFill="1" applyBorder="1"/>
    <xf numFmtId="4" fontId="122" fillId="60" borderId="0" xfId="0" applyNumberFormat="1" applyFont="1" applyFill="1" applyBorder="1"/>
    <xf numFmtId="4" fontId="122" fillId="60" borderId="85" xfId="0" applyNumberFormat="1" applyFont="1" applyFill="1" applyBorder="1"/>
    <xf numFmtId="4" fontId="122" fillId="60" borderId="65" xfId="0" applyNumberFormat="1" applyFont="1" applyFill="1" applyBorder="1"/>
    <xf numFmtId="4" fontId="122" fillId="60" borderId="207" xfId="0" applyNumberFormat="1" applyFont="1" applyFill="1" applyBorder="1"/>
    <xf numFmtId="4" fontId="122" fillId="60" borderId="65" xfId="0" applyNumberFormat="1" applyFont="1" applyFill="1" applyBorder="1" applyAlignment="1"/>
    <xf numFmtId="4" fontId="122" fillId="0" borderId="151" xfId="0" applyNumberFormat="1" applyFont="1" applyBorder="1"/>
    <xf numFmtId="4" fontId="122" fillId="0" borderId="151" xfId="0" applyNumberFormat="1" applyFont="1" applyFill="1" applyBorder="1" applyAlignment="1">
      <alignment horizontal="center" vertical="center"/>
    </xf>
    <xf numFmtId="4" fontId="122" fillId="0" borderId="151" xfId="0" applyNumberFormat="1" applyFont="1" applyFill="1" applyBorder="1" applyAlignment="1">
      <alignment horizontal="center"/>
    </xf>
    <xf numFmtId="0" fontId="122" fillId="0" borderId="151" xfId="0" applyFont="1" applyBorder="1" applyAlignment="1">
      <alignment horizontal="center" vertical="center"/>
    </xf>
    <xf numFmtId="4" fontId="122" fillId="59" borderId="20" xfId="0" applyNumberFormat="1" applyFont="1" applyFill="1" applyBorder="1"/>
    <xf numFmtId="4" fontId="122" fillId="0" borderId="151" xfId="0" applyNumberFormat="1" applyFont="1" applyBorder="1" applyAlignment="1">
      <alignment vertical="center"/>
    </xf>
    <xf numFmtId="4" fontId="122" fillId="60" borderId="20" xfId="0" applyNumberFormat="1" applyFont="1" applyFill="1" applyBorder="1"/>
    <xf numFmtId="4" fontId="122" fillId="61" borderId="69" xfId="0" applyNumberFormat="1" applyFont="1" applyFill="1" applyBorder="1"/>
    <xf numFmtId="4" fontId="122" fillId="61" borderId="65" xfId="0" applyNumberFormat="1" applyFont="1" applyFill="1" applyBorder="1"/>
    <xf numFmtId="4" fontId="122" fillId="60" borderId="151" xfId="0" applyNumberFormat="1" applyFont="1" applyFill="1" applyBorder="1"/>
    <xf numFmtId="4" fontId="122" fillId="60" borderId="19" xfId="0" applyNumberFormat="1" applyFont="1" applyFill="1" applyBorder="1"/>
    <xf numFmtId="4" fontId="122" fillId="60" borderId="224" xfId="0" applyNumberFormat="1" applyFont="1" applyFill="1" applyBorder="1"/>
    <xf numFmtId="4" fontId="122" fillId="60" borderId="66" xfId="0" applyNumberFormat="1" applyFont="1" applyFill="1" applyBorder="1"/>
    <xf numFmtId="4" fontId="122" fillId="60" borderId="87" xfId="0" applyNumberFormat="1" applyFont="1" applyFill="1" applyBorder="1"/>
    <xf numFmtId="4" fontId="122" fillId="0" borderId="160" xfId="0" applyNumberFormat="1" applyFont="1" applyBorder="1"/>
    <xf numFmtId="4" fontId="122" fillId="0" borderId="22" xfId="0" applyNumberFormat="1" applyFont="1" applyBorder="1"/>
    <xf numFmtId="4" fontId="122" fillId="60" borderId="22" xfId="0" applyNumberFormat="1" applyFont="1" applyFill="1" applyBorder="1"/>
    <xf numFmtId="4" fontId="122" fillId="60" borderId="152" xfId="0" applyNumberFormat="1" applyFont="1" applyFill="1" applyBorder="1"/>
    <xf numFmtId="4" fontId="122" fillId="61" borderId="224" xfId="0" applyNumberFormat="1" applyFont="1" applyFill="1" applyBorder="1"/>
    <xf numFmtId="0" fontId="122" fillId="0" borderId="0" xfId="0" applyFont="1" applyBorder="1"/>
    <xf numFmtId="0" fontId="122" fillId="0" borderId="193" xfId="0" applyFont="1" applyBorder="1"/>
    <xf numFmtId="4" fontId="123" fillId="0" borderId="193" xfId="0" applyNumberFormat="1" applyFont="1" applyFill="1" applyBorder="1" applyAlignment="1">
      <alignment horizontal="right" vertical="center"/>
    </xf>
    <xf numFmtId="3" fontId="122" fillId="0" borderId="86" xfId="0" applyNumberFormat="1" applyFont="1" applyFill="1" applyBorder="1"/>
    <xf numFmtId="0" fontId="46" fillId="0" borderId="193" xfId="0" applyFont="1" applyBorder="1"/>
    <xf numFmtId="0" fontId="122" fillId="0" borderId="22" xfId="0" applyFont="1" applyBorder="1" applyAlignment="1">
      <alignment horizontal="center" vertical="center"/>
    </xf>
    <xf numFmtId="0" fontId="122" fillId="0" borderId="226" xfId="0" applyFont="1" applyBorder="1" applyAlignment="1">
      <alignment horizontal="center" vertical="center"/>
    </xf>
    <xf numFmtId="0" fontId="122" fillId="0" borderId="160" xfId="0" applyFont="1" applyBorder="1" applyAlignment="1">
      <alignment horizontal="center" vertical="center"/>
    </xf>
    <xf numFmtId="4" fontId="122" fillId="60" borderId="160" xfId="0" applyNumberFormat="1" applyFont="1" applyFill="1" applyBorder="1" applyAlignment="1">
      <alignment vertical="center"/>
    </xf>
    <xf numFmtId="4" fontId="122" fillId="60" borderId="22" xfId="0" applyNumberFormat="1" applyFont="1" applyFill="1" applyBorder="1" applyAlignment="1">
      <alignment vertical="center"/>
    </xf>
    <xf numFmtId="4" fontId="122" fillId="61" borderId="82" xfId="0" applyNumberFormat="1" applyFont="1" applyFill="1" applyBorder="1" applyAlignment="1">
      <alignment vertical="center"/>
    </xf>
    <xf numFmtId="4" fontId="122" fillId="61" borderId="22" xfId="0" applyNumberFormat="1" applyFont="1" applyFill="1" applyBorder="1" applyAlignment="1">
      <alignment vertical="center"/>
    </xf>
    <xf numFmtId="4" fontId="122" fillId="60" borderId="23" xfId="0" applyNumberFormat="1" applyFont="1" applyFill="1" applyBorder="1" applyAlignment="1">
      <alignment vertical="center"/>
    </xf>
    <xf numFmtId="0" fontId="46" fillId="0" borderId="0" xfId="0" applyFont="1" applyBorder="1"/>
    <xf numFmtId="0" fontId="46" fillId="0" borderId="0" xfId="0" applyFont="1" applyBorder="1"/>
    <xf numFmtId="4" fontId="122" fillId="0" borderId="224" xfId="0" applyNumberFormat="1" applyFont="1" applyFill="1" applyBorder="1" applyAlignment="1">
      <alignment horizontal="center"/>
    </xf>
    <xf numFmtId="4" fontId="122" fillId="60" borderId="224" xfId="0" applyNumberFormat="1" applyFont="1" applyFill="1" applyBorder="1" applyAlignment="1">
      <alignment horizontal="center" vertical="center"/>
    </xf>
    <xf numFmtId="0" fontId="122" fillId="0" borderId="207" xfId="0" applyFont="1" applyBorder="1" applyAlignment="1">
      <alignment horizontal="center"/>
    </xf>
    <xf numFmtId="0" fontId="122" fillId="0" borderId="206" xfId="0" applyFont="1" applyBorder="1" applyAlignment="1">
      <alignment horizontal="center"/>
    </xf>
    <xf numFmtId="4" fontId="122" fillId="0" borderId="206" xfId="0" applyNumberFormat="1" applyFont="1" applyFill="1" applyBorder="1" applyAlignment="1">
      <alignment horizontal="center" vertical="center"/>
    </xf>
    <xf numFmtId="4" fontId="122" fillId="0" borderId="206" xfId="0" applyNumberFormat="1" applyFont="1" applyFill="1" applyBorder="1" applyAlignment="1">
      <alignment horizontal="center"/>
    </xf>
    <xf numFmtId="4" fontId="122" fillId="29" borderId="229" xfId="0" applyNumberFormat="1" applyFont="1" applyFill="1" applyBorder="1" applyAlignment="1">
      <alignment horizontal="center"/>
    </xf>
    <xf numFmtId="4" fontId="122" fillId="29" borderId="192" xfId="0" applyNumberFormat="1" applyFont="1" applyFill="1" applyBorder="1" applyAlignment="1">
      <alignment horizontal="center"/>
    </xf>
    <xf numFmtId="4" fontId="122" fillId="60" borderId="199" xfId="0" applyNumberFormat="1" applyFont="1" applyFill="1" applyBorder="1"/>
    <xf numFmtId="4" fontId="122" fillId="0" borderId="22" xfId="0" applyNumberFormat="1" applyFont="1" applyFill="1" applyBorder="1" applyAlignment="1"/>
    <xf numFmtId="4" fontId="122" fillId="0" borderId="160" xfId="0" applyNumberFormat="1" applyFont="1" applyFill="1" applyBorder="1" applyAlignment="1"/>
    <xf numFmtId="4" fontId="123" fillId="64" borderId="193" xfId="0" applyNumberFormat="1" applyFont="1" applyFill="1" applyBorder="1"/>
    <xf numFmtId="4" fontId="122" fillId="0" borderId="224" xfId="0" applyNumberFormat="1" applyFont="1" applyFill="1" applyBorder="1" applyAlignment="1">
      <alignment vertical="center"/>
    </xf>
    <xf numFmtId="4" fontId="122" fillId="60" borderId="69" xfId="0" applyNumberFormat="1" applyFont="1" applyFill="1" applyBorder="1"/>
    <xf numFmtId="3" fontId="122" fillId="0" borderId="22" xfId="0" applyNumberFormat="1" applyFont="1" applyBorder="1"/>
    <xf numFmtId="4" fontId="122" fillId="0" borderId="212" xfId="0" applyNumberFormat="1" applyFont="1" applyBorder="1"/>
    <xf numFmtId="4" fontId="122" fillId="60" borderId="206" xfId="0" applyNumberFormat="1" applyFont="1" applyFill="1" applyBorder="1"/>
    <xf numFmtId="4" fontId="122" fillId="61" borderId="17" xfId="0" applyNumberFormat="1" applyFont="1" applyFill="1" applyBorder="1"/>
    <xf numFmtId="4" fontId="122" fillId="60" borderId="17" xfId="0" applyNumberFormat="1" applyFont="1" applyFill="1" applyBorder="1"/>
    <xf numFmtId="4" fontId="122" fillId="61" borderId="86" xfId="0" applyNumberFormat="1" applyFont="1" applyFill="1" applyBorder="1"/>
    <xf numFmtId="4" fontId="122" fillId="61" borderId="22" xfId="0" applyNumberFormat="1" applyFont="1" applyFill="1" applyBorder="1"/>
    <xf numFmtId="4" fontId="122" fillId="61" borderId="151" xfId="0" applyNumberFormat="1" applyFont="1" applyFill="1" applyBorder="1"/>
    <xf numFmtId="4" fontId="122" fillId="61" borderId="286" xfId="0" applyNumberFormat="1" applyFont="1" applyFill="1" applyBorder="1"/>
    <xf numFmtId="0" fontId="122" fillId="0" borderId="193" xfId="0" applyFont="1" applyBorder="1" applyAlignment="1">
      <alignment vertical="center"/>
    </xf>
    <xf numFmtId="4" fontId="122" fillId="0" borderId="193" xfId="0" applyNumberFormat="1" applyFont="1" applyBorder="1" applyAlignment="1">
      <alignment vertical="center"/>
    </xf>
    <xf numFmtId="3" fontId="122" fillId="0" borderId="193" xfId="0" applyNumberFormat="1" applyFont="1" applyBorder="1" applyAlignment="1">
      <alignment vertical="center"/>
    </xf>
    <xf numFmtId="4" fontId="122" fillId="0" borderId="193" xfId="0" applyNumberFormat="1" applyFont="1" applyFill="1" applyBorder="1" applyAlignment="1">
      <alignment vertical="center"/>
    </xf>
    <xf numFmtId="0" fontId="122" fillId="0" borderId="286" xfId="0" applyFont="1" applyBorder="1" applyAlignment="1">
      <alignment horizontal="center"/>
    </xf>
    <xf numFmtId="4" fontId="122" fillId="0" borderId="18" xfId="0" applyNumberFormat="1" applyFont="1" applyBorder="1"/>
    <xf numFmtId="4" fontId="123" fillId="0" borderId="294" xfId="0" applyNumberFormat="1" applyFont="1" applyFill="1" applyBorder="1" applyAlignment="1">
      <alignment vertical="center"/>
    </xf>
    <xf numFmtId="3" fontId="123" fillId="0" borderId="193" xfId="0" applyNumberFormat="1" applyFont="1" applyFill="1" applyBorder="1" applyAlignment="1">
      <alignment horizontal="right" vertical="center"/>
    </xf>
    <xf numFmtId="3" fontId="123" fillId="0" borderId="189" xfId="0" applyNumberFormat="1" applyFont="1" applyFill="1" applyBorder="1" applyAlignment="1">
      <alignment horizontal="right" vertical="center"/>
    </xf>
    <xf numFmtId="4" fontId="123" fillId="0" borderId="294" xfId="0" applyNumberFormat="1" applyFont="1" applyFill="1" applyBorder="1" applyAlignment="1">
      <alignment horizontal="right" vertical="center"/>
    </xf>
    <xf numFmtId="0" fontId="123" fillId="0" borderId="230" xfId="0" applyFont="1" applyBorder="1" applyAlignment="1">
      <alignment horizontal="center" vertical="center" wrapText="1"/>
    </xf>
    <xf numFmtId="0" fontId="122" fillId="0" borderId="286" xfId="0" applyFont="1" applyFill="1" applyBorder="1" applyAlignment="1">
      <alignment horizontal="center" vertical="center"/>
    </xf>
    <xf numFmtId="3" fontId="122" fillId="0" borderId="226" xfId="0" applyNumberFormat="1" applyFont="1" applyBorder="1"/>
    <xf numFmtId="4" fontId="122" fillId="0" borderId="196" xfId="0" applyNumberFormat="1" applyFont="1" applyBorder="1" applyAlignment="1">
      <alignment horizontal="center"/>
    </xf>
    <xf numFmtId="4" fontId="122" fillId="0" borderId="161" xfId="0" applyNumberFormat="1" applyFont="1" applyBorder="1" applyAlignment="1">
      <alignment horizontal="center"/>
    </xf>
    <xf numFmtId="4" fontId="122" fillId="59" borderId="192" xfId="0" applyNumberFormat="1" applyFont="1" applyFill="1" applyBorder="1" applyAlignment="1">
      <alignment horizontal="center"/>
    </xf>
    <xf numFmtId="0" fontId="122" fillId="0" borderId="195" xfId="0" applyFont="1" applyFill="1" applyBorder="1" applyAlignment="1">
      <alignment horizontal="center"/>
    </xf>
    <xf numFmtId="0" fontId="122" fillId="0" borderId="0" xfId="0" applyFont="1" applyFill="1" applyBorder="1" applyAlignment="1">
      <alignment horizontal="center"/>
    </xf>
    <xf numFmtId="4" fontId="122" fillId="64" borderId="0" xfId="0" applyNumberFormat="1" applyFont="1" applyFill="1" applyBorder="1" applyAlignment="1"/>
    <xf numFmtId="0" fontId="46" fillId="64" borderId="0" xfId="0" applyFont="1" applyFill="1" applyBorder="1" applyAlignment="1"/>
    <xf numFmtId="4" fontId="103" fillId="0" borderId="20" xfId="0" applyNumberFormat="1" applyFont="1" applyBorder="1"/>
    <xf numFmtId="4" fontId="123" fillId="64" borderId="294" xfId="0" applyNumberFormat="1" applyFont="1" applyFill="1" applyBorder="1" applyAlignment="1">
      <alignment vertical="center"/>
    </xf>
    <xf numFmtId="4" fontId="122" fillId="0" borderId="86" xfId="0" applyNumberFormat="1" applyFont="1" applyBorder="1" applyAlignment="1">
      <alignment horizontal="center" vertical="center"/>
    </xf>
    <xf numFmtId="4" fontId="122" fillId="0" borderId="155" xfId="0" applyNumberFormat="1" applyFont="1" applyBorder="1" applyAlignment="1">
      <alignment horizontal="center" vertical="center"/>
    </xf>
    <xf numFmtId="4" fontId="122" fillId="60" borderId="86" xfId="0" applyNumberFormat="1" applyFont="1" applyFill="1" applyBorder="1" applyAlignment="1">
      <alignment horizontal="center" vertical="center"/>
    </xf>
    <xf numFmtId="4" fontId="123" fillId="60" borderId="166" xfId="0" applyNumberFormat="1" applyFont="1" applyFill="1" applyBorder="1" applyAlignment="1">
      <alignment horizontal="right" vertical="center"/>
    </xf>
    <xf numFmtId="3" fontId="123" fillId="0" borderId="0" xfId="0" applyNumberFormat="1" applyFont="1" applyFill="1" applyBorder="1" applyAlignment="1">
      <alignment horizontal="right" vertical="center"/>
    </xf>
    <xf numFmtId="0" fontId="123" fillId="0" borderId="289" xfId="0" applyFont="1" applyFill="1" applyBorder="1" applyAlignment="1">
      <alignment horizontal="center" vertical="center"/>
    </xf>
    <xf numFmtId="0" fontId="123" fillId="0" borderId="155" xfId="0" applyFont="1" applyFill="1" applyBorder="1" applyAlignment="1">
      <alignment horizontal="center" vertical="center"/>
    </xf>
    <xf numFmtId="4" fontId="123" fillId="64" borderId="193" xfId="0" applyNumberFormat="1" applyFont="1" applyFill="1" applyBorder="1" applyAlignment="1">
      <alignment horizontal="right" vertical="center"/>
    </xf>
    <xf numFmtId="4" fontId="122" fillId="60" borderId="30" xfId="0" applyNumberFormat="1" applyFont="1" applyFill="1" applyBorder="1"/>
    <xf numFmtId="4" fontId="122" fillId="59" borderId="292" xfId="0" applyNumberFormat="1" applyFont="1" applyFill="1" applyBorder="1"/>
    <xf numFmtId="4" fontId="123" fillId="0" borderId="193" xfId="0" applyNumberFormat="1" applyFont="1" applyBorder="1" applyAlignment="1">
      <alignment horizontal="right"/>
    </xf>
    <xf numFmtId="0" fontId="122" fillId="0" borderId="85" xfId="0" applyFont="1" applyFill="1" applyBorder="1" applyAlignment="1">
      <alignment horizontal="center" vertical="center"/>
    </xf>
    <xf numFmtId="4" fontId="122" fillId="60" borderId="191" xfId="0" applyNumberFormat="1" applyFont="1" applyFill="1" applyBorder="1" applyAlignment="1">
      <alignment vertical="center"/>
    </xf>
    <xf numFmtId="4" fontId="122" fillId="60" borderId="161" xfId="0" applyNumberFormat="1" applyFont="1" applyFill="1" applyBorder="1" applyAlignment="1">
      <alignment vertical="center"/>
    </xf>
    <xf numFmtId="0" fontId="122" fillId="0" borderId="82" xfId="0" applyFont="1" applyFill="1" applyBorder="1" applyAlignment="1">
      <alignment horizontal="center" wrapText="1"/>
    </xf>
    <xf numFmtId="0" fontId="122" fillId="0" borderId="226" xfId="0" applyFont="1" applyBorder="1" applyAlignment="1">
      <alignment horizontal="center"/>
    </xf>
    <xf numFmtId="0" fontId="122" fillId="0" borderId="22" xfId="0" applyFont="1" applyBorder="1" applyAlignment="1">
      <alignment horizontal="center"/>
    </xf>
    <xf numFmtId="4" fontId="122" fillId="29" borderId="299" xfId="0" applyNumberFormat="1" applyFont="1" applyFill="1" applyBorder="1" applyAlignment="1">
      <alignment horizontal="center"/>
    </xf>
    <xf numFmtId="4" fontId="122" fillId="61" borderId="22" xfId="0" applyNumberFormat="1" applyFont="1" applyFill="1" applyBorder="1" applyAlignment="1"/>
    <xf numFmtId="4" fontId="122" fillId="60" borderId="160" xfId="0" applyNumberFormat="1" applyFont="1" applyFill="1" applyBorder="1" applyAlignment="1"/>
    <xf numFmtId="4" fontId="122" fillId="60" borderId="22" xfId="0" applyNumberFormat="1" applyFont="1" applyFill="1" applyBorder="1" applyAlignment="1"/>
    <xf numFmtId="0" fontId="122" fillId="0" borderId="173" xfId="0" applyFont="1" applyFill="1" applyBorder="1" applyAlignment="1"/>
    <xf numFmtId="0" fontId="122" fillId="0" borderId="193" xfId="0" applyFont="1" applyFill="1" applyBorder="1" applyAlignment="1"/>
    <xf numFmtId="0" fontId="122" fillId="0" borderId="294" xfId="0" applyFont="1" applyBorder="1" applyAlignment="1"/>
    <xf numFmtId="4" fontId="122" fillId="0" borderId="193" xfId="0" applyNumberFormat="1" applyFont="1" applyBorder="1" applyAlignment="1"/>
    <xf numFmtId="0" fontId="122" fillId="0" borderId="193" xfId="0" applyFont="1" applyBorder="1" applyAlignment="1"/>
    <xf numFmtId="3" fontId="122" fillId="0" borderId="193" xfId="0" applyNumberFormat="1" applyFont="1" applyBorder="1" applyAlignment="1"/>
    <xf numFmtId="4" fontId="123" fillId="64" borderId="193" xfId="0" applyNumberFormat="1" applyFont="1" applyFill="1" applyBorder="1" applyAlignment="1">
      <alignment vertical="center"/>
    </xf>
    <xf numFmtId="0" fontId="123" fillId="0" borderId="193" xfId="0" applyFont="1" applyBorder="1" applyAlignment="1">
      <alignment horizontal="center"/>
    </xf>
    <xf numFmtId="4" fontId="123" fillId="64" borderId="193" xfId="0" applyNumberFormat="1" applyFont="1" applyFill="1" applyBorder="1" applyAlignment="1">
      <alignment horizontal="center"/>
    </xf>
    <xf numFmtId="0" fontId="123" fillId="64" borderId="193" xfId="0" applyFont="1" applyFill="1" applyBorder="1" applyAlignment="1">
      <alignment horizontal="center"/>
    </xf>
    <xf numFmtId="3" fontId="123" fillId="64" borderId="193" xfId="0" applyNumberFormat="1" applyFont="1" applyFill="1" applyBorder="1"/>
    <xf numFmtId="0" fontId="47" fillId="0" borderId="0" xfId="0" applyFont="1" applyBorder="1"/>
    <xf numFmtId="4" fontId="123" fillId="64" borderId="294" xfId="0" applyNumberFormat="1" applyFont="1" applyFill="1" applyBorder="1"/>
    <xf numFmtId="0" fontId="122" fillId="0" borderId="290" xfId="0" applyFont="1" applyBorder="1" applyAlignment="1">
      <alignment horizontal="center" vertical="center"/>
    </xf>
    <xf numFmtId="0" fontId="122" fillId="0" borderId="294" xfId="0" applyFont="1" applyBorder="1" applyAlignment="1">
      <alignment horizontal="center" vertical="center"/>
    </xf>
    <xf numFmtId="0" fontId="122" fillId="0" borderId="193" xfId="0" applyFont="1" applyBorder="1" applyAlignment="1">
      <alignment horizontal="center" vertical="center"/>
    </xf>
    <xf numFmtId="0" fontId="122" fillId="0" borderId="166" xfId="0" applyFont="1" applyBorder="1" applyAlignment="1">
      <alignment horizontal="center" vertical="center"/>
    </xf>
    <xf numFmtId="0" fontId="122" fillId="0" borderId="155" xfId="0" applyFont="1" applyBorder="1" applyAlignment="1">
      <alignment horizontal="center" vertical="center"/>
    </xf>
    <xf numFmtId="0" fontId="122" fillId="0" borderId="177" xfId="0" applyFont="1" applyBorder="1" applyAlignment="1">
      <alignment horizontal="center" vertical="center"/>
    </xf>
    <xf numFmtId="0" fontId="122" fillId="0" borderId="287" xfId="0" applyFont="1" applyBorder="1" applyAlignment="1">
      <alignment horizontal="center" vertical="center"/>
    </xf>
    <xf numFmtId="4" fontId="122" fillId="64" borderId="294" xfId="0" applyNumberFormat="1" applyFont="1" applyFill="1" applyBorder="1" applyAlignment="1">
      <alignment vertical="center"/>
    </xf>
    <xf numFmtId="4" fontId="123" fillId="64" borderId="294" xfId="0" applyNumberFormat="1" applyFont="1" applyFill="1" applyBorder="1" applyAlignment="1">
      <alignment horizontal="center" vertical="center"/>
    </xf>
    <xf numFmtId="4" fontId="123" fillId="0" borderId="294" xfId="0" applyNumberFormat="1" applyFont="1" applyBorder="1" applyAlignment="1">
      <alignment vertical="center"/>
    </xf>
    <xf numFmtId="4" fontId="122" fillId="0" borderId="290" xfId="0" applyNumberFormat="1" applyFont="1" applyBorder="1" applyAlignment="1">
      <alignment horizontal="center" vertical="center"/>
    </xf>
    <xf numFmtId="4" fontId="122" fillId="60" borderId="70" xfId="0" applyNumberFormat="1" applyFont="1" applyFill="1" applyBorder="1"/>
    <xf numFmtId="4" fontId="47" fillId="0" borderId="0" xfId="0" applyNumberFormat="1" applyFont="1" applyFill="1" applyAlignment="1">
      <alignment vertical="center"/>
    </xf>
    <xf numFmtId="4" fontId="122" fillId="61" borderId="20" xfId="0" applyNumberFormat="1" applyFont="1" applyFill="1" applyBorder="1"/>
    <xf numFmtId="0" fontId="0" fillId="0" borderId="0" xfId="0" applyBorder="1" applyAlignment="1"/>
    <xf numFmtId="4" fontId="122" fillId="60" borderId="211" xfId="0" applyNumberFormat="1" applyFont="1" applyFill="1" applyBorder="1"/>
    <xf numFmtId="0" fontId="123" fillId="0" borderId="195" xfId="0" applyFont="1" applyBorder="1" applyAlignment="1">
      <alignment vertical="center" textRotation="90" wrapText="1"/>
    </xf>
    <xf numFmtId="0" fontId="123" fillId="0" borderId="294" xfId="0" applyFont="1" applyFill="1" applyBorder="1" applyAlignment="1">
      <alignment horizontal="center" vertical="center"/>
    </xf>
    <xf numFmtId="0" fontId="123" fillId="0" borderId="303" xfId="0" applyFont="1" applyBorder="1" applyAlignment="1">
      <alignment vertical="center" textRotation="90" wrapText="1"/>
    </xf>
    <xf numFmtId="0" fontId="123" fillId="0" borderId="303" xfId="0" applyNumberFormat="1" applyFont="1" applyFill="1" applyBorder="1" applyAlignment="1">
      <alignment horizontal="right" vertical="center"/>
    </xf>
    <xf numFmtId="4" fontId="123" fillId="0" borderId="303" xfId="0" applyNumberFormat="1" applyFont="1" applyFill="1" applyBorder="1" applyAlignment="1">
      <alignment horizontal="right" vertical="center"/>
    </xf>
    <xf numFmtId="0" fontId="123" fillId="0" borderId="0" xfId="0" applyFont="1" applyBorder="1" applyAlignment="1">
      <alignment vertical="center" textRotation="90"/>
    </xf>
    <xf numFmtId="0" fontId="123" fillId="0" borderId="306" xfId="0" applyFont="1" applyBorder="1" applyAlignment="1">
      <alignment vertical="center" textRotation="90" wrapText="1"/>
    </xf>
    <xf numFmtId="0" fontId="123" fillId="0" borderId="307" xfId="0" applyFont="1" applyBorder="1" applyAlignment="1">
      <alignment vertical="center" textRotation="90"/>
    </xf>
    <xf numFmtId="0" fontId="123" fillId="0" borderId="307" xfId="0" applyFont="1" applyFill="1" applyBorder="1" applyAlignment="1">
      <alignment horizontal="center" vertical="center"/>
    </xf>
    <xf numFmtId="4" fontId="123" fillId="0" borderId="307" xfId="0" applyNumberFormat="1" applyFont="1" applyFill="1" applyBorder="1" applyAlignment="1">
      <alignment horizontal="right" vertical="center"/>
    </xf>
    <xf numFmtId="4" fontId="122" fillId="0" borderId="294" xfId="0" applyNumberFormat="1" applyFont="1" applyBorder="1" applyAlignment="1">
      <alignment horizontal="center" vertical="center"/>
    </xf>
    <xf numFmtId="4" fontId="122" fillId="0" borderId="224" xfId="0" applyNumberFormat="1" applyFont="1" applyFill="1" applyBorder="1" applyAlignment="1"/>
    <xf numFmtId="4" fontId="122" fillId="0" borderId="17" xfId="0" applyNumberFormat="1" applyFont="1" applyFill="1" applyBorder="1" applyAlignment="1">
      <alignment horizontal="right"/>
    </xf>
    <xf numFmtId="0" fontId="122" fillId="0" borderId="224" xfId="0" applyFont="1" applyBorder="1" applyAlignment="1">
      <alignment horizontal="center" vertical="center"/>
    </xf>
    <xf numFmtId="0" fontId="122" fillId="0" borderId="287" xfId="0" applyFont="1" applyBorder="1" applyAlignment="1">
      <alignment horizontal="center"/>
    </xf>
    <xf numFmtId="0" fontId="122" fillId="0" borderId="294" xfId="0" applyFont="1" applyBorder="1"/>
    <xf numFmtId="4" fontId="122" fillId="59" borderId="228" xfId="0" applyNumberFormat="1" applyFont="1" applyFill="1" applyBorder="1"/>
    <xf numFmtId="4" fontId="122" fillId="0" borderId="294" xfId="0" applyNumberFormat="1" applyFont="1" applyFill="1" applyBorder="1" applyAlignment="1">
      <alignment vertical="center"/>
    </xf>
    <xf numFmtId="4" fontId="122" fillId="60" borderId="151" xfId="0" applyNumberFormat="1" applyFont="1" applyFill="1" applyBorder="1" applyAlignment="1">
      <alignment vertical="center"/>
    </xf>
    <xf numFmtId="4" fontId="46" fillId="0" borderId="193" xfId="0" applyNumberFormat="1" applyFont="1" applyBorder="1"/>
    <xf numFmtId="4" fontId="123" fillId="35" borderId="294" xfId="1" applyNumberFormat="1" applyFont="1" applyFill="1" applyBorder="1" applyAlignment="1"/>
    <xf numFmtId="4" fontId="123" fillId="0" borderId="294" xfId="0" applyNumberFormat="1" applyFont="1" applyBorder="1" applyAlignment="1">
      <alignment horizontal="right"/>
    </xf>
    <xf numFmtId="4" fontId="122" fillId="61" borderId="66" xfId="0" applyNumberFormat="1" applyFont="1" applyFill="1" applyBorder="1"/>
    <xf numFmtId="4" fontId="122" fillId="61" borderId="87" xfId="0" applyNumberFormat="1" applyFont="1" applyFill="1" applyBorder="1"/>
    <xf numFmtId="0" fontId="123" fillId="0" borderId="294" xfId="0" applyFont="1" applyFill="1" applyBorder="1" applyAlignment="1">
      <alignment vertical="center"/>
    </xf>
    <xf numFmtId="0" fontId="123" fillId="0" borderId="294" xfId="0" applyFont="1" applyBorder="1" applyAlignment="1">
      <alignment vertical="center"/>
    </xf>
    <xf numFmtId="0" fontId="123" fillId="64" borderId="193" xfId="0" applyFont="1" applyFill="1" applyBorder="1" applyAlignment="1">
      <alignment horizontal="center" vertical="center"/>
    </xf>
    <xf numFmtId="0" fontId="122" fillId="0" borderId="294" xfId="0" applyFont="1" applyBorder="1" applyAlignment="1">
      <alignment horizontal="center"/>
    </xf>
    <xf numFmtId="4" fontId="122" fillId="0" borderId="311" xfId="0" applyNumberFormat="1" applyFont="1" applyBorder="1"/>
    <xf numFmtId="4" fontId="122" fillId="0" borderId="310" xfId="0" applyNumberFormat="1" applyFont="1" applyBorder="1"/>
    <xf numFmtId="4" fontId="122" fillId="0" borderId="17" xfId="0" applyNumberFormat="1" applyFont="1" applyFill="1" applyBorder="1" applyAlignment="1"/>
    <xf numFmtId="4" fontId="122" fillId="0" borderId="293" xfId="0" applyNumberFormat="1" applyFont="1" applyBorder="1" applyAlignment="1">
      <alignment horizontal="center" vertical="center"/>
    </xf>
    <xf numFmtId="4" fontId="122" fillId="0" borderId="313" xfId="0" applyNumberFormat="1" applyFont="1" applyBorder="1" applyAlignment="1">
      <alignment horizontal="center" vertical="center"/>
    </xf>
    <xf numFmtId="3" fontId="123" fillId="0" borderId="166" xfId="0" applyNumberFormat="1" applyFont="1" applyFill="1" applyBorder="1" applyAlignment="1">
      <alignment horizontal="right" vertical="center"/>
    </xf>
    <xf numFmtId="4" fontId="122" fillId="0" borderId="295" xfId="0" applyNumberFormat="1" applyFont="1" applyBorder="1"/>
    <xf numFmtId="0" fontId="122" fillId="0" borderId="285" xfId="0" applyFont="1" applyBorder="1" applyAlignment="1">
      <alignment horizontal="center"/>
    </xf>
    <xf numFmtId="4" fontId="122" fillId="0" borderId="285" xfId="0" applyNumberFormat="1" applyFont="1" applyBorder="1" applyAlignment="1">
      <alignment horizontal="center"/>
    </xf>
    <xf numFmtId="4" fontId="122" fillId="0" borderId="17" xfId="0" applyNumberFormat="1" applyFont="1" applyBorder="1" applyAlignment="1">
      <alignment horizontal="right"/>
    </xf>
    <xf numFmtId="4" fontId="122" fillId="60" borderId="316" xfId="0" applyNumberFormat="1" applyFont="1" applyFill="1" applyBorder="1" applyAlignment="1"/>
    <xf numFmtId="4" fontId="103" fillId="0" borderId="17" xfId="0" applyNumberFormat="1" applyFont="1" applyBorder="1" applyAlignment="1">
      <alignment vertical="center"/>
    </xf>
    <xf numFmtId="4" fontId="122" fillId="59" borderId="292" xfId="0" applyNumberFormat="1" applyFont="1" applyFill="1" applyBorder="1" applyAlignment="1">
      <alignment vertical="center"/>
    </xf>
    <xf numFmtId="4" fontId="122" fillId="59" borderId="191" xfId="0" applyNumberFormat="1" applyFont="1" applyFill="1" applyBorder="1" applyAlignment="1">
      <alignment vertical="center"/>
    </xf>
    <xf numFmtId="4" fontId="123" fillId="0" borderId="319" xfId="0" applyNumberFormat="1" applyFont="1" applyFill="1" applyBorder="1" applyAlignment="1">
      <alignment vertical="center"/>
    </xf>
    <xf numFmtId="4" fontId="123" fillId="0" borderId="290" xfId="0" applyNumberFormat="1" applyFont="1" applyFill="1" applyBorder="1" applyAlignment="1">
      <alignment vertical="center"/>
    </xf>
    <xf numFmtId="4" fontId="122" fillId="60" borderId="166" xfId="0" applyNumberFormat="1" applyFont="1" applyFill="1" applyBorder="1" applyAlignment="1">
      <alignment horizontal="right" vertical="center"/>
    </xf>
    <xf numFmtId="4" fontId="122" fillId="60" borderId="155" xfId="0" applyNumberFormat="1" applyFont="1" applyFill="1" applyBorder="1" applyAlignment="1">
      <alignment horizontal="right" vertical="center"/>
    </xf>
    <xf numFmtId="4" fontId="122" fillId="60" borderId="175" xfId="0" applyNumberFormat="1" applyFont="1" applyFill="1" applyBorder="1" applyAlignment="1">
      <alignment horizontal="right" vertical="center"/>
    </xf>
    <xf numFmtId="4" fontId="122" fillId="0" borderId="193" xfId="0" applyNumberFormat="1" applyFont="1" applyFill="1" applyBorder="1" applyAlignment="1">
      <alignment horizontal="right" vertical="center"/>
    </xf>
    <xf numFmtId="4" fontId="123" fillId="64" borderId="0" xfId="0" applyNumberFormat="1" applyFont="1" applyFill="1" applyBorder="1"/>
    <xf numFmtId="0" fontId="46" fillId="0" borderId="0" xfId="0" applyFont="1" applyBorder="1"/>
    <xf numFmtId="0" fontId="123" fillId="0" borderId="195" xfId="0" applyFont="1" applyBorder="1" applyAlignment="1">
      <alignment horizontal="center" vertical="center" wrapText="1"/>
    </xf>
    <xf numFmtId="0" fontId="123" fillId="0" borderId="0" xfId="0" applyFont="1" applyBorder="1" applyAlignment="1">
      <alignment horizontal="center" vertical="center" wrapText="1"/>
    </xf>
    <xf numFmtId="0" fontId="123" fillId="0" borderId="173" xfId="0" applyFont="1" applyBorder="1" applyAlignment="1">
      <alignment horizontal="center" vertical="center" wrapText="1"/>
    </xf>
    <xf numFmtId="0" fontId="123" fillId="0" borderId="193" xfId="0" applyFont="1" applyBorder="1" applyAlignment="1">
      <alignment horizontal="center" vertical="center" wrapText="1"/>
    </xf>
    <xf numFmtId="3" fontId="46" fillId="0" borderId="193" xfId="0" applyNumberFormat="1" applyFont="1" applyBorder="1"/>
    <xf numFmtId="4" fontId="49" fillId="0" borderId="193" xfId="0" applyNumberFormat="1" applyFont="1" applyBorder="1"/>
    <xf numFmtId="169" fontId="46" fillId="0" borderId="193" xfId="0" applyNumberFormat="1" applyFont="1" applyBorder="1"/>
    <xf numFmtId="1" fontId="49" fillId="0" borderId="193" xfId="0" applyNumberFormat="1" applyFont="1" applyFill="1" applyBorder="1" applyAlignment="1">
      <alignment horizontal="center" vertical="center"/>
    </xf>
    <xf numFmtId="1" fontId="49" fillId="0" borderId="194" xfId="0" applyNumberFormat="1" applyFont="1" applyFill="1" applyBorder="1" applyAlignment="1">
      <alignment horizontal="center" vertical="center"/>
    </xf>
    <xf numFmtId="4" fontId="49" fillId="35" borderId="324" xfId="0" applyNumberFormat="1" applyFont="1" applyFill="1" applyBorder="1" applyAlignment="1">
      <alignment horizontal="center" vertical="center"/>
    </xf>
    <xf numFmtId="4" fontId="49" fillId="35" borderId="326" xfId="0" applyNumberFormat="1" applyFont="1" applyFill="1" applyBorder="1" applyAlignment="1">
      <alignment horizontal="center" vertical="center"/>
    </xf>
    <xf numFmtId="4" fontId="47" fillId="0" borderId="0" xfId="0" applyNumberFormat="1" applyFont="1" applyBorder="1"/>
    <xf numFmtId="4" fontId="49" fillId="35" borderId="230" xfId="0" applyNumberFormat="1" applyFont="1" applyFill="1" applyBorder="1" applyAlignment="1">
      <alignment horizontal="center" vertical="center"/>
    </xf>
    <xf numFmtId="2" fontId="51" fillId="60" borderId="324" xfId="0" applyNumberFormat="1" applyFont="1" applyFill="1" applyBorder="1" applyAlignment="1">
      <alignment horizontal="center" vertical="center"/>
    </xf>
    <xf numFmtId="2" fontId="51" fillId="60" borderId="0" xfId="0" applyNumberFormat="1" applyFont="1" applyFill="1" applyBorder="1" applyAlignment="1">
      <alignment horizontal="center" vertical="center" wrapText="1"/>
    </xf>
    <xf numFmtId="2" fontId="51" fillId="59" borderId="296" xfId="0" applyNumberFormat="1" applyFont="1" applyFill="1" applyBorder="1" applyAlignment="1">
      <alignment horizontal="center" vertical="center" wrapText="1"/>
    </xf>
    <xf numFmtId="2" fontId="51" fillId="59" borderId="324" xfId="0" applyNumberFormat="1" applyFont="1" applyFill="1" applyBorder="1" applyAlignment="1">
      <alignment horizontal="center" vertical="center"/>
    </xf>
    <xf numFmtId="2" fontId="51" fillId="61" borderId="324" xfId="0" applyNumberFormat="1" applyFont="1" applyFill="1" applyBorder="1" applyAlignment="1">
      <alignment horizontal="center" vertical="center"/>
    </xf>
    <xf numFmtId="2" fontId="51" fillId="62" borderId="324" xfId="0" applyNumberFormat="1" applyFont="1" applyFill="1" applyBorder="1" applyAlignment="1">
      <alignment horizontal="center" vertical="center"/>
    </xf>
    <xf numFmtId="2" fontId="51" fillId="59" borderId="324" xfId="0" applyNumberFormat="1" applyFont="1" applyFill="1" applyBorder="1" applyAlignment="1">
      <alignment horizontal="center" vertical="center" wrapText="1"/>
    </xf>
    <xf numFmtId="2" fontId="51" fillId="59" borderId="225" xfId="0" applyNumberFormat="1" applyFont="1" applyFill="1" applyBorder="1" applyAlignment="1">
      <alignment horizontal="center" vertical="center" wrapText="1"/>
    </xf>
    <xf numFmtId="0" fontId="47" fillId="64" borderId="0" xfId="0" applyFont="1" applyFill="1"/>
    <xf numFmtId="2" fontId="51" fillId="61" borderId="324" xfId="0" applyNumberFormat="1" applyFont="1" applyFill="1" applyBorder="1" applyAlignment="1">
      <alignment horizontal="center" vertical="center" wrapText="1"/>
    </xf>
    <xf numFmtId="4" fontId="51" fillId="29" borderId="324" xfId="0" applyNumberFormat="1" applyFont="1" applyFill="1" applyBorder="1" applyAlignment="1">
      <alignment horizontal="center" vertical="center"/>
    </xf>
    <xf numFmtId="2" fontId="51" fillId="61" borderId="194" xfId="0" applyNumberFormat="1" applyFont="1" applyFill="1" applyBorder="1" applyAlignment="1">
      <alignment horizontal="center" vertical="center"/>
    </xf>
    <xf numFmtId="2" fontId="51" fillId="61" borderId="322" xfId="0" applyNumberFormat="1" applyFont="1" applyFill="1" applyBorder="1" applyAlignment="1">
      <alignment horizontal="center" vertical="center"/>
    </xf>
    <xf numFmtId="2" fontId="51" fillId="60" borderId="193" xfId="0" applyNumberFormat="1" applyFont="1" applyFill="1" applyBorder="1" applyAlignment="1">
      <alignment horizontal="center" vertical="center"/>
    </xf>
    <xf numFmtId="4" fontId="122" fillId="60" borderId="222" xfId="0" applyNumberFormat="1" applyFont="1" applyFill="1" applyBorder="1"/>
    <xf numFmtId="4" fontId="122" fillId="60" borderId="329" xfId="0" applyNumberFormat="1" applyFont="1" applyFill="1" applyBorder="1"/>
    <xf numFmtId="4" fontId="123" fillId="0" borderId="304" xfId="0" applyNumberFormat="1" applyFont="1" applyFill="1" applyBorder="1" applyAlignment="1">
      <alignment horizontal="right" vertical="center"/>
    </xf>
    <xf numFmtId="4" fontId="122" fillId="60" borderId="277" xfId="0" applyNumberFormat="1" applyFont="1" applyFill="1" applyBorder="1"/>
    <xf numFmtId="4" fontId="122" fillId="60" borderId="290" xfId="0" applyNumberFormat="1" applyFont="1" applyFill="1" applyBorder="1" applyAlignment="1">
      <alignment horizontal="center"/>
    </xf>
    <xf numFmtId="4" fontId="122" fillId="60" borderId="313" xfId="0" applyNumberFormat="1" applyFont="1" applyFill="1" applyBorder="1" applyAlignment="1">
      <alignment horizontal="center"/>
    </xf>
    <xf numFmtId="4" fontId="122" fillId="61" borderId="85" xfId="0" applyNumberFormat="1" applyFont="1" applyFill="1" applyBorder="1" applyAlignment="1">
      <alignment vertical="center"/>
    </xf>
    <xf numFmtId="4" fontId="122" fillId="61" borderId="86" xfId="0" applyNumberFormat="1" applyFont="1" applyFill="1" applyBorder="1" applyAlignment="1">
      <alignment vertical="center"/>
    </xf>
    <xf numFmtId="4" fontId="122" fillId="61" borderId="287" xfId="0" applyNumberFormat="1" applyFont="1" applyFill="1" applyBorder="1" applyAlignment="1"/>
    <xf numFmtId="0" fontId="122" fillId="61" borderId="82" xfId="0" applyFont="1" applyFill="1" applyBorder="1" applyAlignment="1">
      <alignment horizontal="center" vertical="center"/>
    </xf>
    <xf numFmtId="0" fontId="122" fillId="61" borderId="22" xfId="0" applyFont="1" applyFill="1" applyBorder="1" applyAlignment="1">
      <alignment horizontal="center" vertical="center"/>
    </xf>
    <xf numFmtId="0" fontId="122" fillId="61" borderId="65" xfId="0" applyFont="1" applyFill="1" applyBorder="1" applyAlignment="1">
      <alignment horizontal="center" vertical="center"/>
    </xf>
    <xf numFmtId="0" fontId="122" fillId="61" borderId="17" xfId="0" applyFont="1" applyFill="1" applyBorder="1" applyAlignment="1">
      <alignment horizontal="center" vertical="center"/>
    </xf>
    <xf numFmtId="4" fontId="122" fillId="61" borderId="82" xfId="0" applyNumberFormat="1" applyFont="1" applyFill="1" applyBorder="1" applyAlignment="1"/>
    <xf numFmtId="4" fontId="122" fillId="61" borderId="74" xfId="0" applyNumberFormat="1" applyFont="1" applyFill="1" applyBorder="1"/>
    <xf numFmtId="4" fontId="122" fillId="61" borderId="175" xfId="0" applyNumberFormat="1" applyFont="1" applyFill="1" applyBorder="1" applyAlignment="1">
      <alignment horizontal="right" vertical="center"/>
    </xf>
    <xf numFmtId="4" fontId="122" fillId="61" borderId="155" xfId="0" applyNumberFormat="1" applyFont="1" applyFill="1" applyBorder="1" applyAlignment="1">
      <alignment horizontal="right" vertical="center"/>
    </xf>
    <xf numFmtId="4" fontId="122" fillId="61" borderId="0" xfId="0" applyNumberFormat="1" applyFont="1" applyFill="1" applyBorder="1" applyAlignment="1">
      <alignment horizontal="right" vertical="center"/>
    </xf>
    <xf numFmtId="4" fontId="123" fillId="64" borderId="290" xfId="0" applyNumberFormat="1" applyFont="1" applyFill="1" applyBorder="1"/>
    <xf numFmtId="4" fontId="123" fillId="64" borderId="166" xfId="0" applyNumberFormat="1" applyFont="1" applyFill="1" applyBorder="1"/>
    <xf numFmtId="4" fontId="122" fillId="60" borderId="151" xfId="0" applyNumberFormat="1" applyFont="1" applyFill="1" applyBorder="1" applyAlignment="1">
      <alignment horizontal="right"/>
    </xf>
    <xf numFmtId="0" fontId="47" fillId="0" borderId="173" xfId="0" applyFont="1" applyBorder="1" applyAlignment="1">
      <alignment vertical="center" textRotation="90"/>
    </xf>
    <xf numFmtId="0" fontId="122" fillId="0" borderId="331" xfId="0" applyFont="1" applyBorder="1" applyAlignment="1">
      <alignment horizontal="center" vertical="center"/>
    </xf>
    <xf numFmtId="4" fontId="123" fillId="64" borderId="166" xfId="0" applyNumberFormat="1" applyFont="1" applyFill="1" applyBorder="1" applyAlignment="1">
      <alignment horizontal="right" vertical="center"/>
    </xf>
    <xf numFmtId="168" fontId="57" fillId="64" borderId="173" xfId="0" applyNumberFormat="1" applyFont="1" applyFill="1" applyBorder="1" applyAlignment="1">
      <alignment horizontal="center" vertical="center" textRotation="90" wrapText="1"/>
    </xf>
    <xf numFmtId="3" fontId="123" fillId="64" borderId="294" xfId="0" applyNumberFormat="1" applyFont="1" applyFill="1" applyBorder="1" applyAlignment="1">
      <alignment vertical="center"/>
    </xf>
    <xf numFmtId="2" fontId="123" fillId="64" borderId="294" xfId="0" applyNumberFormat="1" applyFont="1" applyFill="1" applyBorder="1" applyAlignment="1">
      <alignment vertical="center"/>
    </xf>
    <xf numFmtId="0" fontId="47" fillId="64" borderId="0" xfId="0" applyFont="1" applyFill="1" applyAlignment="1">
      <alignment vertical="center"/>
    </xf>
    <xf numFmtId="0" fontId="122" fillId="60" borderId="224" xfId="0" applyFont="1" applyFill="1" applyBorder="1" applyAlignment="1">
      <alignment horizontal="center"/>
    </xf>
    <xf numFmtId="0" fontId="122" fillId="60" borderId="17" xfId="0" applyFont="1" applyFill="1" applyBorder="1" applyAlignment="1">
      <alignment horizontal="center"/>
    </xf>
    <xf numFmtId="0" fontId="46" fillId="0" borderId="319" xfId="0" applyFont="1" applyBorder="1"/>
    <xf numFmtId="0" fontId="122" fillId="0" borderId="0" xfId="0" applyFont="1" applyBorder="1" applyAlignment="1">
      <alignment horizontal="left" vertical="center" textRotation="90"/>
    </xf>
    <xf numFmtId="0" fontId="122" fillId="0" borderId="155" xfId="0" applyFont="1" applyBorder="1" applyAlignment="1">
      <alignment horizontal="center"/>
    </xf>
    <xf numFmtId="0" fontId="122" fillId="0" borderId="18" xfId="0" applyFont="1" applyBorder="1" applyAlignment="1">
      <alignment horizontal="center"/>
    </xf>
    <xf numFmtId="4" fontId="122" fillId="60" borderId="332" xfId="0" applyNumberFormat="1" applyFont="1" applyFill="1" applyBorder="1"/>
    <xf numFmtId="2" fontId="51" fillId="60" borderId="294" xfId="0" applyNumberFormat="1" applyFont="1" applyFill="1" applyBorder="1" applyAlignment="1">
      <alignment horizontal="center" vertical="center"/>
    </xf>
    <xf numFmtId="0" fontId="49" fillId="0" borderId="324" xfId="0" applyFont="1" applyBorder="1" applyAlignment="1">
      <alignment horizontal="center"/>
    </xf>
    <xf numFmtId="4" fontId="122" fillId="60" borderId="301" xfId="0" applyNumberFormat="1" applyFont="1" applyFill="1" applyBorder="1"/>
    <xf numFmtId="4" fontId="122" fillId="61" borderId="74" xfId="0" applyNumberFormat="1" applyFont="1" applyFill="1" applyBorder="1" applyAlignment="1"/>
    <xf numFmtId="0" fontId="49" fillId="0" borderId="322" xfId="0" applyFont="1" applyBorder="1" applyAlignment="1">
      <alignment horizontal="center"/>
    </xf>
    <xf numFmtId="0" fontId="49" fillId="0" borderId="288" xfId="0" applyFont="1" applyBorder="1" applyAlignment="1">
      <alignment horizontal="center"/>
    </xf>
    <xf numFmtId="1" fontId="49" fillId="0" borderId="326" xfId="0" applyNumberFormat="1" applyFont="1" applyFill="1" applyBorder="1" applyAlignment="1">
      <alignment horizontal="center" vertical="center"/>
    </xf>
    <xf numFmtId="0" fontId="56" fillId="0" borderId="173" xfId="0" applyFont="1" applyBorder="1" applyAlignment="1">
      <alignment horizontal="center" vertical="center" wrapText="1"/>
    </xf>
    <xf numFmtId="0" fontId="122" fillId="0" borderId="196" xfId="0" applyFont="1" applyBorder="1" applyAlignment="1">
      <alignment horizontal="center" vertical="center"/>
    </xf>
    <xf numFmtId="0" fontId="122" fillId="0" borderId="188" xfId="0" applyFont="1" applyBorder="1" applyAlignment="1">
      <alignment horizontal="center" vertical="center"/>
    </xf>
    <xf numFmtId="4" fontId="122" fillId="60" borderId="294" xfId="0" applyNumberFormat="1" applyFont="1" applyFill="1" applyBorder="1" applyAlignment="1">
      <alignment horizontal="center"/>
    </xf>
    <xf numFmtId="4" fontId="103" fillId="0" borderId="22" xfId="0" applyNumberFormat="1" applyFont="1" applyBorder="1" applyAlignment="1">
      <alignment horizontal="right"/>
    </xf>
    <xf numFmtId="0" fontId="130" fillId="0" borderId="0" xfId="0" applyFont="1" applyAlignment="1">
      <alignment vertical="center" wrapText="1"/>
    </xf>
    <xf numFmtId="4" fontId="122" fillId="60" borderId="18" xfId="0" applyNumberFormat="1" applyFont="1" applyFill="1" applyBorder="1"/>
    <xf numFmtId="0" fontId="123" fillId="0" borderId="0" xfId="0" applyFont="1" applyBorder="1" applyAlignment="1">
      <alignment horizontal="center"/>
    </xf>
    <xf numFmtId="0" fontId="122" fillId="0" borderId="82" xfId="0" applyFont="1" applyFill="1" applyBorder="1" applyAlignment="1">
      <alignment horizontal="center"/>
    </xf>
    <xf numFmtId="4" fontId="122" fillId="59" borderId="155" xfId="0" applyNumberFormat="1" applyFont="1" applyFill="1" applyBorder="1"/>
    <xf numFmtId="3" fontId="55" fillId="0" borderId="193" xfId="0" applyNumberFormat="1" applyFont="1" applyBorder="1"/>
    <xf numFmtId="4" fontId="131" fillId="61" borderId="17" xfId="0" applyNumberFormat="1" applyFont="1" applyFill="1" applyBorder="1"/>
    <xf numFmtId="4" fontId="122" fillId="0" borderId="298" xfId="0" applyNumberFormat="1" applyFont="1" applyFill="1" applyBorder="1"/>
    <xf numFmtId="4" fontId="122" fillId="0" borderId="152" xfId="0" applyNumberFormat="1" applyFont="1" applyBorder="1"/>
    <xf numFmtId="4" fontId="122" fillId="59" borderId="19" xfId="0" applyNumberFormat="1" applyFont="1" applyFill="1" applyBorder="1"/>
    <xf numFmtId="4" fontId="122" fillId="0" borderId="318" xfId="0" applyNumberFormat="1" applyFont="1" applyFill="1" applyBorder="1" applyAlignment="1">
      <alignment horizontal="center"/>
    </xf>
    <xf numFmtId="4" fontId="131" fillId="60" borderId="69" xfId="0" applyNumberFormat="1" applyFont="1" applyFill="1" applyBorder="1"/>
    <xf numFmtId="169" fontId="46" fillId="0" borderId="0" xfId="0" applyNumberFormat="1" applyFont="1"/>
    <xf numFmtId="170" fontId="46" fillId="0" borderId="0" xfId="0" applyNumberFormat="1" applyFont="1"/>
    <xf numFmtId="3" fontId="122" fillId="0" borderId="20" xfId="0" applyNumberFormat="1" applyFont="1" applyBorder="1"/>
    <xf numFmtId="4" fontId="122" fillId="0" borderId="211" xfId="0" applyNumberFormat="1" applyFont="1" applyBorder="1"/>
    <xf numFmtId="4" fontId="131" fillId="61" borderId="20" xfId="0" applyNumberFormat="1" applyFont="1" applyFill="1" applyBorder="1"/>
    <xf numFmtId="4" fontId="122" fillId="61" borderId="70" xfId="0" applyNumberFormat="1" applyFont="1" applyFill="1" applyBorder="1"/>
    <xf numFmtId="4" fontId="122" fillId="61" borderId="211" xfId="0" applyNumberFormat="1" applyFont="1" applyFill="1" applyBorder="1"/>
    <xf numFmtId="4" fontId="122" fillId="0" borderId="30" xfId="0" applyNumberFormat="1" applyFont="1" applyBorder="1"/>
    <xf numFmtId="4" fontId="122" fillId="0" borderId="30" xfId="0" applyNumberFormat="1" applyFont="1" applyFill="1" applyBorder="1"/>
    <xf numFmtId="4" fontId="122" fillId="59" borderId="23" xfId="0" applyNumberFormat="1" applyFont="1" applyFill="1" applyBorder="1"/>
    <xf numFmtId="4" fontId="122" fillId="61" borderId="198" xfId="0" applyNumberFormat="1" applyFont="1" applyFill="1" applyBorder="1"/>
    <xf numFmtId="4" fontId="122" fillId="60" borderId="174" xfId="0" applyNumberFormat="1" applyFont="1" applyFill="1" applyBorder="1"/>
    <xf numFmtId="4" fontId="49" fillId="35" borderId="288" xfId="2" applyNumberFormat="1" applyFont="1" applyFill="1" applyBorder="1" applyAlignment="1">
      <alignment horizontal="center" vertical="center"/>
    </xf>
    <xf numFmtId="1" fontId="71" fillId="0" borderId="230" xfId="2" applyNumberFormat="1" applyFont="1" applyFill="1" applyBorder="1" applyAlignment="1">
      <alignment horizontal="center" vertical="center"/>
    </xf>
    <xf numFmtId="4" fontId="127" fillId="59" borderId="151" xfId="0" applyNumberFormat="1" applyFont="1" applyFill="1" applyBorder="1"/>
    <xf numFmtId="4" fontId="127" fillId="59" borderId="211" xfId="0" applyNumberFormat="1" applyFont="1" applyFill="1" applyBorder="1"/>
    <xf numFmtId="4" fontId="127" fillId="59" borderId="161" xfId="0" applyNumberFormat="1" applyFont="1" applyFill="1" applyBorder="1"/>
    <xf numFmtId="4" fontId="122" fillId="60" borderId="196" xfId="0" applyNumberFormat="1" applyFont="1" applyFill="1" applyBorder="1"/>
    <xf numFmtId="4" fontId="122" fillId="60" borderId="208" xfId="0" applyNumberFormat="1" applyFont="1" applyFill="1" applyBorder="1"/>
    <xf numFmtId="4" fontId="122" fillId="60" borderId="292" xfId="0" applyNumberFormat="1" applyFont="1" applyFill="1" applyBorder="1" applyAlignment="1">
      <alignment vertical="center"/>
    </xf>
    <xf numFmtId="4" fontId="122" fillId="60" borderId="335" xfId="0" applyNumberFormat="1" applyFont="1" applyFill="1" applyBorder="1"/>
    <xf numFmtId="4" fontId="122" fillId="29" borderId="213" xfId="0" applyNumberFormat="1" applyFont="1" applyFill="1" applyBorder="1"/>
    <xf numFmtId="4" fontId="51" fillId="29" borderId="192" xfId="0" applyNumberFormat="1" applyFont="1" applyFill="1" applyBorder="1" applyAlignment="1">
      <alignment horizontal="center" vertical="center"/>
    </xf>
    <xf numFmtId="4" fontId="122" fillId="59" borderId="21" xfId="0" applyNumberFormat="1" applyFont="1" applyFill="1" applyBorder="1"/>
    <xf numFmtId="4" fontId="122" fillId="61" borderId="332" xfId="0" applyNumberFormat="1" applyFont="1" applyFill="1" applyBorder="1"/>
    <xf numFmtId="4" fontId="122" fillId="60" borderId="22" xfId="0" applyNumberFormat="1" applyFont="1" applyFill="1" applyBorder="1" applyAlignment="1">
      <alignment horizontal="center" vertical="center"/>
    </xf>
    <xf numFmtId="3" fontId="123" fillId="0" borderId="294" xfId="0" applyNumberFormat="1" applyFont="1" applyFill="1" applyBorder="1" applyAlignment="1">
      <alignment vertical="center"/>
    </xf>
    <xf numFmtId="2" fontId="123" fillId="0" borderId="294" xfId="0" applyNumberFormat="1" applyFont="1" applyFill="1" applyBorder="1" applyAlignment="1">
      <alignment vertical="center"/>
    </xf>
    <xf numFmtId="4" fontId="122" fillId="60" borderId="298" xfId="0" applyNumberFormat="1" applyFont="1" applyFill="1" applyBorder="1"/>
    <xf numFmtId="4" fontId="122" fillId="0" borderId="294" xfId="0" applyNumberFormat="1" applyFont="1" applyBorder="1"/>
    <xf numFmtId="0" fontId="122" fillId="0" borderId="203" xfId="0" applyFont="1" applyBorder="1" applyAlignment="1">
      <alignment horizontal="center" vertical="center"/>
    </xf>
    <xf numFmtId="3" fontId="123" fillId="64" borderId="294" xfId="0" applyNumberFormat="1" applyFont="1" applyFill="1" applyBorder="1" applyAlignment="1">
      <alignment horizontal="center"/>
    </xf>
    <xf numFmtId="1" fontId="49" fillId="0" borderId="288" xfId="0" applyNumberFormat="1" applyFont="1" applyFill="1" applyBorder="1" applyAlignment="1">
      <alignment horizontal="center" vertical="center"/>
    </xf>
    <xf numFmtId="4" fontId="122" fillId="60" borderId="151" xfId="0" applyNumberFormat="1" applyFont="1" applyFill="1" applyBorder="1" applyAlignment="1"/>
    <xf numFmtId="0" fontId="122" fillId="61" borderId="332" xfId="0" applyFont="1" applyFill="1" applyBorder="1" applyAlignment="1">
      <alignment horizontal="center" vertical="center"/>
    </xf>
    <xf numFmtId="0" fontId="122" fillId="61" borderId="66" xfId="0" applyFont="1" applyFill="1" applyBorder="1" applyAlignment="1">
      <alignment horizontal="center" vertical="center"/>
    </xf>
    <xf numFmtId="4" fontId="122" fillId="61" borderId="332" xfId="0" applyNumberFormat="1" applyFont="1" applyFill="1" applyBorder="1" applyAlignment="1"/>
    <xf numFmtId="4" fontId="122" fillId="61" borderId="66" xfId="0" applyNumberFormat="1" applyFont="1" applyFill="1" applyBorder="1" applyAlignment="1"/>
    <xf numFmtId="4" fontId="122" fillId="61" borderId="87" xfId="0" applyNumberFormat="1" applyFont="1" applyFill="1" applyBorder="1" applyAlignment="1"/>
    <xf numFmtId="4" fontId="122" fillId="60" borderId="334" xfId="0" applyNumberFormat="1" applyFont="1" applyFill="1" applyBorder="1" applyAlignment="1"/>
    <xf numFmtId="2" fontId="51" fillId="59" borderId="285" xfId="0" applyNumberFormat="1" applyFont="1" applyFill="1" applyBorder="1" applyAlignment="1">
      <alignment horizontal="center" vertical="center"/>
    </xf>
    <xf numFmtId="4" fontId="122" fillId="60" borderId="334" xfId="0" applyNumberFormat="1" applyFont="1" applyFill="1" applyBorder="1"/>
    <xf numFmtId="4" fontId="122" fillId="60" borderId="343" xfId="0" applyNumberFormat="1" applyFont="1" applyFill="1" applyBorder="1"/>
    <xf numFmtId="4" fontId="122" fillId="60" borderId="287" xfId="0" applyNumberFormat="1" applyFont="1" applyFill="1" applyBorder="1" applyAlignment="1">
      <alignment horizontal="center"/>
    </xf>
    <xf numFmtId="0" fontId="122" fillId="60" borderId="334" xfId="0" applyFont="1" applyFill="1" applyBorder="1" applyAlignment="1">
      <alignment horizontal="center"/>
    </xf>
    <xf numFmtId="0" fontId="122" fillId="60" borderId="151" xfId="0" applyFont="1" applyFill="1" applyBorder="1" applyAlignment="1">
      <alignment horizontal="center"/>
    </xf>
    <xf numFmtId="4" fontId="122" fillId="60" borderId="211" xfId="0" applyNumberFormat="1" applyFont="1" applyFill="1" applyBorder="1" applyAlignment="1">
      <alignment vertical="center"/>
    </xf>
    <xf numFmtId="4" fontId="123" fillId="64" borderId="294" xfId="0" applyNumberFormat="1" applyFont="1" applyFill="1" applyBorder="1" applyAlignment="1">
      <alignment horizontal="right" vertical="center"/>
    </xf>
    <xf numFmtId="4" fontId="123" fillId="0" borderId="293" xfId="0" applyNumberFormat="1" applyFont="1" applyFill="1" applyBorder="1" applyAlignment="1">
      <alignment vertical="center"/>
    </xf>
    <xf numFmtId="0" fontId="122" fillId="0" borderId="294" xfId="0" applyFont="1" applyFill="1" applyBorder="1" applyAlignment="1">
      <alignment horizontal="center" vertical="center"/>
    </xf>
    <xf numFmtId="4" fontId="131" fillId="62" borderId="70" xfId="0" applyNumberFormat="1" applyFont="1" applyFill="1" applyBorder="1"/>
    <xf numFmtId="4" fontId="131" fillId="59" borderId="20" xfId="0" applyNumberFormat="1" applyFont="1" applyFill="1" applyBorder="1"/>
    <xf numFmtId="4" fontId="131" fillId="59" borderId="203" xfId="0" applyNumberFormat="1" applyFont="1" applyFill="1" applyBorder="1"/>
    <xf numFmtId="4" fontId="131" fillId="62" borderId="286" xfId="0" applyNumberFormat="1" applyFont="1" applyFill="1" applyBorder="1"/>
    <xf numFmtId="4" fontId="131" fillId="62" borderId="65" xfId="0" applyNumberFormat="1" applyFont="1" applyFill="1" applyBorder="1"/>
    <xf numFmtId="4" fontId="131" fillId="62" borderId="69" xfId="0" applyNumberFormat="1" applyFont="1" applyFill="1" applyBorder="1"/>
    <xf numFmtId="4" fontId="131" fillId="62" borderId="85" xfId="0" applyNumberFormat="1" applyFont="1" applyFill="1" applyBorder="1"/>
    <xf numFmtId="4" fontId="131" fillId="62" borderId="17" xfId="0" applyNumberFormat="1" applyFont="1" applyFill="1" applyBorder="1"/>
    <xf numFmtId="4" fontId="131" fillId="62" borderId="66" xfId="0" applyNumberFormat="1" applyFont="1" applyFill="1" applyBorder="1"/>
    <xf numFmtId="4" fontId="131" fillId="62" borderId="20" xfId="0" applyNumberFormat="1" applyFont="1" applyFill="1" applyBorder="1"/>
    <xf numFmtId="4" fontId="131" fillId="62" borderId="152" xfId="0" applyNumberFormat="1" applyFont="1" applyFill="1" applyBorder="1"/>
    <xf numFmtId="4" fontId="131" fillId="59" borderId="17" xfId="0" applyNumberFormat="1" applyFont="1" applyFill="1" applyBorder="1"/>
    <xf numFmtId="4" fontId="131" fillId="59" borderId="152" xfId="0" applyNumberFormat="1" applyFont="1" applyFill="1" applyBorder="1"/>
    <xf numFmtId="4" fontId="131" fillId="59" borderId="22" xfId="0" applyNumberFormat="1" applyFont="1" applyFill="1" applyBorder="1"/>
    <xf numFmtId="4" fontId="131" fillId="59" borderId="187" xfId="0" applyNumberFormat="1" applyFont="1" applyFill="1" applyBorder="1"/>
    <xf numFmtId="4" fontId="131" fillId="62" borderId="224" xfId="0" applyNumberFormat="1" applyFont="1" applyFill="1" applyBorder="1"/>
    <xf numFmtId="4" fontId="131" fillId="59" borderId="18" xfId="0" applyNumberFormat="1" applyFont="1" applyFill="1" applyBorder="1"/>
    <xf numFmtId="4" fontId="132" fillId="0" borderId="294" xfId="0" applyNumberFormat="1" applyFont="1" applyFill="1" applyBorder="1" applyAlignment="1">
      <alignment vertical="center"/>
    </xf>
    <xf numFmtId="4" fontId="131" fillId="62" borderId="175" xfId="0" applyNumberFormat="1" applyFont="1" applyFill="1" applyBorder="1"/>
    <xf numFmtId="4" fontId="131" fillId="62" borderId="86" xfId="0" applyNumberFormat="1" applyFont="1" applyFill="1" applyBorder="1"/>
    <xf numFmtId="4" fontId="131" fillId="62" borderId="87" xfId="0" applyNumberFormat="1" applyFont="1" applyFill="1" applyBorder="1"/>
    <xf numFmtId="4" fontId="131" fillId="59" borderId="335" xfId="0" applyNumberFormat="1" applyFont="1" applyFill="1" applyBorder="1"/>
    <xf numFmtId="4" fontId="131" fillId="59" borderId="86" xfId="0" applyNumberFormat="1" applyFont="1" applyFill="1" applyBorder="1"/>
    <xf numFmtId="4" fontId="131" fillId="59" borderId="155" xfId="0" applyNumberFormat="1" applyFont="1" applyFill="1" applyBorder="1"/>
    <xf numFmtId="4" fontId="131" fillId="62" borderId="211" xfId="0" applyNumberFormat="1" applyFont="1" applyFill="1" applyBorder="1"/>
    <xf numFmtId="4" fontId="122" fillId="0" borderId="155" xfId="0" applyNumberFormat="1" applyFont="1" applyBorder="1" applyAlignment="1"/>
    <xf numFmtId="4" fontId="122" fillId="0" borderId="345" xfId="0" applyNumberFormat="1" applyFont="1" applyBorder="1"/>
    <xf numFmtId="4" fontId="122" fillId="0" borderId="166" xfId="0" applyNumberFormat="1" applyFont="1" applyBorder="1"/>
    <xf numFmtId="4" fontId="122" fillId="60" borderId="166" xfId="0" applyNumberFormat="1" applyFont="1" applyFill="1" applyBorder="1"/>
    <xf numFmtId="4" fontId="122" fillId="61" borderId="175" xfId="0" applyNumberFormat="1" applyFont="1" applyFill="1" applyBorder="1"/>
    <xf numFmtId="4" fontId="122" fillId="61" borderId="155" xfId="0" applyNumberFormat="1" applyFont="1" applyFill="1" applyBorder="1"/>
    <xf numFmtId="4" fontId="122" fillId="61" borderId="176" xfId="0" applyNumberFormat="1" applyFont="1" applyFill="1" applyBorder="1"/>
    <xf numFmtId="4" fontId="122" fillId="59" borderId="166" xfId="0" applyNumberFormat="1" applyFont="1" applyFill="1" applyBorder="1"/>
    <xf numFmtId="4" fontId="122" fillId="59" borderId="193" xfId="0" applyNumberFormat="1" applyFont="1" applyFill="1" applyBorder="1"/>
    <xf numFmtId="4" fontId="131" fillId="62" borderId="177" xfId="0" applyNumberFormat="1" applyFont="1" applyFill="1" applyBorder="1"/>
    <xf numFmtId="4" fontId="131" fillId="62" borderId="176" xfId="0" applyNumberFormat="1" applyFont="1" applyFill="1" applyBorder="1"/>
    <xf numFmtId="4" fontId="127" fillId="59" borderId="166" xfId="0" applyNumberFormat="1" applyFont="1" applyFill="1" applyBorder="1"/>
    <xf numFmtId="0" fontId="122" fillId="0" borderId="193" xfId="0" applyFont="1" applyBorder="1" applyAlignment="1">
      <alignment horizontal="center"/>
    </xf>
    <xf numFmtId="4" fontId="123" fillId="35" borderId="193" xfId="1" applyNumberFormat="1" applyFont="1" applyFill="1" applyBorder="1" applyAlignment="1"/>
    <xf numFmtId="4" fontId="132" fillId="35" borderId="193" xfId="1" applyNumberFormat="1" applyFont="1" applyFill="1" applyBorder="1" applyAlignment="1"/>
    <xf numFmtId="0" fontId="123" fillId="0" borderId="324" xfId="0" applyFont="1" applyBorder="1" applyAlignment="1">
      <alignment horizontal="center" vertical="center" wrapText="1"/>
    </xf>
    <xf numFmtId="4" fontId="122" fillId="0" borderId="155" xfId="0" applyNumberFormat="1" applyFont="1" applyBorder="1" applyAlignment="1">
      <alignment horizontal="right"/>
    </xf>
    <xf numFmtId="4" fontId="137" fillId="0" borderId="17" xfId="0" applyNumberFormat="1" applyFont="1" applyBorder="1"/>
    <xf numFmtId="3" fontId="122" fillId="0" borderId="224" xfId="0" applyNumberFormat="1" applyFont="1" applyBorder="1" applyAlignment="1">
      <alignment horizontal="center"/>
    </xf>
    <xf numFmtId="0" fontId="46" fillId="0" borderId="0" xfId="0" applyFont="1" applyBorder="1"/>
    <xf numFmtId="0" fontId="129" fillId="0" borderId="0" xfId="0" applyFont="1" applyAlignment="1">
      <alignment horizontal="center"/>
    </xf>
    <xf numFmtId="0" fontId="122" fillId="0" borderId="347" xfId="0" applyFont="1" applyBorder="1" applyAlignment="1">
      <alignment horizontal="center"/>
    </xf>
    <xf numFmtId="0" fontId="122" fillId="0" borderId="338" xfId="0" applyFont="1" applyBorder="1" applyAlignment="1">
      <alignment horizontal="center"/>
    </xf>
    <xf numFmtId="0" fontId="122" fillId="0" borderId="337" xfId="0" applyFont="1" applyBorder="1" applyAlignment="1">
      <alignment horizontal="center"/>
    </xf>
    <xf numFmtId="0" fontId="122" fillId="0" borderId="344" xfId="0" applyFont="1" applyBorder="1"/>
    <xf numFmtId="0" fontId="122" fillId="0" borderId="348" xfId="0" applyFont="1" applyBorder="1" applyAlignment="1">
      <alignment horizontal="center"/>
    </xf>
    <xf numFmtId="4" fontId="131" fillId="0" borderId="310" xfId="0" applyNumberFormat="1" applyFont="1" applyFill="1" applyBorder="1" applyAlignment="1"/>
    <xf numFmtId="4" fontId="131" fillId="0" borderId="23" xfId="0" applyNumberFormat="1" applyFont="1" applyFill="1" applyBorder="1" applyAlignment="1"/>
    <xf numFmtId="0" fontId="123" fillId="64" borderId="294" xfId="0" applyFont="1" applyFill="1" applyBorder="1" applyAlignment="1">
      <alignment horizontal="center" vertical="center"/>
    </xf>
    <xf numFmtId="0" fontId="122" fillId="0" borderId="19" xfId="0" applyFont="1" applyBorder="1"/>
    <xf numFmtId="4" fontId="122" fillId="0" borderId="65" xfId="0" applyNumberFormat="1" applyFont="1" applyFill="1" applyBorder="1" applyAlignment="1">
      <alignment horizontal="center"/>
    </xf>
    <xf numFmtId="3" fontId="122" fillId="0" borderId="65" xfId="0" applyNumberFormat="1" applyFont="1" applyFill="1" applyBorder="1" applyAlignment="1">
      <alignment horizontal="center"/>
    </xf>
    <xf numFmtId="0" fontId="123" fillId="0" borderId="166" xfId="0" applyFont="1" applyFill="1" applyBorder="1" applyAlignment="1">
      <alignment horizontal="center" vertical="center"/>
    </xf>
    <xf numFmtId="0" fontId="123" fillId="0" borderId="85" xfId="0" applyFont="1" applyFill="1" applyBorder="1" applyAlignment="1">
      <alignment horizontal="center" vertical="center"/>
    </xf>
    <xf numFmtId="0" fontId="123" fillId="0" borderId="175" xfId="0" applyFont="1" applyFill="1" applyBorder="1" applyAlignment="1">
      <alignment horizontal="center" vertical="center"/>
    </xf>
    <xf numFmtId="0" fontId="123" fillId="0" borderId="303" xfId="0" applyFont="1" applyFill="1" applyBorder="1" applyAlignment="1">
      <alignment horizontal="center" vertical="center"/>
    </xf>
    <xf numFmtId="0" fontId="131" fillId="0" borderId="292" xfId="0" applyFont="1" applyFill="1" applyBorder="1" applyAlignment="1">
      <alignment vertical="center"/>
    </xf>
    <xf numFmtId="0" fontId="122" fillId="0" borderId="82" xfId="0" applyFont="1" applyFill="1" applyBorder="1" applyAlignment="1">
      <alignment horizontal="center" vertical="center"/>
    </xf>
    <xf numFmtId="0" fontId="131" fillId="0" borderId="193" xfId="0" applyFont="1" applyFill="1" applyBorder="1" applyAlignment="1">
      <alignment vertical="center" wrapText="1"/>
    </xf>
    <xf numFmtId="0" fontId="122" fillId="0" borderId="193" xfId="0" applyFont="1" applyFill="1" applyBorder="1" applyAlignment="1">
      <alignment horizontal="center" vertical="center"/>
    </xf>
    <xf numFmtId="0" fontId="123" fillId="0" borderId="354" xfId="0" applyFont="1" applyBorder="1" applyAlignment="1">
      <alignment horizontal="center" vertical="center"/>
    </xf>
    <xf numFmtId="0" fontId="122" fillId="0" borderId="294" xfId="0" applyFont="1" applyBorder="1" applyAlignment="1">
      <alignment vertical="center"/>
    </xf>
    <xf numFmtId="0" fontId="122" fillId="0" borderId="294" xfId="0" applyFont="1" applyFill="1" applyBorder="1" applyAlignment="1"/>
    <xf numFmtId="0" fontId="123" fillId="0" borderId="286" xfId="0" applyFont="1" applyFill="1" applyBorder="1" applyAlignment="1">
      <alignment horizontal="center" vertical="center"/>
    </xf>
    <xf numFmtId="0" fontId="122" fillId="0" borderId="23" xfId="0" applyFont="1" applyBorder="1"/>
    <xf numFmtId="0" fontId="122" fillId="0" borderId="23" xfId="0" applyFont="1" applyFill="1" applyBorder="1" applyAlignment="1"/>
    <xf numFmtId="0" fontId="122" fillId="0" borderId="191" xfId="207" applyFont="1" applyFill="1" applyBorder="1" applyAlignment="1"/>
    <xf numFmtId="3" fontId="123" fillId="35" borderId="294" xfId="0" applyNumberFormat="1" applyFont="1" applyFill="1" applyBorder="1" applyAlignment="1">
      <alignment horizontal="center"/>
    </xf>
    <xf numFmtId="0" fontId="122" fillId="0" borderId="173" xfId="0" applyFont="1" applyFill="1" applyBorder="1" applyAlignment="1">
      <alignment horizontal="left" vertical="center" textRotation="90"/>
    </xf>
    <xf numFmtId="0" fontId="122" fillId="0" borderId="193" xfId="0" applyFont="1" applyFill="1" applyBorder="1" applyAlignment="1">
      <alignment horizontal="left" vertical="center" textRotation="90"/>
    </xf>
    <xf numFmtId="0" fontId="123" fillId="0" borderId="322" xfId="0" applyFont="1" applyFill="1" applyBorder="1" applyAlignment="1">
      <alignment horizontal="left" vertical="center" wrapText="1"/>
    </xf>
    <xf numFmtId="0" fontId="140" fillId="0" borderId="193" xfId="0" applyFont="1" applyFill="1" applyBorder="1" applyAlignment="1">
      <alignment vertical="center" textRotation="90"/>
    </xf>
    <xf numFmtId="0" fontId="47" fillId="0" borderId="294" xfId="0" applyFont="1" applyFill="1" applyBorder="1" applyAlignment="1">
      <alignment horizontal="center" vertical="center"/>
    </xf>
    <xf numFmtId="0" fontId="141" fillId="0" borderId="293" xfId="0" applyFont="1" applyFill="1" applyBorder="1" applyAlignment="1">
      <alignment vertical="center"/>
    </xf>
    <xf numFmtId="4" fontId="142" fillId="0" borderId="0" xfId="0" applyNumberFormat="1" applyFont="1"/>
    <xf numFmtId="4" fontId="143" fillId="0" borderId="193" xfId="0" applyNumberFormat="1" applyFont="1" applyBorder="1" applyAlignment="1">
      <alignment horizontal="center" vertical="center"/>
    </xf>
    <xf numFmtId="4" fontId="143" fillId="0" borderId="193" xfId="0" applyNumberFormat="1" applyFont="1" applyBorder="1"/>
    <xf numFmtId="169" fontId="142" fillId="0" borderId="193" xfId="0" applyNumberFormat="1" applyFont="1" applyBorder="1"/>
    <xf numFmtId="4" fontId="49" fillId="0" borderId="322" xfId="0" applyNumberFormat="1" applyFont="1" applyFill="1" applyBorder="1" applyAlignment="1">
      <alignment horizontal="center" vertical="center"/>
    </xf>
    <xf numFmtId="3" fontId="122" fillId="0" borderId="345" xfId="0" applyNumberFormat="1" applyFont="1" applyBorder="1" applyAlignment="1">
      <alignment horizontal="right"/>
    </xf>
    <xf numFmtId="0" fontId="46" fillId="0" borderId="294" xfId="0" applyFont="1" applyBorder="1"/>
    <xf numFmtId="4" fontId="122" fillId="0" borderId="224" xfId="0" applyNumberFormat="1" applyFont="1" applyFill="1" applyBorder="1" applyAlignment="1">
      <alignment horizontal="right"/>
    </xf>
    <xf numFmtId="4" fontId="122" fillId="0" borderId="224" xfId="0" applyNumberFormat="1" applyFont="1" applyBorder="1" applyAlignment="1">
      <alignment horizontal="center"/>
    </xf>
    <xf numFmtId="3" fontId="122" fillId="0" borderId="151" xfId="0" applyNumberFormat="1" applyFont="1" applyBorder="1" applyAlignment="1"/>
    <xf numFmtId="4" fontId="122" fillId="64" borderId="22" xfId="0" applyNumberFormat="1" applyFont="1" applyFill="1" applyBorder="1"/>
    <xf numFmtId="4" fontId="122" fillId="64" borderId="17" xfId="0" applyNumberFormat="1" applyFont="1" applyFill="1" applyBorder="1"/>
    <xf numFmtId="3" fontId="122" fillId="64" borderId="17" xfId="0" applyNumberFormat="1" applyFont="1" applyFill="1" applyBorder="1"/>
    <xf numFmtId="4" fontId="131" fillId="0" borderId="17" xfId="0" applyNumberFormat="1" applyFont="1" applyBorder="1"/>
    <xf numFmtId="3" fontId="131" fillId="0" borderId="17" xfId="0" applyNumberFormat="1" applyFont="1" applyBorder="1"/>
    <xf numFmtId="4" fontId="122" fillId="35" borderId="224" xfId="1" applyNumberFormat="1" applyFont="1" applyFill="1" applyBorder="1" applyAlignment="1"/>
    <xf numFmtId="3" fontId="122" fillId="35" borderId="224" xfId="1" applyNumberFormat="1" applyFont="1" applyFill="1" applyBorder="1" applyAlignment="1"/>
    <xf numFmtId="4" fontId="122" fillId="0" borderId="222" xfId="0" applyNumberFormat="1" applyFont="1" applyBorder="1" applyAlignment="1">
      <alignment horizontal="center" vertical="center"/>
    </xf>
    <xf numFmtId="4" fontId="122" fillId="0" borderId="20" xfId="0" applyNumberFormat="1" applyFont="1" applyBorder="1" applyAlignment="1">
      <alignment horizontal="center" vertical="center"/>
    </xf>
    <xf numFmtId="4" fontId="122" fillId="0" borderId="20" xfId="0" applyNumberFormat="1" applyFont="1" applyBorder="1" applyAlignment="1">
      <alignment horizontal="right" vertical="center"/>
    </xf>
    <xf numFmtId="4" fontId="122" fillId="0" borderId="356" xfId="0" applyNumberFormat="1" applyFont="1" applyBorder="1" applyAlignment="1">
      <alignment horizontal="center" vertical="center"/>
    </xf>
    <xf numFmtId="3" fontId="123" fillId="0" borderId="294" xfId="0" applyNumberFormat="1" applyFont="1" applyFill="1" applyBorder="1" applyAlignment="1">
      <alignment horizontal="right" vertical="center"/>
    </xf>
    <xf numFmtId="4" fontId="123" fillId="0" borderId="16" xfId="0" applyNumberFormat="1" applyFont="1" applyFill="1" applyBorder="1" applyAlignment="1">
      <alignment horizontal="right" vertical="center"/>
    </xf>
    <xf numFmtId="0" fontId="122" fillId="0" borderId="319" xfId="0" applyFont="1" applyBorder="1"/>
    <xf numFmtId="0" fontId="122" fillId="0" borderId="18" xfId="0" applyFont="1" applyBorder="1" applyAlignment="1">
      <alignment horizontal="center" vertical="center"/>
    </xf>
    <xf numFmtId="0" fontId="122" fillId="0" borderId="313" xfId="0" applyFont="1" applyBorder="1" applyAlignment="1">
      <alignment horizontal="center" vertical="center"/>
    </xf>
    <xf numFmtId="4" fontId="123" fillId="64" borderId="290" xfId="0" applyNumberFormat="1" applyFont="1" applyFill="1" applyBorder="1" applyAlignment="1">
      <alignment horizontal="right" vertical="center"/>
    </xf>
    <xf numFmtId="4" fontId="123" fillId="64" borderId="296" xfId="0" applyNumberFormat="1" applyFont="1" applyFill="1" applyBorder="1" applyAlignment="1">
      <alignment horizontal="right" vertical="center"/>
    </xf>
    <xf numFmtId="4" fontId="123" fillId="64" borderId="357" xfId="0" applyNumberFormat="1" applyFont="1" applyFill="1" applyBorder="1" applyAlignment="1">
      <alignment horizontal="right" vertical="center"/>
    </xf>
    <xf numFmtId="0" fontId="122" fillId="0" borderId="313" xfId="0" applyFont="1" applyBorder="1" applyAlignment="1">
      <alignment horizontal="center"/>
    </xf>
    <xf numFmtId="4" fontId="123" fillId="64" borderId="319" xfId="0" applyNumberFormat="1" applyFont="1" applyFill="1" applyBorder="1" applyAlignment="1">
      <alignment horizontal="center"/>
    </xf>
    <xf numFmtId="0" fontId="123" fillId="64" borderId="319" xfId="0" applyFont="1" applyFill="1" applyBorder="1" applyAlignment="1">
      <alignment horizontal="center"/>
    </xf>
    <xf numFmtId="3" fontId="122" fillId="64" borderId="193" xfId="0" applyNumberFormat="1" applyFont="1" applyFill="1" applyBorder="1"/>
    <xf numFmtId="4" fontId="122" fillId="64" borderId="193" xfId="0" applyNumberFormat="1" applyFont="1" applyFill="1" applyBorder="1"/>
    <xf numFmtId="0" fontId="122" fillId="64" borderId="193" xfId="0" applyFont="1" applyFill="1" applyBorder="1"/>
    <xf numFmtId="0" fontId="122" fillId="0" borderId="20" xfId="0" applyFont="1" applyBorder="1" applyAlignment="1">
      <alignment horizontal="center"/>
    </xf>
    <xf numFmtId="0" fontId="122" fillId="0" borderId="289" xfId="0" applyFont="1" applyBorder="1" applyAlignment="1">
      <alignment horizontal="center"/>
    </xf>
    <xf numFmtId="3" fontId="123" fillId="0" borderId="294" xfId="0" applyNumberFormat="1" applyFont="1" applyBorder="1" applyAlignment="1">
      <alignment vertical="center"/>
    </xf>
    <xf numFmtId="0" fontId="47" fillId="0" borderId="331" xfId="0" applyFont="1" applyBorder="1" applyAlignment="1">
      <alignment vertical="center"/>
    </xf>
    <xf numFmtId="4" fontId="47" fillId="0" borderId="294" xfId="0" applyNumberFormat="1" applyFont="1" applyBorder="1" applyAlignment="1">
      <alignment vertical="center"/>
    </xf>
    <xf numFmtId="0" fontId="47" fillId="0" borderId="294" xfId="0" applyFont="1" applyBorder="1" applyAlignment="1">
      <alignment vertical="center"/>
    </xf>
    <xf numFmtId="3" fontId="46" fillId="0" borderId="294" xfId="0" applyNumberFormat="1" applyFont="1" applyBorder="1"/>
    <xf numFmtId="4" fontId="46" fillId="0" borderId="294" xfId="0" applyNumberFormat="1" applyFont="1" applyBorder="1"/>
    <xf numFmtId="4" fontId="122" fillId="0" borderId="231" xfId="0" applyNumberFormat="1" applyFont="1" applyBorder="1"/>
    <xf numFmtId="4" fontId="122" fillId="0" borderId="203" xfId="0" applyNumberFormat="1" applyFont="1" applyBorder="1"/>
    <xf numFmtId="4" fontId="122" fillId="0" borderId="187" xfId="0" applyNumberFormat="1" applyFont="1" applyBorder="1"/>
    <xf numFmtId="4" fontId="122" fillId="0" borderId="227" xfId="0" applyNumberFormat="1" applyFont="1" applyBorder="1" applyAlignment="1">
      <alignment horizontal="center" vertical="center"/>
    </xf>
    <xf numFmtId="4" fontId="122" fillId="0" borderId="187" xfId="0" applyNumberFormat="1" applyFont="1" applyBorder="1" applyAlignment="1">
      <alignment horizontal="center" vertical="center"/>
    </xf>
    <xf numFmtId="4" fontId="122" fillId="0" borderId="189" xfId="0" applyNumberFormat="1" applyFont="1" applyBorder="1" applyAlignment="1">
      <alignment horizontal="center" vertical="center"/>
    </xf>
    <xf numFmtId="0" fontId="122" fillId="0" borderId="227" xfId="0" applyFont="1" applyBorder="1" applyAlignment="1">
      <alignment horizontal="center" vertical="center"/>
    </xf>
    <xf numFmtId="0" fontId="122" fillId="0" borderId="231" xfId="0" applyFont="1" applyBorder="1" applyAlignment="1">
      <alignment horizontal="center" vertical="center"/>
    </xf>
    <xf numFmtId="0" fontId="122" fillId="0" borderId="227" xfId="0" applyFont="1" applyBorder="1" applyAlignment="1">
      <alignment horizontal="center"/>
    </xf>
    <xf numFmtId="0" fontId="122" fillId="0" borderId="203" xfId="0" applyFont="1" applyBorder="1" applyAlignment="1">
      <alignment horizontal="center"/>
    </xf>
    <xf numFmtId="0" fontId="122" fillId="0" borderId="188" xfId="0" applyFont="1" applyBorder="1" applyAlignment="1">
      <alignment horizontal="center"/>
    </xf>
    <xf numFmtId="0" fontId="123" fillId="0" borderId="285" xfId="0" applyFont="1" applyBorder="1" applyAlignment="1">
      <alignment vertical="center"/>
    </xf>
    <xf numFmtId="4" fontId="142" fillId="0" borderId="0" xfId="0" applyNumberFormat="1" applyFont="1" applyBorder="1"/>
    <xf numFmtId="4" fontId="123" fillId="0" borderId="294" xfId="0" applyNumberFormat="1" applyFont="1" applyBorder="1"/>
    <xf numFmtId="4" fontId="122" fillId="0" borderId="334" xfId="0" applyNumberFormat="1" applyFont="1" applyFill="1" applyBorder="1" applyAlignment="1">
      <alignment vertical="center"/>
    </xf>
    <xf numFmtId="4" fontId="122" fillId="0" borderId="334" xfId="0" applyNumberFormat="1" applyFont="1" applyFill="1" applyBorder="1"/>
    <xf numFmtId="4" fontId="137" fillId="0" borderId="160" xfId="0" applyNumberFormat="1" applyFont="1" applyBorder="1"/>
    <xf numFmtId="4" fontId="137" fillId="0" borderId="22" xfId="0" applyNumberFormat="1" applyFont="1" applyBorder="1"/>
    <xf numFmtId="4" fontId="103" fillId="64" borderId="17" xfId="0" applyNumberFormat="1" applyFont="1" applyFill="1" applyBorder="1"/>
    <xf numFmtId="4" fontId="137" fillId="64" borderId="151" xfId="0" applyNumberFormat="1" applyFont="1" applyFill="1" applyBorder="1"/>
    <xf numFmtId="4" fontId="137" fillId="64" borderId="20" xfId="0" applyNumberFormat="1" applyFont="1" applyFill="1" applyBorder="1"/>
    <xf numFmtId="4" fontId="137" fillId="0" borderId="22" xfId="0" applyNumberFormat="1" applyFont="1" applyBorder="1" applyAlignment="1">
      <alignment horizontal="right"/>
    </xf>
    <xf numFmtId="4" fontId="137" fillId="0" borderId="151" xfId="0" applyNumberFormat="1" applyFont="1" applyBorder="1"/>
    <xf numFmtId="4" fontId="137" fillId="0" borderId="152" xfId="0" applyNumberFormat="1" applyFont="1" applyBorder="1"/>
    <xf numFmtId="4" fontId="122" fillId="0" borderId="334" xfId="0" applyNumberFormat="1" applyFont="1" applyFill="1" applyBorder="1" applyAlignment="1">
      <alignment horizontal="center"/>
    </xf>
    <xf numFmtId="4" fontId="122" fillId="0" borderId="211" xfId="0" applyNumberFormat="1" applyFont="1" applyBorder="1" applyAlignment="1">
      <alignment horizontal="center" vertical="center"/>
    </xf>
    <xf numFmtId="4" fontId="122" fillId="0" borderId="151" xfId="0" applyNumberFormat="1" applyFont="1" applyBorder="1" applyAlignment="1">
      <alignment horizontal="center" vertical="center"/>
    </xf>
    <xf numFmtId="4" fontId="122" fillId="0" borderId="166" xfId="0" applyNumberFormat="1" applyFont="1" applyBorder="1" applyAlignment="1">
      <alignment horizontal="center" vertical="center"/>
    </xf>
    <xf numFmtId="4" fontId="122" fillId="0" borderId="155" xfId="0" applyNumberFormat="1" applyFont="1" applyFill="1" applyBorder="1" applyAlignment="1">
      <alignment horizontal="right" vertical="center"/>
    </xf>
    <xf numFmtId="4" fontId="123" fillId="0" borderId="177" xfId="0" applyNumberFormat="1" applyFont="1" applyFill="1" applyBorder="1" applyAlignment="1">
      <alignment horizontal="right" vertical="center"/>
    </xf>
    <xf numFmtId="0" fontId="122" fillId="0" borderId="334" xfId="0" applyFont="1" applyBorder="1" applyAlignment="1">
      <alignment horizontal="center" vertical="center"/>
    </xf>
    <xf numFmtId="0" fontId="122" fillId="0" borderId="298" xfId="0" applyFont="1" applyBorder="1" applyAlignment="1">
      <alignment horizontal="center" vertical="center"/>
    </xf>
    <xf numFmtId="0" fontId="122" fillId="0" borderId="152" xfId="0" applyFont="1" applyBorder="1" applyAlignment="1">
      <alignment horizontal="center" vertical="center"/>
    </xf>
    <xf numFmtId="4" fontId="123" fillId="64" borderId="360" xfId="0" applyNumberFormat="1" applyFont="1" applyFill="1" applyBorder="1" applyAlignment="1">
      <alignment horizontal="right" vertical="center"/>
    </xf>
    <xf numFmtId="4" fontId="123" fillId="64" borderId="361" xfId="0" applyNumberFormat="1" applyFont="1" applyFill="1" applyBorder="1" applyAlignment="1">
      <alignment horizontal="right" vertical="center"/>
    </xf>
    <xf numFmtId="0" fontId="122" fillId="0" borderId="290" xfId="0" applyFont="1" applyBorder="1" applyAlignment="1">
      <alignment horizontal="center"/>
    </xf>
    <xf numFmtId="4" fontId="122" fillId="0" borderId="315" xfId="0" applyNumberFormat="1" applyFont="1" applyBorder="1" applyAlignment="1">
      <alignment horizontal="center"/>
    </xf>
    <xf numFmtId="0" fontId="122" fillId="0" borderId="315" xfId="0" applyFont="1" applyBorder="1" applyAlignment="1">
      <alignment horizontal="center"/>
    </xf>
    <xf numFmtId="0" fontId="122" fillId="0" borderId="332" xfId="0" applyFont="1" applyBorder="1" applyAlignment="1">
      <alignment horizontal="center" vertical="center"/>
    </xf>
    <xf numFmtId="0" fontId="122" fillId="0" borderId="66" xfId="0" applyFont="1" applyBorder="1" applyAlignment="1">
      <alignment horizontal="center" vertical="center"/>
    </xf>
    <xf numFmtId="0" fontId="122" fillId="0" borderId="74" xfId="0" applyFont="1" applyBorder="1" applyAlignment="1">
      <alignment horizontal="center"/>
    </xf>
    <xf numFmtId="0" fontId="122" fillId="0" borderId="87" xfId="0" applyFont="1" applyBorder="1" applyAlignment="1">
      <alignment horizontal="center"/>
    </xf>
    <xf numFmtId="0" fontId="122" fillId="0" borderId="212" xfId="0" applyFont="1" applyBorder="1" applyAlignment="1">
      <alignment horizontal="center"/>
    </xf>
    <xf numFmtId="0" fontId="122" fillId="0" borderId="152" xfId="0" applyFont="1" applyBorder="1" applyAlignment="1">
      <alignment horizontal="center"/>
    </xf>
    <xf numFmtId="0" fontId="122" fillId="0" borderId="196" xfId="0" applyFont="1" applyBorder="1" applyAlignment="1">
      <alignment horizontal="center"/>
    </xf>
    <xf numFmtId="0" fontId="46" fillId="0" borderId="331" xfId="0" applyFont="1" applyBorder="1"/>
    <xf numFmtId="0" fontId="46" fillId="0" borderId="0" xfId="0" applyFont="1" applyBorder="1"/>
    <xf numFmtId="0" fontId="51" fillId="60" borderId="324" xfId="0" applyFont="1" applyFill="1" applyBorder="1" applyAlignment="1">
      <alignment horizontal="center" vertical="center" wrapText="1"/>
    </xf>
    <xf numFmtId="2" fontId="51" fillId="60" borderId="197" xfId="0" applyNumberFormat="1" applyFont="1" applyFill="1" applyBorder="1" applyAlignment="1">
      <alignment horizontal="center" vertical="center" wrapText="1"/>
    </xf>
    <xf numFmtId="4" fontId="131" fillId="60" borderId="151" xfId="0" applyNumberFormat="1" applyFont="1" applyFill="1" applyBorder="1"/>
    <xf numFmtId="4" fontId="131" fillId="60" borderId="166" xfId="0" applyNumberFormat="1" applyFont="1" applyFill="1" applyBorder="1"/>
    <xf numFmtId="4" fontId="122" fillId="60" borderId="224" xfId="0" applyNumberFormat="1" applyFont="1" applyFill="1" applyBorder="1" applyAlignment="1">
      <alignment horizontal="right"/>
    </xf>
    <xf numFmtId="4" fontId="122" fillId="60" borderId="23" xfId="0" applyNumberFormat="1" applyFont="1" applyFill="1" applyBorder="1" applyAlignment="1">
      <alignment horizontal="right" vertical="center"/>
    </xf>
    <xf numFmtId="4" fontId="122" fillId="60" borderId="160" xfId="0" applyNumberFormat="1" applyFont="1" applyFill="1" applyBorder="1" applyAlignment="1">
      <alignment horizontal="right" vertical="center"/>
    </xf>
    <xf numFmtId="4" fontId="122" fillId="60" borderId="211" xfId="0" applyNumberFormat="1" applyFont="1" applyFill="1" applyBorder="1" applyAlignment="1">
      <alignment horizontal="right" vertical="center"/>
    </xf>
    <xf numFmtId="4" fontId="122" fillId="60" borderId="70" xfId="0" applyNumberFormat="1" applyFont="1" applyFill="1" applyBorder="1" applyAlignment="1">
      <alignment horizontal="right" vertical="center"/>
    </xf>
    <xf numFmtId="4" fontId="122" fillId="60" borderId="87" xfId="0" applyNumberFormat="1" applyFont="1" applyFill="1" applyBorder="1" applyAlignment="1">
      <alignment horizontal="right" vertical="center"/>
    </xf>
    <xf numFmtId="4" fontId="123" fillId="60" borderId="290" xfId="0" applyNumberFormat="1" applyFont="1" applyFill="1" applyBorder="1" applyAlignment="1">
      <alignment horizontal="right" vertical="center"/>
    </xf>
    <xf numFmtId="4" fontId="123" fillId="64" borderId="321" xfId="0" applyNumberFormat="1" applyFont="1" applyFill="1" applyBorder="1" applyAlignment="1">
      <alignment horizontal="right" vertical="center"/>
    </xf>
    <xf numFmtId="4" fontId="122" fillId="60" borderId="336" xfId="0" applyNumberFormat="1" applyFont="1" applyFill="1" applyBorder="1" applyAlignment="1">
      <alignment horizontal="center"/>
    </xf>
    <xf numFmtId="4" fontId="122" fillId="60" borderId="335" xfId="0" applyNumberFormat="1" applyFont="1" applyFill="1" applyBorder="1" applyAlignment="1">
      <alignment horizontal="center"/>
    </xf>
    <xf numFmtId="4" fontId="140" fillId="0" borderId="0" xfId="0" applyNumberFormat="1" applyFont="1"/>
    <xf numFmtId="4" fontId="131" fillId="29" borderId="213" xfId="0" applyNumberFormat="1" applyFont="1" applyFill="1" applyBorder="1"/>
    <xf numFmtId="4" fontId="131" fillId="29" borderId="299" xfId="0" applyNumberFormat="1" applyFont="1" applyFill="1" applyBorder="1"/>
    <xf numFmtId="4" fontId="137" fillId="29" borderId="228" xfId="0" applyNumberFormat="1" applyFont="1" applyFill="1" applyBorder="1" applyAlignment="1">
      <alignment vertical="center"/>
    </xf>
    <xf numFmtId="4" fontId="137" fillId="29" borderId="213" xfId="0" applyNumberFormat="1" applyFont="1" applyFill="1" applyBorder="1" applyAlignment="1">
      <alignment vertical="center"/>
    </xf>
    <xf numFmtId="4" fontId="137" fillId="29" borderId="192" xfId="0" applyNumberFormat="1" applyFont="1" applyFill="1" applyBorder="1" applyAlignment="1">
      <alignment vertical="center"/>
    </xf>
    <xf numFmtId="4" fontId="103" fillId="29" borderId="192" xfId="0" applyNumberFormat="1" applyFont="1" applyFill="1" applyBorder="1" applyAlignment="1">
      <alignment vertical="center"/>
    </xf>
    <xf numFmtId="4" fontId="123" fillId="64" borderId="319" xfId="0" applyNumberFormat="1" applyFont="1" applyFill="1" applyBorder="1" applyAlignment="1">
      <alignment horizontal="right" vertical="center"/>
    </xf>
    <xf numFmtId="4" fontId="123" fillId="64" borderId="364" xfId="0" applyNumberFormat="1" applyFont="1" applyFill="1" applyBorder="1" applyAlignment="1">
      <alignment horizontal="right" vertical="center"/>
    </xf>
    <xf numFmtId="4" fontId="122" fillId="29" borderId="340" xfId="0" applyNumberFormat="1" applyFont="1" applyFill="1" applyBorder="1" applyAlignment="1">
      <alignment horizontal="center"/>
    </xf>
    <xf numFmtId="4" fontId="124" fillId="29" borderId="299" xfId="0" applyNumberFormat="1" applyFont="1" applyFill="1" applyBorder="1" applyAlignment="1">
      <alignment horizontal="center"/>
    </xf>
    <xf numFmtId="4" fontId="124" fillId="29" borderId="213" xfId="0" applyNumberFormat="1" applyFont="1" applyFill="1" applyBorder="1" applyAlignment="1">
      <alignment horizontal="center"/>
    </xf>
    <xf numFmtId="4" fontId="144" fillId="59" borderId="213" xfId="0" applyNumberFormat="1" applyFont="1" applyFill="1" applyBorder="1" applyAlignment="1">
      <alignment vertical="center"/>
    </xf>
    <xf numFmtId="4" fontId="144" fillId="59" borderId="341" xfId="0" applyNumberFormat="1" applyFont="1" applyFill="1" applyBorder="1" applyAlignment="1">
      <alignment vertical="center"/>
    </xf>
    <xf numFmtId="4" fontId="144" fillId="59" borderId="192" xfId="0" applyNumberFormat="1" applyFont="1" applyFill="1" applyBorder="1" applyAlignment="1">
      <alignment vertical="center"/>
    </xf>
    <xf numFmtId="4" fontId="123" fillId="0" borderId="229" xfId="0" applyNumberFormat="1" applyFont="1" applyBorder="1" applyAlignment="1">
      <alignment vertical="center"/>
    </xf>
    <xf numFmtId="4" fontId="141" fillId="0" borderId="229" xfId="0" applyNumberFormat="1" applyFont="1" applyBorder="1" applyAlignment="1">
      <alignment vertical="center"/>
    </xf>
    <xf numFmtId="0" fontId="46" fillId="0" borderId="313" xfId="0" applyFont="1" applyBorder="1"/>
    <xf numFmtId="4" fontId="122" fillId="0" borderId="298" xfId="0" applyNumberFormat="1" applyFont="1" applyFill="1" applyBorder="1" applyAlignment="1"/>
    <xf numFmtId="4" fontId="122" fillId="0" borderId="152" xfId="0" applyNumberFormat="1" applyFont="1" applyFill="1" applyBorder="1" applyAlignment="1">
      <alignment horizontal="right"/>
    </xf>
    <xf numFmtId="4" fontId="122" fillId="0" borderId="199" xfId="0" applyNumberFormat="1" applyFont="1" applyBorder="1" applyAlignment="1">
      <alignment horizontal="right"/>
    </xf>
    <xf numFmtId="4" fontId="122" fillId="0" borderId="152" xfId="0" applyNumberFormat="1" applyFont="1" applyBorder="1" applyAlignment="1">
      <alignment horizontal="right"/>
    </xf>
    <xf numFmtId="4" fontId="122" fillId="0" borderId="177" xfId="0" applyNumberFormat="1" applyFont="1" applyBorder="1" applyAlignment="1">
      <alignment horizontal="right"/>
    </xf>
    <xf numFmtId="4" fontId="122" fillId="0" borderId="20" xfId="0" applyNumberFormat="1" applyFont="1" applyBorder="1" applyAlignment="1">
      <alignment horizontal="right"/>
    </xf>
    <xf numFmtId="4" fontId="137" fillId="0" borderId="212" xfId="0" applyNumberFormat="1" applyFont="1" applyBorder="1" applyAlignment="1">
      <alignment horizontal="right"/>
    </xf>
    <xf numFmtId="4" fontId="103" fillId="0" borderId="152" xfId="0" applyNumberFormat="1" applyFont="1" applyBorder="1"/>
    <xf numFmtId="4" fontId="137" fillId="0" borderId="18" xfId="0" applyNumberFormat="1" applyFont="1" applyBorder="1"/>
    <xf numFmtId="4" fontId="122" fillId="0" borderId="152" xfId="0" applyNumberFormat="1" applyFont="1" applyFill="1" applyBorder="1"/>
    <xf numFmtId="2" fontId="51" fillId="61" borderId="288" xfId="0" applyNumberFormat="1" applyFont="1" applyFill="1" applyBorder="1" applyAlignment="1">
      <alignment horizontal="center" vertical="center" wrapText="1"/>
    </xf>
    <xf numFmtId="2" fontId="51" fillId="60" borderId="324" xfId="0" applyNumberFormat="1" applyFont="1" applyFill="1" applyBorder="1" applyAlignment="1">
      <alignment horizontal="center" vertical="center" wrapText="1"/>
    </xf>
    <xf numFmtId="4" fontId="122" fillId="61" borderId="87" xfId="0" applyNumberFormat="1" applyFont="1" applyFill="1" applyBorder="1" applyAlignment="1">
      <alignment vertical="center"/>
    </xf>
    <xf numFmtId="4" fontId="131" fillId="61" borderId="66" xfId="0" applyNumberFormat="1" applyFont="1" applyFill="1" applyBorder="1"/>
    <xf numFmtId="4" fontId="122" fillId="61" borderId="161" xfId="0" applyNumberFormat="1" applyFont="1" applyFill="1" applyBorder="1"/>
    <xf numFmtId="4" fontId="123" fillId="0" borderId="319" xfId="0" applyNumberFormat="1" applyFont="1" applyBorder="1"/>
    <xf numFmtId="4" fontId="122" fillId="61" borderId="316" xfId="0" applyNumberFormat="1" applyFont="1" applyFill="1" applyBorder="1" applyAlignment="1">
      <alignment horizontal="right" vertical="center"/>
    </xf>
    <xf numFmtId="4" fontId="122" fillId="61" borderId="315" xfId="0" applyNumberFormat="1" applyFont="1" applyFill="1" applyBorder="1" applyAlignment="1">
      <alignment horizontal="right" vertical="center"/>
    </xf>
    <xf numFmtId="4" fontId="122" fillId="61" borderId="316" xfId="0" applyNumberFormat="1" applyFont="1" applyFill="1" applyBorder="1" applyAlignment="1"/>
    <xf numFmtId="4" fontId="122" fillId="61" borderId="313" xfId="0" applyNumberFormat="1" applyFont="1" applyFill="1" applyBorder="1" applyAlignment="1"/>
    <xf numFmtId="4" fontId="122" fillId="60" borderId="313" xfId="0" applyNumberFormat="1" applyFont="1" applyFill="1" applyBorder="1" applyAlignment="1"/>
    <xf numFmtId="4" fontId="122" fillId="60" borderId="287" xfId="0" applyNumberFormat="1" applyFont="1" applyFill="1" applyBorder="1" applyAlignment="1"/>
    <xf numFmtId="4" fontId="103" fillId="61" borderId="301" xfId="0" applyNumberFormat="1" applyFont="1" applyFill="1" applyBorder="1" applyAlignment="1"/>
    <xf numFmtId="4" fontId="122" fillId="61" borderId="335" xfId="0" applyNumberFormat="1" applyFont="1" applyFill="1" applyBorder="1" applyAlignment="1"/>
    <xf numFmtId="4" fontId="103" fillId="61" borderId="343" xfId="0" applyNumberFormat="1" applyFont="1" applyFill="1" applyBorder="1" applyAlignment="1"/>
    <xf numFmtId="4" fontId="122" fillId="60" borderId="301" xfId="0" applyNumberFormat="1" applyFont="1" applyFill="1" applyBorder="1" applyAlignment="1">
      <alignment horizontal="center"/>
    </xf>
    <xf numFmtId="4" fontId="122" fillId="60" borderId="343" xfId="0" applyNumberFormat="1" applyFont="1" applyFill="1" applyBorder="1" applyAlignment="1">
      <alignment horizontal="center"/>
    </xf>
    <xf numFmtId="4" fontId="123" fillId="64" borderId="290" xfId="0" applyNumberFormat="1" applyFont="1" applyFill="1" applyBorder="1" applyAlignment="1">
      <alignment horizontal="center" vertical="center"/>
    </xf>
    <xf numFmtId="4" fontId="123" fillId="64" borderId="287" xfId="0" applyNumberFormat="1" applyFont="1" applyFill="1" applyBorder="1" applyAlignment="1">
      <alignment horizontal="center" vertical="center"/>
    </xf>
    <xf numFmtId="4" fontId="122" fillId="60" borderId="82" xfId="0" applyNumberFormat="1" applyFont="1" applyFill="1" applyBorder="1" applyAlignment="1"/>
    <xf numFmtId="4" fontId="122" fillId="60" borderId="212" xfId="0" applyNumberFormat="1" applyFont="1" applyFill="1" applyBorder="1" applyAlignment="1"/>
    <xf numFmtId="4" fontId="122" fillId="60" borderId="152" xfId="0" applyNumberFormat="1" applyFont="1" applyFill="1" applyBorder="1" applyAlignment="1"/>
    <xf numFmtId="4" fontId="122" fillId="60" borderId="85" xfId="0" applyNumberFormat="1" applyFont="1" applyFill="1" applyBorder="1" applyAlignment="1"/>
    <xf numFmtId="4" fontId="122" fillId="60" borderId="196" xfId="0" applyNumberFormat="1" applyFont="1" applyFill="1" applyBorder="1" applyAlignment="1"/>
    <xf numFmtId="0" fontId="46" fillId="0" borderId="189" xfId="0" applyFont="1" applyBorder="1"/>
    <xf numFmtId="43" fontId="46" fillId="0" borderId="0" xfId="15794" applyFont="1"/>
    <xf numFmtId="2" fontId="123" fillId="59" borderId="201" xfId="0" applyNumberFormat="1" applyFont="1" applyFill="1" applyBorder="1" applyAlignment="1">
      <alignment horizontal="center" vertical="center" wrapText="1"/>
    </xf>
    <xf numFmtId="4" fontId="122" fillId="59" borderId="287" xfId="0" applyNumberFormat="1" applyFont="1" applyFill="1" applyBorder="1" applyAlignment="1"/>
    <xf numFmtId="4" fontId="122" fillId="59" borderId="23" xfId="0" applyNumberFormat="1" applyFont="1" applyFill="1" applyBorder="1" applyAlignment="1">
      <alignment vertical="center"/>
    </xf>
    <xf numFmtId="4" fontId="122" fillId="59" borderId="212" xfId="0" applyNumberFormat="1" applyFont="1" applyFill="1" applyBorder="1" applyAlignment="1"/>
    <xf numFmtId="4" fontId="122" fillId="59" borderId="152" xfId="0" applyNumberFormat="1" applyFont="1" applyFill="1" applyBorder="1" applyAlignment="1"/>
    <xf numFmtId="4" fontId="122" fillId="59" borderId="196" xfId="0" applyNumberFormat="1" applyFont="1" applyFill="1" applyBorder="1" applyAlignment="1"/>
    <xf numFmtId="4" fontId="122" fillId="62" borderId="287" xfId="0" applyNumberFormat="1" applyFont="1" applyFill="1" applyBorder="1" applyAlignment="1"/>
    <xf numFmtId="4" fontId="122" fillId="62" borderId="292" xfId="0" applyNumberFormat="1" applyFont="1" applyFill="1" applyBorder="1" applyAlignment="1">
      <alignment vertical="center"/>
    </xf>
    <xf numFmtId="4" fontId="122" fillId="62" borderId="23" xfId="0" applyNumberFormat="1" applyFont="1" applyFill="1" applyBorder="1" applyAlignment="1">
      <alignment vertical="center"/>
    </xf>
    <xf numFmtId="4" fontId="122" fillId="62" borderId="191" xfId="0" applyNumberFormat="1" applyFont="1" applyFill="1" applyBorder="1" applyAlignment="1">
      <alignment vertical="center"/>
    </xf>
    <xf numFmtId="4" fontId="122" fillId="62" borderId="212" xfId="0" applyNumberFormat="1" applyFont="1" applyFill="1" applyBorder="1" applyAlignment="1"/>
    <xf numFmtId="4" fontId="122" fillId="62" borderId="152" xfId="0" applyNumberFormat="1" applyFont="1" applyFill="1" applyBorder="1" applyAlignment="1"/>
    <xf numFmtId="4" fontId="122" fillId="62" borderId="196" xfId="0" applyNumberFormat="1" applyFont="1" applyFill="1" applyBorder="1" applyAlignment="1"/>
    <xf numFmtId="4" fontId="131" fillId="62" borderId="335" xfId="0" applyNumberFormat="1" applyFont="1" applyFill="1" applyBorder="1"/>
    <xf numFmtId="4" fontId="131" fillId="62" borderId="365" xfId="0" applyNumberFormat="1" applyFont="1" applyFill="1" applyBorder="1"/>
    <xf numFmtId="4" fontId="127" fillId="59" borderId="336" xfId="0" applyNumberFormat="1" applyFont="1" applyFill="1" applyBorder="1"/>
    <xf numFmtId="4" fontId="131" fillId="59" borderId="366" xfId="0" applyNumberFormat="1" applyFont="1" applyFill="1" applyBorder="1"/>
    <xf numFmtId="4" fontId="131" fillId="59" borderId="188" xfId="0" applyNumberFormat="1" applyFont="1" applyFill="1" applyBorder="1"/>
    <xf numFmtId="4" fontId="122" fillId="60" borderId="23" xfId="0" applyNumberFormat="1" applyFont="1" applyFill="1" applyBorder="1" applyAlignment="1"/>
    <xf numFmtId="4" fontId="122" fillId="60" borderId="19" xfId="0" applyNumberFormat="1" applyFont="1" applyFill="1" applyBorder="1" applyAlignment="1"/>
    <xf numFmtId="4" fontId="122" fillId="60" borderId="191" xfId="0" applyNumberFormat="1" applyFont="1" applyFill="1" applyBorder="1" applyAlignment="1"/>
    <xf numFmtId="4" fontId="122" fillId="60" borderId="332" xfId="0" applyNumberFormat="1" applyFont="1" applyFill="1" applyBorder="1" applyAlignment="1">
      <alignment vertical="center"/>
    </xf>
    <xf numFmtId="4" fontId="122" fillId="60" borderId="87" xfId="0" applyNumberFormat="1" applyFont="1" applyFill="1" applyBorder="1" applyAlignment="1">
      <alignment vertical="center"/>
    </xf>
    <xf numFmtId="4" fontId="123" fillId="64" borderId="320" xfId="0" applyNumberFormat="1" applyFont="1" applyFill="1" applyBorder="1" applyAlignment="1">
      <alignment horizontal="right" vertical="center"/>
    </xf>
    <xf numFmtId="4" fontId="123" fillId="64" borderId="367" xfId="0" applyNumberFormat="1" applyFont="1" applyFill="1" applyBorder="1" applyAlignment="1">
      <alignment horizontal="right" vertical="center"/>
    </xf>
    <xf numFmtId="4" fontId="123" fillId="64" borderId="293" xfId="0" applyNumberFormat="1" applyFont="1" applyFill="1" applyBorder="1" applyAlignment="1">
      <alignment vertical="center"/>
    </xf>
    <xf numFmtId="4" fontId="123" fillId="64" borderId="189" xfId="0" applyNumberFormat="1" applyFont="1" applyFill="1" applyBorder="1"/>
    <xf numFmtId="4" fontId="123" fillId="0" borderId="369" xfId="0" applyNumberFormat="1" applyFont="1" applyFill="1" applyBorder="1" applyAlignment="1">
      <alignment horizontal="right" vertical="center"/>
    </xf>
    <xf numFmtId="4" fontId="123" fillId="0" borderId="370" xfId="0" applyNumberFormat="1" applyFont="1" applyFill="1" applyBorder="1" applyAlignment="1">
      <alignment horizontal="right" vertical="center"/>
    </xf>
    <xf numFmtId="4" fontId="122" fillId="0" borderId="189" xfId="0" applyNumberFormat="1" applyFont="1" applyFill="1" applyBorder="1" applyAlignment="1">
      <alignment horizontal="right" vertical="center"/>
    </xf>
    <xf numFmtId="4" fontId="122" fillId="0" borderId="293" xfId="0" applyNumberFormat="1" applyFont="1" applyFill="1" applyBorder="1" applyAlignment="1">
      <alignment vertical="center"/>
    </xf>
    <xf numFmtId="4" fontId="122" fillId="0" borderId="293" xfId="0" applyNumberFormat="1" applyFont="1" applyBorder="1"/>
    <xf numFmtId="4" fontId="122" fillId="64" borderId="293" xfId="0" applyNumberFormat="1" applyFont="1" applyFill="1" applyBorder="1" applyAlignment="1">
      <alignment vertical="center"/>
    </xf>
    <xf numFmtId="4" fontId="122" fillId="60" borderId="285" xfId="0" applyNumberFormat="1" applyFont="1" applyFill="1" applyBorder="1" applyAlignment="1"/>
    <xf numFmtId="4" fontId="122" fillId="60" borderId="366" xfId="0" applyNumberFormat="1" applyFont="1" applyFill="1" applyBorder="1" applyAlignment="1">
      <alignment horizontal="center"/>
    </xf>
    <xf numFmtId="4" fontId="122" fillId="60" borderId="227" xfId="0" applyNumberFormat="1" applyFont="1" applyFill="1" applyBorder="1" applyAlignment="1">
      <alignment vertical="center"/>
    </xf>
    <xf numFmtId="4" fontId="122" fillId="60" borderId="210" xfId="0" applyNumberFormat="1" applyFont="1" applyFill="1" applyBorder="1" applyAlignment="1">
      <alignment vertical="center"/>
    </xf>
    <xf numFmtId="4" fontId="122" fillId="60" borderId="188" xfId="0" applyNumberFormat="1" applyFont="1" applyFill="1" applyBorder="1" applyAlignment="1">
      <alignment vertical="center"/>
    </xf>
    <xf numFmtId="4" fontId="122" fillId="60" borderId="210" xfId="0" applyNumberFormat="1" applyFont="1" applyFill="1" applyBorder="1" applyAlignment="1"/>
    <xf numFmtId="4" fontId="122" fillId="60" borderId="187" xfId="0" applyNumberFormat="1" applyFont="1" applyFill="1" applyBorder="1" applyAlignment="1"/>
    <xf numFmtId="4" fontId="122" fillId="60" borderId="188" xfId="0" applyNumberFormat="1" applyFont="1" applyFill="1" applyBorder="1" applyAlignment="1"/>
    <xf numFmtId="2" fontId="47" fillId="59" borderId="316" xfId="0" applyNumberFormat="1" applyFont="1" applyFill="1" applyBorder="1" applyAlignment="1">
      <alignment horizontal="center" vertical="center"/>
    </xf>
    <xf numFmtId="2" fontId="51" fillId="62" borderId="316" xfId="0" applyNumberFormat="1" applyFont="1" applyFill="1" applyBorder="1" applyAlignment="1">
      <alignment horizontal="center" vertical="center"/>
    </xf>
    <xf numFmtId="2" fontId="51" fillId="62" borderId="315" xfId="0" applyNumberFormat="1" applyFont="1" applyFill="1" applyBorder="1" applyAlignment="1">
      <alignment horizontal="center" vertical="center"/>
    </xf>
    <xf numFmtId="2" fontId="51" fillId="62" borderId="322" xfId="0" applyNumberFormat="1" applyFont="1" applyFill="1" applyBorder="1" applyAlignment="1">
      <alignment horizontal="center" vertical="center"/>
    </xf>
    <xf numFmtId="4" fontId="123" fillId="64" borderId="293" xfId="0" applyNumberFormat="1" applyFont="1" applyFill="1" applyBorder="1"/>
    <xf numFmtId="4" fontId="123" fillId="35" borderId="189" xfId="1" applyNumberFormat="1" applyFont="1" applyFill="1" applyBorder="1" applyAlignment="1"/>
    <xf numFmtId="4" fontId="131" fillId="59" borderId="346" xfId="0" applyNumberFormat="1" applyFont="1" applyFill="1" applyBorder="1"/>
    <xf numFmtId="4" fontId="122" fillId="59" borderId="285" xfId="0" applyNumberFormat="1" applyFont="1" applyFill="1" applyBorder="1" applyAlignment="1"/>
    <xf numFmtId="4" fontId="122" fillId="59" borderId="227" xfId="0" applyNumberFormat="1" applyFont="1" applyFill="1" applyBorder="1" applyAlignment="1">
      <alignment vertical="center"/>
    </xf>
    <xf numFmtId="4" fontId="122" fillId="59" borderId="210" xfId="0" applyNumberFormat="1" applyFont="1" applyFill="1" applyBorder="1" applyAlignment="1">
      <alignment vertical="center"/>
    </xf>
    <xf numFmtId="4" fontId="122" fillId="59" borderId="188" xfId="0" applyNumberFormat="1" applyFont="1" applyFill="1" applyBorder="1" applyAlignment="1">
      <alignment vertical="center"/>
    </xf>
    <xf numFmtId="4" fontId="122" fillId="59" borderId="210" xfId="0" applyNumberFormat="1" applyFont="1" applyFill="1" applyBorder="1" applyAlignment="1"/>
    <xf numFmtId="4" fontId="122" fillId="59" borderId="187" xfId="0" applyNumberFormat="1" applyFont="1" applyFill="1" applyBorder="1" applyAlignment="1"/>
    <xf numFmtId="4" fontId="122" fillId="59" borderId="188" xfId="0" applyNumberFormat="1" applyFont="1" applyFill="1" applyBorder="1" applyAlignment="1"/>
    <xf numFmtId="2" fontId="51" fillId="60" borderId="190" xfId="0" applyNumberFormat="1" applyFont="1" applyFill="1" applyBorder="1" applyAlignment="1">
      <alignment horizontal="center" vertical="center"/>
    </xf>
    <xf numFmtId="2" fontId="51" fillId="60" borderId="326" xfId="0" applyNumberFormat="1" applyFont="1" applyFill="1" applyBorder="1" applyAlignment="1">
      <alignment horizontal="center" vertical="center"/>
    </xf>
    <xf numFmtId="4" fontId="122" fillId="60" borderId="187" xfId="0" applyNumberFormat="1" applyFont="1" applyFill="1" applyBorder="1"/>
    <xf numFmtId="4" fontId="122" fillId="60" borderId="346" xfId="0" applyNumberFormat="1" applyFont="1" applyFill="1" applyBorder="1"/>
    <xf numFmtId="4" fontId="122" fillId="60" borderId="227" xfId="0" applyNumberFormat="1" applyFont="1" applyFill="1" applyBorder="1"/>
    <xf numFmtId="4" fontId="122" fillId="60" borderId="203" xfId="0" applyNumberFormat="1" applyFont="1" applyFill="1" applyBorder="1"/>
    <xf numFmtId="4" fontId="122" fillId="60" borderId="210" xfId="0" applyNumberFormat="1" applyFont="1" applyFill="1" applyBorder="1"/>
    <xf numFmtId="4" fontId="131" fillId="60" borderId="187" xfId="0" applyNumberFormat="1" applyFont="1" applyFill="1" applyBorder="1"/>
    <xf numFmtId="4" fontId="103" fillId="60" borderId="210" xfId="0" applyNumberFormat="1" applyFont="1" applyFill="1" applyBorder="1"/>
    <xf numFmtId="4" fontId="122" fillId="60" borderId="227" xfId="0" applyNumberFormat="1" applyFont="1" applyFill="1" applyBorder="1" applyAlignment="1">
      <alignment horizontal="right" vertical="center"/>
    </xf>
    <xf numFmtId="4" fontId="122" fillId="60" borderId="187" xfId="0" applyNumberFormat="1" applyFont="1" applyFill="1" applyBorder="1" applyAlignment="1">
      <alignment horizontal="right" vertical="center"/>
    </xf>
    <xf numFmtId="4" fontId="122" fillId="60" borderId="188" xfId="0" applyNumberFormat="1" applyFont="1" applyFill="1" applyBorder="1" applyAlignment="1">
      <alignment horizontal="right" vertical="center"/>
    </xf>
    <xf numFmtId="4" fontId="122" fillId="61" borderId="160" xfId="0" applyNumberFormat="1" applyFont="1" applyFill="1" applyBorder="1"/>
    <xf numFmtId="0" fontId="49" fillId="0" borderId="294" xfId="0" applyFont="1" applyBorder="1" applyAlignment="1">
      <alignment horizontal="center"/>
    </xf>
    <xf numFmtId="4" fontId="122" fillId="0" borderId="308" xfId="0" applyNumberFormat="1" applyFont="1" applyBorder="1" applyAlignment="1"/>
    <xf numFmtId="4" fontId="123" fillId="64" borderId="302" xfId="0" applyNumberFormat="1" applyFont="1" applyFill="1" applyBorder="1" applyAlignment="1">
      <alignment horizontal="right" vertical="center"/>
    </xf>
    <xf numFmtId="4" fontId="123" fillId="64" borderId="353" xfId="0" applyNumberFormat="1" applyFont="1" applyFill="1" applyBorder="1" applyAlignment="1">
      <alignment horizontal="right" vertical="center"/>
    </xf>
    <xf numFmtId="4" fontId="123" fillId="64" borderId="189" xfId="0" applyNumberFormat="1" applyFont="1" applyFill="1" applyBorder="1" applyAlignment="1">
      <alignment vertical="center"/>
    </xf>
    <xf numFmtId="4" fontId="122" fillId="59" borderId="343" xfId="0" applyNumberFormat="1" applyFont="1" applyFill="1" applyBorder="1" applyAlignment="1">
      <alignment horizontal="right"/>
    </xf>
    <xf numFmtId="4" fontId="122" fillId="59" borderId="366" xfId="0" applyNumberFormat="1" applyFont="1" applyFill="1" applyBorder="1" applyAlignment="1">
      <alignment horizontal="right"/>
    </xf>
    <xf numFmtId="4" fontId="122" fillId="59" borderId="286" xfId="0" applyNumberFormat="1" applyFont="1" applyFill="1" applyBorder="1" applyAlignment="1"/>
    <xf numFmtId="4" fontId="122" fillId="59" borderId="65" xfId="0" applyNumberFormat="1" applyFont="1" applyFill="1" applyBorder="1" applyAlignment="1"/>
    <xf numFmtId="4" fontId="122" fillId="59" borderId="85" xfId="0" applyNumberFormat="1" applyFont="1" applyFill="1" applyBorder="1" applyAlignment="1"/>
    <xf numFmtId="4" fontId="122" fillId="59" borderId="316" xfId="0" applyNumberFormat="1" applyFont="1" applyFill="1" applyBorder="1" applyAlignment="1"/>
    <xf numFmtId="4" fontId="122" fillId="59" borderId="301" xfId="0" applyNumberFormat="1" applyFont="1" applyFill="1" applyBorder="1" applyAlignment="1">
      <alignment horizontal="right"/>
    </xf>
    <xf numFmtId="4" fontId="122" fillId="62" borderId="343" xfId="0" applyNumberFormat="1" applyFont="1" applyFill="1" applyBorder="1" applyAlignment="1">
      <alignment horizontal="right"/>
    </xf>
    <xf numFmtId="4" fontId="122" fillId="62" borderId="224" xfId="0" applyNumberFormat="1" applyFont="1" applyFill="1" applyBorder="1" applyAlignment="1">
      <alignment vertical="center"/>
    </xf>
    <xf numFmtId="4" fontId="122" fillId="62" borderId="22" xfId="0" applyNumberFormat="1" applyFont="1" applyFill="1" applyBorder="1" applyAlignment="1">
      <alignment vertical="center"/>
    </xf>
    <xf numFmtId="4" fontId="122" fillId="62" borderId="86" xfId="0" applyNumberFormat="1" applyFont="1" applyFill="1" applyBorder="1" applyAlignment="1">
      <alignment vertical="center"/>
    </xf>
    <xf numFmtId="4" fontId="122" fillId="0" borderId="189" xfId="0" applyNumberFormat="1" applyFont="1" applyBorder="1" applyAlignment="1"/>
    <xf numFmtId="4" fontId="51" fillId="29" borderId="323" xfId="0" applyNumberFormat="1" applyFont="1" applyFill="1" applyBorder="1" applyAlignment="1">
      <alignment horizontal="center" vertical="center"/>
    </xf>
    <xf numFmtId="0" fontId="51" fillId="59" borderId="327" xfId="0" applyFont="1" applyFill="1" applyBorder="1" applyAlignment="1">
      <alignment horizontal="center" vertical="center" wrapText="1"/>
    </xf>
    <xf numFmtId="4" fontId="122" fillId="61" borderId="23" xfId="0" applyNumberFormat="1" applyFont="1" applyFill="1" applyBorder="1" applyAlignment="1">
      <alignment vertical="center"/>
    </xf>
    <xf numFmtId="4" fontId="122" fillId="61" borderId="191" xfId="0" applyNumberFormat="1" applyFont="1" applyFill="1" applyBorder="1" applyAlignment="1">
      <alignment vertical="center"/>
    </xf>
    <xf numFmtId="4" fontId="122" fillId="61" borderId="212" xfId="0" applyNumberFormat="1" applyFont="1" applyFill="1" applyBorder="1" applyAlignment="1"/>
    <xf numFmtId="4" fontId="122" fillId="61" borderId="152" xfId="0" applyNumberFormat="1" applyFont="1" applyFill="1" applyBorder="1" applyAlignment="1"/>
    <xf numFmtId="4" fontId="122" fillId="61" borderId="196" xfId="0" applyNumberFormat="1" applyFont="1" applyFill="1" applyBorder="1" applyAlignment="1"/>
    <xf numFmtId="4" fontId="47" fillId="0" borderId="193" xfId="0" applyNumberFormat="1" applyFont="1" applyBorder="1"/>
    <xf numFmtId="1" fontId="51" fillId="0" borderId="326" xfId="0" applyNumberFormat="1" applyFont="1" applyFill="1" applyBorder="1" applyAlignment="1">
      <alignment horizontal="center" vertical="center"/>
    </xf>
    <xf numFmtId="4" fontId="122" fillId="0" borderId="287" xfId="0" applyNumberFormat="1" applyFont="1" applyFill="1" applyBorder="1" applyAlignment="1">
      <alignment vertical="center"/>
    </xf>
    <xf numFmtId="0" fontId="46" fillId="0" borderId="294" xfId="0" applyFont="1" applyBorder="1" applyAlignment="1"/>
    <xf numFmtId="0" fontId="122" fillId="0" borderId="23" xfId="0" applyFont="1" applyFill="1" applyBorder="1" applyAlignment="1">
      <alignment vertical="center" wrapText="1"/>
    </xf>
    <xf numFmtId="4" fontId="122" fillId="59" borderId="286" xfId="0" applyNumberFormat="1" applyFont="1" applyFill="1" applyBorder="1"/>
    <xf numFmtId="4" fontId="122" fillId="59" borderId="227" xfId="0" applyNumberFormat="1" applyFont="1" applyFill="1" applyBorder="1"/>
    <xf numFmtId="4" fontId="122" fillId="59" borderId="187" xfId="0" applyNumberFormat="1" applyFont="1" applyFill="1" applyBorder="1"/>
    <xf numFmtId="4" fontId="137" fillId="0" borderId="17" xfId="0" applyNumberFormat="1" applyFont="1" applyBorder="1" applyAlignment="1">
      <alignment horizontal="right"/>
    </xf>
    <xf numFmtId="4" fontId="123" fillId="64" borderId="301" xfId="0" applyNumberFormat="1" applyFont="1" applyFill="1" applyBorder="1" applyAlignment="1">
      <alignment horizontal="right" vertical="center"/>
    </xf>
    <xf numFmtId="4" fontId="123" fillId="64" borderId="372" xfId="0" applyNumberFormat="1" applyFont="1" applyFill="1" applyBorder="1" applyAlignment="1">
      <alignment horizontal="right" vertical="center"/>
    </xf>
    <xf numFmtId="4" fontId="123" fillId="64" borderId="335" xfId="0" applyNumberFormat="1" applyFont="1" applyFill="1" applyBorder="1" applyAlignment="1">
      <alignment horizontal="right" vertical="center"/>
    </xf>
    <xf numFmtId="4" fontId="123" fillId="64" borderId="373" xfId="0" applyNumberFormat="1" applyFont="1" applyFill="1" applyBorder="1" applyAlignment="1">
      <alignment horizontal="right" vertical="center"/>
    </xf>
    <xf numFmtId="4" fontId="123" fillId="64" borderId="336" xfId="0" applyNumberFormat="1" applyFont="1" applyFill="1" applyBorder="1" applyAlignment="1">
      <alignment horizontal="right" vertical="center"/>
    </xf>
    <xf numFmtId="4" fontId="123" fillId="64" borderId="352" xfId="0" applyNumberFormat="1" applyFont="1" applyFill="1" applyBorder="1" applyAlignment="1">
      <alignment horizontal="right" vertical="center"/>
    </xf>
    <xf numFmtId="4" fontId="123" fillId="64" borderId="365" xfId="0" applyNumberFormat="1" applyFont="1" applyFill="1" applyBorder="1" applyAlignment="1">
      <alignment horizontal="right" vertical="center"/>
    </xf>
    <xf numFmtId="4" fontId="123" fillId="64" borderId="374" xfId="0" applyNumberFormat="1" applyFont="1" applyFill="1" applyBorder="1" applyAlignment="1">
      <alignment horizontal="right" vertical="center"/>
    </xf>
    <xf numFmtId="4" fontId="123" fillId="64" borderId="375" xfId="0" applyNumberFormat="1" applyFont="1" applyFill="1" applyBorder="1" applyAlignment="1">
      <alignment horizontal="right" vertical="center"/>
    </xf>
    <xf numFmtId="4" fontId="122" fillId="59" borderId="211" xfId="0" applyNumberFormat="1" applyFont="1" applyFill="1" applyBorder="1"/>
    <xf numFmtId="4" fontId="122" fillId="60" borderId="343" xfId="0" applyNumberFormat="1" applyFont="1" applyFill="1" applyBorder="1" applyAlignment="1">
      <alignment horizontal="right"/>
    </xf>
    <xf numFmtId="4" fontId="122" fillId="61" borderId="343" xfId="0" applyNumberFormat="1" applyFont="1" applyFill="1" applyBorder="1" applyAlignment="1">
      <alignment horizontal="right"/>
    </xf>
    <xf numFmtId="4" fontId="122" fillId="62" borderId="152" xfId="0" applyNumberFormat="1" applyFont="1" applyFill="1" applyBorder="1"/>
    <xf numFmtId="4" fontId="122" fillId="62" borderId="177" xfId="0" applyNumberFormat="1" applyFont="1" applyFill="1" applyBorder="1"/>
    <xf numFmtId="4" fontId="122" fillId="62" borderId="224" xfId="0" applyNumberFormat="1" applyFont="1" applyFill="1" applyBorder="1"/>
    <xf numFmtId="4" fontId="122" fillId="0" borderId="290" xfId="0" applyNumberFormat="1" applyFont="1" applyFill="1" applyBorder="1" applyAlignment="1">
      <alignment vertical="center"/>
    </xf>
    <xf numFmtId="4" fontId="46" fillId="0" borderId="324" xfId="0" applyNumberFormat="1" applyFont="1" applyBorder="1" applyAlignment="1">
      <alignment vertical="center"/>
    </xf>
    <xf numFmtId="4" fontId="122" fillId="59" borderId="196" xfId="0" applyNumberFormat="1" applyFont="1" applyFill="1" applyBorder="1" applyAlignment="1">
      <alignment vertical="center"/>
    </xf>
    <xf numFmtId="4" fontId="122" fillId="59" borderId="298" xfId="0" applyNumberFormat="1" applyFont="1" applyFill="1" applyBorder="1"/>
    <xf numFmtId="4" fontId="122" fillId="59" borderId="199" xfId="0" applyNumberFormat="1" applyFont="1" applyFill="1" applyBorder="1"/>
    <xf numFmtId="4" fontId="122" fillId="59" borderId="152" xfId="0" applyNumberFormat="1" applyFont="1" applyFill="1" applyBorder="1"/>
    <xf numFmtId="4" fontId="122" fillId="59" borderId="212" xfId="0" applyNumberFormat="1" applyFont="1" applyFill="1" applyBorder="1"/>
    <xf numFmtId="4" fontId="122" fillId="59" borderId="336" xfId="0" applyNumberFormat="1" applyFont="1" applyFill="1" applyBorder="1"/>
    <xf numFmtId="4" fontId="122" fillId="59" borderId="319" xfId="0" applyNumberFormat="1" applyFont="1" applyFill="1" applyBorder="1"/>
    <xf numFmtId="4" fontId="122" fillId="59" borderId="177" xfId="0" applyNumberFormat="1" applyFont="1" applyFill="1" applyBorder="1" applyAlignment="1">
      <alignment horizontal="right" vertical="center"/>
    </xf>
    <xf numFmtId="4" fontId="103" fillId="59" borderId="212" xfId="0" applyNumberFormat="1" applyFont="1" applyFill="1" applyBorder="1"/>
    <xf numFmtId="4" fontId="122" fillId="59" borderId="298" xfId="0" applyNumberFormat="1" applyFont="1" applyFill="1" applyBorder="1" applyAlignment="1">
      <alignment horizontal="right" vertical="center"/>
    </xf>
    <xf numFmtId="4" fontId="122" fillId="59" borderId="152" xfId="0" applyNumberFormat="1" applyFont="1" applyFill="1" applyBorder="1" applyAlignment="1">
      <alignment horizontal="right" vertical="center"/>
    </xf>
    <xf numFmtId="4" fontId="122" fillId="59" borderId="196" xfId="0" applyNumberFormat="1" applyFont="1" applyFill="1" applyBorder="1" applyAlignment="1">
      <alignment horizontal="right" vertical="center"/>
    </xf>
    <xf numFmtId="0" fontId="122" fillId="64" borderId="193" xfId="0" applyFont="1" applyFill="1" applyBorder="1" applyAlignment="1">
      <alignment vertical="center"/>
    </xf>
    <xf numFmtId="4" fontId="122" fillId="59" borderId="287" xfId="0" applyNumberFormat="1" applyFont="1" applyFill="1" applyBorder="1" applyAlignment="1">
      <alignment horizontal="center"/>
    </xf>
    <xf numFmtId="4" fontId="122" fillId="59" borderId="334" xfId="0" applyNumberFormat="1" applyFont="1" applyFill="1" applyBorder="1" applyAlignment="1">
      <alignment vertical="center"/>
    </xf>
    <xf numFmtId="4" fontId="122" fillId="59" borderId="160" xfId="0" applyNumberFormat="1" applyFont="1" applyFill="1" applyBorder="1" applyAlignment="1">
      <alignment vertical="center"/>
    </xf>
    <xf numFmtId="4" fontId="122" fillId="59" borderId="161" xfId="0" applyNumberFormat="1" applyFont="1" applyFill="1" applyBorder="1" applyAlignment="1">
      <alignment vertical="center"/>
    </xf>
    <xf numFmtId="4" fontId="122" fillId="62" borderId="316" xfId="0" applyNumberFormat="1" applyFont="1" applyFill="1" applyBorder="1" applyAlignment="1"/>
    <xf numFmtId="4" fontId="122" fillId="59" borderId="365" xfId="0" applyNumberFormat="1" applyFont="1" applyFill="1" applyBorder="1" applyAlignment="1">
      <alignment horizontal="center"/>
    </xf>
    <xf numFmtId="4" fontId="122" fillId="59" borderId="332" xfId="0" applyNumberFormat="1" applyFont="1" applyFill="1" applyBorder="1" applyAlignment="1">
      <alignment vertical="center"/>
    </xf>
    <xf numFmtId="4" fontId="122" fillId="59" borderId="74" xfId="0" applyNumberFormat="1" applyFont="1" applyFill="1" applyBorder="1" applyAlignment="1">
      <alignment vertical="center"/>
    </xf>
    <xf numFmtId="4" fontId="122" fillId="59" borderId="87" xfId="0" applyNumberFormat="1" applyFont="1" applyFill="1" applyBorder="1" applyAlignment="1">
      <alignment vertical="center"/>
    </xf>
    <xf numFmtId="4" fontId="122" fillId="62" borderId="23" xfId="0" applyNumberFormat="1" applyFont="1" applyFill="1" applyBorder="1" applyAlignment="1"/>
    <xf numFmtId="4" fontId="122" fillId="62" borderId="19" xfId="0" applyNumberFormat="1" applyFont="1" applyFill="1" applyBorder="1" applyAlignment="1"/>
    <xf numFmtId="4" fontId="122" fillId="62" borderId="191" xfId="0" applyNumberFormat="1" applyFont="1" applyFill="1" applyBorder="1" applyAlignment="1"/>
    <xf numFmtId="4" fontId="122" fillId="59" borderId="332" xfId="0" applyNumberFormat="1" applyFont="1" applyFill="1" applyBorder="1" applyAlignment="1"/>
    <xf numFmtId="4" fontId="122" fillId="59" borderId="66" xfId="0" applyNumberFormat="1" applyFont="1" applyFill="1" applyBorder="1" applyAlignment="1"/>
    <xf numFmtId="4" fontId="122" fillId="59" borderId="87" xfId="0" applyNumberFormat="1" applyFont="1" applyFill="1" applyBorder="1" applyAlignment="1"/>
    <xf numFmtId="0" fontId="122" fillId="60" borderId="206" xfId="0" applyFont="1" applyFill="1" applyBorder="1" applyAlignment="1">
      <alignment horizontal="center"/>
    </xf>
    <xf numFmtId="0" fontId="122" fillId="60" borderId="66" xfId="0" applyFont="1" applyFill="1" applyBorder="1" applyAlignment="1">
      <alignment horizontal="center"/>
    </xf>
    <xf numFmtId="0" fontId="122" fillId="60" borderId="207" xfId="0" applyFont="1" applyFill="1" applyBorder="1" applyAlignment="1">
      <alignment horizontal="center"/>
    </xf>
    <xf numFmtId="0" fontId="122" fillId="60" borderId="161" xfId="0" applyFont="1" applyFill="1" applyBorder="1" applyAlignment="1">
      <alignment horizontal="center"/>
    </xf>
    <xf numFmtId="0" fontId="122" fillId="60" borderId="87" xfId="0" applyFont="1" applyFill="1" applyBorder="1" applyAlignment="1">
      <alignment horizontal="center"/>
    </xf>
    <xf numFmtId="0" fontId="46" fillId="0" borderId="193" xfId="0" applyFont="1" applyBorder="1"/>
    <xf numFmtId="0" fontId="123" fillId="0" borderId="294" xfId="0" applyFont="1" applyBorder="1" applyAlignment="1">
      <alignment horizontal="center" vertical="center"/>
    </xf>
    <xf numFmtId="0" fontId="122" fillId="0" borderId="19" xfId="0" applyFont="1" applyFill="1" applyBorder="1" applyAlignment="1">
      <alignment vertical="center" wrapText="1"/>
    </xf>
    <xf numFmtId="0" fontId="122" fillId="0" borderId="191" xfId="0" applyFont="1" applyFill="1" applyBorder="1" applyAlignment="1">
      <alignment vertical="center" wrapText="1"/>
    </xf>
    <xf numFmtId="4" fontId="122" fillId="61" borderId="292" xfId="0" applyNumberFormat="1" applyFont="1" applyFill="1" applyBorder="1" applyAlignment="1">
      <alignment horizontal="center" vertical="center"/>
    </xf>
    <xf numFmtId="4" fontId="122" fillId="61" borderId="23" xfId="0" applyNumberFormat="1" applyFont="1" applyFill="1" applyBorder="1" applyAlignment="1">
      <alignment horizontal="center" vertical="center"/>
    </xf>
    <xf numFmtId="0" fontId="122" fillId="0" borderId="0" xfId="0" applyFont="1" applyBorder="1" applyAlignment="1">
      <alignment horizontal="center"/>
    </xf>
    <xf numFmtId="4" fontId="122" fillId="60" borderId="292" xfId="0" applyNumberFormat="1" applyFont="1" applyFill="1" applyBorder="1" applyAlignment="1">
      <alignment horizontal="center" vertical="center"/>
    </xf>
    <xf numFmtId="4" fontId="122" fillId="60" borderId="23" xfId="0" applyNumberFormat="1" applyFont="1" applyFill="1" applyBorder="1" applyAlignment="1">
      <alignment horizontal="center" vertical="center"/>
    </xf>
    <xf numFmtId="4" fontId="122" fillId="60" borderId="191" xfId="0" applyNumberFormat="1" applyFont="1" applyFill="1" applyBorder="1" applyAlignment="1">
      <alignment horizontal="center" vertical="center"/>
    </xf>
    <xf numFmtId="0" fontId="46" fillId="0" borderId="94" xfId="0" applyFont="1" applyBorder="1"/>
    <xf numFmtId="0" fontId="140" fillId="0" borderId="331" xfId="0" applyFont="1" applyBorder="1" applyAlignment="1">
      <alignment vertical="center"/>
    </xf>
    <xf numFmtId="4" fontId="122" fillId="60" borderId="298" xfId="0" applyNumberFormat="1" applyFont="1" applyFill="1" applyBorder="1" applyAlignment="1"/>
    <xf numFmtId="4" fontId="46" fillId="61" borderId="69" xfId="0" applyNumberFormat="1" applyFont="1" applyFill="1" applyBorder="1"/>
    <xf numFmtId="4" fontId="122" fillId="61" borderId="301" xfId="0" applyNumberFormat="1" applyFont="1" applyFill="1" applyBorder="1"/>
    <xf numFmtId="4" fontId="46" fillId="61" borderId="85" xfId="0" applyNumberFormat="1" applyFont="1" applyFill="1" applyBorder="1"/>
    <xf numFmtId="4" fontId="0" fillId="61" borderId="69" xfId="0" applyNumberFormat="1" applyFill="1" applyBorder="1"/>
    <xf numFmtId="4" fontId="123" fillId="64" borderId="376" xfId="0" applyNumberFormat="1" applyFont="1" applyFill="1" applyBorder="1" applyAlignment="1">
      <alignment horizontal="right" vertical="center"/>
    </xf>
    <xf numFmtId="4" fontId="122" fillId="61" borderId="288" xfId="0" applyNumberFormat="1" applyFont="1" applyFill="1" applyBorder="1" applyAlignment="1"/>
    <xf numFmtId="4" fontId="122" fillId="61" borderId="320" xfId="0" applyNumberFormat="1" applyFont="1" applyFill="1" applyBorder="1" applyAlignment="1">
      <alignment horizontal="right"/>
    </xf>
    <xf numFmtId="4" fontId="122" fillId="61" borderId="286" xfId="0" applyNumberFormat="1" applyFont="1" applyFill="1" applyBorder="1" applyAlignment="1">
      <alignment horizontal="center" vertical="center"/>
    </xf>
    <xf numFmtId="4" fontId="122" fillId="61" borderId="82" xfId="0" applyNumberFormat="1" applyFont="1" applyFill="1" applyBorder="1" applyAlignment="1">
      <alignment horizontal="center" vertical="center"/>
    </xf>
    <xf numFmtId="4" fontId="122" fillId="61" borderId="348" xfId="0" applyNumberFormat="1" applyFont="1" applyFill="1" applyBorder="1" applyAlignment="1"/>
    <xf numFmtId="4" fontId="122" fillId="61" borderId="200" xfId="0" applyNumberFormat="1" applyFont="1" applyFill="1" applyBorder="1" applyAlignment="1"/>
    <xf numFmtId="4" fontId="122" fillId="61" borderId="377" xfId="0" applyNumberFormat="1" applyFont="1" applyFill="1" applyBorder="1" applyAlignment="1"/>
    <xf numFmtId="4" fontId="123" fillId="0" borderId="288" xfId="0" applyNumberFormat="1" applyFont="1" applyFill="1" applyBorder="1" applyAlignment="1">
      <alignment vertical="center"/>
    </xf>
    <xf numFmtId="4" fontId="123" fillId="64" borderId="293" xfId="0" applyNumberFormat="1" applyFont="1" applyFill="1" applyBorder="1" applyAlignment="1">
      <alignment horizontal="right" vertical="center"/>
    </xf>
    <xf numFmtId="0" fontId="123" fillId="0" borderId="316" xfId="0" applyFont="1" applyBorder="1" applyAlignment="1">
      <alignment horizontal="center"/>
    </xf>
    <xf numFmtId="3" fontId="123" fillId="0" borderId="85" xfId="0" applyNumberFormat="1" applyFont="1" applyBorder="1" applyAlignment="1">
      <alignment horizontal="center"/>
    </xf>
    <xf numFmtId="3" fontId="123" fillId="64" borderId="319" xfId="0" applyNumberFormat="1" applyFont="1" applyFill="1" applyBorder="1" applyAlignment="1">
      <alignment horizontal="center"/>
    </xf>
    <xf numFmtId="4" fontId="123" fillId="64" borderId="190" xfId="0" applyNumberFormat="1" applyFont="1" applyFill="1" applyBorder="1"/>
    <xf numFmtId="3" fontId="123" fillId="64" borderId="319" xfId="0" applyNumberFormat="1" applyFont="1" applyFill="1" applyBorder="1"/>
    <xf numFmtId="4" fontId="123" fillId="64" borderId="319" xfId="0" applyNumberFormat="1" applyFont="1" applyFill="1" applyBorder="1"/>
    <xf numFmtId="4" fontId="123" fillId="64" borderId="155" xfId="0" applyNumberFormat="1" applyFont="1" applyFill="1" applyBorder="1" applyAlignment="1">
      <alignment horizontal="center"/>
    </xf>
    <xf numFmtId="3" fontId="122" fillId="64" borderId="177" xfId="0" applyNumberFormat="1" applyFont="1" applyFill="1" applyBorder="1"/>
    <xf numFmtId="0" fontId="123" fillId="64" borderId="294" xfId="0" applyFont="1" applyFill="1" applyBorder="1" applyAlignment="1">
      <alignment horizontal="center"/>
    </xf>
    <xf numFmtId="4" fontId="123" fillId="64" borderId="313" xfId="0" applyNumberFormat="1" applyFont="1" applyFill="1" applyBorder="1" applyAlignment="1">
      <alignment horizontal="center"/>
    </xf>
    <xf numFmtId="0" fontId="123" fillId="64" borderId="313" xfId="0" applyFont="1" applyFill="1" applyBorder="1" applyAlignment="1">
      <alignment horizontal="center"/>
    </xf>
    <xf numFmtId="3" fontId="123" fillId="64" borderId="313" xfId="0" applyNumberFormat="1" applyFont="1" applyFill="1" applyBorder="1"/>
    <xf numFmtId="4" fontId="123" fillId="64" borderId="313" xfId="0" applyNumberFormat="1" applyFont="1" applyFill="1" applyBorder="1"/>
    <xf numFmtId="3" fontId="123" fillId="64" borderId="313" xfId="0" applyNumberFormat="1" applyFont="1" applyFill="1" applyBorder="1" applyAlignment="1">
      <alignment horizontal="center"/>
    </xf>
    <xf numFmtId="0" fontId="123" fillId="64" borderId="324" xfId="0" applyFont="1" applyFill="1" applyBorder="1" applyAlignment="1">
      <alignment horizontal="center"/>
    </xf>
    <xf numFmtId="4" fontId="123" fillId="64" borderId="378" xfId="0" applyNumberFormat="1" applyFont="1" applyFill="1" applyBorder="1"/>
    <xf numFmtId="4" fontId="123" fillId="64" borderId="379" xfId="0" applyNumberFormat="1" applyFont="1" applyFill="1" applyBorder="1"/>
    <xf numFmtId="4" fontId="123" fillId="64" borderId="380" xfId="0" applyNumberFormat="1" applyFont="1" applyFill="1" applyBorder="1"/>
    <xf numFmtId="4" fontId="123" fillId="64" borderId="381" xfId="0" applyNumberFormat="1" applyFont="1" applyFill="1" applyBorder="1"/>
    <xf numFmtId="4" fontId="123" fillId="62" borderId="379" xfId="0" applyNumberFormat="1" applyFont="1" applyFill="1" applyBorder="1"/>
    <xf numFmtId="3" fontId="123" fillId="35" borderId="319" xfId="0" applyNumberFormat="1" applyFont="1" applyFill="1" applyBorder="1" applyAlignment="1">
      <alignment horizontal="center"/>
    </xf>
    <xf numFmtId="3" fontId="123" fillId="35" borderId="316" xfId="0" applyNumberFormat="1" applyFont="1" applyFill="1" applyBorder="1" applyAlignment="1">
      <alignment horizontal="center"/>
    </xf>
    <xf numFmtId="4" fontId="131" fillId="59" borderId="316" xfId="0" applyNumberFormat="1" applyFont="1" applyFill="1" applyBorder="1" applyAlignment="1"/>
    <xf numFmtId="4" fontId="131" fillId="62" borderId="316" xfId="0" applyNumberFormat="1" applyFont="1" applyFill="1" applyBorder="1" applyAlignment="1"/>
    <xf numFmtId="4" fontId="131" fillId="59" borderId="286" xfId="0" applyNumberFormat="1" applyFont="1" applyFill="1" applyBorder="1" applyAlignment="1">
      <alignment vertical="center"/>
    </xf>
    <xf numFmtId="4" fontId="131" fillId="59" borderId="82" xfId="0" applyNumberFormat="1" applyFont="1" applyFill="1" applyBorder="1" applyAlignment="1">
      <alignment vertical="center"/>
    </xf>
    <xf numFmtId="4" fontId="131" fillId="59" borderId="85" xfId="0" applyNumberFormat="1" applyFont="1" applyFill="1" applyBorder="1" applyAlignment="1">
      <alignment vertical="center"/>
    </xf>
    <xf numFmtId="4" fontId="132" fillId="59" borderId="379" xfId="0" applyNumberFormat="1" applyFont="1" applyFill="1" applyBorder="1"/>
    <xf numFmtId="4" fontId="133" fillId="0" borderId="355" xfId="0" applyNumberFormat="1" applyFont="1" applyBorder="1" applyAlignment="1">
      <alignment horizontal="center" vertical="center"/>
    </xf>
    <xf numFmtId="4" fontId="122" fillId="64" borderId="310" xfId="0" applyNumberFormat="1" applyFont="1" applyFill="1" applyBorder="1" applyAlignment="1"/>
    <xf numFmtId="4" fontId="131" fillId="0" borderId="20" xfId="0" applyNumberFormat="1" applyFont="1" applyBorder="1"/>
    <xf numFmtId="4" fontId="131" fillId="0" borderId="22" xfId="0" applyNumberFormat="1" applyFont="1" applyBorder="1"/>
    <xf numFmtId="3" fontId="132" fillId="0" borderId="294" xfId="0" applyNumberFormat="1" applyFont="1" applyFill="1" applyBorder="1" applyAlignment="1">
      <alignment horizontal="right" vertical="center"/>
    </xf>
    <xf numFmtId="4" fontId="132" fillId="64" borderId="294" xfId="0" applyNumberFormat="1" applyFont="1" applyFill="1" applyBorder="1" applyAlignment="1">
      <alignment horizontal="right"/>
    </xf>
    <xf numFmtId="4" fontId="132" fillId="64" borderId="294" xfId="0" applyNumberFormat="1" applyFont="1" applyFill="1" applyBorder="1" applyAlignment="1">
      <alignment horizontal="right" vertical="center"/>
    </xf>
    <xf numFmtId="4" fontId="131" fillId="60" borderId="206" xfId="0" applyNumberFormat="1" applyFont="1" applyFill="1" applyBorder="1"/>
    <xf numFmtId="4" fontId="131" fillId="60" borderId="199" xfId="0" applyNumberFormat="1" applyFont="1" applyFill="1" applyBorder="1"/>
    <xf numFmtId="4" fontId="122" fillId="0" borderId="313" xfId="0" applyNumberFormat="1" applyFont="1" applyBorder="1" applyAlignment="1">
      <alignment horizontal="right" vertical="center"/>
    </xf>
    <xf numFmtId="4" fontId="122" fillId="0" borderId="287" xfId="0" applyNumberFormat="1" applyFont="1" applyBorder="1" applyAlignment="1">
      <alignment horizontal="center" vertical="center"/>
    </xf>
    <xf numFmtId="4" fontId="138" fillId="61" borderId="69" xfId="0" applyNumberFormat="1" applyFont="1" applyFill="1" applyBorder="1"/>
    <xf numFmtId="4" fontId="132" fillId="0" borderId="307" xfId="0" applyNumberFormat="1" applyFont="1" applyFill="1" applyBorder="1" applyAlignment="1">
      <alignment horizontal="right" vertical="center"/>
    </xf>
    <xf numFmtId="2" fontId="131" fillId="0" borderId="17" xfId="0" applyNumberFormat="1" applyFont="1" applyBorder="1"/>
    <xf numFmtId="4" fontId="137" fillId="0" borderId="211" xfId="0" applyNumberFormat="1" applyFont="1" applyBorder="1"/>
    <xf numFmtId="0" fontId="137" fillId="0" borderId="23" xfId="0" applyFont="1" applyFill="1" applyBorder="1" applyAlignment="1">
      <alignment vertical="center"/>
    </xf>
    <xf numFmtId="4" fontId="122" fillId="0" borderId="22" xfId="0" applyNumberFormat="1" applyFont="1" applyBorder="1" applyAlignment="1">
      <alignment horizontal="right"/>
    </xf>
    <xf numFmtId="4" fontId="123" fillId="0" borderId="20" xfId="0" applyNumberFormat="1" applyFont="1" applyFill="1" applyBorder="1" applyAlignment="1">
      <alignment vertical="center"/>
    </xf>
    <xf numFmtId="4" fontId="122" fillId="61" borderId="70" xfId="0" applyNumberFormat="1" applyFont="1" applyFill="1" applyBorder="1" applyAlignment="1">
      <alignment vertical="center"/>
    </xf>
    <xf numFmtId="4" fontId="122" fillId="60" borderId="203" xfId="0" applyNumberFormat="1" applyFont="1" applyFill="1" applyBorder="1" applyAlignment="1">
      <alignment vertical="center"/>
    </xf>
    <xf numFmtId="4" fontId="131" fillId="60" borderId="20" xfId="0" applyNumberFormat="1" applyFont="1" applyFill="1" applyBorder="1"/>
    <xf numFmtId="4" fontId="131" fillId="60" borderId="177" xfId="0" applyNumberFormat="1" applyFont="1" applyFill="1" applyBorder="1"/>
    <xf numFmtId="4" fontId="131" fillId="61" borderId="175" xfId="0" applyNumberFormat="1" applyFont="1" applyFill="1" applyBorder="1"/>
    <xf numFmtId="4" fontId="131" fillId="61" borderId="166" xfId="0" applyNumberFormat="1" applyFont="1" applyFill="1" applyBorder="1"/>
    <xf numFmtId="4" fontId="131" fillId="61" borderId="155" xfId="0" applyNumberFormat="1" applyFont="1" applyFill="1" applyBorder="1"/>
    <xf numFmtId="4" fontId="131" fillId="60" borderId="175" xfId="0" applyNumberFormat="1" applyFont="1" applyFill="1" applyBorder="1"/>
    <xf numFmtId="4" fontId="131" fillId="60" borderId="155" xfId="0" applyNumberFormat="1" applyFont="1" applyFill="1" applyBorder="1"/>
    <xf numFmtId="4" fontId="131" fillId="61" borderId="301" xfId="0" applyNumberFormat="1" applyFont="1" applyFill="1" applyBorder="1"/>
    <xf numFmtId="4" fontId="131" fillId="62" borderId="319" xfId="0" applyNumberFormat="1" applyFont="1" applyFill="1" applyBorder="1" applyAlignment="1">
      <alignment horizontal="right"/>
    </xf>
    <xf numFmtId="0" fontId="122" fillId="0" borderId="174" xfId="0" applyFont="1" applyBorder="1" applyAlignment="1">
      <alignment horizontal="center"/>
    </xf>
    <xf numFmtId="4" fontId="123" fillId="0" borderId="27" xfId="0" applyNumberFormat="1" applyFont="1" applyFill="1" applyBorder="1" applyAlignment="1">
      <alignment horizontal="right" vertical="center"/>
    </xf>
    <xf numFmtId="4" fontId="137" fillId="0" borderId="199" xfId="0" applyNumberFormat="1" applyFont="1" applyBorder="1"/>
    <xf numFmtId="4" fontId="123" fillId="0" borderId="0" xfId="0" applyNumberFormat="1" applyFont="1" applyFill="1" applyBorder="1" applyAlignment="1">
      <alignment horizontal="right" vertical="center"/>
    </xf>
    <xf numFmtId="4" fontId="123" fillId="0" borderId="30" xfId="0" applyNumberFormat="1" applyFont="1" applyFill="1" applyBorder="1" applyAlignment="1">
      <alignment horizontal="right" vertical="center"/>
    </xf>
    <xf numFmtId="3" fontId="123" fillId="0" borderId="290" xfId="0" applyNumberFormat="1" applyFont="1" applyFill="1" applyBorder="1" applyAlignment="1">
      <alignment horizontal="right" vertical="center"/>
    </xf>
    <xf numFmtId="4" fontId="131" fillId="60" borderId="222" xfId="0" applyNumberFormat="1" applyFont="1" applyFill="1" applyBorder="1"/>
    <xf numFmtId="4" fontId="123" fillId="64" borderId="302" xfId="0" applyNumberFormat="1" applyFont="1" applyFill="1" applyBorder="1"/>
    <xf numFmtId="0" fontId="46" fillId="0" borderId="193" xfId="0" applyFont="1" applyBorder="1" applyAlignment="1"/>
    <xf numFmtId="3" fontId="122" fillId="0" borderId="23" xfId="0" applyNumberFormat="1" applyFont="1" applyBorder="1" applyAlignment="1">
      <alignment horizontal="center"/>
    </xf>
    <xf numFmtId="3" fontId="131" fillId="0" borderId="193" xfId="0" applyNumberFormat="1" applyFont="1" applyBorder="1" applyAlignment="1">
      <alignment horizontal="center"/>
    </xf>
    <xf numFmtId="4" fontId="122" fillId="0" borderId="292" xfId="0" applyNumberFormat="1" applyFont="1" applyFill="1" applyBorder="1" applyAlignment="1"/>
    <xf numFmtId="4" fontId="122" fillId="0" borderId="19" xfId="0" applyNumberFormat="1" applyFont="1" applyFill="1" applyBorder="1" applyAlignment="1">
      <alignment horizontal="right"/>
    </xf>
    <xf numFmtId="4" fontId="122" fillId="0" borderId="19" xfId="0" applyNumberFormat="1" applyFont="1" applyBorder="1"/>
    <xf numFmtId="4" fontId="122" fillId="0" borderId="21" xfId="0" applyNumberFormat="1" applyFont="1" applyBorder="1" applyAlignment="1">
      <alignment horizontal="right"/>
    </xf>
    <xf numFmtId="4" fontId="122" fillId="0" borderId="19" xfId="0" applyNumberFormat="1" applyFont="1" applyBorder="1" applyAlignment="1">
      <alignment horizontal="right"/>
    </xf>
    <xf numFmtId="4" fontId="122" fillId="0" borderId="193" xfId="0" applyNumberFormat="1" applyFont="1" applyBorder="1" applyAlignment="1">
      <alignment horizontal="right"/>
    </xf>
    <xf numFmtId="4" fontId="122" fillId="0" borderId="86" xfId="0" applyNumberFormat="1" applyFont="1" applyFill="1" applyBorder="1" applyAlignment="1">
      <alignment vertical="center"/>
    </xf>
    <xf numFmtId="2" fontId="146" fillId="62" borderId="230" xfId="0" applyNumberFormat="1" applyFont="1" applyFill="1" applyBorder="1" applyAlignment="1">
      <alignment horizontal="center" vertical="center" wrapText="1"/>
    </xf>
    <xf numFmtId="2" fontId="146" fillId="62" borderId="54" xfId="0" applyNumberFormat="1" applyFont="1" applyFill="1" applyBorder="1" applyAlignment="1">
      <alignment horizontal="center" vertical="center"/>
    </xf>
    <xf numFmtId="0" fontId="146" fillId="60" borderId="0" xfId="0" applyFont="1" applyFill="1" applyBorder="1" applyAlignment="1">
      <alignment horizontal="center" vertical="center" wrapText="1"/>
    </xf>
    <xf numFmtId="2" fontId="146" fillId="60" borderId="296" xfId="0" applyNumberFormat="1" applyFont="1" applyFill="1" applyBorder="1" applyAlignment="1">
      <alignment horizontal="center" vertical="center" wrapText="1"/>
    </xf>
    <xf numFmtId="2" fontId="146" fillId="60" borderId="288" xfId="0" applyNumberFormat="1" applyFont="1" applyFill="1" applyBorder="1" applyAlignment="1">
      <alignment horizontal="center" vertical="center" wrapText="1"/>
    </xf>
    <xf numFmtId="2" fontId="146" fillId="60" borderId="294" xfId="0" applyNumberFormat="1" applyFont="1" applyFill="1" applyBorder="1" applyAlignment="1">
      <alignment horizontal="center" vertical="center"/>
    </xf>
    <xf numFmtId="2" fontId="146" fillId="60" borderId="324" xfId="0" applyNumberFormat="1" applyFont="1" applyFill="1" applyBorder="1" applyAlignment="1">
      <alignment horizontal="center" vertical="center"/>
    </xf>
    <xf numFmtId="2" fontId="146" fillId="61" borderId="324" xfId="0" applyNumberFormat="1" applyFont="1" applyFill="1" applyBorder="1" applyAlignment="1">
      <alignment horizontal="center" vertical="center"/>
    </xf>
    <xf numFmtId="2" fontId="146" fillId="61" borderId="322" xfId="0" applyNumberFormat="1" applyFont="1" applyFill="1" applyBorder="1" applyAlignment="1">
      <alignment horizontal="center" vertical="center"/>
    </xf>
    <xf numFmtId="4" fontId="131" fillId="60" borderId="22" xfId="0" applyNumberFormat="1" applyFont="1" applyFill="1" applyBorder="1"/>
    <xf numFmtId="4" fontId="131" fillId="60" borderId="298" xfId="0" applyNumberFormat="1" applyFont="1" applyFill="1" applyBorder="1"/>
    <xf numFmtId="4" fontId="131" fillId="61" borderId="286" xfId="0" applyNumberFormat="1" applyFont="1" applyFill="1" applyBorder="1"/>
    <xf numFmtId="4" fontId="131" fillId="61" borderId="160" xfId="0" applyNumberFormat="1" applyFont="1" applyFill="1" applyBorder="1"/>
    <xf numFmtId="4" fontId="131" fillId="61" borderId="22" xfId="0" applyNumberFormat="1" applyFont="1" applyFill="1" applyBorder="1"/>
    <xf numFmtId="4" fontId="131" fillId="60" borderId="82" xfId="0" applyNumberFormat="1" applyFont="1" applyFill="1" applyBorder="1"/>
    <xf numFmtId="4" fontId="132" fillId="0" borderId="293" xfId="0" applyNumberFormat="1" applyFont="1" applyFill="1" applyBorder="1" applyAlignment="1">
      <alignment vertical="center"/>
    </xf>
    <xf numFmtId="0" fontId="49" fillId="0" borderId="326" xfId="0" applyFont="1" applyBorder="1" applyAlignment="1">
      <alignment horizontal="center"/>
    </xf>
    <xf numFmtId="4" fontId="122" fillId="0" borderId="22" xfId="0" applyNumberFormat="1" applyFont="1" applyBorder="1" applyAlignment="1"/>
    <xf numFmtId="4" fontId="123" fillId="35" borderId="335" xfId="1" applyNumberFormat="1" applyFont="1" applyFill="1" applyBorder="1" applyAlignment="1"/>
    <xf numFmtId="4" fontId="123" fillId="35" borderId="86" xfId="1" applyNumberFormat="1" applyFont="1" applyFill="1" applyBorder="1" applyAlignment="1"/>
    <xf numFmtId="4" fontId="122" fillId="0" borderId="151" xfId="0" applyNumberFormat="1" applyFont="1" applyBorder="1" applyAlignment="1"/>
    <xf numFmtId="4" fontId="131" fillId="62" borderId="0" xfId="0" applyNumberFormat="1" applyFont="1" applyFill="1" applyBorder="1"/>
    <xf numFmtId="4" fontId="127" fillId="59" borderId="0" xfId="0" applyNumberFormat="1" applyFont="1" applyFill="1" applyBorder="1"/>
    <xf numFmtId="4" fontId="131" fillId="62" borderId="151" xfId="0" applyNumberFormat="1" applyFont="1" applyFill="1" applyBorder="1"/>
    <xf numFmtId="4" fontId="122" fillId="60" borderId="318" xfId="0" applyNumberFormat="1" applyFont="1" applyFill="1" applyBorder="1" applyAlignment="1">
      <alignment vertical="center"/>
    </xf>
    <xf numFmtId="4" fontId="122" fillId="60" borderId="30" xfId="0" applyNumberFormat="1" applyFont="1" applyFill="1" applyBorder="1" applyAlignment="1">
      <alignment vertical="center"/>
    </xf>
    <xf numFmtId="4" fontId="122" fillId="60" borderId="207" xfId="0" applyNumberFormat="1" applyFont="1" applyFill="1" applyBorder="1" applyAlignment="1">
      <alignment vertical="center"/>
    </xf>
    <xf numFmtId="4" fontId="122" fillId="60" borderId="222" xfId="0" applyNumberFormat="1" applyFont="1" applyFill="1" applyBorder="1" applyAlignment="1">
      <alignment vertical="center"/>
    </xf>
    <xf numFmtId="2" fontId="122" fillId="59" borderId="206" xfId="0" applyNumberFormat="1" applyFont="1" applyFill="1" applyBorder="1"/>
    <xf numFmtId="2" fontId="122" fillId="59" borderId="151" xfId="0" applyNumberFormat="1" applyFont="1" applyFill="1" applyBorder="1"/>
    <xf numFmtId="2" fontId="122" fillId="59" borderId="289" xfId="0" applyNumberFormat="1" applyFont="1" applyFill="1" applyBorder="1"/>
    <xf numFmtId="2" fontId="122" fillId="59" borderId="166" xfId="0" applyNumberFormat="1" applyFont="1" applyFill="1" applyBorder="1"/>
    <xf numFmtId="2" fontId="122" fillId="59" borderId="318" xfId="0" applyNumberFormat="1" applyFont="1" applyFill="1" applyBorder="1"/>
    <xf numFmtId="2" fontId="122" fillId="59" borderId="223" xfId="0" applyNumberFormat="1" applyFont="1" applyFill="1" applyBorder="1"/>
    <xf numFmtId="4" fontId="122" fillId="62" borderId="17" xfId="0" applyNumberFormat="1" applyFont="1" applyFill="1" applyBorder="1"/>
    <xf numFmtId="4" fontId="122" fillId="60" borderId="74" xfId="0" applyNumberFormat="1" applyFont="1" applyFill="1" applyBorder="1"/>
    <xf numFmtId="4" fontId="122" fillId="60" borderId="66" xfId="0" applyNumberFormat="1" applyFont="1" applyFill="1" applyBorder="1" applyAlignment="1">
      <alignment vertical="center"/>
    </xf>
    <xf numFmtId="4" fontId="131" fillId="61" borderId="332" xfId="0" applyNumberFormat="1" applyFont="1" applyFill="1" applyBorder="1" applyAlignment="1">
      <alignment vertical="center"/>
    </xf>
    <xf numFmtId="4" fontId="131" fillId="61" borderId="66" xfId="0" applyNumberFormat="1" applyFont="1" applyFill="1" applyBorder="1" applyAlignment="1">
      <alignment vertical="center"/>
    </xf>
    <xf numFmtId="4" fontId="131" fillId="61" borderId="87" xfId="0" applyNumberFormat="1" applyFont="1" applyFill="1" applyBorder="1" applyAlignment="1">
      <alignment vertical="center"/>
    </xf>
    <xf numFmtId="2" fontId="123" fillId="61" borderId="332" xfId="0" applyNumberFormat="1" applyFont="1" applyFill="1" applyBorder="1"/>
    <xf numFmtId="2" fontId="123" fillId="61" borderId="176" xfId="0" applyNumberFormat="1" applyFont="1" applyFill="1" applyBorder="1"/>
    <xf numFmtId="4" fontId="122" fillId="59" borderId="287" xfId="0" applyNumberFormat="1" applyFont="1" applyFill="1" applyBorder="1" applyAlignment="1">
      <alignment horizontal="right"/>
    </xf>
    <xf numFmtId="0" fontId="122" fillId="0" borderId="0" xfId="0" applyFont="1" applyBorder="1" applyAlignment="1">
      <alignment horizontal="right"/>
    </xf>
    <xf numFmtId="4" fontId="122" fillId="62" borderId="22" xfId="0" applyNumberFormat="1" applyFont="1" applyFill="1" applyBorder="1"/>
    <xf numFmtId="4" fontId="131" fillId="59" borderId="66" xfId="0" applyNumberFormat="1" applyFont="1" applyFill="1" applyBorder="1"/>
    <xf numFmtId="4" fontId="123" fillId="59" borderId="313" xfId="0" applyNumberFormat="1" applyFont="1" applyFill="1" applyBorder="1"/>
    <xf numFmtId="4" fontId="122" fillId="59" borderId="332" xfId="0" applyNumberFormat="1" applyFont="1" applyFill="1" applyBorder="1"/>
    <xf numFmtId="4" fontId="122" fillId="59" borderId="66" xfId="0" applyNumberFormat="1" applyFont="1" applyFill="1" applyBorder="1"/>
    <xf numFmtId="4" fontId="122" fillId="59" borderId="70" xfId="0" applyNumberFormat="1" applyFont="1" applyFill="1" applyBorder="1"/>
    <xf numFmtId="4" fontId="122" fillId="59" borderId="74" xfId="0" applyNumberFormat="1" applyFont="1" applyFill="1" applyBorder="1"/>
    <xf numFmtId="4" fontId="122" fillId="60" borderId="319" xfId="0" applyNumberFormat="1" applyFont="1" applyFill="1" applyBorder="1" applyAlignment="1">
      <alignment horizontal="right"/>
    </xf>
    <xf numFmtId="4" fontId="122" fillId="61" borderId="224" xfId="0" applyNumberFormat="1" applyFont="1" applyFill="1" applyBorder="1" applyAlignment="1">
      <alignment horizontal="center" vertical="center"/>
    </xf>
    <xf numFmtId="4" fontId="122" fillId="61" borderId="22" xfId="0" applyNumberFormat="1" applyFont="1" applyFill="1" applyBorder="1" applyAlignment="1">
      <alignment horizontal="center" vertical="center"/>
    </xf>
    <xf numFmtId="4" fontId="122" fillId="61" borderId="335" xfId="0" applyNumberFormat="1" applyFont="1" applyFill="1" applyBorder="1" applyAlignment="1">
      <alignment horizontal="right"/>
    </xf>
    <xf numFmtId="4" fontId="122" fillId="61" borderId="224" xfId="0" applyNumberFormat="1" applyFont="1" applyFill="1" applyBorder="1" applyAlignment="1"/>
    <xf numFmtId="4" fontId="132" fillId="62" borderId="384" xfId="0" applyNumberFormat="1" applyFont="1" applyFill="1" applyBorder="1"/>
    <xf numFmtId="4" fontId="123" fillId="62" borderId="383" xfId="0" applyNumberFormat="1" applyFont="1" applyFill="1" applyBorder="1"/>
    <xf numFmtId="4" fontId="132" fillId="62" borderId="386" xfId="0" applyNumberFormat="1" applyFont="1" applyFill="1" applyBorder="1"/>
    <xf numFmtId="4" fontId="123" fillId="62" borderId="385" xfId="0" applyNumberFormat="1" applyFont="1" applyFill="1" applyBorder="1"/>
    <xf numFmtId="4" fontId="123" fillId="64" borderId="335" xfId="0" applyNumberFormat="1" applyFont="1" applyFill="1" applyBorder="1" applyAlignment="1">
      <alignment horizontal="center"/>
    </xf>
    <xf numFmtId="4" fontId="122" fillId="64" borderId="294" xfId="0" applyNumberFormat="1" applyFont="1" applyFill="1" applyBorder="1"/>
    <xf numFmtId="4" fontId="122" fillId="59" borderId="193" xfId="0" applyNumberFormat="1" applyFont="1" applyFill="1" applyBorder="1" applyAlignment="1">
      <alignment horizontal="right" vertical="center"/>
    </xf>
    <xf numFmtId="4" fontId="122" fillId="0" borderId="354" xfId="0" applyNumberFormat="1" applyFont="1" applyBorder="1"/>
    <xf numFmtId="4" fontId="122" fillId="0" borderId="294" xfId="0" applyNumberFormat="1" applyFont="1" applyBorder="1" applyAlignment="1"/>
    <xf numFmtId="0" fontId="122" fillId="0" borderId="294" xfId="0" applyFont="1" applyBorder="1" applyAlignment="1">
      <alignment horizontal="right"/>
    </xf>
    <xf numFmtId="0" fontId="122" fillId="64" borderId="294" xfId="0" applyFont="1" applyFill="1" applyBorder="1" applyAlignment="1">
      <alignment vertical="center"/>
    </xf>
    <xf numFmtId="4" fontId="123" fillId="64" borderId="386" xfId="0" applyNumberFormat="1" applyFont="1" applyFill="1" applyBorder="1"/>
    <xf numFmtId="0" fontId="122" fillId="64" borderId="294" xfId="0" applyFont="1" applyFill="1" applyBorder="1"/>
    <xf numFmtId="4" fontId="139" fillId="0" borderId="224" xfId="0" applyNumberFormat="1" applyFont="1" applyBorder="1" applyAlignment="1"/>
    <xf numFmtId="4" fontId="137" fillId="64" borderId="17" xfId="0" applyNumberFormat="1" applyFont="1" applyFill="1" applyBorder="1" applyAlignment="1">
      <alignment vertical="center"/>
    </xf>
    <xf numFmtId="4" fontId="137" fillId="0" borderId="17" xfId="0" applyNumberFormat="1" applyFont="1" applyBorder="1" applyAlignment="1">
      <alignment vertical="center"/>
    </xf>
    <xf numFmtId="4" fontId="103" fillId="64" borderId="17" xfId="0" applyNumberFormat="1" applyFont="1" applyFill="1" applyBorder="1" applyAlignment="1">
      <alignment vertical="center"/>
    </xf>
    <xf numFmtId="4" fontId="131" fillId="0" borderId="17" xfId="0" applyNumberFormat="1" applyFont="1" applyBorder="1" applyAlignment="1">
      <alignment vertical="center"/>
    </xf>
    <xf numFmtId="4" fontId="103" fillId="0" borderId="17" xfId="0" applyNumberFormat="1" applyFont="1" applyBorder="1" applyAlignment="1"/>
    <xf numFmtId="3" fontId="122" fillId="35" borderId="160" xfId="1" applyNumberFormat="1" applyFont="1" applyFill="1" applyBorder="1" applyAlignment="1">
      <alignment horizontal="right"/>
    </xf>
    <xf numFmtId="3" fontId="122" fillId="0" borderId="151" xfId="0" applyNumberFormat="1" applyFont="1" applyBorder="1" applyAlignment="1">
      <alignment horizontal="right"/>
    </xf>
    <xf numFmtId="4" fontId="123" fillId="64" borderId="387" xfId="0" applyNumberFormat="1" applyFont="1" applyFill="1" applyBorder="1" applyAlignment="1">
      <alignment vertical="center"/>
    </xf>
    <xf numFmtId="3" fontId="122" fillId="0" borderId="334" xfId="0" applyNumberFormat="1" applyFont="1" applyBorder="1" applyAlignment="1">
      <alignment horizontal="right"/>
    </xf>
    <xf numFmtId="0" fontId="122" fillId="0" borderId="388" xfId="0" applyFont="1" applyBorder="1"/>
    <xf numFmtId="4" fontId="123" fillId="0" borderId="390" xfId="0" applyNumberFormat="1" applyFont="1" applyFill="1" applyBorder="1" applyAlignment="1">
      <alignment horizontal="left" vertical="center" wrapText="1"/>
    </xf>
    <xf numFmtId="0" fontId="123" fillId="0" borderId="390" xfId="0" applyFont="1" applyFill="1" applyBorder="1" applyAlignment="1">
      <alignment vertical="center"/>
    </xf>
    <xf numFmtId="4" fontId="131" fillId="0" borderId="393" xfId="0" applyNumberFormat="1" applyFont="1" applyFill="1" applyBorder="1" applyAlignment="1"/>
    <xf numFmtId="3" fontId="132" fillId="35" borderId="334" xfId="1" applyNumberFormat="1" applyFont="1" applyFill="1" applyBorder="1" applyAlignment="1"/>
    <xf numFmtId="3" fontId="132" fillId="35" borderId="151" xfId="1" applyNumberFormat="1" applyFont="1" applyFill="1" applyBorder="1" applyAlignment="1">
      <alignment horizontal="center" vertical="center"/>
    </xf>
    <xf numFmtId="0" fontId="132" fillId="0" borderId="151" xfId="0" applyFont="1" applyBorder="1"/>
    <xf numFmtId="4" fontId="132" fillId="0" borderId="211" xfId="0" applyNumberFormat="1" applyFont="1" applyBorder="1" applyAlignment="1">
      <alignment horizontal="center" vertical="center"/>
    </xf>
    <xf numFmtId="3" fontId="133" fillId="0" borderId="211" xfId="0" applyNumberFormat="1" applyFont="1" applyBorder="1" applyAlignment="1">
      <alignment horizontal="right" vertical="center"/>
    </xf>
    <xf numFmtId="0" fontId="122" fillId="0" borderId="389" xfId="0" applyFont="1" applyBorder="1"/>
    <xf numFmtId="0" fontId="122" fillId="0" borderId="395" xfId="0" applyFont="1" applyBorder="1"/>
    <xf numFmtId="4" fontId="122" fillId="0" borderId="396" xfId="0" applyNumberFormat="1" applyFont="1" applyFill="1" applyBorder="1"/>
    <xf numFmtId="4" fontId="131" fillId="0" borderId="397" xfId="0" applyNumberFormat="1" applyFont="1" applyFill="1" applyBorder="1"/>
    <xf numFmtId="4" fontId="131" fillId="0" borderId="398" xfId="0" applyNumberFormat="1" applyFont="1" applyFill="1" applyBorder="1"/>
    <xf numFmtId="0" fontId="123" fillId="0" borderId="399" xfId="0" applyFont="1" applyFill="1" applyBorder="1" applyAlignment="1">
      <alignment vertical="center"/>
    </xf>
    <xf numFmtId="0" fontId="123" fillId="0" borderId="394" xfId="0" applyFont="1" applyFill="1" applyBorder="1" applyAlignment="1">
      <alignment vertical="center"/>
    </xf>
    <xf numFmtId="0" fontId="123" fillId="0" borderId="400" xfId="0" applyFont="1" applyFill="1" applyBorder="1" applyAlignment="1">
      <alignment vertical="center"/>
    </xf>
    <xf numFmtId="0" fontId="123" fillId="0" borderId="401" xfId="0" applyFont="1" applyFill="1" applyBorder="1" applyAlignment="1">
      <alignment vertical="center"/>
    </xf>
    <xf numFmtId="3" fontId="123" fillId="0" borderId="402" xfId="0" applyNumberFormat="1" applyFont="1" applyFill="1" applyBorder="1" applyAlignment="1">
      <alignment horizontal="right" vertical="center"/>
    </xf>
    <xf numFmtId="0" fontId="123" fillId="0" borderId="390" xfId="0" applyFont="1" applyBorder="1" applyAlignment="1">
      <alignment vertical="center"/>
    </xf>
    <xf numFmtId="0" fontId="122" fillId="0" borderId="391" xfId="0" applyFont="1" applyFill="1" applyBorder="1" applyAlignment="1">
      <alignment vertical="center" wrapText="1"/>
    </xf>
    <xf numFmtId="0" fontId="122" fillId="0" borderId="397" xfId="0" applyFont="1" applyFill="1" applyBorder="1" applyAlignment="1">
      <alignment vertical="center" wrapText="1"/>
    </xf>
    <xf numFmtId="0" fontId="123" fillId="0" borderId="390" xfId="0" applyFont="1" applyFill="1" applyBorder="1" applyAlignment="1">
      <alignment vertical="center" wrapText="1"/>
    </xf>
    <xf numFmtId="0" fontId="122" fillId="0" borderId="161" xfId="0" applyFont="1" applyBorder="1" applyAlignment="1">
      <alignment horizontal="center"/>
    </xf>
    <xf numFmtId="0" fontId="123" fillId="0" borderId="390" xfId="0" applyFont="1" applyFill="1" applyBorder="1" applyAlignment="1">
      <alignment wrapText="1"/>
    </xf>
    <xf numFmtId="0" fontId="122" fillId="0" borderId="390" xfId="0" applyFont="1" applyBorder="1" applyAlignment="1">
      <alignment vertical="center"/>
    </xf>
    <xf numFmtId="4" fontId="123" fillId="0" borderId="399" xfId="0" applyNumberFormat="1" applyFont="1" applyBorder="1" applyAlignment="1">
      <alignment wrapText="1"/>
    </xf>
    <xf numFmtId="0" fontId="122" fillId="0" borderId="394" xfId="0" applyFont="1" applyFill="1" applyBorder="1" applyAlignment="1"/>
    <xf numFmtId="0" fontId="137" fillId="0" borderId="389" xfId="0" applyFont="1" applyFill="1" applyBorder="1" applyAlignment="1">
      <alignment horizontal="left"/>
    </xf>
    <xf numFmtId="0" fontId="131" fillId="0" borderId="405" xfId="0" applyFont="1" applyFill="1" applyBorder="1" applyAlignment="1">
      <alignment vertical="center" wrapText="1"/>
    </xf>
    <xf numFmtId="0" fontId="132" fillId="64" borderId="390" xfId="0" applyFont="1" applyFill="1" applyBorder="1" applyAlignment="1">
      <alignment horizontal="left" vertical="center"/>
    </xf>
    <xf numFmtId="0" fontId="123" fillId="0" borderId="290" xfId="0" applyFont="1" applyBorder="1" applyAlignment="1">
      <alignment horizontal="center"/>
    </xf>
    <xf numFmtId="4" fontId="123" fillId="0" borderId="166" xfId="0" applyNumberFormat="1" applyFont="1" applyBorder="1" applyAlignment="1">
      <alignment horizontal="center"/>
    </xf>
    <xf numFmtId="0" fontId="123" fillId="0" borderId="390" xfId="207" applyFont="1" applyFill="1" applyBorder="1" applyAlignment="1"/>
    <xf numFmtId="0" fontId="123" fillId="0" borderId="403" xfId="207" applyFont="1" applyFill="1" applyBorder="1" applyAlignment="1"/>
    <xf numFmtId="0" fontId="123" fillId="0" borderId="392" xfId="207" applyFont="1" applyFill="1" applyBorder="1" applyAlignment="1"/>
    <xf numFmtId="4" fontId="132" fillId="35" borderId="166" xfId="1" applyNumberFormat="1" applyFont="1" applyFill="1" applyBorder="1" applyAlignment="1"/>
    <xf numFmtId="4" fontId="132" fillId="35" borderId="155" xfId="1" applyNumberFormat="1" applyFont="1" applyFill="1" applyBorder="1" applyAlignment="1"/>
    <xf numFmtId="4" fontId="131" fillId="62" borderId="160" xfId="0" applyNumberFormat="1" applyFont="1" applyFill="1" applyBorder="1"/>
    <xf numFmtId="4" fontId="122" fillId="59" borderId="160" xfId="0" applyNumberFormat="1" applyFont="1" applyFill="1" applyBorder="1"/>
    <xf numFmtId="4" fontId="123" fillId="35" borderId="166" xfId="1" applyNumberFormat="1" applyFont="1" applyFill="1" applyBorder="1" applyAlignment="1"/>
    <xf numFmtId="4" fontId="122" fillId="60" borderId="160" xfId="0" applyNumberFormat="1" applyFont="1" applyFill="1" applyBorder="1"/>
    <xf numFmtId="4" fontId="122" fillId="60" borderId="308" xfId="0" applyNumberFormat="1" applyFont="1" applyFill="1" applyBorder="1"/>
    <xf numFmtId="4" fontId="122" fillId="60" borderId="371" xfId="0" applyNumberFormat="1" applyFont="1" applyFill="1" applyBorder="1"/>
    <xf numFmtId="4" fontId="122" fillId="60" borderId="336" xfId="0" applyNumberFormat="1" applyFont="1" applyFill="1" applyBorder="1"/>
    <xf numFmtId="4" fontId="122" fillId="0" borderId="166" xfId="0" applyNumberFormat="1" applyFont="1" applyBorder="1" applyAlignment="1">
      <alignment vertical="center"/>
    </xf>
    <xf numFmtId="1" fontId="49" fillId="0" borderId="316" xfId="0" applyNumberFormat="1" applyFont="1" applyFill="1" applyBorder="1" applyAlignment="1">
      <alignment horizontal="center" vertical="center"/>
    </xf>
    <xf numFmtId="4" fontId="122" fillId="0" borderId="161" xfId="0" applyNumberFormat="1" applyFont="1" applyBorder="1" applyAlignment="1">
      <alignment vertical="center"/>
    </xf>
    <xf numFmtId="4" fontId="122" fillId="0" borderId="206" xfId="0" applyNumberFormat="1" applyFont="1" applyFill="1" applyBorder="1" applyAlignment="1"/>
    <xf numFmtId="4" fontId="122" fillId="0" borderId="344" xfId="0" applyNumberFormat="1" applyFont="1" applyBorder="1" applyAlignment="1"/>
    <xf numFmtId="4" fontId="122" fillId="35" borderId="160" xfId="1" applyNumberFormat="1" applyFont="1" applyFill="1" applyBorder="1" applyAlignment="1"/>
    <xf numFmtId="4" fontId="131" fillId="0" borderId="151" xfId="0" applyNumberFormat="1" applyFont="1" applyBorder="1" applyAlignment="1"/>
    <xf numFmtId="4" fontId="122" fillId="0" borderId="166" xfId="0" applyNumberFormat="1" applyFont="1" applyBorder="1" applyAlignment="1"/>
    <xf numFmtId="1" fontId="123" fillId="35" borderId="166" xfId="1" applyNumberFormat="1" applyFont="1" applyFill="1" applyBorder="1" applyAlignment="1"/>
    <xf numFmtId="0" fontId="46" fillId="0" borderId="151" xfId="0" applyFont="1" applyBorder="1"/>
    <xf numFmtId="0" fontId="122" fillId="0" borderId="166" xfId="0" applyFont="1" applyBorder="1"/>
    <xf numFmtId="3" fontId="122" fillId="35" borderId="160" xfId="1" applyNumberFormat="1" applyFont="1" applyFill="1" applyBorder="1" applyAlignment="1"/>
    <xf numFmtId="3" fontId="123" fillId="0" borderId="166" xfId="0" applyNumberFormat="1" applyFont="1" applyBorder="1" applyAlignment="1"/>
    <xf numFmtId="2" fontId="122" fillId="0" borderId="151" xfId="0" applyNumberFormat="1" applyFont="1" applyBorder="1" applyAlignment="1"/>
    <xf numFmtId="2" fontId="122" fillId="0" borderId="166" xfId="0" applyNumberFormat="1" applyFont="1" applyBorder="1" applyAlignment="1"/>
    <xf numFmtId="171" fontId="123" fillId="35" borderId="166" xfId="15794" applyNumberFormat="1" applyFont="1" applyFill="1" applyBorder="1" applyAlignment="1">
      <alignment horizontal="right"/>
    </xf>
    <xf numFmtId="4" fontId="122" fillId="0" borderId="334" xfId="0" applyNumberFormat="1" applyFont="1" applyBorder="1"/>
    <xf numFmtId="3" fontId="123" fillId="0" borderId="293" xfId="0" applyNumberFormat="1" applyFont="1" applyFill="1" applyBorder="1" applyAlignment="1">
      <alignment horizontal="right" vertical="center"/>
    </xf>
    <xf numFmtId="0" fontId="122" fillId="0" borderId="302" xfId="0" applyFont="1" applyBorder="1"/>
    <xf numFmtId="0" fontId="122" fillId="0" borderId="293" xfId="0" applyFont="1" applyBorder="1" applyAlignment="1">
      <alignment horizontal="center" vertical="center"/>
    </xf>
    <xf numFmtId="0" fontId="122" fillId="0" borderId="189" xfId="0" applyFont="1" applyBorder="1" applyAlignment="1">
      <alignment horizontal="center" vertical="center"/>
    </xf>
    <xf numFmtId="0" fontId="122" fillId="0" borderId="190" xfId="0" applyFont="1" applyBorder="1"/>
    <xf numFmtId="0" fontId="122" fillId="0" borderId="189" xfId="0" applyFont="1" applyBorder="1" applyAlignment="1">
      <alignment vertical="center"/>
    </xf>
    <xf numFmtId="0" fontId="122" fillId="0" borderId="190" xfId="0" applyFont="1" applyBorder="1" applyAlignment="1"/>
    <xf numFmtId="0" fontId="123" fillId="64" borderId="189" xfId="0" applyFont="1" applyFill="1" applyBorder="1" applyAlignment="1">
      <alignment horizontal="center" vertical="center"/>
    </xf>
    <xf numFmtId="0" fontId="122" fillId="0" borderId="189" xfId="0" applyFont="1" applyBorder="1" applyAlignment="1"/>
    <xf numFmtId="0" fontId="122" fillId="64" borderId="189" xfId="0" applyFont="1" applyFill="1" applyBorder="1"/>
    <xf numFmtId="0" fontId="122" fillId="0" borderId="312" xfId="0" applyFont="1" applyBorder="1" applyAlignment="1">
      <alignment horizontal="center" vertical="center"/>
    </xf>
    <xf numFmtId="0" fontId="123" fillId="64" borderId="293" xfId="0" applyFont="1" applyFill="1" applyBorder="1" applyAlignment="1">
      <alignment horizontal="center" vertical="center"/>
    </xf>
    <xf numFmtId="4" fontId="123" fillId="64" borderId="358" xfId="0" applyNumberFormat="1" applyFont="1" applyFill="1" applyBorder="1" applyAlignment="1">
      <alignment horizontal="right" vertical="center"/>
    </xf>
    <xf numFmtId="4" fontId="123" fillId="64" borderId="359" xfId="0" applyNumberFormat="1" applyFont="1" applyFill="1" applyBorder="1" applyAlignment="1">
      <alignment horizontal="right" vertical="center"/>
    </xf>
    <xf numFmtId="0" fontId="122" fillId="0" borderId="189" xfId="0" applyFont="1" applyBorder="1"/>
    <xf numFmtId="0" fontId="122" fillId="0" borderId="293" xfId="0" applyFont="1" applyBorder="1" applyAlignment="1">
      <alignment vertical="center"/>
    </xf>
    <xf numFmtId="0" fontId="122" fillId="0" borderId="292" xfId="0" applyFont="1" applyBorder="1" applyAlignment="1">
      <alignment horizontal="center" vertical="center"/>
    </xf>
    <xf numFmtId="4" fontId="123" fillId="0" borderId="331" xfId="0" applyNumberFormat="1" applyFont="1" applyFill="1" applyBorder="1" applyAlignment="1">
      <alignment vertical="center"/>
    </xf>
    <xf numFmtId="4" fontId="122" fillId="0" borderId="227" xfId="0" applyNumberFormat="1" applyFont="1" applyFill="1" applyBorder="1" applyAlignment="1">
      <alignment vertical="center"/>
    </xf>
    <xf numFmtId="3" fontId="132" fillId="0" borderId="334" xfId="0" applyNumberFormat="1" applyFont="1" applyFill="1" applyBorder="1" applyAlignment="1">
      <alignment horizontal="center"/>
    </xf>
    <xf numFmtId="4" fontId="123" fillId="64" borderId="229" xfId="0" applyNumberFormat="1" applyFont="1" applyFill="1" applyBorder="1" applyAlignment="1">
      <alignment horizontal="center"/>
    </xf>
    <xf numFmtId="4" fontId="123" fillId="64" borderId="340" xfId="0" applyNumberFormat="1" applyFont="1" applyFill="1" applyBorder="1" applyAlignment="1">
      <alignment horizontal="center"/>
    </xf>
    <xf numFmtId="4" fontId="122" fillId="64" borderId="342" xfId="0" applyNumberFormat="1" applyFont="1" applyFill="1" applyBorder="1"/>
    <xf numFmtId="3" fontId="49" fillId="0" borderId="229" xfId="2" applyNumberFormat="1" applyFont="1" applyFill="1" applyBorder="1" applyAlignment="1">
      <alignment horizontal="center" vertical="center"/>
    </xf>
    <xf numFmtId="4" fontId="122" fillId="0" borderId="229" xfId="0" applyNumberFormat="1" applyFont="1" applyBorder="1" applyAlignment="1"/>
    <xf numFmtId="4" fontId="123" fillId="64" borderId="293" xfId="0" applyNumberFormat="1" applyFont="1" applyFill="1" applyBorder="1" applyAlignment="1">
      <alignment horizontal="center" vertical="center"/>
    </xf>
    <xf numFmtId="4" fontId="135" fillId="64" borderId="229" xfId="0" applyNumberFormat="1" applyFont="1" applyFill="1" applyBorder="1" applyAlignment="1">
      <alignment vertical="center"/>
    </xf>
    <xf numFmtId="4" fontId="123" fillId="64" borderId="229" xfId="0" applyNumberFormat="1" applyFont="1" applyFill="1" applyBorder="1" applyAlignment="1">
      <alignment vertical="center"/>
    </xf>
    <xf numFmtId="4" fontId="122" fillId="0" borderId="407" xfId="0" applyNumberFormat="1" applyFont="1" applyBorder="1"/>
    <xf numFmtId="4" fontId="122" fillId="0" borderId="293" xfId="0" applyNumberFormat="1" applyFont="1" applyBorder="1" applyAlignment="1">
      <alignment vertical="center"/>
    </xf>
    <xf numFmtId="4" fontId="122" fillId="59" borderId="213" xfId="0" applyNumberFormat="1" applyFont="1" applyFill="1" applyBorder="1"/>
    <xf numFmtId="4" fontId="123" fillId="0" borderId="229" xfId="0" applyNumberFormat="1" applyFont="1" applyFill="1" applyBorder="1" applyAlignment="1">
      <alignment vertical="center"/>
    </xf>
    <xf numFmtId="4" fontId="122" fillId="29" borderId="228" xfId="0" applyNumberFormat="1" applyFont="1" applyFill="1" applyBorder="1" applyAlignment="1"/>
    <xf numFmtId="4" fontId="122" fillId="29" borderId="213" xfId="0" applyNumberFormat="1" applyFont="1" applyFill="1" applyBorder="1" applyAlignment="1">
      <alignment horizontal="center" vertical="center"/>
    </xf>
    <xf numFmtId="4" fontId="122" fillId="29" borderId="339" xfId="0" applyNumberFormat="1" applyFont="1" applyFill="1" applyBorder="1" applyAlignment="1">
      <alignment horizontal="center" vertical="center"/>
    </xf>
    <xf numFmtId="4" fontId="122" fillId="59" borderId="408" xfId="0" applyNumberFormat="1" applyFont="1" applyFill="1" applyBorder="1"/>
    <xf numFmtId="4" fontId="122" fillId="29" borderId="409" xfId="0" applyNumberFormat="1" applyFont="1" applyFill="1" applyBorder="1" applyAlignment="1">
      <alignment horizontal="right" vertical="center"/>
    </xf>
    <xf numFmtId="4" fontId="123" fillId="0" borderId="410" xfId="0" applyNumberFormat="1" applyFont="1" applyBorder="1" applyAlignment="1">
      <alignment horizontal="right"/>
    </xf>
    <xf numFmtId="4" fontId="123" fillId="59" borderId="342" xfId="0" applyNumberFormat="1" applyFont="1" applyFill="1" applyBorder="1" applyAlignment="1">
      <alignment horizontal="right" vertical="center"/>
    </xf>
    <xf numFmtId="4" fontId="123" fillId="0" borderId="411" xfId="0" applyNumberFormat="1" applyFont="1" applyFill="1" applyBorder="1" applyAlignment="1">
      <alignment horizontal="right" vertical="center"/>
    </xf>
    <xf numFmtId="4" fontId="123" fillId="0" borderId="412" xfId="0" applyNumberFormat="1" applyFont="1" applyFill="1" applyBorder="1" applyAlignment="1">
      <alignment horizontal="right" vertical="center"/>
    </xf>
    <xf numFmtId="4" fontId="122" fillId="0" borderId="342" xfId="0" applyNumberFormat="1" applyFont="1" applyFill="1" applyBorder="1" applyAlignment="1">
      <alignment horizontal="right" vertical="center"/>
    </xf>
    <xf numFmtId="4" fontId="123" fillId="35" borderId="342" xfId="1" applyNumberFormat="1" applyFont="1" applyFill="1" applyBorder="1" applyAlignment="1"/>
    <xf numFmtId="4" fontId="122" fillId="60" borderId="295" xfId="0" applyNumberFormat="1" applyFont="1" applyFill="1" applyBorder="1"/>
    <xf numFmtId="4" fontId="122" fillId="60" borderId="189" xfId="0" applyNumberFormat="1" applyFont="1" applyFill="1" applyBorder="1"/>
    <xf numFmtId="4" fontId="123" fillId="35" borderId="285" xfId="1" applyNumberFormat="1" applyFont="1" applyFill="1" applyBorder="1" applyAlignment="1"/>
    <xf numFmtId="4" fontId="122" fillId="60" borderId="302" xfId="0" applyNumberFormat="1" applyFont="1" applyFill="1" applyBorder="1"/>
    <xf numFmtId="4" fontId="122" fillId="60" borderId="300" xfId="0" applyNumberFormat="1" applyFont="1" applyFill="1" applyBorder="1"/>
    <xf numFmtId="4" fontId="122" fillId="60" borderId="346" xfId="0" applyNumberFormat="1" applyFont="1" applyFill="1" applyBorder="1" applyAlignment="1">
      <alignment horizontal="right" vertical="center"/>
    </xf>
    <xf numFmtId="0" fontId="122" fillId="0" borderId="293" xfId="0" applyFont="1" applyBorder="1" applyAlignment="1"/>
    <xf numFmtId="4" fontId="123" fillId="64" borderId="413" xfId="0" applyNumberFormat="1" applyFont="1" applyFill="1" applyBorder="1"/>
    <xf numFmtId="4" fontId="123" fillId="59" borderId="380" xfId="0" applyNumberFormat="1" applyFont="1" applyFill="1" applyBorder="1"/>
    <xf numFmtId="4" fontId="123" fillId="64" borderId="366" xfId="0" applyNumberFormat="1" applyFont="1" applyFill="1" applyBorder="1" applyAlignment="1">
      <alignment horizontal="right" vertical="center"/>
    </xf>
    <xf numFmtId="4" fontId="123" fillId="64" borderId="414" xfId="0" applyNumberFormat="1" applyFont="1" applyFill="1" applyBorder="1" applyAlignment="1">
      <alignment horizontal="right" vertical="center"/>
    </xf>
    <xf numFmtId="0" fontId="49" fillId="0" borderId="285" xfId="0" applyFont="1" applyBorder="1" applyAlignment="1">
      <alignment horizontal="center"/>
    </xf>
    <xf numFmtId="0" fontId="47" fillId="84" borderId="0" xfId="0" applyFont="1" applyFill="1"/>
    <xf numFmtId="43" fontId="123" fillId="35" borderId="294" xfId="15794" applyFont="1" applyFill="1" applyBorder="1" applyAlignment="1">
      <alignment vertical="center" textRotation="90" wrapText="1"/>
    </xf>
    <xf numFmtId="43" fontId="132" fillId="64" borderId="294" xfId="15794" applyFont="1" applyFill="1" applyBorder="1" applyAlignment="1">
      <alignment vertical="center"/>
    </xf>
    <xf numFmtId="43" fontId="132" fillId="64" borderId="293" xfId="15794" applyFont="1" applyFill="1" applyBorder="1" applyAlignment="1">
      <alignment vertical="center"/>
    </xf>
    <xf numFmtId="43" fontId="47" fillId="64" borderId="0" xfId="15794" applyFont="1" applyFill="1" applyAlignment="1">
      <alignment vertical="center"/>
    </xf>
    <xf numFmtId="0" fontId="128" fillId="0" borderId="0" xfId="0" applyFont="1"/>
    <xf numFmtId="4" fontId="46" fillId="0" borderId="321" xfId="0" applyNumberFormat="1" applyFont="1" applyBorder="1"/>
    <xf numFmtId="4" fontId="46" fillId="0" borderId="54" xfId="0" applyNumberFormat="1" applyFont="1" applyBorder="1"/>
    <xf numFmtId="10" fontId="46" fillId="0" borderId="54" xfId="0" applyNumberFormat="1" applyFont="1" applyBorder="1"/>
    <xf numFmtId="0" fontId="46" fillId="0" borderId="321" xfId="0" applyFont="1" applyBorder="1"/>
    <xf numFmtId="0" fontId="46" fillId="0" borderId="54" xfId="0" applyFont="1" applyBorder="1"/>
    <xf numFmtId="0" fontId="46" fillId="0" borderId="0" xfId="0" applyFont="1" applyFill="1"/>
    <xf numFmtId="10" fontId="128" fillId="0" borderId="0" xfId="0" applyNumberFormat="1" applyFont="1"/>
    <xf numFmtId="0" fontId="126" fillId="0" borderId="0" xfId="0" applyFont="1" applyFill="1" applyBorder="1" applyAlignment="1">
      <alignment vertical="top" wrapText="1"/>
    </xf>
    <xf numFmtId="0" fontId="130" fillId="0" borderId="0" xfId="0" applyFont="1" applyFill="1" applyAlignment="1">
      <alignment vertical="center" wrapText="1"/>
    </xf>
    <xf numFmtId="0" fontId="27" fillId="0" borderId="0" xfId="0" applyFont="1" applyFill="1"/>
    <xf numFmtId="0" fontId="47" fillId="0" borderId="0" xfId="0" applyFont="1" applyFill="1"/>
    <xf numFmtId="2" fontId="51" fillId="59" borderId="190" xfId="0" applyNumberFormat="1" applyFont="1" applyFill="1" applyBorder="1" applyAlignment="1">
      <alignment horizontal="center" vertical="center"/>
    </xf>
    <xf numFmtId="4" fontId="128" fillId="0" borderId="193" xfId="0" applyNumberFormat="1" applyFont="1" applyBorder="1"/>
    <xf numFmtId="4" fontId="149" fillId="0" borderId="0" xfId="0" applyNumberFormat="1" applyFont="1"/>
    <xf numFmtId="2" fontId="146" fillId="62" borderId="324" xfId="0" applyNumberFormat="1" applyFont="1" applyFill="1" applyBorder="1" applyAlignment="1">
      <alignment horizontal="center" vertical="center" wrapText="1"/>
    </xf>
    <xf numFmtId="0" fontId="128" fillId="0" borderId="0" xfId="0" applyFont="1" applyFill="1"/>
    <xf numFmtId="2" fontId="51" fillId="62" borderId="324" xfId="0" applyNumberFormat="1" applyFont="1" applyFill="1" applyBorder="1" applyAlignment="1">
      <alignment horizontal="center" vertical="center" wrapText="1"/>
    </xf>
    <xf numFmtId="4" fontId="122" fillId="61" borderId="152" xfId="0" applyNumberFormat="1" applyFont="1" applyFill="1" applyBorder="1"/>
    <xf numFmtId="4" fontId="122" fillId="61" borderId="177" xfId="0" applyNumberFormat="1" applyFont="1" applyFill="1" applyBorder="1"/>
    <xf numFmtId="4" fontId="122" fillId="61" borderId="298" xfId="0" applyNumberFormat="1" applyFont="1" applyFill="1" applyBorder="1"/>
    <xf numFmtId="4" fontId="122" fillId="61" borderId="212" xfId="0" applyNumberFormat="1" applyFont="1" applyFill="1" applyBorder="1"/>
    <xf numFmtId="4" fontId="122" fillId="61" borderId="199" xfId="0" applyNumberFormat="1" applyFont="1" applyFill="1" applyBorder="1"/>
    <xf numFmtId="4" fontId="122" fillId="61" borderId="178" xfId="0" applyNumberFormat="1" applyFont="1" applyFill="1" applyBorder="1"/>
    <xf numFmtId="4" fontId="122" fillId="61" borderId="191" xfId="0" applyNumberFormat="1" applyFont="1" applyFill="1" applyBorder="1"/>
    <xf numFmtId="4" fontId="122" fillId="61" borderId="177" xfId="0" applyNumberFormat="1" applyFont="1" applyFill="1" applyBorder="1" applyAlignment="1">
      <alignment horizontal="right" vertical="center"/>
    </xf>
    <xf numFmtId="4" fontId="122" fillId="61" borderId="343" xfId="0" applyNumberFormat="1" applyFont="1" applyFill="1" applyBorder="1" applyAlignment="1"/>
    <xf numFmtId="0" fontId="122" fillId="61" borderId="212" xfId="0" applyFont="1" applyFill="1" applyBorder="1" applyAlignment="1">
      <alignment horizontal="center" vertical="center"/>
    </xf>
    <xf numFmtId="0" fontId="122" fillId="61" borderId="152" xfId="0" applyFont="1" applyFill="1" applyBorder="1" applyAlignment="1">
      <alignment horizontal="center" vertical="center"/>
    </xf>
    <xf numFmtId="4" fontId="122" fillId="61" borderId="196" xfId="0" applyNumberFormat="1" applyFont="1" applyFill="1" applyBorder="1"/>
    <xf numFmtId="4" fontId="132" fillId="0" borderId="0" xfId="0" applyNumberFormat="1" applyFont="1" applyFill="1" applyBorder="1" applyAlignment="1"/>
    <xf numFmtId="4" fontId="49" fillId="35" borderId="322" xfId="0" applyNumberFormat="1" applyFont="1" applyFill="1" applyBorder="1" applyAlignment="1">
      <alignment horizontal="center" vertical="center"/>
    </xf>
    <xf numFmtId="4" fontId="122" fillId="0" borderId="308" xfId="0" applyNumberFormat="1" applyFont="1" applyBorder="1" applyAlignment="1">
      <alignment vertical="center"/>
    </xf>
    <xf numFmtId="4" fontId="122" fillId="0" borderId="295" xfId="0" applyNumberFormat="1" applyFont="1" applyFill="1" applyBorder="1" applyAlignment="1"/>
    <xf numFmtId="4" fontId="137" fillId="0" borderId="206" xfId="0" applyNumberFormat="1" applyFont="1" applyBorder="1"/>
    <xf numFmtId="4" fontId="103" fillId="64" borderId="187" xfId="0" applyNumberFormat="1" applyFont="1" applyFill="1" applyBorder="1" applyAlignment="1">
      <alignment vertical="center"/>
    </xf>
    <xf numFmtId="4" fontId="103" fillId="0" borderId="187" xfId="0" applyNumberFormat="1" applyFont="1" applyBorder="1" applyAlignment="1">
      <alignment vertical="center"/>
    </xf>
    <xf numFmtId="4" fontId="131" fillId="0" borderId="187" xfId="0" applyNumberFormat="1" applyFont="1" applyBorder="1" applyAlignment="1">
      <alignment vertical="center"/>
    </xf>
    <xf numFmtId="4" fontId="103" fillId="0" borderId="187" xfId="0" applyNumberFormat="1" applyFont="1" applyBorder="1" applyAlignment="1"/>
    <xf numFmtId="4" fontId="137" fillId="0" borderId="187" xfId="0" applyNumberFormat="1" applyFont="1" applyBorder="1" applyAlignment="1">
      <alignment vertical="center"/>
    </xf>
    <xf numFmtId="4" fontId="123" fillId="64" borderId="331" xfId="0" applyNumberFormat="1" applyFont="1" applyFill="1" applyBorder="1" applyAlignment="1">
      <alignment vertical="center"/>
    </xf>
    <xf numFmtId="0" fontId="123" fillId="0" borderId="415" xfId="0" applyFont="1" applyFill="1" applyBorder="1" applyAlignment="1">
      <alignment horizontal="center" vertical="center"/>
    </xf>
    <xf numFmtId="4" fontId="122" fillId="0" borderId="318" xfId="0" applyNumberFormat="1" applyFont="1" applyBorder="1"/>
    <xf numFmtId="4" fontId="122" fillId="0" borderId="207" xfId="0" applyNumberFormat="1" applyFont="1" applyBorder="1"/>
    <xf numFmtId="0" fontId="122" fillId="0" borderId="318" xfId="0" applyFont="1" applyBorder="1" applyAlignment="1">
      <alignment horizontal="center" vertical="center"/>
    </xf>
    <xf numFmtId="4" fontId="123" fillId="35" borderId="294" xfId="0" applyNumberFormat="1" applyFont="1" applyFill="1" applyBorder="1" applyAlignment="1">
      <alignment horizontal="center" vertical="center"/>
    </xf>
    <xf numFmtId="4" fontId="123" fillId="0" borderId="229" xfId="0" applyNumberFormat="1" applyFont="1" applyFill="1" applyBorder="1" applyAlignment="1">
      <alignment horizontal="right" vertical="center"/>
    </xf>
    <xf numFmtId="4" fontId="122" fillId="60" borderId="366" xfId="0" applyNumberFormat="1" applyFont="1" applyFill="1" applyBorder="1"/>
    <xf numFmtId="4" fontId="122" fillId="60" borderId="188" xfId="0" applyNumberFormat="1" applyFont="1" applyFill="1" applyBorder="1"/>
    <xf numFmtId="4" fontId="122" fillId="60" borderId="366" xfId="0" applyNumberFormat="1" applyFont="1" applyFill="1" applyBorder="1" applyAlignment="1">
      <alignment horizontal="right"/>
    </xf>
    <xf numFmtId="4" fontId="122" fillId="60" borderId="366" xfId="0" applyNumberFormat="1" applyFont="1" applyFill="1" applyBorder="1" applyAlignment="1"/>
    <xf numFmtId="4" fontId="122" fillId="60" borderId="203" xfId="0" applyNumberFormat="1" applyFont="1" applyFill="1" applyBorder="1" applyAlignment="1"/>
    <xf numFmtId="4" fontId="46" fillId="0" borderId="319" xfId="0" applyNumberFormat="1" applyFont="1" applyBorder="1"/>
    <xf numFmtId="3" fontId="122" fillId="0" borderId="402" xfId="0" applyNumberFormat="1" applyFont="1" applyBorder="1"/>
    <xf numFmtId="4" fontId="123" fillId="35" borderId="346" xfId="1" applyNumberFormat="1" applyFont="1" applyFill="1" applyBorder="1" applyAlignment="1"/>
    <xf numFmtId="4" fontId="122" fillId="0" borderId="227" xfId="0" applyNumberFormat="1" applyFont="1" applyBorder="1" applyAlignment="1">
      <alignment vertical="center"/>
    </xf>
    <xf numFmtId="4" fontId="122" fillId="0" borderId="346" xfId="0" applyNumberFormat="1" applyFont="1" applyBorder="1" applyAlignment="1">
      <alignment vertical="center"/>
    </xf>
    <xf numFmtId="4" fontId="122" fillId="0" borderId="187" xfId="0" applyNumberFormat="1" applyFont="1" applyFill="1" applyBorder="1"/>
    <xf numFmtId="4" fontId="139" fillId="0" borderId="371" xfId="0" applyNumberFormat="1" applyFont="1" applyBorder="1" applyAlignment="1"/>
    <xf numFmtId="4" fontId="137" fillId="0" borderId="308" xfId="0" applyNumberFormat="1" applyFont="1" applyBorder="1" applyAlignment="1">
      <alignment vertical="center"/>
    </xf>
    <xf numFmtId="4" fontId="122" fillId="29" borderId="344" xfId="0" applyNumberFormat="1" applyFont="1" applyFill="1" applyBorder="1"/>
    <xf numFmtId="4" fontId="123" fillId="35" borderId="293" xfId="1" applyNumberFormat="1" applyFont="1" applyFill="1" applyBorder="1" applyAlignment="1"/>
    <xf numFmtId="4" fontId="131" fillId="60" borderId="227" xfId="0" applyNumberFormat="1" applyFont="1" applyFill="1" applyBorder="1"/>
    <xf numFmtId="4" fontId="131" fillId="60" borderId="346" xfId="0" applyNumberFormat="1" applyFont="1" applyFill="1" applyBorder="1"/>
    <xf numFmtId="4" fontId="131" fillId="60" borderId="203" xfId="0" applyNumberFormat="1" applyFont="1" applyFill="1" applyBorder="1"/>
    <xf numFmtId="0" fontId="49" fillId="0" borderId="416" xfId="0" applyFont="1" applyBorder="1" applyAlignment="1">
      <alignment horizontal="center"/>
    </xf>
    <xf numFmtId="0" fontId="49" fillId="0" borderId="288" xfId="0" applyFont="1" applyFill="1" applyBorder="1" applyAlignment="1">
      <alignment horizontal="center"/>
    </xf>
    <xf numFmtId="0" fontId="49" fillId="0" borderId="384" xfId="0" applyNumberFormat="1" applyFont="1" applyFill="1" applyBorder="1" applyAlignment="1">
      <alignment horizontal="center"/>
    </xf>
    <xf numFmtId="0" fontId="49" fillId="0" borderId="378" xfId="0" applyNumberFormat="1" applyFont="1" applyFill="1" applyBorder="1" applyAlignment="1">
      <alignment horizontal="center"/>
    </xf>
    <xf numFmtId="0" fontId="49" fillId="0" borderId="294" xfId="0" applyNumberFormat="1" applyFont="1" applyFill="1" applyBorder="1" applyAlignment="1">
      <alignment horizontal="center"/>
    </xf>
    <xf numFmtId="4" fontId="122" fillId="0" borderId="196" xfId="0" applyNumberFormat="1" applyFont="1" applyBorder="1"/>
    <xf numFmtId="3" fontId="131" fillId="0" borderId="420" xfId="0" applyNumberFormat="1" applyFont="1" applyBorder="1" applyAlignment="1">
      <alignment horizontal="center"/>
    </xf>
    <xf numFmtId="4" fontId="122" fillId="0" borderId="421" xfId="0" applyNumberFormat="1" applyFont="1" applyFill="1" applyBorder="1"/>
    <xf numFmtId="3" fontId="122" fillId="0" borderId="422" xfId="0" applyNumberFormat="1" applyFont="1" applyBorder="1" applyAlignment="1">
      <alignment horizontal="center"/>
    </xf>
    <xf numFmtId="3" fontId="122" fillId="0" borderId="423" xfId="0" applyNumberFormat="1" applyFont="1" applyBorder="1" applyAlignment="1">
      <alignment horizontal="center"/>
    </xf>
    <xf numFmtId="3" fontId="122" fillId="0" borderId="292" xfId="0" applyNumberFormat="1" applyFont="1" applyFill="1" applyBorder="1" applyAlignment="1">
      <alignment horizontal="center"/>
    </xf>
    <xf numFmtId="3" fontId="122" fillId="0" borderId="19" xfId="0" applyNumberFormat="1" applyFont="1" applyFill="1" applyBorder="1" applyAlignment="1">
      <alignment horizontal="center"/>
    </xf>
    <xf numFmtId="3" fontId="133" fillId="0" borderId="421" xfId="0" applyNumberFormat="1" applyFont="1" applyFill="1" applyBorder="1" applyAlignment="1">
      <alignment horizontal="center"/>
    </xf>
    <xf numFmtId="4" fontId="137" fillId="0" borderId="424" xfId="0" applyNumberFormat="1" applyFont="1" applyBorder="1"/>
    <xf numFmtId="4" fontId="137" fillId="0" borderId="425" xfId="0" applyNumberFormat="1" applyFont="1" applyBorder="1"/>
    <xf numFmtId="4" fontId="103" fillId="64" borderId="424" xfId="0" applyNumberFormat="1" applyFont="1" applyFill="1" applyBorder="1"/>
    <xf numFmtId="4" fontId="103" fillId="0" borderId="424" xfId="0" applyNumberFormat="1" applyFont="1" applyBorder="1"/>
    <xf numFmtId="4" fontId="103" fillId="0" borderId="426" xfId="0" applyNumberFormat="1" applyFont="1" applyBorder="1"/>
    <xf numFmtId="4" fontId="137" fillId="0" borderId="424" xfId="0" applyNumberFormat="1" applyFont="1" applyBorder="1" applyAlignment="1">
      <alignment horizontal="right"/>
    </xf>
    <xf numFmtId="4" fontId="137" fillId="0" borderId="427" xfId="0" applyNumberFormat="1" applyFont="1" applyBorder="1" applyAlignment="1">
      <alignment horizontal="right"/>
    </xf>
    <xf numFmtId="4" fontId="123" fillId="0" borderId="381" xfId="0" applyNumberFormat="1" applyFont="1" applyFill="1" applyBorder="1" applyAlignment="1">
      <alignment vertical="center"/>
    </xf>
    <xf numFmtId="4" fontId="123" fillId="0" borderId="381" xfId="0" applyNumberFormat="1" applyFont="1" applyFill="1" applyBorder="1" applyAlignment="1">
      <alignment horizontal="right" vertical="center"/>
    </xf>
    <xf numFmtId="0" fontId="122" fillId="0" borderId="421" xfId="0" applyFont="1" applyBorder="1" applyAlignment="1">
      <alignment horizontal="center" vertical="center"/>
    </xf>
    <xf numFmtId="4" fontId="49" fillId="35" borderId="428" xfId="0" applyNumberFormat="1" applyFont="1" applyFill="1" applyBorder="1" applyAlignment="1">
      <alignment horizontal="center" vertical="center"/>
    </xf>
    <xf numFmtId="1" fontId="49" fillId="0" borderId="429" xfId="0" applyNumberFormat="1" applyFont="1" applyFill="1" applyBorder="1" applyAlignment="1">
      <alignment horizontal="center" vertical="center"/>
    </xf>
    <xf numFmtId="4" fontId="49" fillId="35" borderId="378" xfId="0" applyNumberFormat="1" applyFont="1" applyFill="1" applyBorder="1" applyAlignment="1">
      <alignment horizontal="center" vertical="center"/>
    </xf>
    <xf numFmtId="3" fontId="49" fillId="0" borderId="378" xfId="0" applyNumberFormat="1" applyFont="1" applyFill="1" applyBorder="1" applyAlignment="1">
      <alignment horizontal="center" vertical="center"/>
    </xf>
    <xf numFmtId="3" fontId="49" fillId="35" borderId="430" xfId="0" applyNumberFormat="1" applyFont="1" applyFill="1" applyBorder="1" applyAlignment="1">
      <alignment horizontal="center" vertical="center"/>
    </xf>
    <xf numFmtId="3" fontId="49" fillId="0" borderId="430" xfId="0" applyNumberFormat="1" applyFont="1" applyFill="1" applyBorder="1" applyAlignment="1">
      <alignment horizontal="center" vertical="center"/>
    </xf>
    <xf numFmtId="3" fontId="49" fillId="0" borderId="431" xfId="0" applyNumberFormat="1" applyFont="1" applyFill="1" applyBorder="1" applyAlignment="1">
      <alignment horizontal="center" vertical="center"/>
    </xf>
    <xf numFmtId="4" fontId="49" fillId="0" borderId="294" xfId="0" applyNumberFormat="1" applyFont="1" applyFill="1" applyBorder="1" applyAlignment="1">
      <alignment horizontal="center" vertical="center"/>
    </xf>
    <xf numFmtId="3" fontId="49" fillId="35" borderId="386" xfId="0" applyNumberFormat="1" applyFont="1" applyFill="1" applyBorder="1" applyAlignment="1">
      <alignment horizontal="center" vertical="center"/>
    </xf>
    <xf numFmtId="1" fontId="49" fillId="0" borderId="331" xfId="0" applyNumberFormat="1" applyFont="1" applyFill="1" applyBorder="1" applyAlignment="1">
      <alignment horizontal="center" vertical="center"/>
    </xf>
    <xf numFmtId="1" fontId="49" fillId="0" borderId="416" xfId="0" applyNumberFormat="1" applyFont="1" applyFill="1" applyBorder="1" applyAlignment="1">
      <alignment horizontal="center" vertical="center"/>
    </xf>
    <xf numFmtId="1" fontId="71" fillId="0" borderId="384" xfId="2" applyNumberFormat="1" applyFont="1" applyFill="1" applyBorder="1" applyAlignment="1">
      <alignment horizontal="center" vertical="center"/>
    </xf>
    <xf numFmtId="1" fontId="49" fillId="0" borderId="294" xfId="0" applyNumberFormat="1" applyFont="1" applyFill="1" applyBorder="1" applyAlignment="1">
      <alignment horizontal="center" vertical="center"/>
    </xf>
    <xf numFmtId="1" fontId="71" fillId="0" borderId="378" xfId="2" applyNumberFormat="1" applyFont="1" applyFill="1" applyBorder="1" applyAlignment="1">
      <alignment horizontal="center" vertical="center"/>
    </xf>
    <xf numFmtId="1" fontId="71" fillId="0" borderId="416" xfId="2" applyNumberFormat="1" applyFont="1" applyFill="1" applyBorder="1" applyAlignment="1">
      <alignment horizontal="center" vertical="center"/>
    </xf>
    <xf numFmtId="4" fontId="122" fillId="60" borderId="432" xfId="0" applyNumberFormat="1" applyFont="1" applyFill="1" applyBorder="1"/>
    <xf numFmtId="0" fontId="132" fillId="0" borderId="0" xfId="207" applyFont="1" applyFill="1" applyBorder="1" applyAlignment="1"/>
    <xf numFmtId="4" fontId="122" fillId="0" borderId="20" xfId="0" applyNumberFormat="1" applyFont="1" applyFill="1" applyBorder="1"/>
    <xf numFmtId="4" fontId="122" fillId="0" borderId="211" xfId="0" applyNumberFormat="1" applyFont="1" applyFill="1" applyBorder="1"/>
    <xf numFmtId="4" fontId="122" fillId="0" borderId="199" xfId="0" applyNumberFormat="1" applyFont="1" applyFill="1" applyBorder="1"/>
    <xf numFmtId="3" fontId="132" fillId="0" borderId="20" xfId="0" applyNumberFormat="1" applyFont="1" applyFill="1" applyBorder="1" applyAlignment="1">
      <alignment horizontal="center"/>
    </xf>
    <xf numFmtId="3" fontId="133" fillId="0" borderId="199" xfId="0" applyNumberFormat="1" applyFont="1" applyFill="1" applyBorder="1" applyAlignment="1">
      <alignment horizontal="center"/>
    </xf>
    <xf numFmtId="3" fontId="122" fillId="0" borderId="0" xfId="0" applyNumberFormat="1" applyFont="1" applyFill="1" applyBorder="1" applyAlignment="1">
      <alignment horizontal="right" vertical="center"/>
    </xf>
    <xf numFmtId="4" fontId="122" fillId="0" borderId="0" xfId="0" applyNumberFormat="1" applyFont="1" applyFill="1" applyBorder="1" applyAlignment="1">
      <alignment vertical="center"/>
    </xf>
    <xf numFmtId="3" fontId="122" fillId="0" borderId="0" xfId="0" applyNumberFormat="1" applyFont="1" applyFill="1" applyBorder="1" applyAlignment="1">
      <alignment vertical="center"/>
    </xf>
    <xf numFmtId="4" fontId="131" fillId="0" borderId="0" xfId="0" applyNumberFormat="1" applyFont="1" applyFill="1" applyBorder="1" applyAlignment="1">
      <alignment vertical="center"/>
    </xf>
    <xf numFmtId="2" fontId="122" fillId="59" borderId="0" xfId="0" applyNumberFormat="1" applyFont="1" applyFill="1" applyBorder="1" applyAlignment="1">
      <alignment vertical="center"/>
    </xf>
    <xf numFmtId="4" fontId="131" fillId="59" borderId="190" xfId="0" applyNumberFormat="1" applyFont="1" applyFill="1" applyBorder="1"/>
    <xf numFmtId="4" fontId="131" fillId="60" borderId="190" xfId="0" applyNumberFormat="1" applyFont="1" applyFill="1" applyBorder="1"/>
    <xf numFmtId="49" fontId="122" fillId="0" borderId="436" xfId="0" applyNumberFormat="1" applyFont="1" applyFill="1" applyBorder="1" applyAlignment="1">
      <alignment horizontal="center" vertical="center" wrapText="1"/>
    </xf>
    <xf numFmtId="49" fontId="122" fillId="0" borderId="437" xfId="0" applyNumberFormat="1" applyFont="1" applyFill="1" applyBorder="1" applyAlignment="1">
      <alignment horizontal="center" vertical="center" wrapText="1"/>
    </xf>
    <xf numFmtId="4" fontId="123" fillId="0" borderId="438" xfId="0" applyNumberFormat="1" applyFont="1" applyFill="1" applyBorder="1" applyAlignment="1">
      <alignment horizontal="left" vertical="center" wrapText="1"/>
    </xf>
    <xf numFmtId="0" fontId="122" fillId="0" borderId="197" xfId="0" applyFont="1" applyBorder="1" applyAlignment="1">
      <alignment horizontal="center"/>
    </xf>
    <xf numFmtId="4" fontId="123" fillId="0" borderId="439" xfId="0" applyNumberFormat="1" applyFont="1" applyBorder="1" applyAlignment="1">
      <alignment horizontal="center" vertical="center"/>
    </xf>
    <xf numFmtId="3" fontId="122" fillId="0" borderId="440" xfId="0" applyNumberFormat="1" applyFont="1" applyFill="1" applyBorder="1" applyAlignment="1">
      <alignment horizontal="right" vertical="center"/>
    </xf>
    <xf numFmtId="4" fontId="122" fillId="0" borderId="155" xfId="0" applyNumberFormat="1" applyFont="1" applyFill="1" applyBorder="1" applyAlignment="1">
      <alignment vertical="center"/>
    </xf>
    <xf numFmtId="2" fontId="122" fillId="0" borderId="155" xfId="0" applyNumberFormat="1" applyFont="1" applyFill="1" applyBorder="1" applyAlignment="1">
      <alignment vertical="center"/>
    </xf>
    <xf numFmtId="3" fontId="122" fillId="0" borderId="166" xfId="0" applyNumberFormat="1" applyFont="1" applyFill="1" applyBorder="1" applyAlignment="1">
      <alignment vertical="center"/>
    </xf>
    <xf numFmtId="3" fontId="122" fillId="0" borderId="20" xfId="0" applyNumberFormat="1" applyFont="1" applyBorder="1" applyAlignment="1">
      <alignment horizontal="center"/>
    </xf>
    <xf numFmtId="4" fontId="122" fillId="0" borderId="20" xfId="0" applyNumberFormat="1" applyFont="1" applyBorder="1" applyAlignment="1">
      <alignment horizontal="center"/>
    </xf>
    <xf numFmtId="3" fontId="123" fillId="0" borderId="17" xfId="0" applyNumberFormat="1" applyFont="1" applyFill="1" applyBorder="1" applyAlignment="1">
      <alignment vertical="center"/>
    </xf>
    <xf numFmtId="4" fontId="123" fillId="0" borderId="17" xfId="0" applyNumberFormat="1" applyFont="1" applyFill="1" applyBorder="1" applyAlignment="1">
      <alignment vertical="center"/>
    </xf>
    <xf numFmtId="4" fontId="122" fillId="0" borderId="151" xfId="0" applyNumberFormat="1" applyFont="1" applyFill="1" applyBorder="1" applyAlignment="1">
      <alignment vertical="center"/>
    </xf>
    <xf numFmtId="43" fontId="123" fillId="64" borderId="390" xfId="15794" applyFont="1" applyFill="1" applyBorder="1" applyAlignment="1">
      <alignment vertical="center" wrapText="1"/>
    </xf>
    <xf numFmtId="43" fontId="123" fillId="64" borderId="0" xfId="15794" applyFont="1" applyFill="1" applyBorder="1" applyAlignment="1">
      <alignment vertical="center"/>
    </xf>
    <xf numFmtId="49" fontId="123" fillId="0" borderId="441" xfId="0" applyNumberFormat="1" applyFont="1" applyFill="1" applyBorder="1" applyAlignment="1">
      <alignment horizontal="center" vertical="center" wrapText="1"/>
    </xf>
    <xf numFmtId="0" fontId="122" fillId="0" borderId="442" xfId="0" applyFont="1" applyBorder="1" applyAlignment="1">
      <alignment horizontal="center"/>
    </xf>
    <xf numFmtId="2" fontId="122" fillId="0" borderId="0" xfId="0" applyNumberFormat="1" applyFont="1" applyBorder="1"/>
    <xf numFmtId="4" fontId="122" fillId="0" borderId="30" xfId="0" applyNumberFormat="1" applyFont="1" applyBorder="1" applyAlignment="1">
      <alignment vertical="center"/>
    </xf>
    <xf numFmtId="4" fontId="122" fillId="0" borderId="0" xfId="0" applyNumberFormat="1" applyFont="1" applyBorder="1" applyAlignment="1">
      <alignment vertical="center"/>
    </xf>
    <xf numFmtId="4" fontId="122" fillId="0" borderId="190" xfId="0" applyNumberFormat="1" applyFont="1" applyBorder="1" applyAlignment="1">
      <alignment horizontal="right" vertical="center"/>
    </xf>
    <xf numFmtId="4" fontId="103" fillId="0" borderId="30" xfId="0" applyNumberFormat="1" applyFont="1" applyBorder="1" applyAlignment="1">
      <alignment horizontal="right"/>
    </xf>
    <xf numFmtId="4" fontId="103" fillId="0" borderId="0" xfId="0" applyNumberFormat="1" applyFont="1" applyBorder="1" applyAlignment="1">
      <alignment horizontal="right"/>
    </xf>
    <xf numFmtId="4" fontId="122" fillId="59" borderId="0" xfId="0" applyNumberFormat="1" applyFont="1" applyFill="1" applyBorder="1"/>
    <xf numFmtId="4" fontId="122" fillId="64" borderId="443" xfId="0" applyNumberFormat="1" applyFont="1" applyFill="1" applyBorder="1" applyAlignment="1"/>
    <xf numFmtId="0" fontId="123" fillId="0" borderId="354" xfId="0" applyFont="1" applyFill="1" applyBorder="1" applyAlignment="1">
      <alignment horizontal="center" vertical="center"/>
    </xf>
    <xf numFmtId="0" fontId="122" fillId="0" borderId="444" xfId="0" applyFont="1" applyBorder="1" applyAlignment="1">
      <alignment horizontal="center"/>
    </xf>
    <xf numFmtId="0" fontId="122" fillId="0" borderId="336" xfId="0" applyFont="1" applyFill="1" applyBorder="1" applyAlignment="1">
      <alignment horizontal="center" vertical="center"/>
    </xf>
    <xf numFmtId="0" fontId="122" fillId="0" borderId="211" xfId="0" applyFont="1" applyFill="1" applyBorder="1" applyAlignment="1">
      <alignment horizontal="center" vertical="center"/>
    </xf>
    <xf numFmtId="0" fontId="131" fillId="0" borderId="161" xfId="0" applyFont="1" applyFill="1" applyBorder="1" applyAlignment="1">
      <alignment horizontal="center" vertical="center"/>
    </xf>
    <xf numFmtId="0" fontId="122" fillId="0" borderId="195" xfId="0" applyFont="1" applyBorder="1"/>
    <xf numFmtId="4" fontId="132" fillId="0" borderId="403" xfId="0" applyNumberFormat="1" applyFont="1" applyFill="1" applyBorder="1" applyAlignment="1">
      <alignment horizontal="left" vertical="center" wrapText="1"/>
    </xf>
    <xf numFmtId="4" fontId="132" fillId="0" borderId="404" xfId="0" applyNumberFormat="1" applyFont="1" applyFill="1" applyBorder="1" applyAlignment="1">
      <alignment horizontal="left" vertical="center" wrapText="1"/>
    </xf>
    <xf numFmtId="3" fontId="122" fillId="0" borderId="30" xfId="0" applyNumberFormat="1" applyFont="1" applyFill="1" applyBorder="1" applyAlignment="1">
      <alignment horizontal="center" vertical="center"/>
    </xf>
    <xf numFmtId="3" fontId="122" fillId="0" borderId="352" xfId="0" applyNumberFormat="1" applyFont="1" applyFill="1" applyBorder="1" applyAlignment="1">
      <alignment horizontal="center" vertical="center"/>
    </xf>
    <xf numFmtId="0" fontId="122" fillId="0" borderId="451" xfId="0" applyFont="1" applyBorder="1" applyAlignment="1">
      <alignment horizontal="center"/>
    </xf>
    <xf numFmtId="0" fontId="122" fillId="0" borderId="364" xfId="0" applyFont="1" applyBorder="1" applyAlignment="1">
      <alignment horizontal="center"/>
    </xf>
    <xf numFmtId="4" fontId="132" fillId="0" borderId="23" xfId="0" applyNumberFormat="1" applyFont="1" applyFill="1" applyBorder="1" applyAlignment="1"/>
    <xf numFmtId="0" fontId="122" fillId="0" borderId="324" xfId="0" applyFont="1" applyFill="1" applyBorder="1" applyAlignment="1">
      <alignment horizontal="center" vertical="center"/>
    </xf>
    <xf numFmtId="0" fontId="122" fillId="0" borderId="452" xfId="0" applyFont="1" applyBorder="1"/>
    <xf numFmtId="10" fontId="137" fillId="0" borderId="22" xfId="0" applyNumberFormat="1" applyFont="1" applyBorder="1" applyAlignment="1">
      <alignment horizontal="center"/>
    </xf>
    <xf numFmtId="10" fontId="137" fillId="0" borderId="199" xfId="0" applyNumberFormat="1" applyFont="1" applyBorder="1" applyAlignment="1">
      <alignment horizontal="center"/>
    </xf>
    <xf numFmtId="10" fontId="137" fillId="0" borderId="308" xfId="0" applyNumberFormat="1" applyFont="1" applyBorder="1" applyAlignment="1">
      <alignment horizontal="center"/>
    </xf>
    <xf numFmtId="9" fontId="137" fillId="0" borderId="54" xfId="0" applyNumberFormat="1" applyFont="1" applyBorder="1" applyAlignment="1">
      <alignment horizontal="center"/>
    </xf>
    <xf numFmtId="10" fontId="103" fillId="64" borderId="205" xfId="0" applyNumberFormat="1" applyFont="1" applyFill="1" applyBorder="1" applyAlignment="1">
      <alignment horizontal="center"/>
    </xf>
    <xf numFmtId="10" fontId="103" fillId="0" borderId="205" xfId="0" applyNumberFormat="1" applyFont="1" applyBorder="1" applyAlignment="1">
      <alignment horizontal="center"/>
    </xf>
    <xf numFmtId="10" fontId="137" fillId="0" borderId="23" xfId="0" applyNumberFormat="1" applyFont="1" applyBorder="1" applyAlignment="1">
      <alignment horizontal="center"/>
    </xf>
    <xf numFmtId="4" fontId="137" fillId="0" borderId="209" xfId="0" applyNumberFormat="1" applyFont="1" applyBorder="1" applyAlignment="1">
      <alignment horizontal="center"/>
    </xf>
    <xf numFmtId="4" fontId="123" fillId="0" borderId="86" xfId="0" applyNumberFormat="1" applyFont="1" applyFill="1" applyBorder="1" applyAlignment="1">
      <alignment vertical="center"/>
    </xf>
    <xf numFmtId="4" fontId="131" fillId="0" borderId="161" xfId="0" applyNumberFormat="1" applyFont="1" applyFill="1" applyBorder="1" applyAlignment="1">
      <alignment vertical="center"/>
    </xf>
    <xf numFmtId="4" fontId="122" fillId="0" borderId="196" xfId="0" applyNumberFormat="1" applyFont="1" applyFill="1" applyBorder="1" applyAlignment="1">
      <alignment vertical="center"/>
    </xf>
    <xf numFmtId="4" fontId="122" fillId="0" borderId="87" xfId="0" applyNumberFormat="1" applyFont="1" applyFill="1" applyBorder="1" applyAlignment="1">
      <alignment vertical="center"/>
    </xf>
    <xf numFmtId="3" fontId="122" fillId="0" borderId="187" xfId="0" applyNumberFormat="1" applyFont="1" applyFill="1" applyBorder="1" applyAlignment="1">
      <alignment horizontal="center"/>
    </xf>
    <xf numFmtId="4" fontId="122" fillId="0" borderId="313" xfId="0" applyNumberFormat="1" applyFont="1" applyFill="1" applyBorder="1" applyAlignment="1">
      <alignment vertical="center"/>
    </xf>
    <xf numFmtId="4" fontId="122" fillId="0" borderId="285" xfId="0" applyNumberFormat="1" applyFont="1" applyFill="1" applyBorder="1" applyAlignment="1">
      <alignment vertical="center"/>
    </xf>
    <xf numFmtId="4" fontId="131" fillId="0" borderId="17" xfId="0" applyNumberFormat="1" applyFont="1" applyFill="1" applyBorder="1" applyAlignment="1">
      <alignment vertical="center"/>
    </xf>
    <xf numFmtId="4" fontId="122" fillId="0" borderId="330" xfId="0" applyNumberFormat="1" applyFont="1" applyFill="1" applyBorder="1" applyAlignment="1">
      <alignment vertical="center"/>
    </xf>
    <xf numFmtId="2" fontId="122" fillId="0" borderId="313" xfId="0" applyNumberFormat="1" applyFont="1" applyFill="1" applyBorder="1" applyAlignment="1">
      <alignment vertical="center"/>
    </xf>
    <xf numFmtId="3" fontId="123" fillId="0" borderId="196" xfId="0" applyNumberFormat="1" applyFont="1" applyFill="1" applyBorder="1" applyAlignment="1">
      <alignment vertical="center"/>
    </xf>
    <xf numFmtId="4" fontId="123" fillId="0" borderId="196" xfId="0" applyNumberFormat="1" applyFont="1" applyFill="1" applyBorder="1" applyAlignment="1">
      <alignment vertical="center"/>
    </xf>
    <xf numFmtId="4" fontId="131" fillId="0" borderId="196" xfId="0" applyNumberFormat="1" applyFont="1" applyFill="1" applyBorder="1" applyAlignment="1">
      <alignment vertical="center"/>
    </xf>
    <xf numFmtId="4" fontId="123" fillId="0" borderId="287" xfId="0" applyNumberFormat="1" applyFont="1" applyFill="1" applyBorder="1" applyAlignment="1">
      <alignment vertical="center"/>
    </xf>
    <xf numFmtId="4" fontId="122" fillId="60" borderId="70" xfId="0" applyNumberFormat="1" applyFont="1" applyFill="1" applyBorder="1" applyAlignment="1">
      <alignment vertical="center"/>
    </xf>
    <xf numFmtId="43" fontId="132" fillId="64" borderId="290" xfId="15794" applyFont="1" applyFill="1" applyBorder="1" applyAlignment="1">
      <alignment vertical="center"/>
    </xf>
    <xf numFmtId="4" fontId="122" fillId="60" borderId="196" xfId="0" applyNumberFormat="1" applyFont="1" applyFill="1" applyBorder="1" applyAlignment="1">
      <alignment vertical="center"/>
    </xf>
    <xf numFmtId="4" fontId="122" fillId="59" borderId="196" xfId="0" applyNumberFormat="1" applyFont="1" applyFill="1" applyBorder="1"/>
    <xf numFmtId="4" fontId="123" fillId="0" borderId="193" xfId="0" applyNumberFormat="1" applyFont="1" applyFill="1" applyBorder="1" applyAlignment="1">
      <alignment vertical="center"/>
    </xf>
    <xf numFmtId="4" fontId="131" fillId="62" borderId="23" xfId="0" applyNumberFormat="1" applyFont="1" applyFill="1" applyBorder="1"/>
    <xf numFmtId="4" fontId="122" fillId="59" borderId="166" xfId="0" applyNumberFormat="1" applyFont="1" applyFill="1" applyBorder="1" applyAlignment="1">
      <alignment vertical="center"/>
    </xf>
    <xf numFmtId="4" fontId="131" fillId="62" borderId="196" xfId="0" applyNumberFormat="1" applyFont="1" applyFill="1" applyBorder="1"/>
    <xf numFmtId="4" fontId="131" fillId="59" borderId="177" xfId="0" applyNumberFormat="1" applyFont="1" applyFill="1" applyBorder="1"/>
    <xf numFmtId="4" fontId="131" fillId="59" borderId="224" xfId="0" applyNumberFormat="1" applyFont="1" applyFill="1" applyBorder="1"/>
    <xf numFmtId="4" fontId="131" fillId="60" borderId="196" xfId="0" applyNumberFormat="1" applyFont="1" applyFill="1" applyBorder="1"/>
    <xf numFmtId="4" fontId="131" fillId="60" borderId="207" xfId="0" applyNumberFormat="1" applyFont="1" applyFill="1" applyBorder="1"/>
    <xf numFmtId="4" fontId="131" fillId="60" borderId="17" xfId="0" applyNumberFormat="1" applyFont="1" applyFill="1" applyBorder="1"/>
    <xf numFmtId="4" fontId="131" fillId="60" borderId="86" xfId="0" applyNumberFormat="1" applyFont="1" applyFill="1" applyBorder="1"/>
    <xf numFmtId="4" fontId="131" fillId="61" borderId="177" xfId="0" applyNumberFormat="1" applyFont="1" applyFill="1" applyBorder="1"/>
    <xf numFmtId="4" fontId="131" fillId="61" borderId="196" xfId="0" applyNumberFormat="1" applyFont="1" applyFill="1" applyBorder="1"/>
    <xf numFmtId="4" fontId="131" fillId="61" borderId="86" xfId="0" applyNumberFormat="1" applyFont="1" applyFill="1" applyBorder="1"/>
    <xf numFmtId="4" fontId="131" fillId="60" borderId="65" xfId="0" applyNumberFormat="1" applyFont="1" applyFill="1" applyBorder="1"/>
    <xf numFmtId="4" fontId="131" fillId="61" borderId="152" xfId="0" applyNumberFormat="1" applyFont="1" applyFill="1" applyBorder="1"/>
    <xf numFmtId="4" fontId="122" fillId="61" borderId="453" xfId="0" applyNumberFormat="1" applyFont="1" applyFill="1" applyBorder="1"/>
    <xf numFmtId="4" fontId="123" fillId="35" borderId="454" xfId="1" applyNumberFormat="1" applyFont="1" applyFill="1" applyBorder="1" applyAlignment="1"/>
    <xf numFmtId="4" fontId="123" fillId="35" borderId="423" xfId="1" applyNumberFormat="1" applyFont="1" applyFill="1" applyBorder="1" applyAlignment="1"/>
    <xf numFmtId="4" fontId="123" fillId="0" borderId="188" xfId="0" applyNumberFormat="1" applyFont="1" applyFill="1" applyBorder="1" applyAlignment="1">
      <alignment vertical="center"/>
    </xf>
    <xf numFmtId="4" fontId="123" fillId="0" borderId="285" xfId="0" applyNumberFormat="1" applyFont="1" applyFill="1" applyBorder="1" applyAlignment="1">
      <alignment vertical="center"/>
    </xf>
    <xf numFmtId="4" fontId="122" fillId="0" borderId="207" xfId="0" applyNumberFormat="1" applyFont="1" applyFill="1" applyBorder="1" applyAlignment="1">
      <alignment vertical="center"/>
    </xf>
    <xf numFmtId="4" fontId="122" fillId="0" borderId="432" xfId="0" applyNumberFormat="1" applyFont="1" applyBorder="1"/>
    <xf numFmtId="9" fontId="103" fillId="0" borderId="22" xfId="0" applyNumberFormat="1" applyFont="1" applyBorder="1" applyAlignment="1">
      <alignment horizontal="center"/>
    </xf>
    <xf numFmtId="4" fontId="122" fillId="0" borderId="421" xfId="0" applyNumberFormat="1" applyFont="1" applyBorder="1" applyAlignment="1">
      <alignment vertical="center"/>
    </xf>
    <xf numFmtId="4" fontId="122" fillId="0" borderId="455" xfId="0" applyNumberFormat="1" applyFont="1" applyBorder="1"/>
    <xf numFmtId="4" fontId="127" fillId="64" borderId="0" xfId="0" applyNumberFormat="1" applyFont="1" applyFill="1" applyBorder="1"/>
    <xf numFmtId="0" fontId="125" fillId="0" borderId="0" xfId="0" applyFont="1" applyAlignment="1">
      <alignment horizontal="center" vertical="top" wrapText="1"/>
    </xf>
    <xf numFmtId="2" fontId="146" fillId="85" borderId="324" xfId="0" applyNumberFormat="1" applyFont="1" applyFill="1" applyBorder="1" applyAlignment="1">
      <alignment horizontal="center" vertical="center" wrapText="1"/>
    </xf>
    <xf numFmtId="2" fontId="146" fillId="85" borderId="230" xfId="0" applyNumberFormat="1" applyFont="1" applyFill="1" applyBorder="1" applyAlignment="1">
      <alignment horizontal="center" vertical="center" wrapText="1"/>
    </xf>
    <xf numFmtId="2" fontId="51" fillId="85" borderId="324" xfId="0" applyNumberFormat="1" applyFont="1" applyFill="1" applyBorder="1" applyAlignment="1">
      <alignment horizontal="center" vertical="center" wrapText="1"/>
    </xf>
    <xf numFmtId="2" fontId="146" fillId="85" borderId="54" xfId="0" applyNumberFormat="1" applyFont="1" applyFill="1" applyBorder="1" applyAlignment="1">
      <alignment horizontal="center" vertical="center"/>
    </xf>
    <xf numFmtId="2" fontId="51" fillId="85" borderId="324" xfId="0" applyNumberFormat="1" applyFont="1" applyFill="1" applyBorder="1" applyAlignment="1">
      <alignment horizontal="center" vertical="center"/>
    </xf>
    <xf numFmtId="2" fontId="51" fillId="85" borderId="316" xfId="0" applyNumberFormat="1" applyFont="1" applyFill="1" applyBorder="1" applyAlignment="1">
      <alignment horizontal="center" vertical="center"/>
    </xf>
    <xf numFmtId="2" fontId="51" fillId="85" borderId="315" xfId="0" applyNumberFormat="1" applyFont="1" applyFill="1" applyBorder="1" applyAlignment="1">
      <alignment horizontal="center" vertical="center"/>
    </xf>
    <xf numFmtId="2" fontId="51" fillId="85" borderId="322" xfId="0" applyNumberFormat="1" applyFont="1" applyFill="1" applyBorder="1" applyAlignment="1">
      <alignment horizontal="center" vertical="center"/>
    </xf>
    <xf numFmtId="4" fontId="122" fillId="85" borderId="17" xfId="0" applyNumberFormat="1" applyFont="1" applyFill="1" applyBorder="1"/>
    <xf numFmtId="4" fontId="131" fillId="85" borderId="17" xfId="0" applyNumberFormat="1" applyFont="1" applyFill="1" applyBorder="1"/>
    <xf numFmtId="4" fontId="131" fillId="85" borderId="151" xfId="0" applyNumberFormat="1" applyFont="1" applyFill="1" applyBorder="1"/>
    <xf numFmtId="4" fontId="131" fillId="85" borderId="66" xfId="0" applyNumberFormat="1" applyFont="1" applyFill="1" applyBorder="1"/>
    <xf numFmtId="4" fontId="131" fillId="85" borderId="160" xfId="0" applyNumberFormat="1" applyFont="1" applyFill="1" applyBorder="1"/>
    <xf numFmtId="4" fontId="122" fillId="85" borderId="22" xfId="0" applyNumberFormat="1" applyFont="1" applyFill="1" applyBorder="1"/>
    <xf numFmtId="4" fontId="131" fillId="85" borderId="65" xfId="0" applyNumberFormat="1" applyFont="1" applyFill="1" applyBorder="1"/>
    <xf numFmtId="4" fontId="122" fillId="85" borderId="152" xfId="0" applyNumberFormat="1" applyFont="1" applyFill="1" applyBorder="1"/>
    <xf numFmtId="4" fontId="131" fillId="85" borderId="152" xfId="0" applyNumberFormat="1" applyFont="1" applyFill="1" applyBorder="1"/>
    <xf numFmtId="4" fontId="127" fillId="85" borderId="17" xfId="0" applyNumberFormat="1" applyFont="1" applyFill="1" applyBorder="1"/>
    <xf numFmtId="4" fontId="131" fillId="85" borderId="175" xfId="0" applyNumberFormat="1" applyFont="1" applyFill="1" applyBorder="1"/>
    <xf numFmtId="4" fontId="122" fillId="85" borderId="177" xfId="0" applyNumberFormat="1" applyFont="1" applyFill="1" applyBorder="1"/>
    <xf numFmtId="4" fontId="131" fillId="85" borderId="177" xfId="0" applyNumberFormat="1" applyFont="1" applyFill="1" applyBorder="1"/>
    <xf numFmtId="4" fontId="127" fillId="85" borderId="155" xfId="0" applyNumberFormat="1" applyFont="1" applyFill="1" applyBorder="1"/>
    <xf numFmtId="4" fontId="131" fillId="85" borderId="176" xfId="0" applyNumberFormat="1" applyFont="1" applyFill="1" applyBorder="1"/>
    <xf numFmtId="4" fontId="131" fillId="85" borderId="286" xfId="0" applyNumberFormat="1" applyFont="1" applyFill="1" applyBorder="1"/>
    <xf numFmtId="4" fontId="122" fillId="85" borderId="224" xfId="0" applyNumberFormat="1" applyFont="1" applyFill="1" applyBorder="1"/>
    <xf numFmtId="4" fontId="131" fillId="85" borderId="224" xfId="0" applyNumberFormat="1" applyFont="1" applyFill="1" applyBorder="1"/>
    <xf numFmtId="4" fontId="131" fillId="85" borderId="69" xfId="0" applyNumberFormat="1" applyFont="1" applyFill="1" applyBorder="1"/>
    <xf numFmtId="4" fontId="131" fillId="85" borderId="20" xfId="0" applyNumberFormat="1" applyFont="1" applyFill="1" applyBorder="1"/>
    <xf numFmtId="4" fontId="131" fillId="85" borderId="70" xfId="0" applyNumberFormat="1" applyFont="1" applyFill="1" applyBorder="1"/>
    <xf numFmtId="4" fontId="131" fillId="85" borderId="0" xfId="0" applyNumberFormat="1" applyFont="1" applyFill="1" applyBorder="1"/>
    <xf numFmtId="4" fontId="131" fillId="85" borderId="86" xfId="0" applyNumberFormat="1" applyFont="1" applyFill="1" applyBorder="1"/>
    <xf numFmtId="4" fontId="131" fillId="85" borderId="196" xfId="0" applyNumberFormat="1" applyFont="1" applyFill="1" applyBorder="1"/>
    <xf numFmtId="4" fontId="131" fillId="85" borderId="211" xfId="0" applyNumberFormat="1" applyFont="1" applyFill="1" applyBorder="1"/>
    <xf numFmtId="4" fontId="122" fillId="85" borderId="316" xfId="0" applyNumberFormat="1" applyFont="1" applyFill="1" applyBorder="1" applyAlignment="1"/>
    <xf numFmtId="4" fontId="122" fillId="85" borderId="287" xfId="0" applyNumberFormat="1" applyFont="1" applyFill="1" applyBorder="1" applyAlignment="1"/>
    <xf numFmtId="4" fontId="131" fillId="85" borderId="316" xfId="0" applyNumberFormat="1" applyFont="1" applyFill="1" applyBorder="1" applyAlignment="1"/>
    <xf numFmtId="4" fontId="131" fillId="85" borderId="319" xfId="0" applyNumberFormat="1" applyFont="1" applyFill="1" applyBorder="1" applyAlignment="1">
      <alignment horizontal="right"/>
    </xf>
    <xf numFmtId="4" fontId="122" fillId="85" borderId="343" xfId="0" applyNumberFormat="1" applyFont="1" applyFill="1" applyBorder="1" applyAlignment="1">
      <alignment horizontal="right"/>
    </xf>
    <xf numFmtId="4" fontId="122" fillId="85" borderId="292" xfId="0" applyNumberFormat="1" applyFont="1" applyFill="1" applyBorder="1" applyAlignment="1">
      <alignment vertical="center"/>
    </xf>
    <xf numFmtId="4" fontId="122" fillId="85" borderId="224" xfId="0" applyNumberFormat="1" applyFont="1" applyFill="1" applyBorder="1" applyAlignment="1">
      <alignment vertical="center"/>
    </xf>
    <xf numFmtId="4" fontId="122" fillId="85" borderId="23" xfId="0" applyNumberFormat="1" applyFont="1" applyFill="1" applyBorder="1" applyAlignment="1">
      <alignment vertical="center"/>
    </xf>
    <xf numFmtId="4" fontId="122" fillId="85" borderId="22" xfId="0" applyNumberFormat="1" applyFont="1" applyFill="1" applyBorder="1" applyAlignment="1">
      <alignment vertical="center"/>
    </xf>
    <xf numFmtId="4" fontId="122" fillId="85" borderId="191" xfId="0" applyNumberFormat="1" applyFont="1" applyFill="1" applyBorder="1" applyAlignment="1">
      <alignment vertical="center"/>
    </xf>
    <xf numFmtId="4" fontId="122" fillId="85" borderId="86" xfId="0" applyNumberFormat="1" applyFont="1" applyFill="1" applyBorder="1" applyAlignment="1">
      <alignment vertical="center"/>
    </xf>
    <xf numFmtId="4" fontId="132" fillId="85" borderId="384" xfId="0" applyNumberFormat="1" applyFont="1" applyFill="1" applyBorder="1"/>
    <xf numFmtId="4" fontId="123" fillId="85" borderId="383" xfId="0" applyNumberFormat="1" applyFont="1" applyFill="1" applyBorder="1"/>
    <xf numFmtId="4" fontId="123" fillId="85" borderId="379" xfId="0" applyNumberFormat="1" applyFont="1" applyFill="1" applyBorder="1"/>
    <xf numFmtId="4" fontId="123" fillId="85" borderId="385" xfId="0" applyNumberFormat="1" applyFont="1" applyFill="1" applyBorder="1"/>
    <xf numFmtId="4" fontId="132" fillId="85" borderId="386" xfId="0" applyNumberFormat="1" applyFont="1" applyFill="1" applyBorder="1"/>
    <xf numFmtId="4" fontId="122" fillId="85" borderId="23" xfId="0" applyNumberFormat="1" applyFont="1" applyFill="1" applyBorder="1" applyAlignment="1"/>
    <xf numFmtId="4" fontId="122" fillId="85" borderId="212" xfId="0" applyNumberFormat="1" applyFont="1" applyFill="1" applyBorder="1" applyAlignment="1"/>
    <xf numFmtId="4" fontId="122" fillId="85" borderId="19" xfId="0" applyNumberFormat="1" applyFont="1" applyFill="1" applyBorder="1" applyAlignment="1"/>
    <xf numFmtId="4" fontId="122" fillId="85" borderId="152" xfId="0" applyNumberFormat="1" applyFont="1" applyFill="1" applyBorder="1" applyAlignment="1"/>
    <xf numFmtId="4" fontId="122" fillId="85" borderId="191" xfId="0" applyNumberFormat="1" applyFont="1" applyFill="1" applyBorder="1" applyAlignment="1"/>
    <xf numFmtId="4" fontId="122" fillId="85" borderId="196" xfId="0" applyNumberFormat="1" applyFont="1" applyFill="1" applyBorder="1" applyAlignment="1"/>
    <xf numFmtId="4" fontId="122" fillId="0" borderId="298" xfId="0" applyNumberFormat="1" applyFont="1" applyBorder="1"/>
    <xf numFmtId="4" fontId="123" fillId="64" borderId="22" xfId="1" applyNumberFormat="1" applyFont="1" applyFill="1" applyBorder="1" applyAlignment="1"/>
    <xf numFmtId="4" fontId="123" fillId="35" borderId="456" xfId="1" applyNumberFormat="1" applyFont="1" applyFill="1" applyBorder="1" applyAlignment="1"/>
    <xf numFmtId="4" fontId="125" fillId="0" borderId="0" xfId="0" applyNumberFormat="1" applyFont="1" applyAlignment="1">
      <alignment horizontal="center" vertical="top" wrapText="1"/>
    </xf>
    <xf numFmtId="4" fontId="122" fillId="0" borderId="308" xfId="0" applyNumberFormat="1" applyFont="1" applyFill="1" applyBorder="1" applyAlignment="1">
      <alignment horizontal="right" vertical="center"/>
    </xf>
    <xf numFmtId="4" fontId="122" fillId="61" borderId="166" xfId="0" applyNumberFormat="1" applyFont="1" applyFill="1" applyBorder="1"/>
    <xf numFmtId="4" fontId="122" fillId="61" borderId="334" xfId="0" applyNumberFormat="1" applyFont="1" applyFill="1" applyBorder="1"/>
    <xf numFmtId="4" fontId="123" fillId="0" borderId="0" xfId="0" applyNumberFormat="1" applyFont="1" applyBorder="1"/>
    <xf numFmtId="4" fontId="122" fillId="61" borderId="166" xfId="0" applyNumberFormat="1" applyFont="1" applyFill="1" applyBorder="1" applyAlignment="1">
      <alignment horizontal="right" vertical="center"/>
    </xf>
    <xf numFmtId="4" fontId="122" fillId="61" borderId="290" xfId="0" applyNumberFormat="1" applyFont="1" applyFill="1" applyBorder="1" applyAlignment="1"/>
    <xf numFmtId="4" fontId="103" fillId="61" borderId="336" xfId="0" applyNumberFormat="1" applyFont="1" applyFill="1" applyBorder="1" applyAlignment="1"/>
    <xf numFmtId="0" fontId="122" fillId="61" borderId="160" xfId="0" applyFont="1" applyFill="1" applyBorder="1" applyAlignment="1">
      <alignment horizontal="center" vertical="center"/>
    </xf>
    <xf numFmtId="0" fontId="122" fillId="61" borderId="151" xfId="0" applyFont="1" applyFill="1" applyBorder="1" applyAlignment="1">
      <alignment horizontal="center" vertical="center"/>
    </xf>
    <xf numFmtId="4" fontId="122" fillId="61" borderId="160" xfId="0" applyNumberFormat="1" applyFont="1" applyFill="1" applyBorder="1" applyAlignment="1"/>
    <xf numFmtId="4" fontId="122" fillId="61" borderId="151" xfId="0" applyNumberFormat="1" applyFont="1" applyFill="1" applyBorder="1" applyAlignment="1"/>
    <xf numFmtId="4" fontId="122" fillId="61" borderId="161" xfId="0" applyNumberFormat="1" applyFont="1" applyFill="1" applyBorder="1" applyAlignment="1"/>
    <xf numFmtId="2" fontId="146" fillId="61" borderId="230" xfId="0" applyNumberFormat="1" applyFont="1" applyFill="1" applyBorder="1" applyAlignment="1">
      <alignment horizontal="center" vertical="center" wrapText="1"/>
    </xf>
    <xf numFmtId="4" fontId="122" fillId="0" borderId="457" xfId="0" applyNumberFormat="1" applyFont="1" applyBorder="1"/>
    <xf numFmtId="4" fontId="122" fillId="59" borderId="229" xfId="0" applyNumberFormat="1" applyFont="1" applyFill="1" applyBorder="1" applyAlignment="1">
      <alignment vertical="center"/>
    </xf>
    <xf numFmtId="41" fontId="132" fillId="64" borderId="294" xfId="15794" applyNumberFormat="1" applyFont="1" applyFill="1" applyBorder="1" applyAlignment="1">
      <alignment vertical="center"/>
    </xf>
    <xf numFmtId="172" fontId="123" fillId="35" borderId="166" xfId="15794" applyNumberFormat="1" applyFont="1" applyFill="1" applyBorder="1" applyAlignment="1">
      <alignment horizontal="right"/>
    </xf>
    <xf numFmtId="3" fontId="122" fillId="0" borderId="224" xfId="0" applyNumberFormat="1" applyFont="1" applyBorder="1" applyAlignment="1">
      <alignment horizontal="right"/>
    </xf>
    <xf numFmtId="4" fontId="122" fillId="0" borderId="224" xfId="0" applyNumberFormat="1" applyFont="1" applyBorder="1" applyAlignment="1">
      <alignment horizontal="right"/>
    </xf>
    <xf numFmtId="43" fontId="132" fillId="64" borderId="294" xfId="15794" applyFont="1" applyFill="1" applyBorder="1" applyAlignment="1">
      <alignment horizontal="right" vertical="center"/>
    </xf>
    <xf numFmtId="171" fontId="132" fillId="64" borderId="294" xfId="15794" applyNumberFormat="1" applyFont="1" applyFill="1" applyBorder="1" applyAlignment="1">
      <alignment vertical="center"/>
    </xf>
    <xf numFmtId="43" fontId="132" fillId="64" borderId="293" xfId="15794" applyFont="1" applyFill="1" applyBorder="1" applyAlignment="1">
      <alignment horizontal="right" vertical="center"/>
    </xf>
    <xf numFmtId="0" fontId="125" fillId="0" borderId="0" xfId="0" applyFont="1" applyFill="1" applyAlignment="1">
      <alignment horizontal="center" vertical="top" wrapText="1"/>
    </xf>
    <xf numFmtId="0" fontId="0" fillId="0" borderId="0" xfId="0" applyFill="1"/>
    <xf numFmtId="0" fontId="49" fillId="0" borderId="0" xfId="0" applyFont="1" applyFill="1" applyAlignment="1">
      <alignment horizontal="center"/>
    </xf>
    <xf numFmtId="0" fontId="49" fillId="0" borderId="0" xfId="0" applyFont="1" applyFill="1" applyBorder="1" applyAlignment="1">
      <alignment horizontal="center"/>
    </xf>
    <xf numFmtId="0" fontId="125" fillId="0" borderId="0" xfId="0" applyFont="1" applyFill="1" applyAlignment="1">
      <alignment vertical="center" wrapText="1"/>
    </xf>
    <xf numFmtId="0" fontId="27" fillId="0" borderId="0" xfId="0" applyFont="1" applyFill="1" applyBorder="1" applyAlignment="1"/>
    <xf numFmtId="0" fontId="47" fillId="0" borderId="0" xfId="0" applyFont="1" applyFill="1" applyBorder="1"/>
    <xf numFmtId="0" fontId="0" fillId="0" borderId="0" xfId="0" applyFill="1" applyBorder="1" applyAlignment="1"/>
    <xf numFmtId="0" fontId="21" fillId="0" borderId="0" xfId="0" applyFont="1" applyFill="1" applyBorder="1" applyAlignment="1"/>
    <xf numFmtId="43" fontId="0" fillId="0" borderId="0" xfId="15794" applyFont="1" applyFill="1" applyBorder="1" applyAlignment="1"/>
    <xf numFmtId="43" fontId="46" fillId="0" borderId="0" xfId="15794" applyFont="1" applyFill="1" applyBorder="1"/>
    <xf numFmtId="43" fontId="46" fillId="0" borderId="0" xfId="15794" applyFont="1" applyFill="1"/>
    <xf numFmtId="43" fontId="47" fillId="0" borderId="0" xfId="15794" applyFont="1" applyFill="1" applyAlignment="1">
      <alignment vertical="center"/>
    </xf>
    <xf numFmtId="0" fontId="67" fillId="0" borderId="0" xfId="0" applyFont="1" applyFill="1" applyBorder="1"/>
    <xf numFmtId="0" fontId="67" fillId="0" borderId="0" xfId="0" applyFont="1" applyFill="1"/>
    <xf numFmtId="4" fontId="67" fillId="0" borderId="0" xfId="0" applyNumberFormat="1" applyFont="1" applyFill="1" applyBorder="1"/>
    <xf numFmtId="4" fontId="67" fillId="0" borderId="0" xfId="0" applyNumberFormat="1" applyFont="1" applyFill="1"/>
    <xf numFmtId="0" fontId="123" fillId="0" borderId="193" xfId="0" applyFont="1" applyFill="1" applyBorder="1" applyAlignment="1">
      <alignment horizontal="center"/>
    </xf>
    <xf numFmtId="0" fontId="132" fillId="0" borderId="390" xfId="0" applyFont="1" applyFill="1" applyBorder="1" applyAlignment="1">
      <alignment vertical="center"/>
    </xf>
    <xf numFmtId="3" fontId="123" fillId="0" borderId="406" xfId="0" applyNumberFormat="1" applyFont="1" applyFill="1" applyBorder="1" applyAlignment="1">
      <alignment horizontal="right"/>
    </xf>
    <xf numFmtId="3" fontId="123" fillId="0" borderId="166" xfId="0" applyNumberFormat="1" applyFont="1" applyFill="1" applyBorder="1" applyAlignment="1"/>
    <xf numFmtId="2" fontId="123" fillId="0" borderId="290" xfId="0" applyNumberFormat="1" applyFont="1" applyFill="1" applyBorder="1" applyAlignment="1"/>
    <xf numFmtId="3" fontId="123" fillId="0" borderId="290" xfId="0" applyNumberFormat="1" applyFont="1" applyFill="1" applyBorder="1" applyAlignment="1"/>
    <xf numFmtId="4" fontId="123" fillId="0" borderId="294" xfId="0" applyNumberFormat="1" applyFont="1" applyFill="1" applyBorder="1" applyAlignment="1"/>
    <xf numFmtId="4" fontId="123" fillId="0" borderId="290" xfId="0" applyNumberFormat="1" applyFont="1" applyFill="1" applyBorder="1" applyAlignment="1"/>
    <xf numFmtId="0" fontId="47" fillId="0" borderId="290" xfId="0" applyFont="1" applyFill="1" applyBorder="1"/>
    <xf numFmtId="4" fontId="123" fillId="0" borderId="319" xfId="0" applyNumberFormat="1" applyFont="1" applyFill="1" applyBorder="1" applyAlignment="1"/>
    <xf numFmtId="4" fontId="123" fillId="0" borderId="313" xfId="0" applyNumberFormat="1" applyFont="1" applyFill="1" applyBorder="1" applyAlignment="1"/>
    <xf numFmtId="4" fontId="123" fillId="0" borderId="285" xfId="0" applyNumberFormat="1" applyFont="1" applyFill="1" applyBorder="1" applyAlignment="1"/>
    <xf numFmtId="4" fontId="123" fillId="0" borderId="290" xfId="0" applyNumberFormat="1" applyFont="1" applyFill="1" applyBorder="1"/>
    <xf numFmtId="4" fontId="123" fillId="0" borderId="285" xfId="0" applyNumberFormat="1" applyFont="1" applyFill="1" applyBorder="1"/>
    <xf numFmtId="4" fontId="123" fillId="0" borderId="287" xfId="0" applyNumberFormat="1" applyFont="1" applyFill="1" applyBorder="1"/>
    <xf numFmtId="4" fontId="123" fillId="0" borderId="382" xfId="0" applyNumberFormat="1" applyFont="1" applyFill="1" applyBorder="1"/>
    <xf numFmtId="4" fontId="123" fillId="0" borderId="0" xfId="0" applyNumberFormat="1" applyFont="1" applyFill="1" applyBorder="1"/>
    <xf numFmtId="3" fontId="123" fillId="0" borderId="0" xfId="0" applyNumberFormat="1" applyFont="1" applyFill="1" applyBorder="1" applyAlignment="1">
      <alignment horizontal="center"/>
    </xf>
    <xf numFmtId="4" fontId="123" fillId="0" borderId="229" xfId="0" applyNumberFormat="1" applyFont="1" applyFill="1" applyBorder="1"/>
    <xf numFmtId="4" fontId="123" fillId="0" borderId="317" xfId="0" applyNumberFormat="1" applyFont="1" applyFill="1" applyBorder="1"/>
    <xf numFmtId="4" fontId="123" fillId="0" borderId="294" xfId="0" applyNumberFormat="1" applyFont="1" applyFill="1" applyBorder="1"/>
    <xf numFmtId="4" fontId="123" fillId="0" borderId="166" xfId="0" applyNumberFormat="1" applyFont="1" applyFill="1" applyBorder="1"/>
    <xf numFmtId="4" fontId="123" fillId="0" borderId="336" xfId="0" applyNumberFormat="1" applyFont="1" applyFill="1" applyBorder="1"/>
    <xf numFmtId="4" fontId="123" fillId="0" borderId="293" xfId="0" applyNumberFormat="1" applyFont="1" applyFill="1" applyBorder="1"/>
    <xf numFmtId="4" fontId="123" fillId="60" borderId="17" xfId="0" applyNumberFormat="1" applyFont="1" applyFill="1" applyBorder="1"/>
    <xf numFmtId="4" fontId="131" fillId="59" borderId="151" xfId="0" applyNumberFormat="1" applyFont="1" applyFill="1" applyBorder="1"/>
    <xf numFmtId="4" fontId="131" fillId="59" borderId="160" xfId="0" applyNumberFormat="1" applyFont="1" applyFill="1" applyBorder="1"/>
    <xf numFmtId="4" fontId="122" fillId="60" borderId="155" xfId="0" applyNumberFormat="1" applyFont="1" applyFill="1" applyBorder="1"/>
    <xf numFmtId="4" fontId="127" fillId="59" borderId="286" xfId="0" applyNumberFormat="1" applyFont="1" applyFill="1" applyBorder="1"/>
    <xf numFmtId="4" fontId="131" fillId="61" borderId="82" xfId="0" applyNumberFormat="1" applyFont="1" applyFill="1" applyBorder="1"/>
    <xf numFmtId="4" fontId="123" fillId="0" borderId="324" xfId="0" applyNumberFormat="1" applyFont="1" applyFill="1" applyBorder="1" applyAlignment="1">
      <alignment vertical="center"/>
    </xf>
    <xf numFmtId="4" fontId="122" fillId="59" borderId="299" xfId="0" applyNumberFormat="1" applyFont="1" applyFill="1" applyBorder="1"/>
    <xf numFmtId="4" fontId="131" fillId="60" borderId="210" xfId="0" applyNumberFormat="1" applyFont="1" applyFill="1" applyBorder="1"/>
    <xf numFmtId="2" fontId="47" fillId="60" borderId="322" xfId="0" applyNumberFormat="1" applyFont="1" applyFill="1" applyBorder="1" applyAlignment="1">
      <alignment horizontal="center" vertical="center"/>
    </xf>
    <xf numFmtId="0" fontId="49" fillId="64" borderId="324" xfId="0" applyFont="1" applyFill="1" applyBorder="1" applyAlignment="1">
      <alignment horizontal="center"/>
    </xf>
    <xf numFmtId="2" fontId="51" fillId="60" borderId="458" xfId="0" applyNumberFormat="1" applyFont="1" applyFill="1" applyBorder="1" applyAlignment="1">
      <alignment horizontal="center" vertical="center"/>
    </xf>
    <xf numFmtId="4" fontId="21" fillId="0" borderId="0" xfId="0" applyNumberFormat="1" applyFont="1" applyFill="1" applyBorder="1" applyAlignment="1"/>
    <xf numFmtId="3" fontId="122" fillId="0" borderId="206" xfId="0" applyNumberFormat="1" applyFont="1" applyBorder="1" applyAlignment="1">
      <alignment horizontal="right"/>
    </xf>
    <xf numFmtId="4" fontId="122" fillId="64" borderId="22" xfId="1" applyNumberFormat="1" applyFont="1" applyFill="1" applyBorder="1" applyAlignment="1"/>
    <xf numFmtId="4" fontId="137" fillId="0" borderId="308" xfId="0" applyNumberFormat="1" applyFont="1" applyFill="1" applyBorder="1" applyAlignment="1">
      <alignment vertical="center"/>
    </xf>
    <xf numFmtId="4" fontId="123" fillId="0" borderId="166" xfId="1" applyNumberFormat="1" applyFont="1" applyFill="1" applyBorder="1" applyAlignment="1"/>
    <xf numFmtId="41" fontId="132" fillId="64" borderId="294" xfId="15794" applyNumberFormat="1" applyFont="1" applyFill="1" applyBorder="1" applyAlignment="1">
      <alignment horizontal="right" vertical="center"/>
    </xf>
    <xf numFmtId="4" fontId="131" fillId="59" borderId="210" xfId="0" applyNumberFormat="1" applyFont="1" applyFill="1" applyBorder="1"/>
    <xf numFmtId="4" fontId="132" fillId="35" borderId="189" xfId="1" applyNumberFormat="1" applyFont="1" applyFill="1" applyBorder="1" applyAlignment="1"/>
    <xf numFmtId="3" fontId="122" fillId="0" borderId="17" xfId="0" applyNumberFormat="1" applyFont="1" applyFill="1" applyBorder="1"/>
    <xf numFmtId="0" fontId="131" fillId="0" borderId="204" xfId="0" applyFont="1" applyFill="1" applyBorder="1"/>
    <xf numFmtId="4" fontId="131" fillId="0" borderId="17" xfId="0" applyNumberFormat="1" applyFont="1" applyFill="1" applyBorder="1"/>
    <xf numFmtId="4" fontId="122" fillId="29" borderId="299" xfId="0" applyNumberFormat="1" applyFont="1" applyFill="1" applyBorder="1"/>
    <xf numFmtId="3" fontId="122" fillId="0" borderId="151" xfId="0" applyNumberFormat="1" applyFont="1" applyBorder="1" applyAlignment="1">
      <alignment horizontal="center"/>
    </xf>
    <xf numFmtId="2" fontId="122" fillId="59" borderId="222" xfId="0" applyNumberFormat="1" applyFont="1" applyFill="1" applyBorder="1"/>
    <xf numFmtId="2" fontId="122" fillId="59" borderId="17" xfId="0" applyNumberFormat="1" applyFont="1" applyFill="1" applyBorder="1"/>
    <xf numFmtId="2" fontId="122" fillId="59" borderId="20" xfId="0" applyNumberFormat="1" applyFont="1" applyFill="1" applyBorder="1"/>
    <xf numFmtId="4" fontId="122" fillId="59" borderId="371" xfId="0" applyNumberFormat="1" applyFont="1" applyFill="1" applyBorder="1"/>
    <xf numFmtId="4" fontId="122" fillId="59" borderId="308" xfId="0" applyNumberFormat="1" applyFont="1" applyFill="1" applyBorder="1"/>
    <xf numFmtId="0" fontId="122" fillId="0" borderId="200" xfId="0" applyFont="1" applyBorder="1" applyAlignment="1">
      <alignment horizontal="center"/>
    </xf>
    <xf numFmtId="0" fontId="122" fillId="0" borderId="459" xfId="0" applyFont="1" applyBorder="1" applyAlignment="1">
      <alignment horizontal="center"/>
    </xf>
    <xf numFmtId="0" fontId="122" fillId="0" borderId="435" xfId="0" applyFont="1" applyBorder="1" applyAlignment="1">
      <alignment horizontal="center"/>
    </xf>
    <xf numFmtId="3" fontId="131" fillId="64" borderId="334" xfId="0" applyNumberFormat="1" applyFont="1" applyFill="1" applyBorder="1" applyAlignment="1">
      <alignment horizontal="right"/>
    </xf>
    <xf numFmtId="0" fontId="122" fillId="0" borderId="460" xfId="207" applyFont="1" applyFill="1" applyBorder="1" applyAlignment="1"/>
    <xf numFmtId="0" fontId="131" fillId="0" borderId="462" xfId="207" applyFont="1" applyFill="1" applyBorder="1" applyAlignment="1"/>
    <xf numFmtId="0" fontId="131" fillId="0" borderId="463" xfId="207" applyFont="1" applyFill="1" applyBorder="1" applyAlignment="1"/>
    <xf numFmtId="4" fontId="122" fillId="64" borderId="17" xfId="1" applyNumberFormat="1" applyFont="1" applyFill="1" applyBorder="1" applyAlignment="1"/>
    <xf numFmtId="4" fontId="122" fillId="0" borderId="190" xfId="0" applyNumberFormat="1" applyFont="1" applyBorder="1" applyAlignment="1"/>
    <xf numFmtId="0" fontId="122" fillId="0" borderId="333" xfId="0" applyFont="1" applyBorder="1" applyAlignment="1">
      <alignment horizontal="center" vertical="center"/>
    </xf>
    <xf numFmtId="3" fontId="122" fillId="0" borderId="418" xfId="0" applyNumberFormat="1" applyFont="1" applyFill="1" applyBorder="1" applyAlignment="1">
      <alignment horizontal="center"/>
    </xf>
    <xf numFmtId="9" fontId="122" fillId="0" borderId="23" xfId="0" applyNumberFormat="1" applyFont="1" applyFill="1" applyBorder="1" applyAlignment="1">
      <alignment horizontal="center"/>
    </xf>
    <xf numFmtId="4" fontId="145" fillId="0" borderId="0" xfId="0" applyNumberFormat="1" applyFont="1"/>
    <xf numFmtId="2" fontId="122" fillId="59" borderId="208" xfId="0" applyNumberFormat="1" applyFont="1" applyFill="1" applyBorder="1" applyAlignment="1">
      <alignment vertical="center"/>
    </xf>
    <xf numFmtId="2" fontId="122" fillId="59" borderId="152" xfId="0" applyNumberFormat="1" applyFont="1" applyFill="1" applyBorder="1" applyAlignment="1">
      <alignment vertical="center"/>
    </xf>
    <xf numFmtId="4" fontId="122" fillId="59" borderId="66" xfId="0" applyNumberFormat="1" applyFont="1" applyFill="1" applyBorder="1" applyAlignment="1">
      <alignment vertical="center"/>
    </xf>
    <xf numFmtId="4" fontId="131" fillId="62" borderId="336" xfId="0" applyNumberFormat="1" applyFont="1" applyFill="1" applyBorder="1"/>
    <xf numFmtId="4" fontId="131" fillId="59" borderId="211" xfId="0" applyNumberFormat="1" applyFont="1" applyFill="1" applyBorder="1"/>
    <xf numFmtId="4" fontId="131" fillId="59" borderId="292" xfId="0" applyNumberFormat="1" applyFont="1" applyFill="1" applyBorder="1"/>
    <xf numFmtId="0" fontId="122" fillId="0" borderId="201" xfId="0" applyFont="1" applyBorder="1" applyAlignment="1">
      <alignment horizontal="center"/>
    </xf>
    <xf numFmtId="0" fontId="122" fillId="0" borderId="464" xfId="207" applyFont="1" applyFill="1" applyBorder="1" applyAlignment="1"/>
    <xf numFmtId="3" fontId="131" fillId="64" borderId="160" xfId="0" applyNumberFormat="1" applyFont="1" applyFill="1" applyBorder="1" applyAlignment="1">
      <alignment horizontal="right"/>
    </xf>
    <xf numFmtId="3" fontId="122" fillId="0" borderId="22" xfId="0" applyNumberFormat="1" applyFont="1" applyBorder="1" applyAlignment="1">
      <alignment horizontal="right"/>
    </xf>
    <xf numFmtId="3" fontId="122" fillId="0" borderId="22" xfId="0" applyNumberFormat="1" applyFont="1" applyBorder="1" applyAlignment="1">
      <alignment horizontal="center"/>
    </xf>
    <xf numFmtId="4" fontId="122" fillId="0" borderId="22" xfId="0" applyNumberFormat="1" applyFont="1" applyBorder="1" applyAlignment="1">
      <alignment horizontal="center"/>
    </xf>
    <xf numFmtId="4" fontId="122" fillId="0" borderId="349" xfId="0" applyNumberFormat="1" applyFont="1" applyBorder="1"/>
    <xf numFmtId="4" fontId="122" fillId="0" borderId="291" xfId="0" applyNumberFormat="1" applyFont="1" applyFill="1" applyBorder="1"/>
    <xf numFmtId="4" fontId="122" fillId="0" borderId="212" xfId="0" applyNumberFormat="1" applyFont="1" applyFill="1" applyBorder="1"/>
    <xf numFmtId="4" fontId="122" fillId="0" borderId="160" xfId="0" applyNumberFormat="1" applyFont="1" applyFill="1" applyBorder="1" applyAlignment="1">
      <alignment vertical="center"/>
    </xf>
    <xf numFmtId="4" fontId="122" fillId="0" borderId="210" xfId="0" applyNumberFormat="1" applyFont="1" applyFill="1" applyBorder="1" applyAlignment="1">
      <alignment vertical="center"/>
    </xf>
    <xf numFmtId="4" fontId="122" fillId="0" borderId="160" xfId="0" applyNumberFormat="1" applyFont="1" applyFill="1" applyBorder="1"/>
    <xf numFmtId="3" fontId="132" fillId="0" borderId="160" xfId="0" applyNumberFormat="1" applyFont="1" applyFill="1" applyBorder="1" applyAlignment="1">
      <alignment horizontal="center"/>
    </xf>
    <xf numFmtId="3" fontId="133" fillId="0" borderId="427" xfId="0" applyNumberFormat="1" applyFont="1" applyFill="1" applyBorder="1" applyAlignment="1">
      <alignment horizontal="center"/>
    </xf>
    <xf numFmtId="3" fontId="122" fillId="0" borderId="23" xfId="0" applyNumberFormat="1" applyFont="1" applyFill="1" applyBorder="1" applyAlignment="1">
      <alignment horizontal="center"/>
    </xf>
    <xf numFmtId="2" fontId="122" fillId="59" borderId="226" xfId="0" applyNumberFormat="1" applyFont="1" applyFill="1" applyBorder="1"/>
    <xf numFmtId="2" fontId="122" fillId="59" borderId="160" xfId="0" applyNumberFormat="1" applyFont="1" applyFill="1" applyBorder="1"/>
    <xf numFmtId="4" fontId="131" fillId="62" borderId="82" xfId="0" applyNumberFormat="1" applyFont="1" applyFill="1" applyBorder="1"/>
    <xf numFmtId="4" fontId="131" fillId="62" borderId="22" xfId="0" applyNumberFormat="1" applyFont="1" applyFill="1" applyBorder="1"/>
    <xf numFmtId="4" fontId="122" fillId="59" borderId="18" xfId="0" applyNumberFormat="1" applyFont="1" applyFill="1" applyBorder="1"/>
    <xf numFmtId="4" fontId="122" fillId="59" borderId="210" xfId="0" applyNumberFormat="1" applyFont="1" applyFill="1" applyBorder="1"/>
    <xf numFmtId="4" fontId="131" fillId="85" borderId="82" xfId="0" applyNumberFormat="1" applyFont="1" applyFill="1" applyBorder="1"/>
    <xf numFmtId="4" fontId="131" fillId="85" borderId="22" xfId="0" applyNumberFormat="1" applyFont="1" applyFill="1" applyBorder="1"/>
    <xf numFmtId="4" fontId="127" fillId="85" borderId="22" xfId="0" applyNumberFormat="1" applyFont="1" applyFill="1" applyBorder="1"/>
    <xf numFmtId="4" fontId="122" fillId="59" borderId="295" xfId="0" applyNumberFormat="1" applyFont="1" applyFill="1" applyBorder="1"/>
    <xf numFmtId="4" fontId="122" fillId="60" borderId="178" xfId="0" applyNumberFormat="1" applyFont="1" applyFill="1" applyBorder="1"/>
    <xf numFmtId="4" fontId="122" fillId="64" borderId="30" xfId="1" applyNumberFormat="1" applyFont="1" applyFill="1" applyBorder="1" applyAlignment="1"/>
    <xf numFmtId="4" fontId="122" fillId="59" borderId="222" xfId="0" applyNumberFormat="1" applyFont="1" applyFill="1" applyBorder="1"/>
    <xf numFmtId="0" fontId="46" fillId="0" borderId="0" xfId="0" applyFont="1" applyAlignment="1"/>
    <xf numFmtId="4" fontId="122" fillId="59" borderId="206" xfId="0" applyNumberFormat="1" applyFont="1" applyFill="1" applyBorder="1"/>
    <xf numFmtId="4" fontId="122" fillId="59" borderId="224" xfId="0" applyNumberFormat="1" applyFont="1" applyFill="1" applyBorder="1"/>
    <xf numFmtId="0" fontId="122" fillId="0" borderId="69" xfId="0" applyFont="1" applyBorder="1" applyAlignment="1">
      <alignment horizontal="center"/>
    </xf>
    <xf numFmtId="0" fontId="122" fillId="0" borderId="461" xfId="207" applyFont="1" applyFill="1" applyBorder="1" applyAlignment="1"/>
    <xf numFmtId="3" fontId="122" fillId="0" borderId="17" xfId="0" applyNumberFormat="1" applyFont="1" applyBorder="1" applyAlignment="1">
      <alignment horizontal="center"/>
    </xf>
    <xf numFmtId="4" fontId="122" fillId="0" borderId="17" xfId="0" applyNumberFormat="1" applyFont="1" applyBorder="1" applyAlignment="1">
      <alignment horizontal="center"/>
    </xf>
    <xf numFmtId="4" fontId="122" fillId="0" borderId="151" xfId="0" applyNumberFormat="1" applyFont="1" applyFill="1" applyBorder="1"/>
    <xf numFmtId="3" fontId="123" fillId="0" borderId="17" xfId="0" applyNumberFormat="1" applyFont="1" applyFill="1" applyBorder="1" applyAlignment="1">
      <alignment horizontal="center"/>
    </xf>
    <xf numFmtId="3" fontId="123" fillId="0" borderId="424" xfId="0" applyNumberFormat="1" applyFont="1" applyFill="1" applyBorder="1" applyAlignment="1">
      <alignment horizontal="center"/>
    </xf>
    <xf numFmtId="4" fontId="122" fillId="62" borderId="65" xfId="0" applyNumberFormat="1" applyFont="1" applyFill="1" applyBorder="1"/>
    <xf numFmtId="4" fontId="122" fillId="62" borderId="66" xfId="0" applyNumberFormat="1" applyFont="1" applyFill="1" applyBorder="1"/>
    <xf numFmtId="4" fontId="122" fillId="85" borderId="65" xfId="0" applyNumberFormat="1" applyFont="1" applyFill="1" applyBorder="1"/>
    <xf numFmtId="0" fontId="122" fillId="0" borderId="151" xfId="0" applyFont="1" applyBorder="1" applyAlignment="1">
      <alignment horizontal="right"/>
    </xf>
    <xf numFmtId="4" fontId="122" fillId="0" borderId="210" xfId="0" applyNumberFormat="1" applyFont="1" applyBorder="1" applyAlignment="1"/>
    <xf numFmtId="3" fontId="122" fillId="0" borderId="418" xfId="0" applyNumberFormat="1" applyFont="1" applyBorder="1" applyAlignment="1">
      <alignment horizontal="center"/>
    </xf>
    <xf numFmtId="9" fontId="122" fillId="0" borderId="23" xfId="0" applyNumberFormat="1" applyFont="1" applyBorder="1" applyAlignment="1">
      <alignment horizontal="center"/>
    </xf>
    <xf numFmtId="4" fontId="122" fillId="60" borderId="318" xfId="0" applyNumberFormat="1" applyFont="1" applyFill="1" applyBorder="1"/>
    <xf numFmtId="4" fontId="122" fillId="60" borderId="433" xfId="0" applyNumberFormat="1" applyFont="1" applyFill="1" applyBorder="1"/>
    <xf numFmtId="4" fontId="122" fillId="62" borderId="160" xfId="0" applyNumberFormat="1" applyFont="1" applyFill="1" applyBorder="1"/>
    <xf numFmtId="4" fontId="122" fillId="85" borderId="151" xfId="0" applyNumberFormat="1" applyFont="1" applyFill="1" applyBorder="1"/>
    <xf numFmtId="0" fontId="21" fillId="0" borderId="0" xfId="0" applyFont="1" applyFill="1"/>
    <xf numFmtId="0" fontId="46" fillId="0" borderId="0" xfId="0" applyFont="1" applyFill="1" applyAlignment="1"/>
    <xf numFmtId="4" fontId="131" fillId="85" borderId="336" xfId="0" applyNumberFormat="1" applyFont="1" applyFill="1" applyBorder="1"/>
    <xf numFmtId="4" fontId="122" fillId="85" borderId="160" xfId="0" applyNumberFormat="1" applyFont="1" applyFill="1" applyBorder="1"/>
    <xf numFmtId="4" fontId="122" fillId="59" borderId="22" xfId="0" applyNumberFormat="1" applyFont="1" applyFill="1" applyBorder="1" applyAlignment="1">
      <alignment horizontal="right"/>
    </xf>
    <xf numFmtId="4" fontId="122" fillId="59" borderId="203" xfId="0" applyNumberFormat="1" applyFont="1" applyFill="1" applyBorder="1"/>
    <xf numFmtId="4" fontId="132" fillId="62" borderId="66" xfId="0" applyNumberFormat="1" applyFont="1" applyFill="1" applyBorder="1"/>
    <xf numFmtId="4" fontId="122" fillId="62" borderId="20" xfId="0" applyNumberFormat="1" applyFont="1" applyFill="1" applyBorder="1"/>
    <xf numFmtId="43" fontId="123" fillId="64" borderId="294" xfId="15794" applyFont="1" applyFill="1" applyBorder="1" applyAlignment="1">
      <alignment vertical="center"/>
    </xf>
    <xf numFmtId="2" fontId="122" fillId="59" borderId="466" xfId="0" applyNumberFormat="1" applyFont="1" applyFill="1" applyBorder="1"/>
    <xf numFmtId="2" fontId="122" fillId="59" borderId="467" xfId="0" applyNumberFormat="1" applyFont="1" applyFill="1" applyBorder="1"/>
    <xf numFmtId="2" fontId="122" fillId="59" borderId="468" xfId="0" applyNumberFormat="1" applyFont="1" applyFill="1" applyBorder="1"/>
    <xf numFmtId="2" fontId="122" fillId="59" borderId="469" xfId="0" applyNumberFormat="1" applyFont="1" applyFill="1" applyBorder="1" applyAlignment="1">
      <alignment vertical="center"/>
    </xf>
    <xf numFmtId="2" fontId="122" fillId="59" borderId="470" xfId="0" applyNumberFormat="1" applyFont="1" applyFill="1" applyBorder="1"/>
    <xf numFmtId="2" fontId="122" fillId="59" borderId="471" xfId="0" applyNumberFormat="1" applyFont="1" applyFill="1" applyBorder="1"/>
    <xf numFmtId="2" fontId="122" fillId="59" borderId="472" xfId="0" applyNumberFormat="1" applyFont="1" applyFill="1" applyBorder="1"/>
    <xf numFmtId="2" fontId="122" fillId="59" borderId="473" xfId="0" applyNumberFormat="1" applyFont="1" applyFill="1" applyBorder="1" applyAlignment="1">
      <alignment vertical="center"/>
    </xf>
    <xf numFmtId="4" fontId="122" fillId="85" borderId="211" xfId="0" applyNumberFormat="1" applyFont="1" applyFill="1" applyBorder="1"/>
    <xf numFmtId="4" fontId="122" fillId="59" borderId="474" xfId="0" applyNumberFormat="1" applyFont="1" applyFill="1" applyBorder="1" applyAlignment="1">
      <alignment vertical="center"/>
    </xf>
    <xf numFmtId="4" fontId="122" fillId="59" borderId="334" xfId="0" applyNumberFormat="1" applyFont="1" applyFill="1" applyBorder="1"/>
    <xf numFmtId="4" fontId="131" fillId="59" borderId="334" xfId="0" applyNumberFormat="1" applyFont="1" applyFill="1" applyBorder="1"/>
    <xf numFmtId="4" fontId="122" fillId="60" borderId="475" xfId="0" applyNumberFormat="1" applyFont="1" applyFill="1" applyBorder="1"/>
    <xf numFmtId="4" fontId="122" fillId="60" borderId="477" xfId="0" applyNumberFormat="1" applyFont="1" applyFill="1" applyBorder="1"/>
    <xf numFmtId="4" fontId="122" fillId="61" borderId="476" xfId="0" applyNumberFormat="1" applyFont="1" applyFill="1" applyBorder="1" applyAlignment="1">
      <alignment horizontal="right" vertical="center"/>
    </xf>
    <xf numFmtId="4" fontId="122" fillId="61" borderId="477" xfId="0" applyNumberFormat="1" applyFont="1" applyFill="1" applyBorder="1"/>
    <xf numFmtId="4" fontId="122" fillId="60" borderId="0" xfId="0" applyNumberFormat="1" applyFont="1" applyFill="1" applyBorder="1" applyAlignment="1">
      <alignment horizontal="right" vertical="center"/>
    </xf>
    <xf numFmtId="4" fontId="122" fillId="59" borderId="82" xfId="0" applyNumberFormat="1" applyFont="1" applyFill="1" applyBorder="1"/>
    <xf numFmtId="4" fontId="132" fillId="62" borderId="17" xfId="0" applyNumberFormat="1" applyFont="1" applyFill="1" applyBorder="1"/>
    <xf numFmtId="4" fontId="122" fillId="0" borderId="199" xfId="0" applyNumberFormat="1" applyFont="1" applyBorder="1"/>
    <xf numFmtId="4" fontId="122" fillId="64" borderId="18" xfId="1" applyNumberFormat="1" applyFont="1" applyFill="1" applyBorder="1" applyAlignment="1"/>
    <xf numFmtId="0" fontId="122" fillId="0" borderId="434" xfId="0" applyFont="1" applyBorder="1"/>
    <xf numFmtId="2" fontId="131" fillId="0" borderId="0" xfId="0" applyNumberFormat="1" applyFont="1" applyBorder="1"/>
    <xf numFmtId="4" fontId="122" fillId="0" borderId="190" xfId="0" applyNumberFormat="1" applyFont="1" applyBorder="1"/>
    <xf numFmtId="4" fontId="137" fillId="0" borderId="0" xfId="0" applyNumberFormat="1" applyFont="1" applyBorder="1"/>
    <xf numFmtId="4" fontId="103" fillId="0" borderId="0" xfId="0" applyNumberFormat="1" applyFont="1" applyBorder="1" applyAlignment="1">
      <alignment vertical="center"/>
    </xf>
    <xf numFmtId="4" fontId="103" fillId="0" borderId="193" xfId="0" applyNumberFormat="1" applyFont="1" applyBorder="1"/>
    <xf numFmtId="4" fontId="131" fillId="29" borderId="341" xfId="0" applyNumberFormat="1" applyFont="1" applyFill="1" applyBorder="1"/>
    <xf numFmtId="0" fontId="122" fillId="0" borderId="478" xfId="0" applyFont="1" applyBorder="1" applyAlignment="1">
      <alignment horizontal="center"/>
    </xf>
    <xf numFmtId="0" fontId="122" fillId="0" borderId="437" xfId="0" applyFont="1" applyBorder="1" applyAlignment="1">
      <alignment horizontal="center"/>
    </xf>
    <xf numFmtId="0" fontId="122" fillId="0" borderId="479" xfId="0" applyFont="1" applyBorder="1" applyAlignment="1">
      <alignment horizontal="center"/>
    </xf>
    <xf numFmtId="2" fontId="131" fillId="0" borderId="20" xfId="0" applyNumberFormat="1" applyFont="1" applyBorder="1"/>
    <xf numFmtId="4" fontId="103" fillId="64" borderId="20" xfId="0" applyNumberFormat="1" applyFont="1" applyFill="1" applyBorder="1" applyAlignment="1">
      <alignment vertical="center"/>
    </xf>
    <xf numFmtId="4" fontId="103" fillId="0" borderId="20" xfId="0" applyNumberFormat="1" applyFont="1" applyBorder="1" applyAlignment="1">
      <alignment vertical="center"/>
    </xf>
    <xf numFmtId="4" fontId="103" fillId="0" borderId="21" xfId="0" applyNumberFormat="1" applyFont="1" applyBorder="1" applyAlignment="1">
      <alignment vertical="center"/>
    </xf>
    <xf numFmtId="4" fontId="103" fillId="0" borderId="199" xfId="0" applyNumberFormat="1" applyFont="1" applyBorder="1"/>
    <xf numFmtId="4" fontId="103" fillId="0" borderId="480" xfId="0" applyNumberFormat="1" applyFont="1" applyBorder="1"/>
    <xf numFmtId="4" fontId="131" fillId="29" borderId="339" xfId="0" applyNumberFormat="1" applyFont="1" applyFill="1" applyBorder="1"/>
    <xf numFmtId="0" fontId="122" fillId="0" borderId="481" xfId="0" applyFont="1" applyBorder="1" applyAlignment="1">
      <alignment horizontal="center"/>
    </xf>
    <xf numFmtId="4" fontId="122" fillId="0" borderId="482" xfId="0" applyNumberFormat="1" applyFont="1" applyBorder="1"/>
    <xf numFmtId="2" fontId="131" fillId="0" borderId="482" xfId="0" applyNumberFormat="1" applyFont="1" applyBorder="1"/>
    <xf numFmtId="3" fontId="122" fillId="0" borderId="482" xfId="0" applyNumberFormat="1" applyFont="1" applyBorder="1"/>
    <xf numFmtId="4" fontId="103" fillId="0" borderId="482" xfId="0" applyNumberFormat="1" applyFont="1" applyBorder="1" applyAlignment="1">
      <alignment vertical="center"/>
    </xf>
    <xf numFmtId="4" fontId="103" fillId="0" borderId="482" xfId="0" applyNumberFormat="1" applyFont="1" applyBorder="1"/>
    <xf numFmtId="4" fontId="122" fillId="60" borderId="482" xfId="0" applyNumberFormat="1" applyFont="1" applyFill="1" applyBorder="1"/>
    <xf numFmtId="4" fontId="122" fillId="61" borderId="482" xfId="0" applyNumberFormat="1" applyFont="1" applyFill="1" applyBorder="1"/>
    <xf numFmtId="4" fontId="122" fillId="59" borderId="482" xfId="0" applyNumberFormat="1" applyFont="1" applyFill="1" applyBorder="1"/>
    <xf numFmtId="4" fontId="131" fillId="62" borderId="482" xfId="0" applyNumberFormat="1" applyFont="1" applyFill="1" applyBorder="1"/>
    <xf numFmtId="4" fontId="127" fillId="59" borderId="482" xfId="0" applyNumberFormat="1" applyFont="1" applyFill="1" applyBorder="1"/>
    <xf numFmtId="4" fontId="131" fillId="59" borderId="482" xfId="0" applyNumberFormat="1" applyFont="1" applyFill="1" applyBorder="1"/>
    <xf numFmtId="4" fontId="131" fillId="85" borderId="482" xfId="0" applyNumberFormat="1" applyFont="1" applyFill="1" applyBorder="1"/>
    <xf numFmtId="4" fontId="123" fillId="0" borderId="485" xfId="0" applyNumberFormat="1" applyFont="1" applyFill="1" applyBorder="1" applyAlignment="1">
      <alignment vertical="center"/>
    </xf>
    <xf numFmtId="4" fontId="123" fillId="0" borderId="484" xfId="0" applyNumberFormat="1" applyFont="1" applyFill="1" applyBorder="1" applyAlignment="1">
      <alignment vertical="center"/>
    </xf>
    <xf numFmtId="4" fontId="122" fillId="60" borderId="356" xfId="0" applyNumberFormat="1" applyFont="1" applyFill="1" applyBorder="1"/>
    <xf numFmtId="4" fontId="122" fillId="61" borderId="356" xfId="0" applyNumberFormat="1" applyFont="1" applyFill="1" applyBorder="1"/>
    <xf numFmtId="4" fontId="122" fillId="59" borderId="356" xfId="0" applyNumberFormat="1" applyFont="1" applyFill="1" applyBorder="1"/>
    <xf numFmtId="4" fontId="131" fillId="62" borderId="356" xfId="0" applyNumberFormat="1" applyFont="1" applyFill="1" applyBorder="1"/>
    <xf numFmtId="4" fontId="127" fillId="59" borderId="356" xfId="0" applyNumberFormat="1" applyFont="1" applyFill="1" applyBorder="1"/>
    <xf numFmtId="4" fontId="131" fillId="59" borderId="356" xfId="0" applyNumberFormat="1" applyFont="1" applyFill="1" applyBorder="1"/>
    <xf numFmtId="4" fontId="131" fillId="85" borderId="356" xfId="0" applyNumberFormat="1" applyFont="1" applyFill="1" applyBorder="1"/>
    <xf numFmtId="4" fontId="131" fillId="86" borderId="487" xfId="0" applyNumberFormat="1" applyFont="1" applyFill="1" applyBorder="1"/>
    <xf numFmtId="4" fontId="131" fillId="86" borderId="488" xfId="0" applyNumberFormat="1" applyFont="1" applyFill="1" applyBorder="1"/>
    <xf numFmtId="4" fontId="122" fillId="59" borderId="489" xfId="0" applyNumberFormat="1" applyFont="1" applyFill="1" applyBorder="1"/>
    <xf numFmtId="4" fontId="122" fillId="59" borderId="486" xfId="0" applyNumberFormat="1" applyFont="1" applyFill="1" applyBorder="1"/>
    <xf numFmtId="4" fontId="123" fillId="64" borderId="19" xfId="0" applyNumberFormat="1" applyFont="1" applyFill="1" applyBorder="1" applyAlignment="1"/>
    <xf numFmtId="0" fontId="122" fillId="0" borderId="152" xfId="0" applyFont="1" applyBorder="1"/>
    <xf numFmtId="4" fontId="131" fillId="0" borderId="21" xfId="0" applyNumberFormat="1" applyFont="1" applyFill="1" applyBorder="1" applyAlignment="1"/>
    <xf numFmtId="4" fontId="131" fillId="0" borderId="487" xfId="0" applyNumberFormat="1" applyFont="1" applyFill="1" applyBorder="1" applyAlignment="1"/>
    <xf numFmtId="4" fontId="131" fillId="0" borderId="193" xfId="0" applyNumberFormat="1" applyFont="1" applyFill="1" applyBorder="1" applyAlignment="1"/>
    <xf numFmtId="0" fontId="123" fillId="64" borderId="294" xfId="0" applyFont="1" applyFill="1" applyBorder="1" applyAlignment="1">
      <alignment vertical="center"/>
    </xf>
    <xf numFmtId="0" fontId="131" fillId="0" borderId="490" xfId="0" applyFont="1" applyFill="1" applyBorder="1"/>
    <xf numFmtId="0" fontId="122" fillId="0" borderId="491" xfId="0" applyFont="1" applyBorder="1"/>
    <xf numFmtId="0" fontId="122" fillId="0" borderId="492" xfId="0" applyFont="1" applyBorder="1"/>
    <xf numFmtId="3" fontId="123" fillId="0" borderId="493" xfId="0" applyNumberFormat="1" applyFont="1" applyFill="1" applyBorder="1" applyAlignment="1">
      <alignment vertical="center"/>
    </xf>
    <xf numFmtId="3" fontId="123" fillId="64" borderId="493" xfId="0" applyNumberFormat="1" applyFont="1" applyFill="1" applyBorder="1" applyAlignment="1">
      <alignment vertical="center"/>
    </xf>
    <xf numFmtId="0" fontId="123" fillId="64" borderId="193" xfId="0" applyFont="1" applyFill="1" applyBorder="1" applyAlignment="1">
      <alignment vertical="center"/>
    </xf>
    <xf numFmtId="0" fontId="123" fillId="0" borderId="193" xfId="0" applyFont="1" applyFill="1" applyBorder="1" applyAlignment="1">
      <alignment vertical="center" wrapText="1"/>
    </xf>
    <xf numFmtId="0" fontId="122" fillId="0" borderId="494" xfId="0" applyFont="1" applyBorder="1"/>
    <xf numFmtId="4" fontId="122" fillId="0" borderId="487" xfId="0" applyNumberFormat="1" applyFont="1" applyBorder="1"/>
    <xf numFmtId="4" fontId="137" fillId="0" borderId="489" xfId="0" applyNumberFormat="1" applyFont="1" applyBorder="1"/>
    <xf numFmtId="0" fontId="122" fillId="0" borderId="449" xfId="0" applyFont="1" applyBorder="1" applyAlignment="1">
      <alignment horizontal="center"/>
    </xf>
    <xf numFmtId="0" fontId="122" fillId="0" borderId="496" xfId="0" applyFont="1" applyBorder="1" applyAlignment="1">
      <alignment horizontal="center"/>
    </xf>
    <xf numFmtId="0" fontId="122" fillId="0" borderId="495" xfId="0" applyFont="1" applyBorder="1" applyAlignment="1">
      <alignment horizontal="center"/>
    </xf>
    <xf numFmtId="0" fontId="122" fillId="0" borderId="160" xfId="0" applyFont="1" applyFill="1" applyBorder="1"/>
    <xf numFmtId="0" fontId="122" fillId="0" borderId="204" xfId="0" applyFont="1" applyFill="1" applyBorder="1"/>
    <xf numFmtId="0" fontId="122" fillId="0" borderId="291" xfId="0" applyFont="1" applyFill="1" applyBorder="1"/>
    <xf numFmtId="0" fontId="131" fillId="0" borderId="291" xfId="0" applyFont="1" applyFill="1" applyBorder="1"/>
    <xf numFmtId="0" fontId="122" fillId="0" borderId="490" xfId="0" applyFont="1" applyFill="1" applyBorder="1"/>
    <xf numFmtId="4" fontId="103" fillId="0" borderId="487" xfId="0" applyNumberFormat="1" applyFont="1" applyBorder="1" applyAlignment="1">
      <alignment vertical="center"/>
    </xf>
    <xf numFmtId="4" fontId="137" fillId="0" borderId="222" xfId="0" applyNumberFormat="1" applyFont="1" applyBorder="1"/>
    <xf numFmtId="4" fontId="122" fillId="0" borderId="22" xfId="0" applyNumberFormat="1" applyFont="1" applyFill="1" applyBorder="1" applyAlignment="1">
      <alignment horizontal="center"/>
    </xf>
    <xf numFmtId="4" fontId="103" fillId="0" borderId="487" xfId="0" applyNumberFormat="1" applyFont="1" applyBorder="1"/>
    <xf numFmtId="4" fontId="122" fillId="60" borderId="483" xfId="0" applyNumberFormat="1" applyFont="1" applyFill="1" applyBorder="1"/>
    <xf numFmtId="4" fontId="131" fillId="29" borderId="497" xfId="0" applyNumberFormat="1" applyFont="1" applyFill="1" applyBorder="1"/>
    <xf numFmtId="4" fontId="122" fillId="60" borderId="212" xfId="0" applyNumberFormat="1" applyFont="1" applyFill="1" applyBorder="1"/>
    <xf numFmtId="4" fontId="122" fillId="60" borderId="487" xfId="0" applyNumberFormat="1" applyFont="1" applyFill="1" applyBorder="1"/>
    <xf numFmtId="4" fontId="122" fillId="60" borderId="488" xfId="0" applyNumberFormat="1" applyFont="1" applyFill="1" applyBorder="1"/>
    <xf numFmtId="4" fontId="122" fillId="61" borderId="498" xfId="0" applyNumberFormat="1" applyFont="1" applyFill="1" applyBorder="1"/>
    <xf numFmtId="4" fontId="122" fillId="61" borderId="499" xfId="0" applyNumberFormat="1" applyFont="1" applyFill="1" applyBorder="1"/>
    <xf numFmtId="4" fontId="122" fillId="59" borderId="487" xfId="0" applyNumberFormat="1" applyFont="1" applyFill="1" applyBorder="1"/>
    <xf numFmtId="4" fontId="122" fillId="59" borderId="488" xfId="0" applyNumberFormat="1" applyFont="1" applyFill="1" applyBorder="1"/>
    <xf numFmtId="4" fontId="131" fillId="62" borderId="481" xfId="0" applyNumberFormat="1" applyFont="1" applyFill="1" applyBorder="1"/>
    <xf numFmtId="4" fontId="131" fillId="62" borderId="500" xfId="0" applyNumberFormat="1" applyFont="1" applyFill="1" applyBorder="1"/>
    <xf numFmtId="4" fontId="131" fillId="62" borderId="487" xfId="0" applyNumberFormat="1" applyFont="1" applyFill="1" applyBorder="1"/>
    <xf numFmtId="4" fontId="131" fillId="62" borderId="488" xfId="0" applyNumberFormat="1" applyFont="1" applyFill="1" applyBorder="1"/>
    <xf numFmtId="4" fontId="122" fillId="59" borderId="481" xfId="0" applyNumberFormat="1" applyFont="1" applyFill="1" applyBorder="1"/>
    <xf numFmtId="4" fontId="122" fillId="59" borderId="500" xfId="0" applyNumberFormat="1" applyFont="1" applyFill="1" applyBorder="1"/>
    <xf numFmtId="4" fontId="131" fillId="59" borderId="487" xfId="0" applyNumberFormat="1" applyFont="1" applyFill="1" applyBorder="1"/>
    <xf numFmtId="4" fontId="131" fillId="59" borderId="488" xfId="0" applyNumberFormat="1" applyFont="1" applyFill="1" applyBorder="1"/>
    <xf numFmtId="4" fontId="122" fillId="60" borderId="489" xfId="0" applyNumberFormat="1" applyFont="1" applyFill="1" applyBorder="1"/>
    <xf numFmtId="4" fontId="122" fillId="60" borderId="486" xfId="0" applyNumberFormat="1" applyFont="1" applyFill="1" applyBorder="1"/>
    <xf numFmtId="4" fontId="122" fillId="60" borderId="329" xfId="0" applyNumberFormat="1" applyFont="1" applyFill="1" applyBorder="1" applyAlignment="1">
      <alignment horizontal="right"/>
    </xf>
    <xf numFmtId="4" fontId="122" fillId="60" borderId="501" xfId="0" applyNumberFormat="1" applyFont="1" applyFill="1" applyBorder="1"/>
    <xf numFmtId="4" fontId="122" fillId="60" borderId="502" xfId="0" applyNumberFormat="1" applyFont="1" applyFill="1" applyBorder="1"/>
    <xf numFmtId="4" fontId="131" fillId="60" borderId="152" xfId="0" applyNumberFormat="1" applyFont="1" applyFill="1" applyBorder="1"/>
    <xf numFmtId="4" fontId="138" fillId="61" borderId="85" xfId="0" applyNumberFormat="1" applyFont="1" applyFill="1" applyBorder="1"/>
    <xf numFmtId="4" fontId="122" fillId="85" borderId="482" xfId="0" applyNumberFormat="1" applyFont="1" applyFill="1" applyBorder="1"/>
    <xf numFmtId="4" fontId="122" fillId="85" borderId="356" xfId="0" applyNumberFormat="1" applyFont="1" applyFill="1" applyBorder="1"/>
    <xf numFmtId="4" fontId="122" fillId="62" borderId="286" xfId="0" applyNumberFormat="1" applyFont="1" applyFill="1" applyBorder="1"/>
    <xf numFmtId="4" fontId="122" fillId="62" borderId="335" xfId="0" applyNumberFormat="1" applyFont="1" applyFill="1" applyBorder="1"/>
    <xf numFmtId="4" fontId="122" fillId="62" borderId="85" xfId="0" applyNumberFormat="1" applyFont="1" applyFill="1" applyBorder="1"/>
    <xf numFmtId="4" fontId="122" fillId="62" borderId="86" xfId="0" applyNumberFormat="1" applyFont="1" applyFill="1" applyBorder="1"/>
    <xf numFmtId="4" fontId="122" fillId="60" borderId="333" xfId="0" applyNumberFormat="1" applyFont="1" applyFill="1" applyBorder="1"/>
    <xf numFmtId="4" fontId="122" fillId="60" borderId="347" xfId="0" applyNumberFormat="1" applyFont="1" applyFill="1" applyBorder="1"/>
    <xf numFmtId="4" fontId="122" fillId="60" borderId="503" xfId="0" applyNumberFormat="1" applyFont="1" applyFill="1" applyBorder="1"/>
    <xf numFmtId="4" fontId="123" fillId="0" borderId="342" xfId="0" applyNumberFormat="1" applyFont="1" applyFill="1" applyBorder="1" applyAlignment="1">
      <alignment vertical="center"/>
    </xf>
    <xf numFmtId="4" fontId="123" fillId="0" borderId="340" xfId="0" applyNumberFormat="1" applyFont="1" applyFill="1" applyBorder="1" applyAlignment="1">
      <alignment vertical="center"/>
    </xf>
    <xf numFmtId="4" fontId="122" fillId="60" borderId="277" xfId="0" applyNumberFormat="1" applyFont="1" applyFill="1" applyBorder="1" applyAlignment="1">
      <alignment horizontal="right"/>
    </xf>
    <xf numFmtId="4" fontId="122" fillId="60" borderId="206" xfId="0" applyNumberFormat="1" applyFont="1" applyFill="1" applyBorder="1" applyAlignment="1">
      <alignment horizontal="right"/>
    </xf>
    <xf numFmtId="4" fontId="122" fillId="60" borderId="290" xfId="0" applyNumberFormat="1" applyFont="1" applyFill="1" applyBorder="1" applyAlignment="1">
      <alignment horizontal="right" vertical="center"/>
    </xf>
    <xf numFmtId="4" fontId="122" fillId="60" borderId="290" xfId="0" applyNumberFormat="1" applyFont="1" applyFill="1" applyBorder="1"/>
    <xf numFmtId="164" fontId="151" fillId="0" borderId="0" xfId="0" applyNumberFormat="1" applyFont="1" applyAlignment="1">
      <alignment horizontal="center"/>
    </xf>
    <xf numFmtId="4" fontId="46" fillId="0" borderId="0" xfId="0" applyNumberFormat="1" applyFont="1" applyAlignment="1">
      <alignment horizontal="center"/>
    </xf>
    <xf numFmtId="164" fontId="149" fillId="0" borderId="0" xfId="0" applyNumberFormat="1" applyFont="1" applyAlignment="1">
      <alignment horizontal="center"/>
    </xf>
    <xf numFmtId="0" fontId="46" fillId="0" borderId="0" xfId="0" applyFont="1" applyAlignment="1"/>
    <xf numFmtId="0" fontId="0" fillId="0" borderId="0" xfId="0" applyAlignment="1"/>
    <xf numFmtId="0" fontId="128" fillId="0" borderId="0" xfId="0" applyFont="1" applyAlignment="1"/>
    <xf numFmtId="0" fontId="46" fillId="0" borderId="195" xfId="0" applyFont="1" applyBorder="1" applyAlignment="1">
      <alignment vertical="center"/>
    </xf>
    <xf numFmtId="0" fontId="46" fillId="0" borderId="319" xfId="0" applyFont="1" applyBorder="1" applyAlignment="1"/>
    <xf numFmtId="172" fontId="122" fillId="60" borderId="290" xfId="15794" applyNumberFormat="1" applyFont="1" applyFill="1" applyBorder="1" applyAlignment="1">
      <alignment vertical="center" readingOrder="1"/>
    </xf>
    <xf numFmtId="4" fontId="122" fillId="62" borderId="155" xfId="0" applyNumberFormat="1" applyFont="1" applyFill="1" applyBorder="1"/>
    <xf numFmtId="4" fontId="122" fillId="59" borderId="302" xfId="0" applyNumberFormat="1" applyFont="1" applyFill="1" applyBorder="1"/>
    <xf numFmtId="4" fontId="122" fillId="61" borderId="504" xfId="0" applyNumberFormat="1" applyFont="1" applyFill="1" applyBorder="1" applyAlignment="1">
      <alignment horizontal="right" vertical="center"/>
    </xf>
    <xf numFmtId="4" fontId="122" fillId="61" borderId="65" xfId="0" applyNumberFormat="1" applyFont="1" applyFill="1" applyBorder="1" applyAlignment="1">
      <alignment horizontal="right" vertical="center"/>
    </xf>
    <xf numFmtId="4" fontId="122" fillId="61" borderId="85" xfId="0" applyNumberFormat="1" applyFont="1" applyFill="1" applyBorder="1" applyAlignment="1">
      <alignment horizontal="right" vertical="center"/>
    </xf>
    <xf numFmtId="4" fontId="56" fillId="0" borderId="0" xfId="0" applyNumberFormat="1" applyFont="1" applyAlignment="1">
      <alignment horizontal="center" vertical="top" wrapText="1"/>
    </xf>
    <xf numFmtId="4" fontId="122" fillId="60" borderId="505" xfId="0" applyNumberFormat="1" applyFont="1" applyFill="1" applyBorder="1"/>
    <xf numFmtId="4" fontId="122" fillId="61" borderId="365" xfId="0" applyNumberFormat="1" applyFont="1" applyFill="1" applyBorder="1"/>
    <xf numFmtId="4" fontId="122" fillId="61" borderId="506" xfId="0" applyNumberFormat="1" applyFont="1" applyFill="1" applyBorder="1"/>
    <xf numFmtId="4" fontId="122" fillId="61" borderId="301" xfId="0" applyNumberFormat="1" applyFont="1" applyFill="1" applyBorder="1" applyAlignment="1">
      <alignment horizontal="right" vertical="center"/>
    </xf>
    <xf numFmtId="4" fontId="122" fillId="61" borderId="507" xfId="0" applyNumberFormat="1" applyFont="1" applyFill="1" applyBorder="1"/>
    <xf numFmtId="4" fontId="122" fillId="61" borderId="508" xfId="0" applyNumberFormat="1" applyFont="1" applyFill="1" applyBorder="1" applyAlignment="1">
      <alignment horizontal="right" vertical="center"/>
    </xf>
    <xf numFmtId="4" fontId="122" fillId="61" borderId="510" xfId="0" applyNumberFormat="1" applyFont="1" applyFill="1" applyBorder="1" applyAlignment="1">
      <alignment horizontal="right" vertical="center"/>
    </xf>
    <xf numFmtId="4" fontId="122" fillId="61" borderId="419" xfId="0" applyNumberFormat="1" applyFont="1" applyFill="1" applyBorder="1" applyAlignment="1">
      <alignment horizontal="right" vertical="center"/>
    </xf>
    <xf numFmtId="4" fontId="122" fillId="61" borderId="19" xfId="0" applyNumberFormat="1" applyFont="1" applyFill="1" applyBorder="1" applyAlignment="1">
      <alignment horizontal="right" vertical="center"/>
    </xf>
    <xf numFmtId="4" fontId="122" fillId="61" borderId="174" xfId="0" applyNumberFormat="1" applyFont="1" applyFill="1" applyBorder="1" applyAlignment="1">
      <alignment horizontal="right" vertical="center"/>
    </xf>
    <xf numFmtId="4" fontId="122" fillId="61" borderId="511" xfId="0" applyNumberFormat="1" applyFont="1" applyFill="1" applyBorder="1" applyAlignment="1">
      <alignment horizontal="right" vertical="center"/>
    </xf>
    <xf numFmtId="0" fontId="49" fillId="64" borderId="320" xfId="0" applyFont="1" applyFill="1" applyBorder="1" applyAlignment="1">
      <alignment horizontal="center"/>
    </xf>
    <xf numFmtId="4" fontId="122" fillId="60" borderId="512" xfId="0" applyNumberFormat="1" applyFont="1" applyFill="1" applyBorder="1" applyAlignment="1">
      <alignment horizontal="right" vertical="center"/>
    </xf>
    <xf numFmtId="4" fontId="122" fillId="60" borderId="513" xfId="0" applyNumberFormat="1" applyFont="1" applyFill="1" applyBorder="1" applyAlignment="1">
      <alignment horizontal="right" vertical="center"/>
    </xf>
    <xf numFmtId="4" fontId="122" fillId="60" borderId="516" xfId="0" applyNumberFormat="1" applyFont="1" applyFill="1" applyBorder="1" applyAlignment="1">
      <alignment horizontal="right"/>
    </xf>
    <xf numFmtId="4" fontId="122" fillId="60" borderId="514" xfId="0" applyNumberFormat="1" applyFont="1" applyFill="1" applyBorder="1" applyAlignment="1">
      <alignment horizontal="right"/>
    </xf>
    <xf numFmtId="0" fontId="49" fillId="0" borderId="515" xfId="0" applyFont="1" applyBorder="1" applyAlignment="1">
      <alignment horizontal="center"/>
    </xf>
    <xf numFmtId="4" fontId="123" fillId="0" borderId="327" xfId="0" applyNumberFormat="1" applyFont="1" applyFill="1" applyBorder="1" applyAlignment="1">
      <alignment vertical="center"/>
    </xf>
    <xf numFmtId="4" fontId="122" fillId="59" borderId="22" xfId="0" applyNumberFormat="1" applyFont="1" applyFill="1" applyBorder="1"/>
    <xf numFmtId="0" fontId="46" fillId="0" borderId="0" xfId="0" applyFont="1" applyBorder="1"/>
    <xf numFmtId="4" fontId="122" fillId="60" borderId="517" xfId="0" applyNumberFormat="1" applyFont="1" applyFill="1" applyBorder="1" applyAlignment="1">
      <alignment horizontal="right"/>
    </xf>
    <xf numFmtId="4" fontId="122" fillId="61" borderId="518" xfId="0" applyNumberFormat="1" applyFont="1" applyFill="1" applyBorder="1" applyAlignment="1">
      <alignment horizontal="right" vertical="center"/>
    </xf>
    <xf numFmtId="4" fontId="122" fillId="61" borderId="477" xfId="0" applyNumberFormat="1" applyFont="1" applyFill="1" applyBorder="1" applyAlignment="1">
      <alignment horizontal="right" vertical="center"/>
    </xf>
    <xf numFmtId="4" fontId="122" fillId="60" borderId="519" xfId="0" applyNumberFormat="1" applyFont="1" applyFill="1" applyBorder="1" applyAlignment="1">
      <alignment horizontal="right" vertical="center"/>
    </xf>
    <xf numFmtId="164" fontId="47" fillId="0" borderId="0" xfId="0" applyNumberFormat="1" applyFont="1" applyBorder="1"/>
    <xf numFmtId="164" fontId="46" fillId="0" borderId="0" xfId="0" applyNumberFormat="1" applyFont="1" applyBorder="1"/>
    <xf numFmtId="4" fontId="122" fillId="62" borderId="224" xfId="0" applyNumberFormat="1" applyFont="1" applyFill="1" applyBorder="1" applyAlignment="1">
      <alignment horizontal="right"/>
    </xf>
    <xf numFmtId="4" fontId="122" fillId="61" borderId="315" xfId="0" applyNumberFormat="1" applyFont="1" applyFill="1" applyBorder="1"/>
    <xf numFmtId="4" fontId="122" fillId="59" borderId="348" xfId="0" applyNumberFormat="1" applyFont="1" applyFill="1" applyBorder="1"/>
    <xf numFmtId="0" fontId="46" fillId="0" borderId="0" xfId="0" applyFont="1" applyAlignment="1">
      <alignment horizontal="right"/>
    </xf>
    <xf numFmtId="164" fontId="128" fillId="0" borderId="0" xfId="0" applyNumberFormat="1" applyFont="1" applyAlignment="1"/>
    <xf numFmtId="4" fontId="123" fillId="59" borderId="381" xfId="0" applyNumberFormat="1" applyFont="1" applyFill="1" applyBorder="1"/>
    <xf numFmtId="0" fontId="154" fillId="0" borderId="0" xfId="0" applyFont="1" applyAlignment="1">
      <alignment horizontal="center" vertical="center" wrapText="1"/>
    </xf>
    <xf numFmtId="0" fontId="46" fillId="0" borderId="0" xfId="0" applyFont="1" applyBorder="1"/>
    <xf numFmtId="4" fontId="122" fillId="61" borderId="482" xfId="0" applyNumberFormat="1" applyFont="1" applyFill="1" applyBorder="1" applyAlignment="1">
      <alignment horizontal="right" vertical="center"/>
    </xf>
    <xf numFmtId="4" fontId="122" fillId="61" borderId="520" xfId="0" applyNumberFormat="1" applyFont="1" applyFill="1" applyBorder="1" applyAlignment="1">
      <alignment horizontal="right" vertical="center"/>
    </xf>
    <xf numFmtId="0" fontId="46" fillId="0" borderId="0" xfId="0" applyFont="1" applyBorder="1"/>
    <xf numFmtId="4" fontId="122" fillId="62" borderId="298" xfId="0" applyNumberFormat="1" applyFont="1" applyFill="1" applyBorder="1" applyAlignment="1"/>
    <xf numFmtId="4" fontId="122" fillId="62" borderId="199" xfId="0" applyNumberFormat="1" applyFont="1" applyFill="1" applyBorder="1" applyAlignment="1">
      <alignment horizontal="right"/>
    </xf>
    <xf numFmtId="4" fontId="122" fillId="62" borderId="177" xfId="0" applyNumberFormat="1" applyFont="1" applyFill="1" applyBorder="1" applyAlignment="1"/>
    <xf numFmtId="4" fontId="122" fillId="59" borderId="212" xfId="0" applyNumberFormat="1" applyFont="1" applyFill="1" applyBorder="1" applyAlignment="1">
      <alignment vertical="center"/>
    </xf>
    <xf numFmtId="4" fontId="122" fillId="85" borderId="286" xfId="0" applyNumberFormat="1" applyFont="1" applyFill="1" applyBorder="1"/>
    <xf numFmtId="4" fontId="122" fillId="85" borderId="335" xfId="0" applyNumberFormat="1" applyFont="1" applyFill="1" applyBorder="1"/>
    <xf numFmtId="4" fontId="122" fillId="85" borderId="365" xfId="0" applyNumberFormat="1" applyFont="1" applyFill="1" applyBorder="1"/>
    <xf numFmtId="4" fontId="122" fillId="85" borderId="85" xfId="0" applyNumberFormat="1" applyFont="1" applyFill="1" applyBorder="1"/>
    <xf numFmtId="4" fontId="122" fillId="85" borderId="86" xfId="0" applyNumberFormat="1" applyFont="1" applyFill="1" applyBorder="1"/>
    <xf numFmtId="4" fontId="122" fillId="85" borderId="87" xfId="0" applyNumberFormat="1" applyFont="1" applyFill="1" applyBorder="1"/>
    <xf numFmtId="4" fontId="122" fillId="85" borderId="21" xfId="0" applyNumberFormat="1" applyFont="1" applyFill="1" applyBorder="1" applyAlignment="1">
      <alignment horizontal="right"/>
    </xf>
    <xf numFmtId="4" fontId="122" fillId="85" borderId="199" xfId="0" applyNumberFormat="1" applyFont="1" applyFill="1" applyBorder="1" applyAlignment="1">
      <alignment horizontal="right"/>
    </xf>
    <xf numFmtId="0" fontId="122" fillId="0" borderId="212" xfId="0" applyFont="1" applyBorder="1" applyAlignment="1">
      <alignment horizontal="center" vertical="center"/>
    </xf>
    <xf numFmtId="4" fontId="103" fillId="29" borderId="299" xfId="0" applyNumberFormat="1" applyFont="1" applyFill="1" applyBorder="1" applyAlignment="1">
      <alignment vertical="center"/>
    </xf>
    <xf numFmtId="4" fontId="122" fillId="60" borderId="334" xfId="0" applyNumberFormat="1" applyFont="1" applyFill="1" applyBorder="1" applyAlignment="1">
      <alignment vertical="center"/>
    </xf>
    <xf numFmtId="4" fontId="122" fillId="61" borderId="332" xfId="0" applyNumberFormat="1" applyFont="1" applyFill="1" applyBorder="1" applyAlignment="1">
      <alignment vertical="center"/>
    </xf>
    <xf numFmtId="4" fontId="122" fillId="59" borderId="335" xfId="0" applyNumberFormat="1" applyFont="1" applyFill="1" applyBorder="1"/>
    <xf numFmtId="4" fontId="122" fillId="59" borderId="366" xfId="0" applyNumberFormat="1" applyFont="1" applyFill="1" applyBorder="1"/>
    <xf numFmtId="4" fontId="123" fillId="64" borderId="155" xfId="0" applyNumberFormat="1" applyFont="1" applyFill="1" applyBorder="1" applyAlignment="1">
      <alignment horizontal="right" vertical="center"/>
    </xf>
    <xf numFmtId="4" fontId="123" fillId="64" borderId="177" xfId="0" applyNumberFormat="1" applyFont="1" applyFill="1" applyBorder="1" applyAlignment="1">
      <alignment horizontal="right" vertical="center"/>
    </xf>
    <xf numFmtId="4" fontId="123" fillId="64" borderId="285" xfId="0" applyNumberFormat="1" applyFont="1" applyFill="1" applyBorder="1" applyAlignment="1">
      <alignment horizontal="right" vertical="center"/>
    </xf>
    <xf numFmtId="4" fontId="123" fillId="64" borderId="287" xfId="0" applyNumberFormat="1" applyFont="1" applyFill="1" applyBorder="1" applyAlignment="1">
      <alignment horizontal="right" vertical="center"/>
    </xf>
    <xf numFmtId="4" fontId="123" fillId="64" borderId="189" xfId="0" applyNumberFormat="1" applyFont="1" applyFill="1" applyBorder="1" applyAlignment="1">
      <alignment horizontal="right" vertical="center"/>
    </xf>
    <xf numFmtId="0" fontId="123" fillId="0" borderId="69" xfId="0" applyFont="1" applyFill="1" applyBorder="1" applyAlignment="1">
      <alignment horizontal="center" vertical="center"/>
    </xf>
    <xf numFmtId="0" fontId="103" fillId="0" borderId="314" xfId="0" applyFont="1" applyFill="1" applyBorder="1" applyAlignment="1">
      <alignment horizontal="left"/>
    </xf>
    <xf numFmtId="0" fontId="122" fillId="0" borderId="189" xfId="0" applyFont="1" applyBorder="1" applyAlignment="1">
      <alignment horizontal="center"/>
    </xf>
    <xf numFmtId="0" fontId="122" fillId="0" borderId="293" xfId="0" applyFont="1" applyBorder="1" applyAlignment="1">
      <alignment horizontal="center"/>
    </xf>
    <xf numFmtId="4" fontId="122" fillId="60" borderId="211" xfId="0" applyNumberFormat="1" applyFont="1" applyFill="1" applyBorder="1" applyAlignment="1">
      <alignment horizontal="center"/>
    </xf>
    <xf numFmtId="4" fontId="122" fillId="60" borderId="20" xfId="0" applyNumberFormat="1" applyFont="1" applyFill="1" applyBorder="1" applyAlignment="1">
      <alignment horizontal="center"/>
    </xf>
    <xf numFmtId="4" fontId="122" fillId="60" borderId="70" xfId="0" applyNumberFormat="1" applyFont="1" applyFill="1" applyBorder="1" applyAlignment="1">
      <alignment horizontal="center"/>
    </xf>
    <xf numFmtId="4" fontId="103" fillId="61" borderId="211" xfId="0" applyNumberFormat="1" applyFont="1" applyFill="1" applyBorder="1" applyAlignment="1"/>
    <xf numFmtId="4" fontId="122" fillId="61" borderId="20" xfId="0" applyNumberFormat="1" applyFont="1" applyFill="1" applyBorder="1" applyAlignment="1"/>
    <xf numFmtId="4" fontId="122" fillId="61" borderId="199" xfId="0" applyNumberFormat="1" applyFont="1" applyFill="1" applyBorder="1" applyAlignment="1"/>
    <xf numFmtId="4" fontId="103" fillId="61" borderId="70" xfId="0" applyNumberFormat="1" applyFont="1" applyFill="1" applyBorder="1" applyAlignment="1"/>
    <xf numFmtId="4" fontId="122" fillId="60" borderId="188" xfId="0" applyNumberFormat="1" applyFont="1" applyFill="1" applyBorder="1" applyAlignment="1">
      <alignment horizontal="center"/>
    </xf>
    <xf numFmtId="4" fontId="122" fillId="59" borderId="199" xfId="0" applyNumberFormat="1" applyFont="1" applyFill="1" applyBorder="1" applyAlignment="1">
      <alignment horizontal="right"/>
    </xf>
    <xf numFmtId="4" fontId="122" fillId="59" borderId="87" xfId="0" applyNumberFormat="1" applyFont="1" applyFill="1" applyBorder="1" applyAlignment="1">
      <alignment horizontal="center"/>
    </xf>
    <xf numFmtId="4" fontId="122" fillId="62" borderId="21" xfId="0" applyNumberFormat="1" applyFont="1" applyFill="1" applyBorder="1" applyAlignment="1">
      <alignment horizontal="right"/>
    </xf>
    <xf numFmtId="4" fontId="122" fillId="59" borderId="85" xfId="0" applyNumberFormat="1" applyFont="1" applyFill="1" applyBorder="1" applyAlignment="1">
      <alignment horizontal="right"/>
    </xf>
    <xf numFmtId="4" fontId="122" fillId="59" borderId="203" xfId="0" applyNumberFormat="1" applyFont="1" applyFill="1" applyBorder="1" applyAlignment="1">
      <alignment horizontal="right"/>
    </xf>
    <xf numFmtId="4" fontId="122" fillId="60" borderId="199" xfId="0" applyNumberFormat="1" applyFont="1" applyFill="1" applyBorder="1" applyAlignment="1">
      <alignment horizontal="center"/>
    </xf>
    <xf numFmtId="4" fontId="122" fillId="61" borderId="309" xfId="0" applyNumberFormat="1" applyFont="1" applyFill="1" applyBorder="1" applyAlignment="1">
      <alignment horizontal="right"/>
    </xf>
    <xf numFmtId="4" fontId="122" fillId="61" borderId="199" xfId="0" applyNumberFormat="1" applyFont="1" applyFill="1" applyBorder="1" applyAlignment="1">
      <alignment horizontal="right"/>
    </xf>
    <xf numFmtId="4" fontId="122" fillId="60" borderId="21" xfId="0" applyNumberFormat="1" applyFont="1" applyFill="1" applyBorder="1" applyAlignment="1">
      <alignment horizontal="right"/>
    </xf>
    <xf numFmtId="4" fontId="122" fillId="60" borderId="199" xfId="0" applyNumberFormat="1" applyFont="1" applyFill="1" applyBorder="1" applyAlignment="1">
      <alignment horizontal="right"/>
    </xf>
    <xf numFmtId="4" fontId="122" fillId="60" borderId="188" xfId="0" applyNumberFormat="1" applyFont="1" applyFill="1" applyBorder="1" applyAlignment="1">
      <alignment horizontal="right"/>
    </xf>
    <xf numFmtId="0" fontId="128" fillId="0" borderId="0" xfId="0" applyFont="1" applyBorder="1"/>
    <xf numFmtId="164" fontId="46" fillId="0" borderId="0" xfId="0" applyNumberFormat="1" applyFont="1" applyBorder="1" applyAlignment="1">
      <alignment horizontal="right"/>
    </xf>
    <xf numFmtId="4" fontId="46" fillId="0" borderId="0" xfId="0" applyNumberFormat="1" applyFont="1" applyBorder="1" applyAlignment="1">
      <alignment horizontal="right"/>
    </xf>
    <xf numFmtId="173" fontId="122" fillId="59" borderId="465" xfId="0" applyNumberFormat="1" applyFont="1" applyFill="1" applyBorder="1"/>
    <xf numFmtId="173" fontId="122" fillId="59" borderId="466" xfId="0" applyNumberFormat="1" applyFont="1" applyFill="1" applyBorder="1"/>
    <xf numFmtId="4" fontId="122" fillId="59" borderId="470" xfId="0" applyNumberFormat="1" applyFont="1" applyFill="1" applyBorder="1"/>
    <xf numFmtId="164" fontId="122" fillId="59" borderId="468" xfId="0" applyNumberFormat="1" applyFont="1" applyFill="1" applyBorder="1"/>
    <xf numFmtId="164" fontId="122" fillId="59" borderId="472" xfId="0" applyNumberFormat="1" applyFont="1" applyFill="1" applyBorder="1"/>
    <xf numFmtId="4" fontId="122" fillId="29" borderId="228" xfId="0" applyNumberFormat="1" applyFont="1" applyFill="1" applyBorder="1"/>
    <xf numFmtId="4" fontId="131" fillId="0" borderId="19" xfId="0" applyNumberFormat="1" applyFont="1" applyBorder="1" applyAlignment="1">
      <alignment vertical="center"/>
    </xf>
    <xf numFmtId="4" fontId="131" fillId="0" borderId="206" xfId="0" applyNumberFormat="1" applyFont="1" applyFill="1" applyBorder="1"/>
    <xf numFmtId="4" fontId="0" fillId="0" borderId="0" xfId="0" applyNumberFormat="1" applyFill="1" applyBorder="1" applyAlignment="1"/>
    <xf numFmtId="164" fontId="149" fillId="0" borderId="0" xfId="0" applyNumberFormat="1" applyFont="1" applyBorder="1" applyAlignment="1">
      <alignment horizontal="center"/>
    </xf>
    <xf numFmtId="4" fontId="46" fillId="0" borderId="0" xfId="0" applyNumberFormat="1" applyFont="1" applyBorder="1" applyAlignment="1">
      <alignment horizontal="center"/>
    </xf>
    <xf numFmtId="4" fontId="46" fillId="0" borderId="0" xfId="0" applyNumberFormat="1" applyFont="1" applyAlignment="1">
      <alignment horizontal="right"/>
    </xf>
    <xf numFmtId="174" fontId="46" fillId="0" borderId="0" xfId="0" applyNumberFormat="1" applyFont="1"/>
    <xf numFmtId="4" fontId="122" fillId="59" borderId="340" xfId="2" applyNumberFormat="1" applyFont="1" applyFill="1" applyBorder="1" applyAlignment="1">
      <alignment horizontal="right" vertical="center"/>
    </xf>
    <xf numFmtId="4" fontId="122" fillId="29" borderId="525" xfId="0" applyNumberFormat="1" applyFont="1" applyFill="1" applyBorder="1"/>
    <xf numFmtId="4" fontId="122" fillId="59" borderId="213" xfId="2" applyNumberFormat="1" applyFont="1" applyFill="1" applyBorder="1" applyAlignment="1">
      <alignment horizontal="right" vertical="center"/>
    </xf>
    <xf numFmtId="4" fontId="122" fillId="29" borderId="526" xfId="0" applyNumberFormat="1" applyFont="1" applyFill="1" applyBorder="1"/>
    <xf numFmtId="4" fontId="132" fillId="0" borderId="310" xfId="0" applyNumberFormat="1" applyFont="1" applyFill="1" applyBorder="1" applyAlignment="1"/>
    <xf numFmtId="4" fontId="123" fillId="64" borderId="329" xfId="1" applyNumberFormat="1" applyFont="1" applyFill="1" applyBorder="1" applyAlignment="1">
      <alignment vertical="center"/>
    </xf>
    <xf numFmtId="4" fontId="123" fillId="64" borderId="336" xfId="1" applyNumberFormat="1" applyFont="1" applyFill="1" applyBorder="1" applyAlignment="1">
      <alignment vertical="center"/>
    </xf>
    <xf numFmtId="4" fontId="123" fillId="64" borderId="302" xfId="1" applyNumberFormat="1" applyFont="1" applyFill="1" applyBorder="1" applyAlignment="1">
      <alignment vertical="center"/>
    </xf>
    <xf numFmtId="9" fontId="122" fillId="64" borderId="319" xfId="1" applyNumberFormat="1" applyFont="1" applyFill="1" applyBorder="1" applyAlignment="1">
      <alignment horizontal="center" vertical="center"/>
    </xf>
    <xf numFmtId="4" fontId="122" fillId="0" borderId="226" xfId="0" applyNumberFormat="1" applyFont="1" applyBorder="1"/>
    <xf numFmtId="4" fontId="122" fillId="0" borderId="160" xfId="0" applyNumberFormat="1" applyFont="1" applyBorder="1" applyAlignment="1">
      <alignment vertical="center"/>
    </xf>
    <xf numFmtId="4" fontId="122" fillId="0" borderId="295" xfId="0" applyNumberFormat="1" applyFont="1" applyBorder="1" applyAlignment="1">
      <alignment vertical="center"/>
    </xf>
    <xf numFmtId="4" fontId="123" fillId="64" borderId="206" xfId="1" applyNumberFormat="1" applyFont="1" applyFill="1" applyBorder="1" applyAlignment="1">
      <alignment vertical="center"/>
    </xf>
    <xf numFmtId="4" fontId="122" fillId="64" borderId="308" xfId="1" applyNumberFormat="1" applyFont="1" applyFill="1" applyBorder="1" applyAlignment="1">
      <alignment vertical="center"/>
    </xf>
    <xf numFmtId="9" fontId="122" fillId="64" borderId="308" xfId="1" applyNumberFormat="1" applyFont="1" applyFill="1" applyBorder="1" applyAlignment="1">
      <alignment horizontal="center" vertical="center"/>
    </xf>
    <xf numFmtId="3" fontId="122" fillId="64" borderId="476" xfId="1" applyNumberFormat="1" applyFont="1" applyFill="1" applyBorder="1" applyAlignment="1">
      <alignment horizontal="center" vertical="center"/>
    </xf>
    <xf numFmtId="3" fontId="122" fillId="64" borderId="504" xfId="1" applyNumberFormat="1" applyFont="1" applyFill="1" applyBorder="1" applyAlignment="1">
      <alignment horizontal="center" vertical="center"/>
    </xf>
    <xf numFmtId="3" fontId="122" fillId="64" borderId="470" xfId="1" applyNumberFormat="1" applyFont="1" applyFill="1" applyBorder="1" applyAlignment="1">
      <alignment horizontal="center" vertical="center"/>
    </xf>
    <xf numFmtId="3" fontId="122" fillId="64" borderId="419" xfId="1" applyNumberFormat="1" applyFont="1" applyFill="1" applyBorder="1" applyAlignment="1">
      <alignment horizontal="center" vertical="center"/>
    </xf>
    <xf numFmtId="4" fontId="122" fillId="64" borderId="336" xfId="1" applyNumberFormat="1" applyFont="1" applyFill="1" applyBorder="1" applyAlignment="1">
      <alignment vertical="center"/>
    </xf>
    <xf numFmtId="4" fontId="122" fillId="64" borderId="151" xfId="1" applyNumberFormat="1" applyFont="1" applyFill="1" applyBorder="1" applyAlignment="1">
      <alignment vertical="center"/>
    </xf>
    <xf numFmtId="4" fontId="122" fillId="64" borderId="319" xfId="1" applyNumberFormat="1" applyFont="1" applyFill="1" applyBorder="1" applyAlignment="1">
      <alignment vertical="center"/>
    </xf>
    <xf numFmtId="4" fontId="122" fillId="64" borderId="19" xfId="1" applyNumberFormat="1" applyFont="1" applyFill="1" applyBorder="1" applyAlignment="1">
      <alignment vertical="center"/>
    </xf>
    <xf numFmtId="4" fontId="122" fillId="64" borderId="22" xfId="1" applyNumberFormat="1" applyFont="1" applyFill="1" applyBorder="1" applyAlignment="1">
      <alignment vertical="center"/>
    </xf>
    <xf numFmtId="3" fontId="122" fillId="64" borderId="290" xfId="1" applyNumberFormat="1" applyFont="1" applyFill="1" applyBorder="1" applyAlignment="1"/>
    <xf numFmtId="4" fontId="122" fillId="64" borderId="290" xfId="1" applyNumberFormat="1" applyFont="1" applyFill="1" applyBorder="1" applyAlignment="1"/>
    <xf numFmtId="4" fontId="122" fillId="64" borderId="294" xfId="1" applyNumberFormat="1" applyFont="1" applyFill="1" applyBorder="1" applyAlignment="1"/>
    <xf numFmtId="4" fontId="122" fillId="64" borderId="417" xfId="1" applyNumberFormat="1" applyFont="1" applyFill="1" applyBorder="1" applyAlignment="1"/>
    <xf numFmtId="4" fontId="122" fillId="64" borderId="293" xfId="1" applyNumberFormat="1" applyFont="1" applyFill="1" applyBorder="1" applyAlignment="1"/>
    <xf numFmtId="3" fontId="122" fillId="64" borderId="290" xfId="1" applyNumberFormat="1" applyFont="1" applyFill="1" applyBorder="1" applyAlignment="1">
      <alignment horizontal="right"/>
    </xf>
    <xf numFmtId="4" fontId="122" fillId="83" borderId="290" xfId="1" applyNumberFormat="1" applyFont="1" applyFill="1" applyBorder="1" applyAlignment="1"/>
    <xf numFmtId="4" fontId="122" fillId="83" borderId="417" xfId="1" applyNumberFormat="1" applyFont="1" applyFill="1" applyBorder="1" applyAlignment="1"/>
    <xf numFmtId="4" fontId="122" fillId="64" borderId="285" xfId="1" applyNumberFormat="1" applyFont="1" applyFill="1" applyBorder="1" applyAlignment="1"/>
    <xf numFmtId="4" fontId="122" fillId="64" borderId="224" xfId="1" applyNumberFormat="1" applyFont="1" applyFill="1" applyBorder="1" applyAlignment="1"/>
    <xf numFmtId="0" fontId="131" fillId="0" borderId="314" xfId="207" applyFont="1" applyFill="1" applyBorder="1" applyAlignment="1"/>
    <xf numFmtId="4" fontId="123" fillId="64" borderId="387" xfId="0" applyNumberFormat="1" applyFont="1" applyFill="1" applyBorder="1" applyAlignment="1">
      <alignment vertical="center" wrapText="1"/>
    </xf>
    <xf numFmtId="3" fontId="122" fillId="0" borderId="419" xfId="0" applyNumberFormat="1" applyFont="1" applyBorder="1" applyAlignment="1">
      <alignment horizontal="center"/>
    </xf>
    <xf numFmtId="4" fontId="131" fillId="59" borderId="336" xfId="0" applyNumberFormat="1" applyFont="1" applyFill="1" applyBorder="1"/>
    <xf numFmtId="0" fontId="127" fillId="0" borderId="464" xfId="207" applyFont="1" applyFill="1" applyBorder="1" applyAlignment="1"/>
    <xf numFmtId="4" fontId="122" fillId="62" borderId="151" xfId="0" applyNumberFormat="1" applyFont="1" applyFill="1" applyBorder="1"/>
    <xf numFmtId="4" fontId="122" fillId="59" borderId="343" xfId="0" applyNumberFormat="1" applyFont="1" applyFill="1" applyBorder="1"/>
    <xf numFmtId="4" fontId="122" fillId="61" borderId="509" xfId="0" applyNumberFormat="1" applyFont="1" applyFill="1" applyBorder="1"/>
    <xf numFmtId="4" fontId="127" fillId="29" borderId="299" xfId="0" applyNumberFormat="1" applyFont="1" applyFill="1" applyBorder="1"/>
    <xf numFmtId="4" fontId="128" fillId="0" borderId="0" xfId="0" applyNumberFormat="1" applyFont="1" applyFill="1" applyAlignment="1">
      <alignment horizontal="right"/>
    </xf>
    <xf numFmtId="4" fontId="128" fillId="0" borderId="0" xfId="0" applyNumberFormat="1" applyFont="1" applyFill="1"/>
    <xf numFmtId="4" fontId="123" fillId="0" borderId="387" xfId="0" applyNumberFormat="1" applyFont="1" applyFill="1" applyBorder="1" applyAlignment="1">
      <alignment vertical="center"/>
    </xf>
    <xf numFmtId="4" fontId="122" fillId="59" borderId="467" xfId="0" applyNumberFormat="1" applyFont="1" applyFill="1" applyBorder="1" applyAlignment="1">
      <alignment vertical="center"/>
    </xf>
    <xf numFmtId="4" fontId="122" fillId="59" borderId="470" xfId="0" applyNumberFormat="1" applyFont="1" applyFill="1" applyBorder="1" applyAlignment="1">
      <alignment vertical="center"/>
    </xf>
    <xf numFmtId="3" fontId="122" fillId="35" borderId="193" xfId="1" applyNumberFormat="1" applyFont="1" applyFill="1" applyBorder="1" applyAlignment="1">
      <alignment horizontal="center"/>
    </xf>
    <xf numFmtId="43" fontId="132" fillId="64" borderId="229" xfId="15794" applyFont="1" applyFill="1" applyBorder="1" applyAlignment="1">
      <alignment horizontal="right" wrapText="1"/>
    </xf>
    <xf numFmtId="43" fontId="123" fillId="64" borderId="294" xfId="15794" applyFont="1" applyFill="1" applyBorder="1" applyAlignment="1">
      <alignment horizontal="right" vertical="center"/>
    </xf>
    <xf numFmtId="4" fontId="122" fillId="85" borderId="66" xfId="0" applyNumberFormat="1" applyFont="1" applyFill="1" applyBorder="1"/>
    <xf numFmtId="4" fontId="60" fillId="31" borderId="28" xfId="0" applyNumberFormat="1" applyFont="1" applyFill="1" applyBorder="1" applyAlignment="1">
      <alignment horizontal="center" vertical="center"/>
    </xf>
    <xf numFmtId="4" fontId="60" fillId="31" borderId="90" xfId="0" applyNumberFormat="1" applyFont="1" applyFill="1" applyBorder="1" applyAlignment="1">
      <alignment horizontal="center" vertical="center"/>
    </xf>
    <xf numFmtId="0" fontId="51" fillId="36" borderId="94" xfId="0" applyFont="1" applyFill="1" applyBorder="1" applyAlignment="1">
      <alignment horizontal="center" vertical="center" wrapText="1"/>
    </xf>
    <xf numFmtId="0" fontId="51" fillId="36" borderId="92" xfId="0" applyFont="1" applyFill="1" applyBorder="1" applyAlignment="1">
      <alignment horizontal="center" vertical="center" wrapText="1"/>
    </xf>
    <xf numFmtId="4" fontId="47" fillId="36" borderId="94" xfId="0" applyNumberFormat="1" applyFont="1" applyFill="1" applyBorder="1" applyAlignment="1">
      <alignment horizontal="center" vertical="center"/>
    </xf>
    <xf numFmtId="4" fontId="47" fillId="36" borderId="32" xfId="0" applyNumberFormat="1" applyFont="1" applyFill="1" applyBorder="1" applyAlignment="1">
      <alignment horizontal="center" vertical="center"/>
    </xf>
    <xf numFmtId="4" fontId="47" fillId="36" borderId="41" xfId="0" applyNumberFormat="1" applyFont="1" applyFill="1" applyBorder="1" applyAlignment="1">
      <alignment horizontal="center" vertical="center"/>
    </xf>
    <xf numFmtId="4" fontId="47" fillId="36" borderId="92" xfId="0" applyNumberFormat="1" applyFont="1" applyFill="1" applyBorder="1" applyAlignment="1">
      <alignment horizontal="center" vertical="center"/>
    </xf>
    <xf numFmtId="4" fontId="47" fillId="27" borderId="94" xfId="0" applyNumberFormat="1" applyFont="1" applyFill="1" applyBorder="1" applyAlignment="1">
      <alignment horizontal="center" vertical="center"/>
    </xf>
    <xf numFmtId="4" fontId="47" fillId="27" borderId="41" xfId="0" applyNumberFormat="1" applyFont="1" applyFill="1" applyBorder="1" applyAlignment="1">
      <alignment horizontal="center" vertical="center"/>
    </xf>
    <xf numFmtId="4" fontId="47" fillId="27" borderId="103" xfId="0" applyNumberFormat="1" applyFont="1" applyFill="1" applyBorder="1" applyAlignment="1">
      <alignment horizontal="center" vertical="center"/>
    </xf>
    <xf numFmtId="4" fontId="56" fillId="29" borderId="62" xfId="0" applyNumberFormat="1" applyFont="1" applyFill="1" applyBorder="1" applyAlignment="1">
      <alignment horizontal="center" vertical="center"/>
    </xf>
    <xf numFmtId="4" fontId="56" fillId="29" borderId="77" xfId="0" applyNumberFormat="1" applyFont="1" applyFill="1" applyBorder="1" applyAlignment="1">
      <alignment horizontal="center" vertical="center"/>
    </xf>
    <xf numFmtId="4" fontId="56" fillId="29" borderId="41" xfId="0" applyNumberFormat="1" applyFont="1" applyFill="1" applyBorder="1" applyAlignment="1">
      <alignment horizontal="center" vertical="center"/>
    </xf>
    <xf numFmtId="4" fontId="56" fillId="29" borderId="92" xfId="0" applyNumberFormat="1" applyFont="1" applyFill="1" applyBorder="1" applyAlignment="1">
      <alignment horizontal="center" vertical="center"/>
    </xf>
    <xf numFmtId="4" fontId="47" fillId="37" borderId="94" xfId="0" applyNumberFormat="1" applyFont="1" applyFill="1" applyBorder="1" applyAlignment="1">
      <alignment horizontal="center" vertical="center"/>
    </xf>
    <xf numFmtId="4" fontId="47" fillId="37" borderId="32" xfId="0" applyNumberFormat="1" applyFont="1" applyFill="1" applyBorder="1" applyAlignment="1">
      <alignment horizontal="center" vertical="center"/>
    </xf>
    <xf numFmtId="4" fontId="51" fillId="29" borderId="94" xfId="0" applyNumberFormat="1" applyFont="1" applyFill="1" applyBorder="1" applyAlignment="1">
      <alignment horizontal="center" vertical="center" wrapText="1"/>
    </xf>
    <xf numFmtId="4" fontId="51" fillId="29" borderId="92" xfId="0" applyNumberFormat="1" applyFont="1" applyFill="1" applyBorder="1" applyAlignment="1">
      <alignment horizontal="center" vertical="center" wrapText="1"/>
    </xf>
    <xf numFmtId="4" fontId="47" fillId="37" borderId="92" xfId="0" applyNumberFormat="1" applyFont="1" applyFill="1" applyBorder="1" applyAlignment="1">
      <alignment horizontal="center" vertical="center"/>
    </xf>
    <xf numFmtId="4" fontId="56" fillId="27" borderId="114" xfId="0" applyNumberFormat="1" applyFont="1" applyFill="1" applyBorder="1" applyAlignment="1">
      <alignment horizontal="center" vertical="center"/>
    </xf>
    <xf numFmtId="4" fontId="56" fillId="27" borderId="129" xfId="0" applyNumberFormat="1" applyFont="1" applyFill="1" applyBorder="1" applyAlignment="1">
      <alignment horizontal="center" vertical="center"/>
    </xf>
    <xf numFmtId="4" fontId="56" fillId="27" borderId="128" xfId="0" applyNumberFormat="1" applyFont="1" applyFill="1" applyBorder="1" applyAlignment="1">
      <alignment horizontal="center" vertical="center"/>
    </xf>
    <xf numFmtId="10" fontId="49" fillId="29" borderId="119" xfId="0" applyNumberFormat="1" applyFont="1" applyFill="1" applyBorder="1" applyAlignment="1">
      <alignment horizontal="center" vertical="center" wrapText="1"/>
    </xf>
    <xf numFmtId="10" fontId="61" fillId="29" borderId="89" xfId="0" applyNumberFormat="1" applyFont="1" applyFill="1" applyBorder="1" applyAlignment="1">
      <alignment horizontal="center" vertical="center" wrapText="1"/>
    </xf>
    <xf numFmtId="10" fontId="61" fillId="29" borderId="103" xfId="0" applyNumberFormat="1" applyFont="1" applyFill="1" applyBorder="1" applyAlignment="1">
      <alignment horizontal="center" vertical="center" wrapText="1"/>
    </xf>
    <xf numFmtId="4" fontId="56" fillId="29" borderId="114" xfId="0" applyNumberFormat="1" applyFont="1" applyFill="1" applyBorder="1" applyAlignment="1">
      <alignment horizontal="center" vertical="center" wrapText="1"/>
    </xf>
    <xf numFmtId="4" fontId="56" fillId="29" borderId="129" xfId="0" applyNumberFormat="1" applyFont="1" applyFill="1" applyBorder="1" applyAlignment="1">
      <alignment horizontal="center" vertical="center" wrapText="1"/>
    </xf>
    <xf numFmtId="4" fontId="56" fillId="29" borderId="115" xfId="0" applyNumberFormat="1" applyFont="1" applyFill="1" applyBorder="1" applyAlignment="1">
      <alignment horizontal="center" vertical="center" wrapText="1"/>
    </xf>
    <xf numFmtId="4" fontId="47" fillId="36" borderId="143" xfId="0" applyNumberFormat="1" applyFont="1" applyFill="1" applyBorder="1" applyAlignment="1">
      <alignment horizontal="center" vertical="center"/>
    </xf>
    <xf numFmtId="4" fontId="56" fillId="36" borderId="114" xfId="0" applyNumberFormat="1" applyFont="1" applyFill="1" applyBorder="1" applyAlignment="1">
      <alignment horizontal="center" vertical="center" wrapText="1"/>
    </xf>
    <xf numFmtId="4" fontId="56" fillId="36" borderId="129" xfId="0" applyNumberFormat="1" applyFont="1" applyFill="1" applyBorder="1" applyAlignment="1">
      <alignment horizontal="center" vertical="center" wrapText="1"/>
    </xf>
    <xf numFmtId="4" fontId="56" fillId="36" borderId="115" xfId="0" applyNumberFormat="1" applyFont="1" applyFill="1" applyBorder="1" applyAlignment="1">
      <alignment horizontal="center" vertical="center" wrapText="1"/>
    </xf>
    <xf numFmtId="4" fontId="47" fillId="29" borderId="143" xfId="0" applyNumberFormat="1" applyFont="1" applyFill="1" applyBorder="1" applyAlignment="1">
      <alignment horizontal="center" vertical="center"/>
    </xf>
    <xf numFmtId="4" fontId="47" fillId="29" borderId="32" xfId="0" applyNumberFormat="1" applyFont="1" applyFill="1" applyBorder="1" applyAlignment="1">
      <alignment horizontal="center" vertical="center"/>
    </xf>
    <xf numFmtId="4" fontId="47" fillId="29" borderId="94" xfId="0" applyNumberFormat="1" applyFont="1" applyFill="1" applyBorder="1" applyAlignment="1">
      <alignment horizontal="center" vertical="center"/>
    </xf>
    <xf numFmtId="4" fontId="47" fillId="29" borderId="41" xfId="0" applyNumberFormat="1" applyFont="1" applyFill="1" applyBorder="1" applyAlignment="1">
      <alignment horizontal="center" vertical="center"/>
    </xf>
    <xf numFmtId="4" fontId="47" fillId="29" borderId="92" xfId="0" applyNumberFormat="1" applyFont="1" applyFill="1" applyBorder="1" applyAlignment="1">
      <alignment horizontal="center" vertical="center"/>
    </xf>
    <xf numFmtId="4" fontId="60" fillId="43" borderId="62" xfId="0" applyNumberFormat="1" applyFont="1" applyFill="1" applyBorder="1" applyAlignment="1">
      <alignment horizontal="center" vertical="center"/>
    </xf>
    <xf numFmtId="4" fontId="60" fillId="43" borderId="119" xfId="0" applyNumberFormat="1" applyFont="1" applyFill="1" applyBorder="1" applyAlignment="1">
      <alignment horizontal="center" vertical="center"/>
    </xf>
    <xf numFmtId="4" fontId="60" fillId="43" borderId="28" xfId="0" applyNumberFormat="1" applyFont="1" applyFill="1" applyBorder="1" applyAlignment="1">
      <alignment horizontal="center" vertical="center"/>
    </xf>
    <xf numFmtId="4" fontId="60" fillId="43" borderId="90" xfId="0" applyNumberFormat="1" applyFont="1" applyFill="1" applyBorder="1" applyAlignment="1">
      <alignment horizontal="center" vertical="center"/>
    </xf>
    <xf numFmtId="4" fontId="56" fillId="27" borderId="62" xfId="0" applyNumberFormat="1" applyFont="1" applyFill="1" applyBorder="1" applyAlignment="1">
      <alignment horizontal="center" vertical="center"/>
    </xf>
    <xf numFmtId="4" fontId="56" fillId="27" borderId="77" xfId="0" applyNumberFormat="1" applyFont="1" applyFill="1" applyBorder="1" applyAlignment="1">
      <alignment horizontal="center" vertical="center"/>
    </xf>
    <xf numFmtId="4" fontId="56" fillId="27" borderId="41" xfId="0" applyNumberFormat="1" applyFont="1" applyFill="1" applyBorder="1" applyAlignment="1">
      <alignment horizontal="center" vertical="center"/>
    </xf>
    <xf numFmtId="4" fontId="56" fillId="27" borderId="92" xfId="0" applyNumberFormat="1" applyFont="1" applyFill="1" applyBorder="1" applyAlignment="1">
      <alignment horizontal="center" vertical="center"/>
    </xf>
    <xf numFmtId="4" fontId="56" fillId="37" borderId="114" xfId="0" applyNumberFormat="1" applyFont="1" applyFill="1" applyBorder="1" applyAlignment="1">
      <alignment horizontal="center" vertical="center"/>
    </xf>
    <xf numFmtId="4" fontId="56" fillId="37" borderId="129" xfId="0" applyNumberFormat="1" applyFont="1" applyFill="1" applyBorder="1" applyAlignment="1">
      <alignment horizontal="center" vertical="center"/>
    </xf>
    <xf numFmtId="4" fontId="56" fillId="37" borderId="115" xfId="0" applyNumberFormat="1" applyFont="1" applyFill="1" applyBorder="1" applyAlignment="1">
      <alignment horizontal="center" vertical="center"/>
    </xf>
    <xf numFmtId="4" fontId="47" fillId="27" borderId="143" xfId="0" applyNumberFormat="1" applyFont="1" applyFill="1" applyBorder="1" applyAlignment="1">
      <alignment horizontal="center" vertical="center"/>
    </xf>
    <xf numFmtId="4" fontId="47" fillId="27" borderId="32" xfId="0" applyNumberFormat="1" applyFont="1" applyFill="1" applyBorder="1" applyAlignment="1">
      <alignment horizontal="center" vertical="center"/>
    </xf>
    <xf numFmtId="4" fontId="47" fillId="37" borderId="143" xfId="0" applyNumberFormat="1" applyFont="1" applyFill="1" applyBorder="1" applyAlignment="1">
      <alignment horizontal="center" vertical="center"/>
    </xf>
    <xf numFmtId="4" fontId="50" fillId="35" borderId="76" xfId="0" applyNumberFormat="1" applyFont="1" applyFill="1" applyBorder="1" applyAlignment="1">
      <alignment horizontal="center" vertical="center"/>
    </xf>
    <xf numFmtId="4" fontId="50" fillId="35" borderId="77" xfId="0" applyNumberFormat="1" applyFont="1" applyFill="1" applyBorder="1" applyAlignment="1">
      <alignment horizontal="center" vertical="center"/>
    </xf>
    <xf numFmtId="4" fontId="50" fillId="35" borderId="102" xfId="0" applyNumberFormat="1" applyFont="1" applyFill="1" applyBorder="1" applyAlignment="1">
      <alignment horizontal="center" vertical="center"/>
    </xf>
    <xf numFmtId="4" fontId="50" fillId="35" borderId="132" xfId="0" applyNumberFormat="1" applyFont="1" applyFill="1" applyBorder="1" applyAlignment="1">
      <alignment horizontal="center" vertical="center"/>
    </xf>
    <xf numFmtId="4" fontId="50" fillId="35" borderId="78" xfId="0" applyNumberFormat="1" applyFont="1" applyFill="1" applyBorder="1" applyAlignment="1">
      <alignment horizontal="center" vertical="center"/>
    </xf>
    <xf numFmtId="4" fontId="50" fillId="35" borderId="79" xfId="0" applyNumberFormat="1" applyFont="1" applyFill="1" applyBorder="1" applyAlignment="1">
      <alignment horizontal="center" vertical="center"/>
    </xf>
    <xf numFmtId="4" fontId="60" fillId="37" borderId="62" xfId="0" applyNumberFormat="1" applyFont="1" applyFill="1" applyBorder="1" applyAlignment="1">
      <alignment horizontal="center" vertical="center"/>
    </xf>
    <xf numFmtId="4" fontId="60" fillId="37" borderId="119" xfId="0" applyNumberFormat="1" applyFont="1" applyFill="1" applyBorder="1" applyAlignment="1">
      <alignment horizontal="center" vertical="center"/>
    </xf>
    <xf numFmtId="4" fontId="60" fillId="37" borderId="28" xfId="0" applyNumberFormat="1" applyFont="1" applyFill="1" applyBorder="1" applyAlignment="1">
      <alignment horizontal="center" vertical="center"/>
    </xf>
    <xf numFmtId="4" fontId="60" fillId="37" borderId="90" xfId="0" applyNumberFormat="1" applyFont="1" applyFill="1" applyBorder="1" applyAlignment="1">
      <alignment horizontal="center" vertical="center"/>
    </xf>
    <xf numFmtId="4" fontId="48" fillId="35" borderId="13" xfId="0" applyNumberFormat="1" applyFont="1" applyFill="1" applyBorder="1" applyAlignment="1">
      <alignment horizontal="center" vertical="center"/>
    </xf>
    <xf numFmtId="4" fontId="63" fillId="35" borderId="105" xfId="0" applyNumberFormat="1" applyFont="1" applyFill="1" applyBorder="1" applyAlignment="1">
      <alignment horizontal="center" vertical="center"/>
    </xf>
    <xf numFmtId="4" fontId="63" fillId="35" borderId="34" xfId="0" applyNumberFormat="1" applyFont="1" applyFill="1" applyBorder="1" applyAlignment="1">
      <alignment horizontal="center" vertical="center"/>
    </xf>
    <xf numFmtId="4" fontId="63" fillId="35" borderId="106" xfId="0" applyNumberFormat="1" applyFont="1" applyFill="1" applyBorder="1" applyAlignment="1">
      <alignment horizontal="center" vertical="center"/>
    </xf>
    <xf numFmtId="0" fontId="60" fillId="0" borderId="0" xfId="0" applyFont="1" applyBorder="1" applyAlignment="1">
      <alignment horizontal="center" vertical="center" wrapText="1"/>
    </xf>
    <xf numFmtId="0" fontId="60" fillId="0" borderId="89" xfId="0" applyFont="1" applyBorder="1" applyAlignment="1">
      <alignment horizontal="center" vertical="center" wrapText="1"/>
    </xf>
    <xf numFmtId="0" fontId="47" fillId="0" borderId="123" xfId="0" applyFont="1" applyBorder="1" applyAlignment="1">
      <alignment horizontal="center" vertical="center" wrapText="1"/>
    </xf>
    <xf numFmtId="0" fontId="47" fillId="0" borderId="129" xfId="0" applyFont="1" applyBorder="1" applyAlignment="1">
      <alignment horizontal="center" vertical="center" wrapText="1"/>
    </xf>
    <xf numFmtId="4" fontId="48" fillId="35" borderId="102" xfId="0" applyNumberFormat="1" applyFont="1" applyFill="1" applyBorder="1" applyAlignment="1">
      <alignment horizontal="left" vertical="center" textRotation="90" wrapText="1"/>
    </xf>
    <xf numFmtId="4" fontId="48" fillId="35" borderId="78" xfId="0" applyNumberFormat="1" applyFont="1" applyFill="1" applyBorder="1" applyAlignment="1">
      <alignment horizontal="left" vertical="center" textRotation="90" wrapText="1"/>
    </xf>
    <xf numFmtId="4" fontId="53" fillId="35" borderId="105" xfId="0" applyNumberFormat="1" applyFont="1" applyFill="1" applyBorder="1" applyAlignment="1">
      <alignment horizontal="center" vertical="center"/>
    </xf>
    <xf numFmtId="4" fontId="53" fillId="35" borderId="34" xfId="0" applyNumberFormat="1" applyFont="1" applyFill="1" applyBorder="1" applyAlignment="1">
      <alignment horizontal="center" vertical="center"/>
    </xf>
    <xf numFmtId="0" fontId="51" fillId="0" borderId="49" xfId="0" applyFont="1" applyBorder="1" applyAlignment="1">
      <alignment horizontal="left" vertical="center" textRotation="90" wrapText="1"/>
    </xf>
    <xf numFmtId="0" fontId="51" fillId="0" borderId="51" xfId="0" applyFont="1" applyBorder="1" applyAlignment="1">
      <alignment horizontal="left" vertical="center" textRotation="90" wrapText="1"/>
    </xf>
    <xf numFmtId="0" fontId="51" fillId="0" borderId="51" xfId="0" applyFont="1" applyBorder="1" applyAlignment="1">
      <alignment horizontal="left" vertical="center" textRotation="90"/>
    </xf>
    <xf numFmtId="0" fontId="51" fillId="0" borderId="75" xfId="0" applyFont="1" applyBorder="1" applyAlignment="1">
      <alignment horizontal="left" vertical="center" textRotation="90"/>
    </xf>
    <xf numFmtId="4" fontId="54" fillId="35" borderId="162" xfId="0" applyNumberFormat="1" applyFont="1" applyFill="1" applyBorder="1" applyAlignment="1">
      <alignment horizontal="center" vertical="center" textRotation="90"/>
    </xf>
    <xf numFmtId="4" fontId="54" fillId="35" borderId="131" xfId="0" applyNumberFormat="1" applyFont="1" applyFill="1" applyBorder="1" applyAlignment="1">
      <alignment horizontal="center" vertical="center" textRotation="90"/>
    </xf>
    <xf numFmtId="4" fontId="48" fillId="35" borderId="42" xfId="0" applyNumberFormat="1" applyFont="1" applyFill="1" applyBorder="1" applyAlignment="1">
      <alignment horizontal="center" vertical="center"/>
    </xf>
    <xf numFmtId="0" fontId="47" fillId="0" borderId="29" xfId="0" applyFont="1" applyFill="1" applyBorder="1" applyAlignment="1">
      <alignment horizontal="left" vertical="center" wrapText="1"/>
    </xf>
    <xf numFmtId="0" fontId="47" fillId="0" borderId="14" xfId="0" applyFont="1" applyFill="1" applyBorder="1" applyAlignment="1">
      <alignment horizontal="left" vertical="center" wrapText="1"/>
    </xf>
    <xf numFmtId="0" fontId="47" fillId="0" borderId="101" xfId="0" applyFont="1" applyFill="1" applyBorder="1" applyAlignment="1">
      <alignment horizontal="left" vertical="center" wrapText="1"/>
    </xf>
    <xf numFmtId="0" fontId="47" fillId="0" borderId="76" xfId="0" applyFont="1" applyBorder="1" applyAlignment="1">
      <alignment horizontal="left" vertical="center" textRotation="90" wrapText="1"/>
    </xf>
    <xf numFmtId="0" fontId="46" fillId="0" borderId="62" xfId="0" applyFont="1" applyBorder="1"/>
    <xf numFmtId="0" fontId="47" fillId="0" borderId="102" xfId="0" applyFont="1" applyBorder="1" applyAlignment="1">
      <alignment horizontal="left" vertical="center" textRotation="90" wrapText="1"/>
    </xf>
    <xf numFmtId="0" fontId="46" fillId="0" borderId="0" xfId="0" applyFont="1" applyBorder="1"/>
    <xf numFmtId="0" fontId="46" fillId="0" borderId="102" xfId="0" applyFont="1" applyBorder="1"/>
    <xf numFmtId="0" fontId="46" fillId="0" borderId="78" xfId="0" applyFont="1" applyBorder="1"/>
    <xf numFmtId="0" fontId="46" fillId="0" borderId="28" xfId="0" applyFont="1" applyBorder="1"/>
    <xf numFmtId="0" fontId="72" fillId="27" borderId="71" xfId="0" applyFont="1" applyFill="1" applyBorder="1" applyAlignment="1">
      <alignment horizontal="center" vertical="center" textRotation="90"/>
    </xf>
    <xf numFmtId="0" fontId="72" fillId="27" borderId="93" xfId="0" applyFont="1" applyFill="1" applyBorder="1" applyAlignment="1">
      <alignment horizontal="center" vertical="center" textRotation="90"/>
    </xf>
    <xf numFmtId="0" fontId="47" fillId="0" borderId="0" xfId="0" applyFont="1" applyBorder="1" applyAlignment="1">
      <alignment horizontal="left" vertical="center" textRotation="90" wrapText="1"/>
    </xf>
    <xf numFmtId="0" fontId="47" fillId="0" borderId="78" xfId="0" applyFont="1" applyBorder="1" applyAlignment="1">
      <alignment horizontal="left" vertical="center" textRotation="90" wrapText="1"/>
    </xf>
    <xf numFmtId="0" fontId="47" fillId="0" borderId="28" xfId="0" applyFont="1" applyBorder="1" applyAlignment="1">
      <alignment horizontal="left" vertical="center" textRotation="90" wrapText="1"/>
    </xf>
    <xf numFmtId="0" fontId="47" fillId="0" borderId="62" xfId="0" applyFont="1" applyBorder="1" applyAlignment="1">
      <alignment horizontal="left" vertical="center" textRotation="90" wrapText="1"/>
    </xf>
    <xf numFmtId="0" fontId="47" fillId="0" borderId="29" xfId="0" applyFont="1" applyBorder="1" applyAlignment="1">
      <alignment horizontal="left" vertical="center" wrapText="1"/>
    </xf>
    <xf numFmtId="0" fontId="47" fillId="0" borderId="15" xfId="0" applyFont="1" applyBorder="1" applyAlignment="1">
      <alignment horizontal="left" vertical="center" wrapText="1"/>
    </xf>
    <xf numFmtId="4" fontId="47" fillId="0" borderId="76" xfId="0" applyNumberFormat="1" applyFont="1" applyBorder="1" applyAlignment="1">
      <alignment horizontal="left" vertical="center" wrapText="1"/>
    </xf>
    <xf numFmtId="4" fontId="47" fillId="0" borderId="62" xfId="0" applyNumberFormat="1" applyFont="1" applyBorder="1" applyAlignment="1">
      <alignment horizontal="left" vertical="center"/>
    </xf>
    <xf numFmtId="4" fontId="47" fillId="0" borderId="78" xfId="0" applyNumberFormat="1" applyFont="1" applyBorder="1" applyAlignment="1">
      <alignment horizontal="left" vertical="center"/>
    </xf>
    <xf numFmtId="4" fontId="47" fillId="0" borderId="28" xfId="0" applyNumberFormat="1" applyFont="1" applyBorder="1" applyAlignment="1">
      <alignment horizontal="left" vertical="center"/>
    </xf>
    <xf numFmtId="0" fontId="47" fillId="0" borderId="29" xfId="0" applyFont="1" applyFill="1" applyBorder="1" applyAlignment="1">
      <alignment horizontal="left" vertical="center"/>
    </xf>
    <xf numFmtId="0" fontId="47" fillId="0" borderId="15" xfId="0" applyFont="1" applyFill="1" applyBorder="1" applyAlignment="1">
      <alignment horizontal="left" vertical="center"/>
    </xf>
    <xf numFmtId="0" fontId="47" fillId="0" borderId="62" xfId="0" applyFont="1" applyFill="1" applyBorder="1" applyAlignment="1">
      <alignment horizontal="left" vertical="center" wrapText="1"/>
    </xf>
    <xf numFmtId="0" fontId="46" fillId="0" borderId="77" xfId="0" applyFont="1" applyBorder="1" applyAlignment="1">
      <alignment horizontal="left" vertical="center"/>
    </xf>
    <xf numFmtId="0" fontId="46" fillId="0" borderId="28" xfId="0" applyFont="1" applyBorder="1" applyAlignment="1">
      <alignment horizontal="left" vertical="center"/>
    </xf>
    <xf numFmtId="0" fontId="46" fillId="0" borderId="79" xfId="0" applyFont="1" applyBorder="1" applyAlignment="1">
      <alignment horizontal="left" vertical="center"/>
    </xf>
    <xf numFmtId="0" fontId="47" fillId="0" borderId="77" xfId="0" applyFont="1" applyBorder="1" applyAlignment="1">
      <alignment horizontal="left" vertical="center" textRotation="90" wrapText="1"/>
    </xf>
    <xf numFmtId="0" fontId="47" fillId="0" borderId="132" xfId="0" applyFont="1" applyBorder="1" applyAlignment="1">
      <alignment horizontal="left" vertical="center" textRotation="90" wrapText="1"/>
    </xf>
    <xf numFmtId="0" fontId="47" fillId="0" borderId="79" xfId="0" applyFont="1" applyBorder="1" applyAlignment="1">
      <alignment horizontal="left" vertical="center" textRotation="90" wrapText="1"/>
    </xf>
    <xf numFmtId="0" fontId="72" fillId="44" borderId="71" xfId="0" applyFont="1" applyFill="1" applyBorder="1" applyAlignment="1">
      <alignment horizontal="center" vertical="center" textRotation="90"/>
    </xf>
    <xf numFmtId="0" fontId="72" fillId="44" borderId="131" xfId="0" applyFont="1" applyFill="1" applyBorder="1" applyAlignment="1">
      <alignment horizontal="center" vertical="center" textRotation="90"/>
    </xf>
    <xf numFmtId="0" fontId="72" fillId="44" borderId="93" xfId="0" applyFont="1" applyFill="1" applyBorder="1" applyAlignment="1">
      <alignment horizontal="center" vertical="center" textRotation="90"/>
    </xf>
    <xf numFmtId="0" fontId="47" fillId="0" borderId="76" xfId="0" applyFont="1" applyFill="1" applyBorder="1" applyAlignment="1">
      <alignment horizontal="left" vertical="center" textRotation="90" wrapText="1"/>
    </xf>
    <xf numFmtId="0" fontId="47" fillId="0" borderId="62" xfId="0" applyFont="1" applyFill="1" applyBorder="1" applyAlignment="1">
      <alignment horizontal="left" vertical="center" textRotation="90"/>
    </xf>
    <xf numFmtId="0" fontId="47" fillId="0" borderId="102" xfId="0" applyFont="1" applyFill="1" applyBorder="1" applyAlignment="1">
      <alignment horizontal="left" vertical="center" textRotation="90" wrapText="1"/>
    </xf>
    <xf numFmtId="0" fontId="47" fillId="0" borderId="0" xfId="0" applyFont="1" applyFill="1" applyBorder="1" applyAlignment="1">
      <alignment horizontal="left" vertical="center" textRotation="90"/>
    </xf>
    <xf numFmtId="0" fontId="47" fillId="0" borderId="102" xfId="0" applyFont="1" applyFill="1" applyBorder="1" applyAlignment="1">
      <alignment horizontal="left" vertical="center" textRotation="90"/>
    </xf>
    <xf numFmtId="0" fontId="47" fillId="0" borderId="78" xfId="0" applyFont="1" applyFill="1" applyBorder="1" applyAlignment="1">
      <alignment horizontal="left" vertical="center" textRotation="90"/>
    </xf>
    <xf numFmtId="0" fontId="47" fillId="0" borderId="28" xfId="0" applyFont="1" applyFill="1" applyBorder="1" applyAlignment="1">
      <alignment horizontal="left" vertical="center" textRotation="90"/>
    </xf>
    <xf numFmtId="4" fontId="53" fillId="35" borderId="102" xfId="0" applyNumberFormat="1" applyFont="1" applyFill="1" applyBorder="1" applyAlignment="1">
      <alignment horizontal="left" vertical="center" textRotation="90" wrapText="1"/>
    </xf>
    <xf numFmtId="4" fontId="53" fillId="35" borderId="78" xfId="0" applyNumberFormat="1" applyFont="1" applyFill="1" applyBorder="1" applyAlignment="1">
      <alignment horizontal="left" vertical="center" textRotation="90" wrapText="1"/>
    </xf>
    <xf numFmtId="4" fontId="48" fillId="35" borderId="76" xfId="0" applyNumberFormat="1" applyFont="1" applyFill="1" applyBorder="1" applyAlignment="1">
      <alignment horizontal="left" vertical="center" textRotation="90" wrapText="1"/>
    </xf>
    <xf numFmtId="4" fontId="62" fillId="0" borderId="119" xfId="0" applyNumberFormat="1" applyFont="1" applyFill="1" applyBorder="1" applyAlignment="1">
      <alignment horizontal="center" vertical="center"/>
    </xf>
    <xf numFmtId="4" fontId="62" fillId="0" borderId="89" xfId="0" applyNumberFormat="1" applyFont="1" applyFill="1" applyBorder="1" applyAlignment="1">
      <alignment horizontal="center" vertical="center"/>
    </xf>
    <xf numFmtId="4" fontId="51" fillId="29" borderId="104" xfId="0" applyNumberFormat="1" applyFont="1" applyFill="1" applyBorder="1" applyAlignment="1">
      <alignment horizontal="center" vertical="center" wrapText="1"/>
    </xf>
    <xf numFmtId="4" fontId="51" fillId="29" borderId="109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164" fontId="36" fillId="0" borderId="0" xfId="0" applyNumberFormat="1" applyFont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45" fillId="0" borderId="0" xfId="0" applyFont="1" applyAlignment="1">
      <alignment horizontal="center" vertical="center" wrapText="1"/>
    </xf>
    <xf numFmtId="10" fontId="41" fillId="0" borderId="20" xfId="0" applyNumberFormat="1" applyFont="1" applyBorder="1" applyAlignment="1">
      <alignment horizontal="right" vertical="center"/>
    </xf>
    <xf numFmtId="10" fontId="41" fillId="0" borderId="18" xfId="0" applyNumberFormat="1" applyFont="1" applyBorder="1" applyAlignment="1">
      <alignment horizontal="right" vertical="center"/>
    </xf>
    <xf numFmtId="10" fontId="41" fillId="0" borderId="22" xfId="0" applyNumberFormat="1" applyFont="1" applyBorder="1" applyAlignment="1">
      <alignment horizontal="right" vertical="center"/>
    </xf>
    <xf numFmtId="0" fontId="42" fillId="0" borderId="29" xfId="0" applyFont="1" applyBorder="1" applyAlignment="1">
      <alignment horizontal="left" vertical="center"/>
    </xf>
    <xf numFmtId="0" fontId="42" fillId="0" borderId="14" xfId="0" applyFont="1" applyBorder="1" applyAlignment="1">
      <alignment horizontal="left" vertical="center"/>
    </xf>
    <xf numFmtId="0" fontId="27" fillId="0" borderId="29" xfId="0" applyFont="1" applyBorder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6" fillId="0" borderId="0" xfId="0" applyFont="1" applyAlignment="1">
      <alignment horizontal="center"/>
    </xf>
    <xf numFmtId="164" fontId="46" fillId="0" borderId="0" xfId="0" applyNumberFormat="1" applyFont="1" applyAlignment="1">
      <alignment horizontal="right" vertical="center"/>
    </xf>
    <xf numFmtId="0" fontId="56" fillId="0" borderId="0" xfId="0" applyFont="1" applyAlignment="1">
      <alignment horizontal="center" vertical="center" wrapText="1"/>
    </xf>
    <xf numFmtId="10" fontId="46" fillId="0" borderId="20" xfId="0" applyNumberFormat="1" applyFont="1" applyBorder="1" applyAlignment="1">
      <alignment horizontal="right" vertical="center"/>
    </xf>
    <xf numFmtId="10" fontId="46" fillId="0" borderId="18" xfId="0" applyNumberFormat="1" applyFont="1" applyBorder="1" applyAlignment="1">
      <alignment horizontal="right" vertical="center"/>
    </xf>
    <xf numFmtId="10" fontId="46" fillId="0" borderId="22" xfId="0" applyNumberFormat="1" applyFont="1" applyBorder="1" applyAlignment="1">
      <alignment horizontal="right" vertical="center"/>
    </xf>
    <xf numFmtId="0" fontId="47" fillId="0" borderId="29" xfId="0" applyFont="1" applyBorder="1" applyAlignment="1">
      <alignment horizontal="left" vertical="center"/>
    </xf>
    <xf numFmtId="0" fontId="47" fillId="0" borderId="14" xfId="0" applyFont="1" applyBorder="1" applyAlignment="1">
      <alignment horizontal="left" vertical="center"/>
    </xf>
    <xf numFmtId="0" fontId="46" fillId="0" borderId="0" xfId="0" applyFont="1" applyAlignment="1">
      <alignment horizontal="center" vertical="center" wrapText="1"/>
    </xf>
    <xf numFmtId="0" fontId="46" fillId="0" borderId="0" xfId="0" applyFont="1" applyAlignment="1">
      <alignment horizontal="center" vertical="center"/>
    </xf>
    <xf numFmtId="4" fontId="46" fillId="31" borderId="49" xfId="0" applyNumberFormat="1" applyFont="1" applyFill="1" applyBorder="1" applyAlignment="1">
      <alignment horizontal="center"/>
    </xf>
    <xf numFmtId="4" fontId="46" fillId="31" borderId="51" xfId="0" applyNumberFormat="1" applyFont="1" applyFill="1" applyBorder="1" applyAlignment="1">
      <alignment horizontal="center"/>
    </xf>
    <xf numFmtId="4" fontId="46" fillId="31" borderId="0" xfId="0" applyNumberFormat="1" applyFont="1" applyFill="1" applyBorder="1" applyAlignment="1">
      <alignment horizontal="center"/>
    </xf>
    <xf numFmtId="4" fontId="46" fillId="31" borderId="75" xfId="0" applyNumberFormat="1" applyFont="1" applyFill="1" applyBorder="1" applyAlignment="1">
      <alignment horizontal="center"/>
    </xf>
    <xf numFmtId="4" fontId="47" fillId="40" borderId="50" xfId="0" applyNumberFormat="1" applyFont="1" applyFill="1" applyBorder="1" applyAlignment="1">
      <alignment horizontal="center" vertical="center"/>
    </xf>
    <xf numFmtId="4" fontId="47" fillId="40" borderId="15" xfId="0" applyNumberFormat="1" applyFont="1" applyFill="1" applyBorder="1" applyAlignment="1">
      <alignment horizontal="center" vertical="center"/>
    </xf>
    <xf numFmtId="4" fontId="46" fillId="31" borderId="132" xfId="0" applyNumberFormat="1" applyFont="1" applyFill="1" applyBorder="1" applyAlignment="1">
      <alignment horizontal="center"/>
    </xf>
    <xf numFmtId="4" fontId="47" fillId="33" borderId="50" xfId="0" applyNumberFormat="1" applyFont="1" applyFill="1" applyBorder="1" applyAlignment="1">
      <alignment horizontal="center" vertical="center"/>
    </xf>
    <xf numFmtId="4" fontId="47" fillId="33" borderId="15" xfId="0" applyNumberFormat="1" applyFont="1" applyFill="1" applyBorder="1" applyAlignment="1">
      <alignment horizontal="center" vertical="center"/>
    </xf>
    <xf numFmtId="4" fontId="58" fillId="33" borderId="73" xfId="0" applyNumberFormat="1" applyFont="1" applyFill="1" applyBorder="1" applyAlignment="1">
      <alignment horizontal="center" vertical="center" wrapText="1"/>
    </xf>
    <xf numFmtId="4" fontId="58" fillId="33" borderId="43" xfId="0" applyNumberFormat="1" applyFont="1" applyFill="1" applyBorder="1" applyAlignment="1">
      <alignment horizontal="center" vertical="center"/>
    </xf>
    <xf numFmtId="4" fontId="58" fillId="33" borderId="42" xfId="0" applyNumberFormat="1" applyFont="1" applyFill="1" applyBorder="1" applyAlignment="1">
      <alignment horizontal="center" vertical="center"/>
    </xf>
    <xf numFmtId="4" fontId="47" fillId="39" borderId="50" xfId="0" applyNumberFormat="1" applyFont="1" applyFill="1" applyBorder="1" applyAlignment="1">
      <alignment horizontal="center" vertical="center"/>
    </xf>
    <xf numFmtId="4" fontId="47" fillId="39" borderId="15" xfId="0" applyNumberFormat="1" applyFont="1" applyFill="1" applyBorder="1" applyAlignment="1">
      <alignment horizontal="center" vertical="center"/>
    </xf>
    <xf numFmtId="4" fontId="46" fillId="31" borderId="102" xfId="0" applyNumberFormat="1" applyFont="1" applyFill="1" applyBorder="1" applyAlignment="1">
      <alignment horizontal="center"/>
    </xf>
    <xf numFmtId="4" fontId="47" fillId="32" borderId="50" xfId="0" applyNumberFormat="1" applyFont="1" applyFill="1" applyBorder="1" applyAlignment="1">
      <alignment horizontal="center" vertical="center"/>
    </xf>
    <xf numFmtId="4" fontId="47" fillId="32" borderId="15" xfId="0" applyNumberFormat="1" applyFont="1" applyFill="1" applyBorder="1" applyAlignment="1">
      <alignment horizontal="center" vertical="center"/>
    </xf>
    <xf numFmtId="4" fontId="47" fillId="0" borderId="0" xfId="0" applyNumberFormat="1" applyFont="1" applyAlignment="1">
      <alignment horizontal="center" vertical="center"/>
    </xf>
    <xf numFmtId="4" fontId="47" fillId="27" borderId="50" xfId="0" applyNumberFormat="1" applyFont="1" applyFill="1" applyBorder="1" applyAlignment="1">
      <alignment horizontal="center" vertical="center"/>
    </xf>
    <xf numFmtId="4" fontId="47" fillId="27" borderId="15" xfId="0" applyNumberFormat="1" applyFont="1" applyFill="1" applyBorder="1" applyAlignment="1">
      <alignment horizontal="center" vertical="center"/>
    </xf>
    <xf numFmtId="4" fontId="47" fillId="33" borderId="14" xfId="0" applyNumberFormat="1" applyFont="1" applyFill="1" applyBorder="1" applyAlignment="1">
      <alignment horizontal="center" vertical="center"/>
    </xf>
    <xf numFmtId="4" fontId="47" fillId="31" borderId="49" xfId="0" applyNumberFormat="1" applyFont="1" applyFill="1" applyBorder="1" applyAlignment="1">
      <alignment horizontal="center" vertical="center"/>
    </xf>
    <xf numFmtId="4" fontId="47" fillId="31" borderId="51" xfId="0" applyNumberFormat="1" applyFont="1" applyFill="1" applyBorder="1" applyAlignment="1">
      <alignment horizontal="center" vertical="center"/>
    </xf>
    <xf numFmtId="4" fontId="47" fillId="31" borderId="75" xfId="0" applyNumberFormat="1" applyFont="1" applyFill="1" applyBorder="1" applyAlignment="1">
      <alignment horizontal="center" vertical="center"/>
    </xf>
    <xf numFmtId="164" fontId="46" fillId="0" borderId="0" xfId="0" applyNumberFormat="1" applyFont="1" applyAlignment="1">
      <alignment horizontal="center"/>
    </xf>
    <xf numFmtId="0" fontId="57" fillId="0" borderId="0" xfId="0" applyFont="1" applyAlignment="1">
      <alignment horizontal="center" vertical="center" wrapText="1"/>
    </xf>
    <xf numFmtId="164" fontId="57" fillId="0" borderId="0" xfId="0" applyNumberFormat="1" applyFont="1" applyAlignment="1">
      <alignment horizontal="center" vertical="center"/>
    </xf>
    <xf numFmtId="4" fontId="47" fillId="0" borderId="0" xfId="0" applyNumberFormat="1" applyFont="1" applyFill="1" applyBorder="1" applyAlignment="1">
      <alignment horizontal="center" vertical="center"/>
    </xf>
    <xf numFmtId="0" fontId="56" fillId="0" borderId="0" xfId="0" applyFont="1" applyAlignment="1">
      <alignment horizontal="center" vertical="center"/>
    </xf>
    <xf numFmtId="0" fontId="56" fillId="0" borderId="0" xfId="0" applyFont="1" applyAlignment="1">
      <alignment horizontal="center"/>
    </xf>
    <xf numFmtId="0" fontId="57" fillId="0" borderId="0" xfId="0" applyFont="1" applyAlignment="1">
      <alignment horizontal="center" vertical="center"/>
    </xf>
    <xf numFmtId="0" fontId="56" fillId="0" borderId="297" xfId="0" applyFont="1" applyFill="1" applyBorder="1" applyAlignment="1">
      <alignment horizontal="center" vertical="center" wrapText="1"/>
    </xf>
    <xf numFmtId="0" fontId="56" fillId="0" borderId="319" xfId="0" applyFont="1" applyFill="1" applyBorder="1" applyAlignment="1">
      <alignment horizontal="center" vertical="center" wrapText="1"/>
    </xf>
    <xf numFmtId="0" fontId="56" fillId="0" borderId="195" xfId="0" applyFont="1" applyFill="1" applyBorder="1" applyAlignment="1">
      <alignment horizontal="center" vertical="center" wrapText="1"/>
    </xf>
    <xf numFmtId="0" fontId="56" fillId="0" borderId="0" xfId="0" applyFont="1" applyFill="1" applyBorder="1" applyAlignment="1">
      <alignment horizontal="center" vertical="center" wrapText="1"/>
    </xf>
    <xf numFmtId="0" fontId="56" fillId="0" borderId="173" xfId="0" applyFont="1" applyFill="1" applyBorder="1" applyAlignment="1">
      <alignment horizontal="center" vertical="center" wrapText="1"/>
    </xf>
    <xf numFmtId="0" fontId="56" fillId="0" borderId="193" xfId="0" applyFont="1" applyFill="1" applyBorder="1" applyAlignment="1">
      <alignment horizontal="center" vertical="center" wrapText="1"/>
    </xf>
    <xf numFmtId="0" fontId="56" fillId="0" borderId="297" xfId="0" applyFont="1" applyBorder="1" applyAlignment="1">
      <alignment horizontal="center" vertical="center" wrapText="1"/>
    </xf>
    <xf numFmtId="0" fontId="56" fillId="0" borderId="319" xfId="0" applyFont="1" applyBorder="1" applyAlignment="1">
      <alignment horizontal="center" vertical="center" wrapText="1"/>
    </xf>
    <xf numFmtId="0" fontId="56" fillId="0" borderId="195" xfId="0" applyFont="1" applyBorder="1" applyAlignment="1">
      <alignment horizontal="center" vertical="center" wrapText="1"/>
    </xf>
    <xf numFmtId="0" fontId="56" fillId="0" borderId="0" xfId="0" applyFont="1" applyBorder="1" applyAlignment="1">
      <alignment horizontal="center" vertical="center" wrapText="1"/>
    </xf>
    <xf numFmtId="0" fontId="56" fillId="0" borderId="173" xfId="0" applyFont="1" applyBorder="1" applyAlignment="1">
      <alignment horizontal="center" vertical="center" wrapText="1"/>
    </xf>
    <xf numFmtId="0" fontId="56" fillId="0" borderId="193" xfId="0" applyFont="1" applyBorder="1" applyAlignment="1">
      <alignment horizontal="center" vertical="center" wrapText="1"/>
    </xf>
    <xf numFmtId="0" fontId="150" fillId="0" borderId="297" xfId="0" applyFont="1" applyBorder="1" applyAlignment="1">
      <alignment horizontal="center" vertical="center" wrapText="1"/>
    </xf>
    <xf numFmtId="0" fontId="150" fillId="0" borderId="321" xfId="0" applyFont="1" applyBorder="1" applyAlignment="1">
      <alignment horizontal="center" vertical="center" wrapText="1"/>
    </xf>
    <xf numFmtId="0" fontId="150" fillId="0" borderId="350" xfId="0" applyFont="1" applyBorder="1" applyAlignment="1">
      <alignment horizontal="center" vertical="center" wrapText="1"/>
    </xf>
    <xf numFmtId="0" fontId="150" fillId="0" borderId="351" xfId="0" applyFont="1" applyBorder="1" applyAlignment="1">
      <alignment horizontal="center" vertical="center" wrapText="1"/>
    </xf>
    <xf numFmtId="0" fontId="126" fillId="0" borderId="0" xfId="0" applyFont="1" applyFill="1" applyBorder="1" applyAlignment="1">
      <alignment horizontal="center" vertical="top" wrapText="1"/>
    </xf>
    <xf numFmtId="4" fontId="56" fillId="0" borderId="297" xfId="0" applyNumberFormat="1" applyFont="1" applyFill="1" applyBorder="1" applyAlignment="1">
      <alignment horizontal="center" vertical="center" wrapText="1"/>
    </xf>
    <xf numFmtId="4" fontId="56" fillId="0" borderId="321" xfId="0" applyNumberFormat="1" applyFont="1" applyFill="1" applyBorder="1" applyAlignment="1">
      <alignment horizontal="center" vertical="center"/>
    </xf>
    <xf numFmtId="4" fontId="56" fillId="0" borderId="195" xfId="0" applyNumberFormat="1" applyFont="1" applyFill="1" applyBorder="1" applyAlignment="1">
      <alignment horizontal="center" vertical="center"/>
    </xf>
    <xf numFmtId="4" fontId="56" fillId="0" borderId="54" xfId="0" applyNumberFormat="1" applyFont="1" applyFill="1" applyBorder="1" applyAlignment="1">
      <alignment horizontal="center" vertical="center"/>
    </xf>
    <xf numFmtId="4" fontId="56" fillId="0" borderId="173" xfId="0" applyNumberFormat="1" applyFont="1" applyFill="1" applyBorder="1" applyAlignment="1">
      <alignment horizontal="center" vertical="center"/>
    </xf>
    <xf numFmtId="4" fontId="56" fillId="0" borderId="194" xfId="0" applyNumberFormat="1" applyFont="1" applyFill="1" applyBorder="1" applyAlignment="1">
      <alignment horizontal="center" vertical="center"/>
    </xf>
    <xf numFmtId="4" fontId="56" fillId="0" borderId="296" xfId="0" applyNumberFormat="1" applyFont="1" applyFill="1" applyBorder="1" applyAlignment="1">
      <alignment horizontal="center" vertical="center"/>
    </xf>
    <xf numFmtId="4" fontId="56" fillId="0" borderId="197" xfId="0" applyNumberFormat="1" applyFont="1" applyFill="1" applyBorder="1" applyAlignment="1">
      <alignment horizontal="center" vertical="center"/>
    </xf>
    <xf numFmtId="4" fontId="56" fillId="0" borderId="230" xfId="0" applyNumberFormat="1" applyFont="1" applyFill="1" applyBorder="1" applyAlignment="1">
      <alignment horizontal="center" vertical="center"/>
    </xf>
    <xf numFmtId="4" fontId="56" fillId="0" borderId="320" xfId="0" applyNumberFormat="1" applyFont="1" applyFill="1" applyBorder="1" applyAlignment="1">
      <alignment horizontal="center" vertical="center"/>
    </xf>
    <xf numFmtId="4" fontId="56" fillId="0" borderId="201" xfId="0" applyNumberFormat="1" applyFont="1" applyFill="1" applyBorder="1" applyAlignment="1">
      <alignment horizontal="center" vertical="center"/>
    </xf>
    <xf numFmtId="4" fontId="56" fillId="0" borderId="94" xfId="0" applyNumberFormat="1" applyFont="1" applyFill="1" applyBorder="1" applyAlignment="1">
      <alignment horizontal="center" vertical="center"/>
    </xf>
    <xf numFmtId="4" fontId="47" fillId="0" borderId="358" xfId="0" applyNumberFormat="1" applyFont="1" applyBorder="1" applyAlignment="1">
      <alignment horizontal="center" vertical="center" wrapText="1"/>
    </xf>
    <xf numFmtId="4" fontId="47" fillId="0" borderId="363" xfId="0" applyNumberFormat="1" applyFont="1" applyBorder="1" applyAlignment="1">
      <alignment horizontal="center" vertical="center" wrapText="1"/>
    </xf>
    <xf numFmtId="4" fontId="47" fillId="0" borderId="368" xfId="0" applyNumberFormat="1" applyFont="1" applyBorder="1" applyAlignment="1">
      <alignment horizontal="center" vertical="center" wrapText="1"/>
    </xf>
    <xf numFmtId="4" fontId="47" fillId="35" borderId="296" xfId="0" applyNumberFormat="1" applyFont="1" applyFill="1" applyBorder="1" applyAlignment="1">
      <alignment horizontal="center" vertical="center" wrapText="1"/>
    </xf>
    <xf numFmtId="4" fontId="47" fillId="35" borderId="230" xfId="0" applyNumberFormat="1" applyFont="1" applyFill="1" applyBorder="1" applyAlignment="1">
      <alignment horizontal="center" vertical="center" wrapText="1"/>
    </xf>
    <xf numFmtId="4" fontId="47" fillId="35" borderId="325" xfId="0" applyNumberFormat="1" applyFont="1" applyFill="1" applyBorder="1" applyAlignment="1">
      <alignment horizontal="center" vertical="center" wrapText="1"/>
    </xf>
    <xf numFmtId="4" fontId="47" fillId="35" borderId="95" xfId="0" applyNumberFormat="1" applyFont="1" applyFill="1" applyBorder="1" applyAlignment="1">
      <alignment horizontal="center" vertical="center" wrapText="1"/>
    </xf>
    <xf numFmtId="2" fontId="47" fillId="61" borderId="288" xfId="0" applyNumberFormat="1" applyFont="1" applyFill="1" applyBorder="1" applyAlignment="1">
      <alignment horizontal="center" vertical="center"/>
    </xf>
    <xf numFmtId="2" fontId="47" fillId="61" borderId="294" xfId="0" applyNumberFormat="1" applyFont="1" applyFill="1" applyBorder="1" applyAlignment="1">
      <alignment horizontal="center" vertical="center"/>
    </xf>
    <xf numFmtId="2" fontId="47" fillId="61" borderId="322" xfId="0" applyNumberFormat="1" applyFont="1" applyFill="1" applyBorder="1" applyAlignment="1">
      <alignment horizontal="center" vertical="center"/>
    </xf>
    <xf numFmtId="0" fontId="56" fillId="0" borderId="331" xfId="0" applyFont="1" applyBorder="1" applyAlignment="1">
      <alignment horizontal="center" wrapText="1"/>
    </xf>
    <xf numFmtId="0" fontId="56" fillId="0" borderId="322" xfId="0" applyFont="1" applyBorder="1" applyAlignment="1">
      <alignment horizontal="center" wrapText="1"/>
    </xf>
    <xf numFmtId="4" fontId="56" fillId="0" borderId="331" xfId="0" applyNumberFormat="1" applyFont="1" applyBorder="1" applyAlignment="1">
      <alignment horizontal="center" vertical="center" wrapText="1"/>
    </xf>
    <xf numFmtId="4" fontId="56" fillId="0" borderId="322" xfId="0" applyNumberFormat="1" applyFont="1" applyBorder="1" applyAlignment="1">
      <alignment horizontal="center" vertical="center" wrapText="1"/>
    </xf>
    <xf numFmtId="0" fontId="56" fillId="0" borderId="297" xfId="0" applyFont="1" applyFill="1" applyBorder="1" applyAlignment="1">
      <alignment horizontal="center" vertical="center"/>
    </xf>
    <xf numFmtId="0" fontId="56" fillId="0" borderId="319" xfId="0" applyFont="1" applyFill="1" applyBorder="1" applyAlignment="1">
      <alignment horizontal="center" vertical="center"/>
    </xf>
    <xf numFmtId="0" fontId="56" fillId="0" borderId="195" xfId="0" applyFont="1" applyFill="1" applyBorder="1" applyAlignment="1">
      <alignment horizontal="center" vertical="center"/>
    </xf>
    <xf numFmtId="0" fontId="56" fillId="0" borderId="0" xfId="0" applyFont="1" applyFill="1" applyBorder="1" applyAlignment="1">
      <alignment horizontal="center" vertical="center"/>
    </xf>
    <xf numFmtId="0" fontId="56" fillId="0" borderId="173" xfId="0" applyFont="1" applyFill="1" applyBorder="1" applyAlignment="1">
      <alignment horizontal="center" vertical="center"/>
    </xf>
    <xf numFmtId="0" fontId="56" fillId="0" borderId="193" xfId="0" applyFont="1" applyFill="1" applyBorder="1" applyAlignment="1">
      <alignment horizontal="center" vertical="center"/>
    </xf>
    <xf numFmtId="0" fontId="56" fillId="0" borderId="331" xfId="0" applyFont="1" applyBorder="1" applyAlignment="1">
      <alignment horizontal="center" vertical="center" wrapText="1"/>
    </xf>
    <xf numFmtId="0" fontId="56" fillId="0" borderId="294" xfId="0" applyFont="1" applyBorder="1" applyAlignment="1">
      <alignment horizontal="center" vertical="center" wrapText="1"/>
    </xf>
    <xf numFmtId="0" fontId="56" fillId="0" borderId="362" xfId="0" applyFont="1" applyBorder="1" applyAlignment="1">
      <alignment horizontal="center" vertical="center"/>
    </xf>
    <xf numFmtId="0" fontId="56" fillId="0" borderId="322" xfId="0" applyFont="1" applyBorder="1" applyAlignment="1">
      <alignment horizontal="center" vertical="center"/>
    </xf>
    <xf numFmtId="0" fontId="56" fillId="0" borderId="321" xfId="0" applyFont="1" applyBorder="1" applyAlignment="1">
      <alignment horizontal="center" vertical="center" wrapText="1"/>
    </xf>
    <xf numFmtId="0" fontId="56" fillId="0" borderId="54" xfId="0" applyFont="1" applyBorder="1" applyAlignment="1">
      <alignment horizontal="center" vertical="center" wrapText="1"/>
    </xf>
    <xf numFmtId="0" fontId="56" fillId="0" borderId="194" xfId="0" applyFont="1" applyBorder="1" applyAlignment="1">
      <alignment horizontal="center" vertical="center" wrapText="1"/>
    </xf>
    <xf numFmtId="0" fontId="125" fillId="63" borderId="320" xfId="0" applyFont="1" applyFill="1" applyBorder="1" applyAlignment="1">
      <alignment horizontal="center" vertical="center"/>
    </xf>
    <xf numFmtId="0" fontId="125" fillId="63" borderId="319" xfId="0" applyFont="1" applyFill="1" applyBorder="1" applyAlignment="1">
      <alignment horizontal="center" vertical="center"/>
    </xf>
    <xf numFmtId="0" fontId="125" fillId="63" borderId="201" xfId="0" applyFont="1" applyFill="1" applyBorder="1" applyAlignment="1">
      <alignment horizontal="center" vertical="center"/>
    </xf>
    <xf numFmtId="0" fontId="125" fillId="63" borderId="0" xfId="0" applyFont="1" applyFill="1" applyBorder="1" applyAlignment="1">
      <alignment horizontal="center" vertical="center"/>
    </xf>
    <xf numFmtId="0" fontId="125" fillId="63" borderId="94" xfId="0" applyFont="1" applyFill="1" applyBorder="1" applyAlignment="1">
      <alignment horizontal="center" vertical="center"/>
    </xf>
    <xf numFmtId="0" fontId="125" fillId="63" borderId="193" xfId="0" applyFont="1" applyFill="1" applyBorder="1" applyAlignment="1">
      <alignment horizontal="center" vertical="center"/>
    </xf>
    <xf numFmtId="0" fontId="125" fillId="62" borderId="297" xfId="0" applyFont="1" applyFill="1" applyBorder="1" applyAlignment="1">
      <alignment horizontal="center" vertical="center"/>
    </xf>
    <xf numFmtId="0" fontId="125" fillId="62" borderId="319" xfId="0" applyFont="1" applyFill="1" applyBorder="1" applyAlignment="1">
      <alignment horizontal="center" vertical="center"/>
    </xf>
    <xf numFmtId="0" fontId="125" fillId="62" borderId="302" xfId="0" applyFont="1" applyFill="1" applyBorder="1" applyAlignment="1">
      <alignment horizontal="center" vertical="center"/>
    </xf>
    <xf numFmtId="0" fontId="125" fillId="62" borderId="195" xfId="0" applyFont="1" applyFill="1" applyBorder="1" applyAlignment="1">
      <alignment horizontal="center" vertical="center"/>
    </xf>
    <xf numFmtId="0" fontId="125" fillId="62" borderId="0" xfId="0" applyFont="1" applyFill="1" applyBorder="1" applyAlignment="1">
      <alignment horizontal="center" vertical="center"/>
    </xf>
    <xf numFmtId="0" fontId="125" fillId="62" borderId="190" xfId="0" applyFont="1" applyFill="1" applyBorder="1" applyAlignment="1">
      <alignment horizontal="center" vertical="center"/>
    </xf>
    <xf numFmtId="0" fontId="125" fillId="62" borderId="173" xfId="0" applyFont="1" applyFill="1" applyBorder="1" applyAlignment="1">
      <alignment horizontal="center" vertical="center"/>
    </xf>
    <xf numFmtId="0" fontId="125" fillId="62" borderId="193" xfId="0" applyFont="1" applyFill="1" applyBorder="1" applyAlignment="1">
      <alignment horizontal="center" vertical="center"/>
    </xf>
    <xf numFmtId="0" fontId="125" fillId="62" borderId="189" xfId="0" applyFont="1" applyFill="1" applyBorder="1" applyAlignment="1">
      <alignment horizontal="center" vertical="center"/>
    </xf>
    <xf numFmtId="2" fontId="47" fillId="59" borderId="297" xfId="0" applyNumberFormat="1" applyFont="1" applyFill="1" applyBorder="1" applyAlignment="1">
      <alignment horizontal="center" vertical="center" wrapText="1"/>
    </xf>
    <xf numFmtId="2" fontId="47" fillId="59" borderId="319" xfId="0" applyNumberFormat="1" applyFont="1" applyFill="1" applyBorder="1" applyAlignment="1">
      <alignment horizontal="center" vertical="center" wrapText="1"/>
    </xf>
    <xf numFmtId="2" fontId="47" fillId="59" borderId="321" xfId="0" applyNumberFormat="1" applyFont="1" applyFill="1" applyBorder="1" applyAlignment="1">
      <alignment horizontal="center" vertical="center" wrapText="1"/>
    </xf>
    <xf numFmtId="2" fontId="47" fillId="59" borderId="173" xfId="0" applyNumberFormat="1" applyFont="1" applyFill="1" applyBorder="1" applyAlignment="1">
      <alignment horizontal="center" vertical="center" wrapText="1"/>
    </xf>
    <xf numFmtId="2" fontId="47" fillId="59" borderId="193" xfId="0" applyNumberFormat="1" applyFont="1" applyFill="1" applyBorder="1" applyAlignment="1">
      <alignment horizontal="center" vertical="center" wrapText="1"/>
    </xf>
    <xf numFmtId="2" fontId="47" fillId="59" borderId="194" xfId="0" applyNumberFormat="1" applyFont="1" applyFill="1" applyBorder="1" applyAlignment="1">
      <alignment horizontal="center" vertical="center" wrapText="1"/>
    </xf>
    <xf numFmtId="2" fontId="136" fillId="62" borderId="288" xfId="0" applyNumberFormat="1" applyFont="1" applyFill="1" applyBorder="1" applyAlignment="1">
      <alignment horizontal="center" vertical="center"/>
    </xf>
    <xf numFmtId="2" fontId="136" fillId="62" borderId="294" xfId="0" applyNumberFormat="1" applyFont="1" applyFill="1" applyBorder="1" applyAlignment="1">
      <alignment horizontal="center" vertical="center"/>
    </xf>
    <xf numFmtId="2" fontId="136" fillId="62" borderId="322" xfId="0" applyNumberFormat="1" applyFont="1" applyFill="1" applyBorder="1" applyAlignment="1">
      <alignment horizontal="center" vertical="center"/>
    </xf>
    <xf numFmtId="2" fontId="47" fillId="59" borderId="288" xfId="0" applyNumberFormat="1" applyFont="1" applyFill="1" applyBorder="1" applyAlignment="1">
      <alignment horizontal="center" vertical="center"/>
    </xf>
    <xf numFmtId="2" fontId="47" fillId="59" borderId="294" xfId="0" applyNumberFormat="1" applyFont="1" applyFill="1" applyBorder="1" applyAlignment="1">
      <alignment horizontal="center" vertical="center"/>
    </xf>
    <xf numFmtId="2" fontId="47" fillId="59" borderId="293" xfId="0" applyNumberFormat="1" applyFont="1" applyFill="1" applyBorder="1" applyAlignment="1">
      <alignment horizontal="center" vertical="center"/>
    </xf>
    <xf numFmtId="2" fontId="47" fillId="59" borderId="287" xfId="0" applyNumberFormat="1" applyFont="1" applyFill="1" applyBorder="1" applyAlignment="1">
      <alignment horizontal="center" vertical="center"/>
    </xf>
    <xf numFmtId="2" fontId="47" fillId="60" borderId="319" xfId="0" applyNumberFormat="1" applyFont="1" applyFill="1" applyBorder="1" applyAlignment="1">
      <alignment horizontal="center" vertical="center" wrapText="1"/>
    </xf>
    <xf numFmtId="2" fontId="47" fillId="60" borderId="193" xfId="0" applyNumberFormat="1" applyFont="1" applyFill="1" applyBorder="1" applyAlignment="1">
      <alignment horizontal="center" vertical="center" wrapText="1"/>
    </xf>
    <xf numFmtId="2" fontId="123" fillId="62" borderId="288" xfId="0" applyNumberFormat="1" applyFont="1" applyFill="1" applyBorder="1" applyAlignment="1">
      <alignment horizontal="center" vertical="center" wrapText="1"/>
    </xf>
    <xf numFmtId="2" fontId="123" fillId="62" borderId="294" xfId="0" applyNumberFormat="1" applyFont="1" applyFill="1" applyBorder="1" applyAlignment="1">
      <alignment horizontal="center" vertical="center" wrapText="1"/>
    </xf>
    <xf numFmtId="2" fontId="123" fillId="62" borderId="322" xfId="0" applyNumberFormat="1" applyFont="1" applyFill="1" applyBorder="1" applyAlignment="1">
      <alignment horizontal="center" vertical="center" wrapText="1"/>
    </xf>
    <xf numFmtId="2" fontId="123" fillId="59" borderId="294" xfId="0" applyNumberFormat="1" applyFont="1" applyFill="1" applyBorder="1" applyAlignment="1">
      <alignment horizontal="center" vertical="center" wrapText="1"/>
    </xf>
    <xf numFmtId="2" fontId="123" fillId="59" borderId="293" xfId="0" applyNumberFormat="1" applyFont="1" applyFill="1" applyBorder="1" applyAlignment="1">
      <alignment horizontal="center" vertical="center" wrapText="1"/>
    </xf>
    <xf numFmtId="0" fontId="56" fillId="0" borderId="445" xfId="0" applyFont="1" applyBorder="1" applyAlignment="1">
      <alignment horizontal="center" vertical="center" wrapText="1"/>
    </xf>
    <xf numFmtId="0" fontId="56" fillId="0" borderId="446" xfId="0" applyFont="1" applyBorder="1" applyAlignment="1">
      <alignment horizontal="center" vertical="center" wrapText="1"/>
    </xf>
    <xf numFmtId="0" fontId="56" fillId="0" borderId="447" xfId="0" applyFont="1" applyBorder="1" applyAlignment="1">
      <alignment horizontal="center" vertical="center" wrapText="1"/>
    </xf>
    <xf numFmtId="0" fontId="56" fillId="0" borderId="448" xfId="0" applyFont="1" applyBorder="1" applyAlignment="1">
      <alignment horizontal="center" vertical="center" wrapText="1"/>
    </xf>
    <xf numFmtId="0" fontId="56" fillId="0" borderId="449" xfId="0" applyFont="1" applyBorder="1" applyAlignment="1">
      <alignment horizontal="center" vertical="center" wrapText="1"/>
    </xf>
    <xf numFmtId="0" fontId="56" fillId="0" borderId="450" xfId="0" applyFont="1" applyBorder="1" applyAlignment="1">
      <alignment horizontal="center" vertical="center" wrapText="1"/>
    </xf>
    <xf numFmtId="0" fontId="123" fillId="0" borderId="296" xfId="0" applyFont="1" applyBorder="1" applyAlignment="1">
      <alignment horizontal="center" vertical="center" textRotation="90" wrapText="1"/>
    </xf>
    <xf numFmtId="0" fontId="123" fillId="0" borderId="197" xfId="0" applyFont="1" applyBorder="1" applyAlignment="1">
      <alignment horizontal="center" vertical="center" textRotation="90" wrapText="1"/>
    </xf>
    <xf numFmtId="0" fontId="123" fillId="0" borderId="230" xfId="0" applyFont="1" applyBorder="1" applyAlignment="1">
      <alignment horizontal="center" vertical="center" textRotation="90" wrapText="1"/>
    </xf>
    <xf numFmtId="0" fontId="147" fillId="0" borderId="297" xfId="0" applyFont="1" applyBorder="1" applyAlignment="1">
      <alignment horizontal="center" vertical="center" textRotation="90"/>
    </xf>
    <xf numFmtId="0" fontId="147" fillId="0" borderId="195" xfId="0" applyFont="1" applyBorder="1" applyAlignment="1">
      <alignment horizontal="center" vertical="center" textRotation="90"/>
    </xf>
    <xf numFmtId="0" fontId="147" fillId="0" borderId="173" xfId="0" applyFont="1" applyBorder="1" applyAlignment="1">
      <alignment horizontal="center" vertical="center" textRotation="90"/>
    </xf>
    <xf numFmtId="0" fontId="47" fillId="0" borderId="320" xfId="0" applyFont="1" applyBorder="1" applyAlignment="1">
      <alignment horizontal="center" vertical="center" textRotation="90" wrapText="1"/>
    </xf>
    <xf numFmtId="0" fontId="47" fillId="0" borderId="201" xfId="0" applyFont="1" applyBorder="1" applyAlignment="1">
      <alignment horizontal="center" vertical="center" textRotation="90" wrapText="1"/>
    </xf>
    <xf numFmtId="0" fontId="47" fillId="0" borderId="94" xfId="0" applyFont="1" applyBorder="1" applyAlignment="1">
      <alignment horizontal="center" vertical="center" textRotation="90" wrapText="1"/>
    </xf>
    <xf numFmtId="0" fontId="136" fillId="0" borderId="320" xfId="0" applyFont="1" applyBorder="1" applyAlignment="1">
      <alignment horizontal="center" vertical="center" textRotation="90" wrapText="1"/>
    </xf>
    <xf numFmtId="0" fontId="136" fillId="0" borderId="201" xfId="0" applyFont="1" applyBorder="1" applyAlignment="1">
      <alignment horizontal="center" vertical="center" textRotation="90" wrapText="1"/>
    </xf>
    <xf numFmtId="0" fontId="136" fillId="0" borderId="94" xfId="0" applyFont="1" applyBorder="1" applyAlignment="1">
      <alignment horizontal="center" vertical="center" textRotation="90" wrapText="1"/>
    </xf>
    <xf numFmtId="0" fontId="57" fillId="0" borderId="521" xfId="0" applyFont="1" applyBorder="1" applyAlignment="1">
      <alignment horizontal="center" vertical="center" textRotation="90" wrapText="1"/>
    </xf>
    <xf numFmtId="0" fontId="57" fillId="0" borderId="522" xfId="0" applyFont="1" applyBorder="1" applyAlignment="1">
      <alignment horizontal="center" vertical="center" textRotation="90" wrapText="1"/>
    </xf>
    <xf numFmtId="168" fontId="123" fillId="35" borderId="201" xfId="0" applyNumberFormat="1" applyFont="1" applyFill="1" applyBorder="1" applyAlignment="1">
      <alignment horizontal="center" vertical="center" textRotation="90" wrapText="1"/>
    </xf>
    <xf numFmtId="168" fontId="123" fillId="35" borderId="94" xfId="0" applyNumberFormat="1" applyFont="1" applyFill="1" applyBorder="1" applyAlignment="1">
      <alignment horizontal="center" vertical="center" textRotation="90" wrapText="1"/>
    </xf>
    <xf numFmtId="4" fontId="123" fillId="35" borderId="296" xfId="0" applyNumberFormat="1" applyFont="1" applyFill="1" applyBorder="1" applyAlignment="1">
      <alignment horizontal="center" vertical="center" textRotation="90" wrapText="1"/>
    </xf>
    <xf numFmtId="4" fontId="123" fillId="35" borderId="197" xfId="0" applyNumberFormat="1" applyFont="1" applyFill="1" applyBorder="1" applyAlignment="1">
      <alignment horizontal="center" vertical="center" textRotation="90" wrapText="1"/>
    </xf>
    <xf numFmtId="4" fontId="123" fillId="35" borderId="524" xfId="0" applyNumberFormat="1" applyFont="1" applyFill="1" applyBorder="1" applyAlignment="1">
      <alignment horizontal="center" vertical="center" textRotation="90" wrapText="1"/>
    </xf>
    <xf numFmtId="0" fontId="47" fillId="0" borderId="320" xfId="0" applyFont="1" applyFill="1" applyBorder="1" applyAlignment="1">
      <alignment horizontal="center" vertical="center" textRotation="90" wrapText="1"/>
    </xf>
    <xf numFmtId="0" fontId="47" fillId="0" borderId="201" xfId="0" applyFont="1" applyFill="1" applyBorder="1" applyAlignment="1">
      <alignment horizontal="center" vertical="center" textRotation="90" wrapText="1"/>
    </xf>
    <xf numFmtId="0" fontId="47" fillId="0" borderId="94" xfId="0" applyFont="1" applyFill="1" applyBorder="1" applyAlignment="1">
      <alignment horizontal="center" vertical="center" textRotation="90" wrapText="1"/>
    </xf>
    <xf numFmtId="168" fontId="47" fillId="35" borderId="296" xfId="0" applyNumberFormat="1" applyFont="1" applyFill="1" applyBorder="1" applyAlignment="1">
      <alignment horizontal="center" vertical="center" textRotation="90" wrapText="1"/>
    </xf>
    <xf numFmtId="168" fontId="47" fillId="35" borderId="197" xfId="0" applyNumberFormat="1" applyFont="1" applyFill="1" applyBorder="1" applyAlignment="1">
      <alignment horizontal="center" vertical="center" textRotation="90" wrapText="1"/>
    </xf>
    <xf numFmtId="4" fontId="47" fillId="35" borderId="523" xfId="0" applyNumberFormat="1" applyFont="1" applyFill="1" applyBorder="1" applyAlignment="1">
      <alignment horizontal="center" vertical="center" textRotation="90" wrapText="1"/>
    </xf>
    <xf numFmtId="4" fontId="47" fillId="35" borderId="201" xfId="0" applyNumberFormat="1" applyFont="1" applyFill="1" applyBorder="1" applyAlignment="1">
      <alignment horizontal="center" vertical="center" textRotation="90" wrapText="1"/>
    </xf>
    <xf numFmtId="4" fontId="47" fillId="35" borderId="94" xfId="0" applyNumberFormat="1" applyFont="1" applyFill="1" applyBorder="1" applyAlignment="1">
      <alignment horizontal="center" vertical="center" textRotation="90" wrapText="1"/>
    </xf>
    <xf numFmtId="0" fontId="56" fillId="0" borderId="305" xfId="0" applyFont="1" applyBorder="1" applyAlignment="1">
      <alignment horizontal="center" vertical="center" wrapText="1"/>
    </xf>
    <xf numFmtId="2" fontId="125" fillId="63" borderId="320" xfId="0" applyNumberFormat="1" applyFont="1" applyFill="1" applyBorder="1" applyAlignment="1">
      <alignment horizontal="center" vertical="center"/>
    </xf>
    <xf numFmtId="2" fontId="125" fillId="63" borderId="319" xfId="0" applyNumberFormat="1" applyFont="1" applyFill="1" applyBorder="1" applyAlignment="1">
      <alignment horizontal="center" vertical="center"/>
    </xf>
    <xf numFmtId="2" fontId="125" fillId="63" borderId="201" xfId="0" applyNumberFormat="1" applyFont="1" applyFill="1" applyBorder="1" applyAlignment="1">
      <alignment horizontal="center" vertical="center"/>
    </xf>
    <xf numFmtId="2" fontId="125" fillId="63" borderId="0" xfId="0" applyNumberFormat="1" applyFont="1" applyFill="1" applyBorder="1" applyAlignment="1">
      <alignment horizontal="center" vertical="center"/>
    </xf>
    <xf numFmtId="2" fontId="125" fillId="63" borderId="94" xfId="0" applyNumberFormat="1" applyFont="1" applyFill="1" applyBorder="1" applyAlignment="1">
      <alignment horizontal="center" vertical="center"/>
    </xf>
    <xf numFmtId="2" fontId="125" fillId="63" borderId="193" xfId="0" applyNumberFormat="1" applyFont="1" applyFill="1" applyBorder="1" applyAlignment="1">
      <alignment horizontal="center" vertical="center"/>
    </xf>
    <xf numFmtId="2" fontId="123" fillId="61" borderId="288" xfId="0" applyNumberFormat="1" applyFont="1" applyFill="1" applyBorder="1" applyAlignment="1">
      <alignment horizontal="center" vertical="center" wrapText="1"/>
    </xf>
    <xf numFmtId="2" fontId="123" fillId="61" borderId="294" xfId="0" applyNumberFormat="1" applyFont="1" applyFill="1" applyBorder="1" applyAlignment="1">
      <alignment horizontal="center" vertical="center" wrapText="1"/>
    </xf>
    <xf numFmtId="2" fontId="123" fillId="61" borderId="293" xfId="0" applyNumberFormat="1" applyFont="1" applyFill="1" applyBorder="1" applyAlignment="1">
      <alignment horizontal="center" vertical="center" wrapText="1"/>
    </xf>
    <xf numFmtId="2" fontId="47" fillId="60" borderId="288" xfId="0" applyNumberFormat="1" applyFont="1" applyFill="1" applyBorder="1" applyAlignment="1">
      <alignment horizontal="center" vertical="center"/>
    </xf>
    <xf numFmtId="2" fontId="47" fillId="60" borderId="293" xfId="0" applyNumberFormat="1" applyFont="1" applyFill="1" applyBorder="1" applyAlignment="1">
      <alignment horizontal="center" vertical="center"/>
    </xf>
    <xf numFmtId="0" fontId="46" fillId="0" borderId="331" xfId="0" applyFont="1" applyBorder="1" applyAlignment="1">
      <alignment horizontal="center"/>
    </xf>
    <xf numFmtId="0" fontId="46" fillId="0" borderId="322" xfId="0" applyFont="1" applyBorder="1" applyAlignment="1">
      <alignment horizontal="center"/>
    </xf>
    <xf numFmtId="2" fontId="123" fillId="61" borderId="322" xfId="0" applyNumberFormat="1" applyFont="1" applyFill="1" applyBorder="1" applyAlignment="1">
      <alignment horizontal="center" vertical="center" wrapText="1"/>
    </xf>
    <xf numFmtId="2" fontId="123" fillId="60" borderId="297" xfId="0" applyNumberFormat="1" applyFont="1" applyFill="1" applyBorder="1" applyAlignment="1">
      <alignment horizontal="center" vertical="center" wrapText="1"/>
    </xf>
    <xf numFmtId="2" fontId="123" fillId="60" borderId="319" xfId="0" applyNumberFormat="1" applyFont="1" applyFill="1" applyBorder="1" applyAlignment="1">
      <alignment horizontal="center" vertical="center" wrapText="1"/>
    </xf>
    <xf numFmtId="2" fontId="123" fillId="60" borderId="321" xfId="0" applyNumberFormat="1" applyFont="1" applyFill="1" applyBorder="1" applyAlignment="1">
      <alignment horizontal="center" vertical="center" wrapText="1"/>
    </xf>
    <xf numFmtId="2" fontId="123" fillId="60" borderId="173" xfId="0" applyNumberFormat="1" applyFont="1" applyFill="1" applyBorder="1" applyAlignment="1">
      <alignment horizontal="center" vertical="center" wrapText="1"/>
    </xf>
    <xf numFmtId="2" fontId="123" fillId="60" borderId="193" xfId="0" applyNumberFormat="1" applyFont="1" applyFill="1" applyBorder="1" applyAlignment="1">
      <alignment horizontal="center" vertical="center" wrapText="1"/>
    </xf>
    <xf numFmtId="2" fontId="123" fillId="60" borderId="194" xfId="0" applyNumberFormat="1" applyFont="1" applyFill="1" applyBorder="1" applyAlignment="1">
      <alignment horizontal="center" vertical="center" wrapText="1"/>
    </xf>
    <xf numFmtId="4" fontId="47" fillId="59" borderId="340" xfId="0" applyNumberFormat="1" applyFont="1" applyFill="1" applyBorder="1" applyAlignment="1">
      <alignment horizontal="center" vertical="center" wrapText="1"/>
    </xf>
    <xf numFmtId="4" fontId="47" fillId="59" borderId="341" xfId="0" applyNumberFormat="1" applyFont="1" applyFill="1" applyBorder="1" applyAlignment="1">
      <alignment horizontal="center" vertical="center" wrapText="1"/>
    </xf>
    <xf numFmtId="4" fontId="47" fillId="59" borderId="342" xfId="0" applyNumberFormat="1" applyFont="1" applyFill="1" applyBorder="1" applyAlignment="1">
      <alignment horizontal="center" vertical="center" wrapText="1"/>
    </xf>
    <xf numFmtId="0" fontId="132" fillId="0" borderId="296" xfId="0" applyFont="1" applyBorder="1" applyAlignment="1">
      <alignment horizontal="center" vertical="center" wrapText="1"/>
    </xf>
    <xf numFmtId="0" fontId="132" fillId="0" borderId="230" xfId="0" applyFont="1" applyBorder="1" applyAlignment="1">
      <alignment horizontal="center" vertical="center" wrapText="1"/>
    </xf>
    <xf numFmtId="0" fontId="123" fillId="0" borderId="288" xfId="0" applyFont="1" applyBorder="1" applyAlignment="1">
      <alignment horizontal="center" vertical="center" wrapText="1"/>
    </xf>
    <xf numFmtId="0" fontId="123" fillId="0" borderId="322" xfId="0" applyFont="1" applyBorder="1" applyAlignment="1">
      <alignment horizontal="center" vertical="center" wrapText="1"/>
    </xf>
    <xf numFmtId="0" fontId="123" fillId="0" borderId="325" xfId="0" applyFont="1" applyBorder="1" applyAlignment="1">
      <alignment horizontal="center" vertical="center" wrapText="1"/>
    </xf>
    <xf numFmtId="0" fontId="123" fillId="0" borderId="95" xfId="0" applyFont="1" applyBorder="1" applyAlignment="1">
      <alignment horizontal="center" vertical="center" wrapText="1"/>
    </xf>
    <xf numFmtId="4" fontId="123" fillId="35" borderId="331" xfId="0" applyNumberFormat="1" applyFont="1" applyFill="1" applyBorder="1" applyAlignment="1">
      <alignment horizontal="center" vertical="center" wrapText="1"/>
    </xf>
    <xf numFmtId="4" fontId="123" fillId="35" borderId="294" xfId="0" applyNumberFormat="1" applyFont="1" applyFill="1" applyBorder="1" applyAlignment="1">
      <alignment horizontal="center" vertical="center" wrapText="1"/>
    </xf>
    <xf numFmtId="4" fontId="123" fillId="35" borderId="293" xfId="0" applyNumberFormat="1" applyFont="1" applyFill="1" applyBorder="1" applyAlignment="1">
      <alignment horizontal="center" vertical="center" wrapText="1"/>
    </xf>
    <xf numFmtId="0" fontId="60" fillId="0" borderId="0" xfId="0" applyFont="1" applyAlignment="1">
      <alignment horizontal="center" vertical="top" wrapText="1"/>
    </xf>
    <xf numFmtId="4" fontId="148" fillId="64" borderId="0" xfId="0" applyNumberFormat="1" applyFont="1" applyFill="1" applyBorder="1" applyAlignment="1">
      <alignment horizontal="center" vertical="top" wrapText="1"/>
    </xf>
    <xf numFmtId="4" fontId="148" fillId="64" borderId="193" xfId="0" applyNumberFormat="1" applyFont="1" applyFill="1" applyBorder="1" applyAlignment="1">
      <alignment horizontal="center" vertical="top" wrapText="1"/>
    </xf>
    <xf numFmtId="2" fontId="123" fillId="85" borderId="288" xfId="0" applyNumberFormat="1" applyFont="1" applyFill="1" applyBorder="1" applyAlignment="1">
      <alignment horizontal="center" vertical="center" wrapText="1"/>
    </xf>
    <xf numFmtId="2" fontId="123" fillId="85" borderId="294" xfId="0" applyNumberFormat="1" applyFont="1" applyFill="1" applyBorder="1" applyAlignment="1">
      <alignment horizontal="center" vertical="center" wrapText="1"/>
    </xf>
    <xf numFmtId="2" fontId="123" fillId="85" borderId="322" xfId="0" applyNumberFormat="1" applyFont="1" applyFill="1" applyBorder="1" applyAlignment="1">
      <alignment horizontal="center" vertical="center" wrapText="1"/>
    </xf>
    <xf numFmtId="0" fontId="125" fillId="85" borderId="297" xfId="0" applyFont="1" applyFill="1" applyBorder="1" applyAlignment="1">
      <alignment horizontal="center" vertical="center"/>
    </xf>
    <xf numFmtId="0" fontId="125" fillId="85" borderId="319" xfId="0" applyFont="1" applyFill="1" applyBorder="1" applyAlignment="1">
      <alignment horizontal="center" vertical="center"/>
    </xf>
    <xf numFmtId="0" fontId="125" fillId="85" borderId="302" xfId="0" applyFont="1" applyFill="1" applyBorder="1" applyAlignment="1">
      <alignment horizontal="center" vertical="center"/>
    </xf>
    <xf numFmtId="0" fontId="125" fillId="85" borderId="195" xfId="0" applyFont="1" applyFill="1" applyBorder="1" applyAlignment="1">
      <alignment horizontal="center" vertical="center"/>
    </xf>
    <xf numFmtId="0" fontId="125" fillId="85" borderId="0" xfId="0" applyFont="1" applyFill="1" applyBorder="1" applyAlignment="1">
      <alignment horizontal="center" vertical="center"/>
    </xf>
    <xf numFmtId="0" fontId="125" fillId="85" borderId="190" xfId="0" applyFont="1" applyFill="1" applyBorder="1" applyAlignment="1">
      <alignment horizontal="center" vertical="center"/>
    </xf>
    <xf numFmtId="0" fontId="125" fillId="85" borderId="173" xfId="0" applyFont="1" applyFill="1" applyBorder="1" applyAlignment="1">
      <alignment horizontal="center" vertical="center"/>
    </xf>
    <xf numFmtId="0" fontId="125" fillId="85" borderId="193" xfId="0" applyFont="1" applyFill="1" applyBorder="1" applyAlignment="1">
      <alignment horizontal="center" vertical="center"/>
    </xf>
    <xf numFmtId="0" fontId="125" fillId="85" borderId="189" xfId="0" applyFont="1" applyFill="1" applyBorder="1" applyAlignment="1">
      <alignment horizontal="center" vertical="center"/>
    </xf>
    <xf numFmtId="2" fontId="136" fillId="85" borderId="288" xfId="0" applyNumberFormat="1" applyFont="1" applyFill="1" applyBorder="1" applyAlignment="1">
      <alignment horizontal="center" vertical="center"/>
    </xf>
    <xf numFmtId="2" fontId="136" fillId="85" borderId="294" xfId="0" applyNumberFormat="1" applyFont="1" applyFill="1" applyBorder="1" applyAlignment="1">
      <alignment horizontal="center" vertical="center"/>
    </xf>
    <xf numFmtId="2" fontId="136" fillId="85" borderId="322" xfId="0" applyNumberFormat="1" applyFont="1" applyFill="1" applyBorder="1" applyAlignment="1">
      <alignment horizontal="center" vertical="center"/>
    </xf>
    <xf numFmtId="0" fontId="123" fillId="0" borderId="331" xfId="0" applyFont="1" applyBorder="1" applyAlignment="1">
      <alignment horizontal="center" vertical="center"/>
    </xf>
    <xf numFmtId="0" fontId="123" fillId="0" borderId="294" xfId="0" applyFont="1" applyBorder="1" applyAlignment="1">
      <alignment horizontal="center" vertical="center"/>
    </xf>
    <xf numFmtId="4" fontId="123" fillId="35" borderId="297" xfId="0" applyNumberFormat="1" applyFont="1" applyFill="1" applyBorder="1" applyAlignment="1">
      <alignment horizontal="center" vertical="center"/>
    </xf>
    <xf numFmtId="4" fontId="123" fillId="35" borderId="319" xfId="0" applyNumberFormat="1" applyFont="1" applyFill="1" applyBorder="1" applyAlignment="1">
      <alignment horizontal="center" vertical="center"/>
    </xf>
    <xf numFmtId="4" fontId="123" fillId="35" borderId="321" xfId="0" applyNumberFormat="1" applyFont="1" applyFill="1" applyBorder="1" applyAlignment="1">
      <alignment horizontal="center" vertical="center"/>
    </xf>
    <xf numFmtId="4" fontId="123" fillId="35" borderId="173" xfId="0" applyNumberFormat="1" applyFont="1" applyFill="1" applyBorder="1" applyAlignment="1">
      <alignment horizontal="center" vertical="center"/>
    </xf>
    <xf numFmtId="4" fontId="123" fillId="35" borderId="193" xfId="0" applyNumberFormat="1" applyFont="1" applyFill="1" applyBorder="1" applyAlignment="1">
      <alignment horizontal="center" vertical="center"/>
    </xf>
    <xf numFmtId="4" fontId="123" fillId="35" borderId="194" xfId="0" applyNumberFormat="1" applyFont="1" applyFill="1" applyBorder="1" applyAlignment="1">
      <alignment horizontal="center" vertical="center"/>
    </xf>
    <xf numFmtId="0" fontId="123" fillId="0" borderId="320" xfId="0" applyFont="1" applyBorder="1" applyAlignment="1">
      <alignment horizontal="center" vertical="center"/>
    </xf>
    <xf numFmtId="0" fontId="123" fillId="0" borderId="319" xfId="0" applyFont="1" applyBorder="1" applyAlignment="1">
      <alignment horizontal="center" vertical="center"/>
    </xf>
    <xf numFmtId="0" fontId="123" fillId="0" borderId="321" xfId="0" applyFont="1" applyBorder="1" applyAlignment="1">
      <alignment horizontal="center" vertical="center"/>
    </xf>
    <xf numFmtId="0" fontId="123" fillId="0" borderId="94" xfId="0" applyFont="1" applyBorder="1" applyAlignment="1">
      <alignment horizontal="center" vertical="center"/>
    </xf>
    <xf numFmtId="0" fontId="123" fillId="0" borderId="193" xfId="0" applyFont="1" applyBorder="1" applyAlignment="1">
      <alignment horizontal="center" vertical="center"/>
    </xf>
    <xf numFmtId="0" fontId="123" fillId="0" borderId="194" xfId="0" applyFont="1" applyBorder="1" applyAlignment="1">
      <alignment horizontal="center" vertical="center"/>
    </xf>
    <xf numFmtId="0" fontId="123" fillId="0" borderId="296" xfId="0" applyFont="1" applyBorder="1" applyAlignment="1">
      <alignment horizontal="center" vertical="center"/>
    </xf>
    <xf numFmtId="0" fontId="123" fillId="0" borderId="230" xfId="0" applyFont="1" applyBorder="1" applyAlignment="1">
      <alignment horizontal="center" vertical="center"/>
    </xf>
    <xf numFmtId="4" fontId="47" fillId="35" borderId="328" xfId="0" applyNumberFormat="1" applyFont="1" applyFill="1" applyBorder="1" applyAlignment="1">
      <alignment horizontal="center" vertical="center" wrapText="1"/>
    </xf>
    <xf numFmtId="4" fontId="47" fillId="35" borderId="138" xfId="0" applyNumberFormat="1" applyFont="1" applyFill="1" applyBorder="1" applyAlignment="1">
      <alignment horizontal="center" vertical="center" wrapText="1"/>
    </xf>
    <xf numFmtId="0" fontId="123" fillId="0" borderId="296" xfId="0" applyFont="1" applyBorder="1" applyAlignment="1">
      <alignment horizontal="center" vertical="center" wrapText="1"/>
    </xf>
    <xf numFmtId="0" fontId="123" fillId="0" borderId="230" xfId="0" applyFont="1" applyBorder="1" applyAlignment="1">
      <alignment horizontal="center" vertical="center" wrapText="1"/>
    </xf>
  </cellXfs>
  <cellStyles count="15795">
    <cellStyle name="20% - Accent1" xfId="3" builtinId="30" customBuiltin="1"/>
    <cellStyle name="20% - Accent1 10" xfId="465"/>
    <cellStyle name="20% - Accent1 10 10" xfId="5145"/>
    <cellStyle name="20% - Accent1 10 10 2" xfId="12408"/>
    <cellStyle name="20% - Accent1 10 11" xfId="8755"/>
    <cellStyle name="20% - Accent1 10 2" xfId="619"/>
    <cellStyle name="20% - Accent1 10 2 10" xfId="8817"/>
    <cellStyle name="20% - Accent1 10 2 2" xfId="858"/>
    <cellStyle name="20% - Accent1 10 2 2 2" xfId="1758"/>
    <cellStyle name="20% - Accent1 10 2 2 2 2" xfId="4148"/>
    <cellStyle name="20% - Accent1 10 2 2 2 2 2" xfId="11462"/>
    <cellStyle name="20% - Accent1 10 2 2 2 3" xfId="5510"/>
    <cellStyle name="20% - Accent1 10 2 2 2 3 2" xfId="12764"/>
    <cellStyle name="20% - Accent1 10 2 2 2 4" xfId="6782"/>
    <cellStyle name="20% - Accent1 10 2 2 2 4 2" xfId="13984"/>
    <cellStyle name="20% - Accent1 10 2 2 2 5" xfId="7937"/>
    <cellStyle name="20% - Accent1 10 2 2 2 5 2" xfId="15117"/>
    <cellStyle name="20% - Accent1 10 2 2 2 6" xfId="9445"/>
    <cellStyle name="20% - Accent1 10 2 2 3" xfId="1991"/>
    <cellStyle name="20% - Accent1 10 2 2 3 2" xfId="4374"/>
    <cellStyle name="20% - Accent1 10 2 2 3 2 2" xfId="11685"/>
    <cellStyle name="20% - Accent1 10 2 2 3 3" xfId="5730"/>
    <cellStyle name="20% - Accent1 10 2 2 3 3 2" xfId="12982"/>
    <cellStyle name="20% - Accent1 10 2 2 3 4" xfId="6999"/>
    <cellStyle name="20% - Accent1 10 2 2 3 4 2" xfId="14200"/>
    <cellStyle name="20% - Accent1 10 2 2 3 5" xfId="8143"/>
    <cellStyle name="20% - Accent1 10 2 2 3 5 2" xfId="15323"/>
    <cellStyle name="20% - Accent1 10 2 2 3 6" xfId="9651"/>
    <cellStyle name="20% - Accent1 10 2 2 4" xfId="2400"/>
    <cellStyle name="20% - Accent1 10 2 2 4 2" xfId="4762"/>
    <cellStyle name="20% - Accent1 10 2 2 4 2 2" xfId="12057"/>
    <cellStyle name="20% - Accent1 10 2 2 4 3" xfId="6103"/>
    <cellStyle name="20% - Accent1 10 2 2 4 3 2" xfId="13337"/>
    <cellStyle name="20% - Accent1 10 2 2 4 4" xfId="7356"/>
    <cellStyle name="20% - Accent1 10 2 2 4 4 2" xfId="14546"/>
    <cellStyle name="20% - Accent1 10 2 2 4 5" xfId="8463"/>
    <cellStyle name="20% - Accent1 10 2 2 4 5 2" xfId="15639"/>
    <cellStyle name="20% - Accent1 10 2 2 4 6" xfId="9971"/>
    <cellStyle name="20% - Accent1 10 2 2 5" xfId="3339"/>
    <cellStyle name="20% - Accent1 10 2 2 5 2" xfId="10712"/>
    <cellStyle name="20% - Accent1 10 2 2 6" xfId="3803"/>
    <cellStyle name="20% - Accent1 10 2 2 6 2" xfId="11125"/>
    <cellStyle name="20% - Accent1 10 2 2 7" xfId="2870"/>
    <cellStyle name="20% - Accent1 10 2 2 7 2" xfId="10296"/>
    <cellStyle name="20% - Accent1 10 2 2 8" xfId="2945"/>
    <cellStyle name="20% - Accent1 10 2 2 8 2" xfId="10364"/>
    <cellStyle name="20% - Accent1 10 2 2 9" xfId="8947"/>
    <cellStyle name="20% - Accent1 10 2 3" xfId="1595"/>
    <cellStyle name="20% - Accent1 10 2 3 2" xfId="3986"/>
    <cellStyle name="20% - Accent1 10 2 3 2 2" xfId="11303"/>
    <cellStyle name="20% - Accent1 10 2 3 3" xfId="5352"/>
    <cellStyle name="20% - Accent1 10 2 3 3 2" xfId="12610"/>
    <cellStyle name="20% - Accent1 10 2 3 4" xfId="6625"/>
    <cellStyle name="20% - Accent1 10 2 3 4 2" xfId="13830"/>
    <cellStyle name="20% - Accent1 10 2 3 5" xfId="7784"/>
    <cellStyle name="20% - Accent1 10 2 3 5 2" xfId="14964"/>
    <cellStyle name="20% - Accent1 10 2 3 6" xfId="9292"/>
    <cellStyle name="20% - Accent1 10 2 4" xfId="1418"/>
    <cellStyle name="20% - Accent1 10 2 4 2" xfId="3815"/>
    <cellStyle name="20% - Accent1 10 2 4 2 2" xfId="11136"/>
    <cellStyle name="20% - Accent1 10 2 4 3" xfId="5185"/>
    <cellStyle name="20% - Accent1 10 2 4 3 2" xfId="12447"/>
    <cellStyle name="20% - Accent1 10 2 4 4" xfId="6461"/>
    <cellStyle name="20% - Accent1 10 2 4 4 2" xfId="13670"/>
    <cellStyle name="20% - Accent1 10 2 4 5" xfId="7630"/>
    <cellStyle name="20% - Accent1 10 2 4 5 2" xfId="14810"/>
    <cellStyle name="20% - Accent1 10 2 4 6" xfId="9138"/>
    <cellStyle name="20% - Accent1 10 2 5" xfId="2270"/>
    <cellStyle name="20% - Accent1 10 2 5 2" xfId="4632"/>
    <cellStyle name="20% - Accent1 10 2 5 2 2" xfId="11930"/>
    <cellStyle name="20% - Accent1 10 2 5 3" xfId="5973"/>
    <cellStyle name="20% - Accent1 10 2 5 3 2" xfId="13210"/>
    <cellStyle name="20% - Accent1 10 2 5 4" xfId="7226"/>
    <cellStyle name="20% - Accent1 10 2 5 4 2" xfId="14419"/>
    <cellStyle name="20% - Accent1 10 2 5 5" xfId="8336"/>
    <cellStyle name="20% - Accent1 10 2 5 5 2" xfId="15512"/>
    <cellStyle name="20% - Accent1 10 2 5 6" xfId="9844"/>
    <cellStyle name="20% - Accent1 10 2 6" xfId="3123"/>
    <cellStyle name="20% - Accent1 10 2 6 2" xfId="10520"/>
    <cellStyle name="20% - Accent1 10 2 7" xfId="3161"/>
    <cellStyle name="20% - Accent1 10 2 7 2" xfId="10553"/>
    <cellStyle name="20% - Accent1 10 2 8" xfId="4459"/>
    <cellStyle name="20% - Accent1 10 2 8 2" xfId="11767"/>
    <cellStyle name="20% - Accent1 10 2 9" xfId="5081"/>
    <cellStyle name="20% - Accent1 10 2 9 2" xfId="12354"/>
    <cellStyle name="20% - Accent1 10 3" xfId="806"/>
    <cellStyle name="20% - Accent1 10 3 2" xfId="1706"/>
    <cellStyle name="20% - Accent1 10 3 2 2" xfId="4096"/>
    <cellStyle name="20% - Accent1 10 3 2 2 2" xfId="11410"/>
    <cellStyle name="20% - Accent1 10 3 2 3" xfId="5458"/>
    <cellStyle name="20% - Accent1 10 3 2 3 2" xfId="12712"/>
    <cellStyle name="20% - Accent1 10 3 2 4" xfId="6730"/>
    <cellStyle name="20% - Accent1 10 3 2 4 2" xfId="13932"/>
    <cellStyle name="20% - Accent1 10 3 2 5" xfId="7885"/>
    <cellStyle name="20% - Accent1 10 3 2 5 2" xfId="15065"/>
    <cellStyle name="20% - Accent1 10 3 2 6" xfId="9393"/>
    <cellStyle name="20% - Accent1 10 3 3" xfId="1939"/>
    <cellStyle name="20% - Accent1 10 3 3 2" xfId="4322"/>
    <cellStyle name="20% - Accent1 10 3 3 2 2" xfId="11633"/>
    <cellStyle name="20% - Accent1 10 3 3 3" xfId="5678"/>
    <cellStyle name="20% - Accent1 10 3 3 3 2" xfId="12930"/>
    <cellStyle name="20% - Accent1 10 3 3 4" xfId="6947"/>
    <cellStyle name="20% - Accent1 10 3 3 4 2" xfId="14148"/>
    <cellStyle name="20% - Accent1 10 3 3 5" xfId="8091"/>
    <cellStyle name="20% - Accent1 10 3 3 5 2" xfId="15271"/>
    <cellStyle name="20% - Accent1 10 3 3 6" xfId="9599"/>
    <cellStyle name="20% - Accent1 10 3 4" xfId="2348"/>
    <cellStyle name="20% - Accent1 10 3 4 2" xfId="4710"/>
    <cellStyle name="20% - Accent1 10 3 4 2 2" xfId="12005"/>
    <cellStyle name="20% - Accent1 10 3 4 3" xfId="6051"/>
    <cellStyle name="20% - Accent1 10 3 4 3 2" xfId="13285"/>
    <cellStyle name="20% - Accent1 10 3 4 4" xfId="7304"/>
    <cellStyle name="20% - Accent1 10 3 4 4 2" xfId="14494"/>
    <cellStyle name="20% - Accent1 10 3 4 5" xfId="8411"/>
    <cellStyle name="20% - Accent1 10 3 4 5 2" xfId="15587"/>
    <cellStyle name="20% - Accent1 10 3 4 6" xfId="9919"/>
    <cellStyle name="20% - Accent1 10 3 5" xfId="3287"/>
    <cellStyle name="20% - Accent1 10 3 5 2" xfId="10660"/>
    <cellStyle name="20% - Accent1 10 3 6" xfId="3417"/>
    <cellStyle name="20% - Accent1 10 3 6 2" xfId="10781"/>
    <cellStyle name="20% - Accent1 10 3 7" xfId="3679"/>
    <cellStyle name="20% - Accent1 10 3 7 2" xfId="11015"/>
    <cellStyle name="20% - Accent1 10 3 8" xfId="3446"/>
    <cellStyle name="20% - Accent1 10 3 8 2" xfId="10808"/>
    <cellStyle name="20% - Accent1 10 3 9" xfId="8895"/>
    <cellStyle name="20% - Accent1 10 4" xfId="1504"/>
    <cellStyle name="20% - Accent1 10 4 2" xfId="3897"/>
    <cellStyle name="20% - Accent1 10 4 2 2" xfId="11215"/>
    <cellStyle name="20% - Accent1 10 4 3" xfId="5264"/>
    <cellStyle name="20% - Accent1 10 4 3 2" xfId="12523"/>
    <cellStyle name="20% - Accent1 10 4 4" xfId="6537"/>
    <cellStyle name="20% - Accent1 10 4 4 2" xfId="13743"/>
    <cellStyle name="20% - Accent1 10 4 5" xfId="7697"/>
    <cellStyle name="20% - Accent1 10 4 5 2" xfId="14877"/>
    <cellStyle name="20% - Accent1 10 4 6" xfId="9205"/>
    <cellStyle name="20% - Accent1 10 5" xfId="1303"/>
    <cellStyle name="20% - Accent1 10 5 2" xfId="3717"/>
    <cellStyle name="20% - Accent1 10 5 2 2" xfId="11051"/>
    <cellStyle name="20% - Accent1 10 5 3" xfId="5105"/>
    <cellStyle name="20% - Accent1 10 5 3 2" xfId="12377"/>
    <cellStyle name="20% - Accent1 10 5 4" xfId="6404"/>
    <cellStyle name="20% - Accent1 10 5 4 2" xfId="13618"/>
    <cellStyle name="20% - Accent1 10 5 5" xfId="7593"/>
    <cellStyle name="20% - Accent1 10 5 5 2" xfId="14777"/>
    <cellStyle name="20% - Accent1 10 5 6" xfId="9101"/>
    <cellStyle name="20% - Accent1 10 6" xfId="2208"/>
    <cellStyle name="20% - Accent1 10 6 2" xfId="4570"/>
    <cellStyle name="20% - Accent1 10 6 2 2" xfId="11868"/>
    <cellStyle name="20% - Accent1 10 6 3" xfId="5911"/>
    <cellStyle name="20% - Accent1 10 6 3 2" xfId="13148"/>
    <cellStyle name="20% - Accent1 10 6 4" xfId="7164"/>
    <cellStyle name="20% - Accent1 10 6 4 2" xfId="14357"/>
    <cellStyle name="20% - Accent1 10 6 5" xfId="8274"/>
    <cellStyle name="20% - Accent1 10 6 5 2" xfId="15450"/>
    <cellStyle name="20% - Accent1 10 6 6" xfId="9782"/>
    <cellStyle name="20% - Accent1 10 7" xfId="2988"/>
    <cellStyle name="20% - Accent1 10 7 2" xfId="10401"/>
    <cellStyle name="20% - Accent1 10 8" xfId="3541"/>
    <cellStyle name="20% - Accent1 10 8 2" xfId="10893"/>
    <cellStyle name="20% - Accent1 10 9" xfId="4508"/>
    <cellStyle name="20% - Accent1 10 9 2" xfId="11807"/>
    <cellStyle name="20% - Accent1 11" xfId="649"/>
    <cellStyle name="20% - Accent1 11 10" xfId="8830"/>
    <cellStyle name="20% - Accent1 11 2" xfId="871"/>
    <cellStyle name="20% - Accent1 11 2 2" xfId="1771"/>
    <cellStyle name="20% - Accent1 11 2 2 2" xfId="4161"/>
    <cellStyle name="20% - Accent1 11 2 2 2 2" xfId="11475"/>
    <cellStyle name="20% - Accent1 11 2 2 3" xfId="5523"/>
    <cellStyle name="20% - Accent1 11 2 2 3 2" xfId="12777"/>
    <cellStyle name="20% - Accent1 11 2 2 4" xfId="6795"/>
    <cellStyle name="20% - Accent1 11 2 2 4 2" xfId="13997"/>
    <cellStyle name="20% - Accent1 11 2 2 5" xfId="7950"/>
    <cellStyle name="20% - Accent1 11 2 2 5 2" xfId="15130"/>
    <cellStyle name="20% - Accent1 11 2 2 6" xfId="9458"/>
    <cellStyle name="20% - Accent1 11 2 3" xfId="2004"/>
    <cellStyle name="20% - Accent1 11 2 3 2" xfId="4387"/>
    <cellStyle name="20% - Accent1 11 2 3 2 2" xfId="11698"/>
    <cellStyle name="20% - Accent1 11 2 3 3" xfId="5743"/>
    <cellStyle name="20% - Accent1 11 2 3 3 2" xfId="12995"/>
    <cellStyle name="20% - Accent1 11 2 3 4" xfId="7012"/>
    <cellStyle name="20% - Accent1 11 2 3 4 2" xfId="14213"/>
    <cellStyle name="20% - Accent1 11 2 3 5" xfId="8156"/>
    <cellStyle name="20% - Accent1 11 2 3 5 2" xfId="15336"/>
    <cellStyle name="20% - Accent1 11 2 3 6" xfId="9664"/>
    <cellStyle name="20% - Accent1 11 2 4" xfId="2413"/>
    <cellStyle name="20% - Accent1 11 2 4 2" xfId="4775"/>
    <cellStyle name="20% - Accent1 11 2 4 2 2" xfId="12070"/>
    <cellStyle name="20% - Accent1 11 2 4 3" xfId="6116"/>
    <cellStyle name="20% - Accent1 11 2 4 3 2" xfId="13350"/>
    <cellStyle name="20% - Accent1 11 2 4 4" xfId="7369"/>
    <cellStyle name="20% - Accent1 11 2 4 4 2" xfId="14559"/>
    <cellStyle name="20% - Accent1 11 2 4 5" xfId="8476"/>
    <cellStyle name="20% - Accent1 11 2 4 5 2" xfId="15652"/>
    <cellStyle name="20% - Accent1 11 2 4 6" xfId="9984"/>
    <cellStyle name="20% - Accent1 11 2 5" xfId="3352"/>
    <cellStyle name="20% - Accent1 11 2 5 2" xfId="10725"/>
    <cellStyle name="20% - Accent1 11 2 6" xfId="4472"/>
    <cellStyle name="20% - Accent1 11 2 6 2" xfId="11780"/>
    <cellStyle name="20% - Accent1 11 2 7" xfId="5094"/>
    <cellStyle name="20% - Accent1 11 2 7 2" xfId="12366"/>
    <cellStyle name="20% - Accent1 11 2 8" xfId="6393"/>
    <cellStyle name="20% - Accent1 11 2 8 2" xfId="13607"/>
    <cellStyle name="20% - Accent1 11 2 9" xfId="8960"/>
    <cellStyle name="20% - Accent1 11 3" xfId="1611"/>
    <cellStyle name="20% - Accent1 11 3 2" xfId="4002"/>
    <cellStyle name="20% - Accent1 11 3 2 2" xfId="11319"/>
    <cellStyle name="20% - Accent1 11 3 3" xfId="5366"/>
    <cellStyle name="20% - Accent1 11 3 3 2" xfId="12624"/>
    <cellStyle name="20% - Accent1 11 3 4" xfId="6639"/>
    <cellStyle name="20% - Accent1 11 3 4 2" xfId="13844"/>
    <cellStyle name="20% - Accent1 11 3 5" xfId="7797"/>
    <cellStyle name="20% - Accent1 11 3 5 2" xfId="14977"/>
    <cellStyle name="20% - Accent1 11 3 6" xfId="9305"/>
    <cellStyle name="20% - Accent1 11 4" xfId="1874"/>
    <cellStyle name="20% - Accent1 11 4 2" xfId="4259"/>
    <cellStyle name="20% - Accent1 11 4 2 2" xfId="11571"/>
    <cellStyle name="20% - Accent1 11 4 3" xfId="5615"/>
    <cellStyle name="20% - Accent1 11 4 3 2" xfId="12868"/>
    <cellStyle name="20% - Accent1 11 4 4" xfId="6884"/>
    <cellStyle name="20% - Accent1 11 4 4 2" xfId="14086"/>
    <cellStyle name="20% - Accent1 11 4 5" xfId="8029"/>
    <cellStyle name="20% - Accent1 11 4 5 2" xfId="15209"/>
    <cellStyle name="20% - Accent1 11 4 6" xfId="9537"/>
    <cellStyle name="20% - Accent1 11 5" xfId="2283"/>
    <cellStyle name="20% - Accent1 11 5 2" xfId="4645"/>
    <cellStyle name="20% - Accent1 11 5 2 2" xfId="11943"/>
    <cellStyle name="20% - Accent1 11 5 3" xfId="5986"/>
    <cellStyle name="20% - Accent1 11 5 3 2" xfId="13223"/>
    <cellStyle name="20% - Accent1 11 5 4" xfId="7239"/>
    <cellStyle name="20% - Accent1 11 5 4 2" xfId="14432"/>
    <cellStyle name="20% - Accent1 11 5 5" xfId="8349"/>
    <cellStyle name="20% - Accent1 11 5 5 2" xfId="15525"/>
    <cellStyle name="20% - Accent1 11 5 6" xfId="9857"/>
    <cellStyle name="20% - Accent1 11 6" xfId="3150"/>
    <cellStyle name="20% - Accent1 11 6 2" xfId="10543"/>
    <cellStyle name="20% - Accent1 11 7" xfId="2656"/>
    <cellStyle name="20% - Accent1 11 7 2" xfId="10156"/>
    <cellStyle name="20% - Accent1 11 8" xfId="2719"/>
    <cellStyle name="20% - Accent1 11 8 2" xfId="10212"/>
    <cellStyle name="20% - Accent1 11 9" xfId="5132"/>
    <cellStyle name="20% - Accent1 11 9 2" xfId="12401"/>
    <cellStyle name="20% - Accent1 12" xfId="901"/>
    <cellStyle name="20% - Accent1 12 2" xfId="1791"/>
    <cellStyle name="20% - Accent1 12 2 2" xfId="4180"/>
    <cellStyle name="20% - Accent1 12 2 2 2" xfId="11493"/>
    <cellStyle name="20% - Accent1 12 2 3" xfId="5540"/>
    <cellStyle name="20% - Accent1 12 2 3 2" xfId="12794"/>
    <cellStyle name="20% - Accent1 12 2 4" xfId="6812"/>
    <cellStyle name="20% - Accent1 12 2 4 2" xfId="14014"/>
    <cellStyle name="20% - Accent1 12 2 5" xfId="7963"/>
    <cellStyle name="20% - Accent1 12 2 5 2" xfId="15143"/>
    <cellStyle name="20% - Accent1 12 2 6" xfId="9471"/>
    <cellStyle name="20% - Accent1 12 3" xfId="2017"/>
    <cellStyle name="20% - Accent1 12 3 2" xfId="4400"/>
    <cellStyle name="20% - Accent1 12 3 2 2" xfId="11711"/>
    <cellStyle name="20% - Accent1 12 3 3" xfId="5756"/>
    <cellStyle name="20% - Accent1 12 3 3 2" xfId="13008"/>
    <cellStyle name="20% - Accent1 12 3 4" xfId="7025"/>
    <cellStyle name="20% - Accent1 12 3 4 2" xfId="14226"/>
    <cellStyle name="20% - Accent1 12 3 5" xfId="8169"/>
    <cellStyle name="20% - Accent1 12 3 5 2" xfId="15349"/>
    <cellStyle name="20% - Accent1 12 3 6" xfId="9677"/>
    <cellStyle name="20% - Accent1 12 4" xfId="2426"/>
    <cellStyle name="20% - Accent1 12 4 2" xfId="4788"/>
    <cellStyle name="20% - Accent1 12 4 2 2" xfId="12083"/>
    <cellStyle name="20% - Accent1 12 4 3" xfId="6129"/>
    <cellStyle name="20% - Accent1 12 4 3 2" xfId="13363"/>
    <cellStyle name="20% - Accent1 12 4 4" xfId="7382"/>
    <cellStyle name="20% - Accent1 12 4 4 2" xfId="14572"/>
    <cellStyle name="20% - Accent1 12 4 5" xfId="8489"/>
    <cellStyle name="20% - Accent1 12 4 5 2" xfId="15665"/>
    <cellStyle name="20% - Accent1 12 4 6" xfId="9997"/>
    <cellStyle name="20% - Accent1 12 5" xfId="3378"/>
    <cellStyle name="20% - Accent1 12 5 2" xfId="10749"/>
    <cellStyle name="20% - Accent1 12 6" xfId="4174"/>
    <cellStyle name="20% - Accent1 12 6 2" xfId="11488"/>
    <cellStyle name="20% - Accent1 12 7" xfId="3377"/>
    <cellStyle name="20% - Accent1 12 7 2" xfId="10748"/>
    <cellStyle name="20% - Accent1 12 8" xfId="2852"/>
    <cellStyle name="20% - Accent1 12 8 2" xfId="10279"/>
    <cellStyle name="20% - Accent1 12 9" xfId="8973"/>
    <cellStyle name="20% - Accent1 13" xfId="944"/>
    <cellStyle name="20% - Accent1 13 2" xfId="1817"/>
    <cellStyle name="20% - Accent1 13 2 2" xfId="4203"/>
    <cellStyle name="20% - Accent1 13 2 2 2" xfId="11516"/>
    <cellStyle name="20% - Accent1 13 2 3" xfId="5562"/>
    <cellStyle name="20% - Accent1 13 2 3 2" xfId="12816"/>
    <cellStyle name="20% - Accent1 13 2 4" xfId="6832"/>
    <cellStyle name="20% - Accent1 13 2 4 2" xfId="14034"/>
    <cellStyle name="20% - Accent1 13 2 5" xfId="7982"/>
    <cellStyle name="20% - Accent1 13 2 5 2" xfId="15162"/>
    <cellStyle name="20% - Accent1 13 2 6" xfId="9490"/>
    <cellStyle name="20% - Accent1 13 3" xfId="2032"/>
    <cellStyle name="20% - Accent1 13 3 2" xfId="4414"/>
    <cellStyle name="20% - Accent1 13 3 2 2" xfId="11724"/>
    <cellStyle name="20% - Accent1 13 3 3" xfId="5770"/>
    <cellStyle name="20% - Accent1 13 3 3 2" xfId="13021"/>
    <cellStyle name="20% - Accent1 13 3 4" xfId="7039"/>
    <cellStyle name="20% - Accent1 13 3 4 2" xfId="14239"/>
    <cellStyle name="20% - Accent1 13 3 5" xfId="8182"/>
    <cellStyle name="20% - Accent1 13 3 5 2" xfId="15362"/>
    <cellStyle name="20% - Accent1 13 3 6" xfId="9690"/>
    <cellStyle name="20% - Accent1 13 4" xfId="2441"/>
    <cellStyle name="20% - Accent1 13 4 2" xfId="4803"/>
    <cellStyle name="20% - Accent1 13 4 2 2" xfId="12096"/>
    <cellStyle name="20% - Accent1 13 4 3" xfId="6144"/>
    <cellStyle name="20% - Accent1 13 4 3 2" xfId="13376"/>
    <cellStyle name="20% - Accent1 13 4 4" xfId="7397"/>
    <cellStyle name="20% - Accent1 13 4 4 2" xfId="14585"/>
    <cellStyle name="20% - Accent1 13 4 5" xfId="8502"/>
    <cellStyle name="20% - Accent1 13 4 5 2" xfId="15678"/>
    <cellStyle name="20% - Accent1 13 4 6" xfId="10010"/>
    <cellStyle name="20% - Accent1 13 5" xfId="3415"/>
    <cellStyle name="20% - Accent1 13 5 2" xfId="10779"/>
    <cellStyle name="20% - Accent1 13 6" xfId="4527"/>
    <cellStyle name="20% - Accent1 13 6 2" xfId="11826"/>
    <cellStyle name="20% - Accent1 13 7" xfId="3652"/>
    <cellStyle name="20% - Accent1 13 7 2" xfId="10990"/>
    <cellStyle name="20% - Accent1 13 8" xfId="6256"/>
    <cellStyle name="20% - Accent1 13 8 2" xfId="13484"/>
    <cellStyle name="20% - Accent1 13 9" xfId="8988"/>
    <cellStyle name="20% - Accent1 14" xfId="987"/>
    <cellStyle name="20% - Accent1 14 2" xfId="1841"/>
    <cellStyle name="20% - Accent1 14 2 2" xfId="4226"/>
    <cellStyle name="20% - Accent1 14 2 2 2" xfId="11539"/>
    <cellStyle name="20% - Accent1 14 2 3" xfId="5583"/>
    <cellStyle name="20% - Accent1 14 2 3 2" xfId="12836"/>
    <cellStyle name="20% - Accent1 14 2 4" xfId="6852"/>
    <cellStyle name="20% - Accent1 14 2 4 2" xfId="14054"/>
    <cellStyle name="20% - Accent1 14 2 5" xfId="8000"/>
    <cellStyle name="20% - Accent1 14 2 5 2" xfId="15180"/>
    <cellStyle name="20% - Accent1 14 2 6" xfId="9508"/>
    <cellStyle name="20% - Accent1 14 3" xfId="2046"/>
    <cellStyle name="20% - Accent1 14 3 2" xfId="4428"/>
    <cellStyle name="20% - Accent1 14 3 2 2" xfId="11737"/>
    <cellStyle name="20% - Accent1 14 3 3" xfId="5783"/>
    <cellStyle name="20% - Accent1 14 3 3 2" xfId="13034"/>
    <cellStyle name="20% - Accent1 14 3 4" xfId="7052"/>
    <cellStyle name="20% - Accent1 14 3 4 2" xfId="14252"/>
    <cellStyle name="20% - Accent1 14 3 5" xfId="8195"/>
    <cellStyle name="20% - Accent1 14 3 5 2" xfId="15375"/>
    <cellStyle name="20% - Accent1 14 3 6" xfId="9703"/>
    <cellStyle name="20% - Accent1 14 4" xfId="2455"/>
    <cellStyle name="20% - Accent1 14 4 2" xfId="4816"/>
    <cellStyle name="20% - Accent1 14 4 2 2" xfId="12109"/>
    <cellStyle name="20% - Accent1 14 4 3" xfId="6158"/>
    <cellStyle name="20% - Accent1 14 4 3 2" xfId="13389"/>
    <cellStyle name="20% - Accent1 14 4 4" xfId="7411"/>
    <cellStyle name="20% - Accent1 14 4 4 2" xfId="14598"/>
    <cellStyle name="20% - Accent1 14 4 5" xfId="8515"/>
    <cellStyle name="20% - Accent1 14 4 5 2" xfId="15691"/>
    <cellStyle name="20% - Accent1 14 4 6" xfId="10023"/>
    <cellStyle name="20% - Accent1 14 5" xfId="3449"/>
    <cellStyle name="20% - Accent1 14 5 2" xfId="10810"/>
    <cellStyle name="20% - Accent1 14 6" xfId="2859"/>
    <cellStyle name="20% - Accent1 14 6 2" xfId="10286"/>
    <cellStyle name="20% - Accent1 14 7" xfId="2899"/>
    <cellStyle name="20% - Accent1 14 7 2" xfId="10323"/>
    <cellStyle name="20% - Accent1 14 8" xfId="3443"/>
    <cellStyle name="20% - Accent1 14 8 2" xfId="10805"/>
    <cellStyle name="20% - Accent1 14 9" xfId="9002"/>
    <cellStyle name="20% - Accent1 15" xfId="1028"/>
    <cellStyle name="20% - Accent1 15 2" xfId="1859"/>
    <cellStyle name="20% - Accent1 15 2 2" xfId="4244"/>
    <cellStyle name="20% - Accent1 15 2 2 2" xfId="11556"/>
    <cellStyle name="20% - Accent1 15 2 3" xfId="5600"/>
    <cellStyle name="20% - Accent1 15 2 3 2" xfId="12853"/>
    <cellStyle name="20% - Accent1 15 2 4" xfId="6869"/>
    <cellStyle name="20% - Accent1 15 2 4 2" xfId="14071"/>
    <cellStyle name="20% - Accent1 15 2 5" xfId="8014"/>
    <cellStyle name="20% - Accent1 15 2 5 2" xfId="15194"/>
    <cellStyle name="20% - Accent1 15 2 6" xfId="9522"/>
    <cellStyle name="20% - Accent1 15 3" xfId="2059"/>
    <cellStyle name="20% - Accent1 15 3 2" xfId="4441"/>
    <cellStyle name="20% - Accent1 15 3 2 2" xfId="11750"/>
    <cellStyle name="20% - Accent1 15 3 3" xfId="5796"/>
    <cellStyle name="20% - Accent1 15 3 3 2" xfId="13047"/>
    <cellStyle name="20% - Accent1 15 3 4" xfId="7065"/>
    <cellStyle name="20% - Accent1 15 3 4 2" xfId="14265"/>
    <cellStyle name="20% - Accent1 15 3 5" xfId="8208"/>
    <cellStyle name="20% - Accent1 15 3 5 2" xfId="15388"/>
    <cellStyle name="20% - Accent1 15 3 6" xfId="9716"/>
    <cellStyle name="20% - Accent1 15 4" xfId="2468"/>
    <cellStyle name="20% - Accent1 15 4 2" xfId="4829"/>
    <cellStyle name="20% - Accent1 15 4 2 2" xfId="12122"/>
    <cellStyle name="20% - Accent1 15 4 3" xfId="6171"/>
    <cellStyle name="20% - Accent1 15 4 3 2" xfId="13402"/>
    <cellStyle name="20% - Accent1 15 4 4" xfId="7424"/>
    <cellStyle name="20% - Accent1 15 4 4 2" xfId="14611"/>
    <cellStyle name="20% - Accent1 15 4 5" xfId="8528"/>
    <cellStyle name="20% - Accent1 15 4 5 2" xfId="15704"/>
    <cellStyle name="20% - Accent1 15 4 6" xfId="10036"/>
    <cellStyle name="20% - Accent1 15 5" xfId="3484"/>
    <cellStyle name="20% - Accent1 15 5 2" xfId="10839"/>
    <cellStyle name="20% - Accent1 15 6" xfId="3180"/>
    <cellStyle name="20% - Accent1 15 6 2" xfId="10568"/>
    <cellStyle name="20% - Accent1 15 7" xfId="5810"/>
    <cellStyle name="20% - Accent1 15 7 2" xfId="13061"/>
    <cellStyle name="20% - Accent1 15 8" xfId="7079"/>
    <cellStyle name="20% - Accent1 15 8 2" xfId="14279"/>
    <cellStyle name="20% - Accent1 15 9" xfId="9015"/>
    <cellStyle name="20% - Accent1 16" xfId="1069"/>
    <cellStyle name="20% - Accent1 16 2" xfId="2481"/>
    <cellStyle name="20% - Accent1 16 2 2" xfId="4842"/>
    <cellStyle name="20% - Accent1 16 2 2 2" xfId="12135"/>
    <cellStyle name="20% - Accent1 16 2 3" xfId="6184"/>
    <cellStyle name="20% - Accent1 16 2 3 2" xfId="13415"/>
    <cellStyle name="20% - Accent1 16 2 4" xfId="7437"/>
    <cellStyle name="20% - Accent1 16 2 4 2" xfId="14624"/>
    <cellStyle name="20% - Accent1 16 2 5" xfId="8541"/>
    <cellStyle name="20% - Accent1 16 2 5 2" xfId="15717"/>
    <cellStyle name="20% - Accent1 16 2 6" xfId="10049"/>
    <cellStyle name="20% - Accent1 16 3" xfId="3514"/>
    <cellStyle name="20% - Accent1 16 3 2" xfId="10868"/>
    <cellStyle name="20% - Accent1 16 4" xfId="4453"/>
    <cellStyle name="20% - Accent1 16 4 2" xfId="11762"/>
    <cellStyle name="20% - Accent1 16 5" xfId="5073"/>
    <cellStyle name="20% - Accent1 16 5 2" xfId="12347"/>
    <cellStyle name="20% - Accent1 16 6" xfId="6381"/>
    <cellStyle name="20% - Accent1 16 6 2" xfId="13595"/>
    <cellStyle name="20% - Accent1 16 7" xfId="9028"/>
    <cellStyle name="20% - Accent1 17" xfId="1110"/>
    <cellStyle name="20% - Accent1 17 2" xfId="2494"/>
    <cellStyle name="20% - Accent1 17 2 2" xfId="4855"/>
    <cellStyle name="20% - Accent1 17 2 2 2" xfId="12148"/>
    <cellStyle name="20% - Accent1 17 2 3" xfId="6197"/>
    <cellStyle name="20% - Accent1 17 2 3 2" xfId="13428"/>
    <cellStyle name="20% - Accent1 17 2 4" xfId="7450"/>
    <cellStyle name="20% - Accent1 17 2 4 2" xfId="14637"/>
    <cellStyle name="20% - Accent1 17 2 5" xfId="8554"/>
    <cellStyle name="20% - Accent1 17 2 5 2" xfId="15730"/>
    <cellStyle name="20% - Accent1 17 2 6" xfId="10062"/>
    <cellStyle name="20% - Accent1 17 3" xfId="3552"/>
    <cellStyle name="20% - Accent1 17 3 2" xfId="10901"/>
    <cellStyle name="20% - Accent1 17 4" xfId="4959"/>
    <cellStyle name="20% - Accent1 17 4 2" xfId="12245"/>
    <cellStyle name="20% - Accent1 17 5" xfId="6291"/>
    <cellStyle name="20% - Accent1 17 5 2" xfId="13514"/>
    <cellStyle name="20% - Accent1 17 6" xfId="7533"/>
    <cellStyle name="20% - Accent1 17 6 2" xfId="14717"/>
    <cellStyle name="20% - Accent1 17 7" xfId="9041"/>
    <cellStyle name="20% - Accent1 18" xfId="1151"/>
    <cellStyle name="20% - Accent1 18 2" xfId="2507"/>
    <cellStyle name="20% - Accent1 18 2 2" xfId="4868"/>
    <cellStyle name="20% - Accent1 18 2 2 2" xfId="12161"/>
    <cellStyle name="20% - Accent1 18 2 3" xfId="6210"/>
    <cellStyle name="20% - Accent1 18 2 3 2" xfId="13441"/>
    <cellStyle name="20% - Accent1 18 2 4" xfId="7463"/>
    <cellStyle name="20% - Accent1 18 2 4 2" xfId="14650"/>
    <cellStyle name="20% - Accent1 18 2 5" xfId="8567"/>
    <cellStyle name="20% - Accent1 18 2 5 2" xfId="15743"/>
    <cellStyle name="20% - Accent1 18 2 6" xfId="10075"/>
    <cellStyle name="20% - Accent1 18 3" xfId="3587"/>
    <cellStyle name="20% - Accent1 18 3 2" xfId="10933"/>
    <cellStyle name="20% - Accent1 18 4" xfId="4991"/>
    <cellStyle name="20% - Accent1 18 4 2" xfId="12272"/>
    <cellStyle name="20% - Accent1 18 5" xfId="6314"/>
    <cellStyle name="20% - Accent1 18 5 2" xfId="13534"/>
    <cellStyle name="20% - Accent1 18 6" xfId="7546"/>
    <cellStyle name="20% - Accent1 18 6 2" xfId="14730"/>
    <cellStyle name="20% - Accent1 18 7" xfId="9054"/>
    <cellStyle name="20% - Accent1 19" xfId="1192"/>
    <cellStyle name="20% - Accent1 19 2" xfId="2520"/>
    <cellStyle name="20% - Accent1 19 2 2" xfId="4881"/>
    <cellStyle name="20% - Accent1 19 2 2 2" xfId="12174"/>
    <cellStyle name="20% - Accent1 19 2 3" xfId="6223"/>
    <cellStyle name="20% - Accent1 19 2 3 2" xfId="13454"/>
    <cellStyle name="20% - Accent1 19 2 4" xfId="7476"/>
    <cellStyle name="20% - Accent1 19 2 4 2" xfId="14663"/>
    <cellStyle name="20% - Accent1 19 2 5" xfId="8580"/>
    <cellStyle name="20% - Accent1 19 2 5 2" xfId="15756"/>
    <cellStyle name="20% - Accent1 19 2 6" xfId="10088"/>
    <cellStyle name="20% - Accent1 19 3" xfId="3622"/>
    <cellStyle name="20% - Accent1 19 3 2" xfId="10962"/>
    <cellStyle name="20% - Accent1 19 4" xfId="5021"/>
    <cellStyle name="20% - Accent1 19 4 2" xfId="12299"/>
    <cellStyle name="20% - Accent1 19 5" xfId="6339"/>
    <cellStyle name="20% - Accent1 19 5 2" xfId="13556"/>
    <cellStyle name="20% - Accent1 19 6" xfId="7559"/>
    <cellStyle name="20% - Accent1 19 6 2" xfId="14743"/>
    <cellStyle name="20% - Accent1 19 7" xfId="9067"/>
    <cellStyle name="20% - Accent1 2" xfId="4"/>
    <cellStyle name="20% - Accent1 2 10" xfId="3168"/>
    <cellStyle name="20% - Accent1 2 11" xfId="8618"/>
    <cellStyle name="20% - Accent1 2 2" xfId="488"/>
    <cellStyle name="20% - Accent1 2 3" xfId="675"/>
    <cellStyle name="20% - Accent1 2 4" xfId="1258"/>
    <cellStyle name="20% - Accent1 2 5" xfId="1387"/>
    <cellStyle name="20% - Accent1 2 6" xfId="2071"/>
    <cellStyle name="20% - Accent1 2 7" xfId="2588"/>
    <cellStyle name="20% - Accent1 2 8" xfId="2804"/>
    <cellStyle name="20% - Accent1 2 9" xfId="4494"/>
    <cellStyle name="20% - Accent1 20" xfId="1233"/>
    <cellStyle name="20% - Accent1 20 2" xfId="2533"/>
    <cellStyle name="20% - Accent1 20 2 2" xfId="4894"/>
    <cellStyle name="20% - Accent1 20 2 2 2" xfId="12187"/>
    <cellStyle name="20% - Accent1 20 2 3" xfId="6236"/>
    <cellStyle name="20% - Accent1 20 2 3 2" xfId="13467"/>
    <cellStyle name="20% - Accent1 20 2 4" xfId="7489"/>
    <cellStyle name="20% - Accent1 20 2 4 2" xfId="14676"/>
    <cellStyle name="20% - Accent1 20 2 5" xfId="8593"/>
    <cellStyle name="20% - Accent1 20 2 5 2" xfId="15769"/>
    <cellStyle name="20% - Accent1 20 2 6" xfId="10101"/>
    <cellStyle name="20% - Accent1 20 3" xfId="3658"/>
    <cellStyle name="20% - Accent1 20 3 2" xfId="10994"/>
    <cellStyle name="20% - Accent1 20 4" xfId="5050"/>
    <cellStyle name="20% - Accent1 20 4 2" xfId="12325"/>
    <cellStyle name="20% - Accent1 20 5" xfId="6361"/>
    <cellStyle name="20% - Accent1 20 5 2" xfId="13576"/>
    <cellStyle name="20% - Accent1 20 6" xfId="7572"/>
    <cellStyle name="20% - Accent1 20 6 2" xfId="14756"/>
    <cellStyle name="20% - Accent1 20 7" xfId="9080"/>
    <cellStyle name="20% - Accent1 21" xfId="2563"/>
    <cellStyle name="20% - Accent1 21 2" xfId="4918"/>
    <cellStyle name="20% - Accent1 21 2 2" xfId="12207"/>
    <cellStyle name="20% - Accent1 21 3" xfId="6261"/>
    <cellStyle name="20% - Accent1 21 3 2" xfId="13487"/>
    <cellStyle name="20% - Accent1 21 4" xfId="7508"/>
    <cellStyle name="20% - Accent1 21 4 2" xfId="14692"/>
    <cellStyle name="20% - Accent1 21 5" xfId="8606"/>
    <cellStyle name="20% - Accent1 21 5 2" xfId="15782"/>
    <cellStyle name="20% - Accent1 21 6" xfId="10114"/>
    <cellStyle name="20% - Accent1 3" xfId="5"/>
    <cellStyle name="20% - Accent1 3 10" xfId="3005"/>
    <cellStyle name="20% - Accent1 3 11" xfId="8619"/>
    <cellStyle name="20% - Accent1 3 2" xfId="489"/>
    <cellStyle name="20% - Accent1 3 3" xfId="676"/>
    <cellStyle name="20% - Accent1 3 4" xfId="1259"/>
    <cellStyle name="20% - Accent1 3 5" xfId="1386"/>
    <cellStyle name="20% - Accent1 3 6" xfId="2072"/>
    <cellStyle name="20% - Accent1 3 7" xfId="2589"/>
    <cellStyle name="20% - Accent1 3 8" xfId="2788"/>
    <cellStyle name="20% - Accent1 3 9" xfId="3746"/>
    <cellStyle name="20% - Accent1 4" xfId="6"/>
    <cellStyle name="20% - Accent1 4 10" xfId="5139"/>
    <cellStyle name="20% - Accent1 4 11" xfId="8620"/>
    <cellStyle name="20% - Accent1 4 2" xfId="490"/>
    <cellStyle name="20% - Accent1 4 3" xfId="677"/>
    <cellStyle name="20% - Accent1 4 4" xfId="1260"/>
    <cellStyle name="20% - Accent1 4 5" xfId="1385"/>
    <cellStyle name="20% - Accent1 4 6" xfId="2073"/>
    <cellStyle name="20% - Accent1 4 7" xfId="2590"/>
    <cellStyle name="20% - Accent1 4 8" xfId="2787"/>
    <cellStyle name="20% - Accent1 4 9" xfId="4498"/>
    <cellStyle name="20% - Accent1 5" xfId="255"/>
    <cellStyle name="20% - Accent1 5 10" xfId="6428"/>
    <cellStyle name="20% - Accent1 5 11" xfId="8702"/>
    <cellStyle name="20% - Accent1 5 2" xfId="567"/>
    <cellStyle name="20% - Accent1 5 3" xfId="754"/>
    <cellStyle name="20% - Accent1 5 4" xfId="1395"/>
    <cellStyle name="20% - Accent1 5 5" xfId="1321"/>
    <cellStyle name="20% - Accent1 5 6" xfId="2155"/>
    <cellStyle name="20% - Accent1 5 7" xfId="2809"/>
    <cellStyle name="20% - Accent1 5 8" xfId="2734"/>
    <cellStyle name="20% - Accent1 5 9" xfId="5137"/>
    <cellStyle name="20% - Accent1 6" xfId="300"/>
    <cellStyle name="20% - Accent1 7" xfId="341"/>
    <cellStyle name="20% - Accent1 7 10" xfId="3671"/>
    <cellStyle name="20% - Accent1 7 10 2" xfId="11007"/>
    <cellStyle name="20% - Accent1 7 11" xfId="8715"/>
    <cellStyle name="20% - Accent1 7 2" xfId="580"/>
    <cellStyle name="20% - Accent1 7 2 10" xfId="8778"/>
    <cellStyle name="20% - Accent1 7 2 2" xfId="819"/>
    <cellStyle name="20% - Accent1 7 2 2 2" xfId="1719"/>
    <cellStyle name="20% - Accent1 7 2 2 2 2" xfId="4109"/>
    <cellStyle name="20% - Accent1 7 2 2 2 2 2" xfId="11423"/>
    <cellStyle name="20% - Accent1 7 2 2 2 3" xfId="5471"/>
    <cellStyle name="20% - Accent1 7 2 2 2 3 2" xfId="12725"/>
    <cellStyle name="20% - Accent1 7 2 2 2 4" xfId="6743"/>
    <cellStyle name="20% - Accent1 7 2 2 2 4 2" xfId="13945"/>
    <cellStyle name="20% - Accent1 7 2 2 2 5" xfId="7898"/>
    <cellStyle name="20% - Accent1 7 2 2 2 5 2" xfId="15078"/>
    <cellStyle name="20% - Accent1 7 2 2 2 6" xfId="9406"/>
    <cellStyle name="20% - Accent1 7 2 2 3" xfId="1952"/>
    <cellStyle name="20% - Accent1 7 2 2 3 2" xfId="4335"/>
    <cellStyle name="20% - Accent1 7 2 2 3 2 2" xfId="11646"/>
    <cellStyle name="20% - Accent1 7 2 2 3 3" xfId="5691"/>
    <cellStyle name="20% - Accent1 7 2 2 3 3 2" xfId="12943"/>
    <cellStyle name="20% - Accent1 7 2 2 3 4" xfId="6960"/>
    <cellStyle name="20% - Accent1 7 2 2 3 4 2" xfId="14161"/>
    <cellStyle name="20% - Accent1 7 2 2 3 5" xfId="8104"/>
    <cellStyle name="20% - Accent1 7 2 2 3 5 2" xfId="15284"/>
    <cellStyle name="20% - Accent1 7 2 2 3 6" xfId="9612"/>
    <cellStyle name="20% - Accent1 7 2 2 4" xfId="2361"/>
    <cellStyle name="20% - Accent1 7 2 2 4 2" xfId="4723"/>
    <cellStyle name="20% - Accent1 7 2 2 4 2 2" xfId="12018"/>
    <cellStyle name="20% - Accent1 7 2 2 4 3" xfId="6064"/>
    <cellStyle name="20% - Accent1 7 2 2 4 3 2" xfId="13298"/>
    <cellStyle name="20% - Accent1 7 2 2 4 4" xfId="7317"/>
    <cellStyle name="20% - Accent1 7 2 2 4 4 2" xfId="14507"/>
    <cellStyle name="20% - Accent1 7 2 2 4 5" xfId="8424"/>
    <cellStyle name="20% - Accent1 7 2 2 4 5 2" xfId="15600"/>
    <cellStyle name="20% - Accent1 7 2 2 4 6" xfId="9932"/>
    <cellStyle name="20% - Accent1 7 2 2 5" xfId="3300"/>
    <cellStyle name="20% - Accent1 7 2 2 5 2" xfId="10673"/>
    <cellStyle name="20% - Accent1 7 2 2 6" xfId="3713"/>
    <cellStyle name="20% - Accent1 7 2 2 6 2" xfId="11047"/>
    <cellStyle name="20% - Accent1 7 2 2 7" xfId="3006"/>
    <cellStyle name="20% - Accent1 7 2 2 7 2" xfId="10418"/>
    <cellStyle name="20% - Accent1 7 2 2 8" xfId="3021"/>
    <cellStyle name="20% - Accent1 7 2 2 8 2" xfId="10431"/>
    <cellStyle name="20% - Accent1 7 2 2 9" xfId="8908"/>
    <cellStyle name="20% - Accent1 7 2 3" xfId="1556"/>
    <cellStyle name="20% - Accent1 7 2 3 2" xfId="3947"/>
    <cellStyle name="20% - Accent1 7 2 3 2 2" xfId="11264"/>
    <cellStyle name="20% - Accent1 7 2 3 3" xfId="5313"/>
    <cellStyle name="20% - Accent1 7 2 3 3 2" xfId="12571"/>
    <cellStyle name="20% - Accent1 7 2 3 4" xfId="6586"/>
    <cellStyle name="20% - Accent1 7 2 3 4 2" xfId="13791"/>
    <cellStyle name="20% - Accent1 7 2 3 5" xfId="7745"/>
    <cellStyle name="20% - Accent1 7 2 3 5 2" xfId="14925"/>
    <cellStyle name="20% - Accent1 7 2 3 6" xfId="9253"/>
    <cellStyle name="20% - Accent1 7 2 4" xfId="1665"/>
    <cellStyle name="20% - Accent1 7 2 4 2" xfId="4055"/>
    <cellStyle name="20% - Accent1 7 2 4 2 2" xfId="11369"/>
    <cellStyle name="20% - Accent1 7 2 4 3" xfId="5417"/>
    <cellStyle name="20% - Accent1 7 2 4 3 2" xfId="12671"/>
    <cellStyle name="20% - Accent1 7 2 4 4" xfId="6689"/>
    <cellStyle name="20% - Accent1 7 2 4 4 2" xfId="13891"/>
    <cellStyle name="20% - Accent1 7 2 4 5" xfId="7844"/>
    <cellStyle name="20% - Accent1 7 2 4 5 2" xfId="15024"/>
    <cellStyle name="20% - Accent1 7 2 4 6" xfId="9352"/>
    <cellStyle name="20% - Accent1 7 2 5" xfId="2231"/>
    <cellStyle name="20% - Accent1 7 2 5 2" xfId="4593"/>
    <cellStyle name="20% - Accent1 7 2 5 2 2" xfId="11891"/>
    <cellStyle name="20% - Accent1 7 2 5 3" xfId="5934"/>
    <cellStyle name="20% - Accent1 7 2 5 3 2" xfId="13171"/>
    <cellStyle name="20% - Accent1 7 2 5 4" xfId="7187"/>
    <cellStyle name="20% - Accent1 7 2 5 4 2" xfId="14380"/>
    <cellStyle name="20% - Accent1 7 2 5 5" xfId="8297"/>
    <cellStyle name="20% - Accent1 7 2 5 5 2" xfId="15473"/>
    <cellStyle name="20% - Accent1 7 2 5 6" xfId="9805"/>
    <cellStyle name="20% - Accent1 7 2 6" xfId="3084"/>
    <cellStyle name="20% - Accent1 7 2 6 2" xfId="10481"/>
    <cellStyle name="20% - Accent1 7 2 7" xfId="2965"/>
    <cellStyle name="20% - Accent1 7 2 7 2" xfId="10382"/>
    <cellStyle name="20% - Accent1 7 2 8" xfId="2808"/>
    <cellStyle name="20% - Accent1 7 2 8 2" xfId="10253"/>
    <cellStyle name="20% - Accent1 7 2 9" xfId="3645"/>
    <cellStyle name="20% - Accent1 7 2 9 2" xfId="10984"/>
    <cellStyle name="20% - Accent1 7 3" xfId="767"/>
    <cellStyle name="20% - Accent1 7 3 2" xfId="1667"/>
    <cellStyle name="20% - Accent1 7 3 2 2" xfId="4057"/>
    <cellStyle name="20% - Accent1 7 3 2 2 2" xfId="11371"/>
    <cellStyle name="20% - Accent1 7 3 2 3" xfId="5419"/>
    <cellStyle name="20% - Accent1 7 3 2 3 2" xfId="12673"/>
    <cellStyle name="20% - Accent1 7 3 2 4" xfId="6691"/>
    <cellStyle name="20% - Accent1 7 3 2 4 2" xfId="13893"/>
    <cellStyle name="20% - Accent1 7 3 2 5" xfId="7846"/>
    <cellStyle name="20% - Accent1 7 3 2 5 2" xfId="15026"/>
    <cellStyle name="20% - Accent1 7 3 2 6" xfId="9354"/>
    <cellStyle name="20% - Accent1 7 3 3" xfId="1900"/>
    <cellStyle name="20% - Accent1 7 3 3 2" xfId="4283"/>
    <cellStyle name="20% - Accent1 7 3 3 2 2" xfId="11594"/>
    <cellStyle name="20% - Accent1 7 3 3 3" xfId="5639"/>
    <cellStyle name="20% - Accent1 7 3 3 3 2" xfId="12891"/>
    <cellStyle name="20% - Accent1 7 3 3 4" xfId="6908"/>
    <cellStyle name="20% - Accent1 7 3 3 4 2" xfId="14109"/>
    <cellStyle name="20% - Accent1 7 3 3 5" xfId="8052"/>
    <cellStyle name="20% - Accent1 7 3 3 5 2" xfId="15232"/>
    <cellStyle name="20% - Accent1 7 3 3 6" xfId="9560"/>
    <cellStyle name="20% - Accent1 7 3 4" xfId="2309"/>
    <cellStyle name="20% - Accent1 7 3 4 2" xfId="4671"/>
    <cellStyle name="20% - Accent1 7 3 4 2 2" xfId="11966"/>
    <cellStyle name="20% - Accent1 7 3 4 3" xfId="6012"/>
    <cellStyle name="20% - Accent1 7 3 4 3 2" xfId="13246"/>
    <cellStyle name="20% - Accent1 7 3 4 4" xfId="7265"/>
    <cellStyle name="20% - Accent1 7 3 4 4 2" xfId="14455"/>
    <cellStyle name="20% - Accent1 7 3 4 5" xfId="8372"/>
    <cellStyle name="20% - Accent1 7 3 4 5 2" xfId="15548"/>
    <cellStyle name="20% - Accent1 7 3 4 6" xfId="9880"/>
    <cellStyle name="20% - Accent1 7 3 5" xfId="3248"/>
    <cellStyle name="20% - Accent1 7 3 5 2" xfId="10621"/>
    <cellStyle name="20% - Accent1 7 3 6" xfId="2997"/>
    <cellStyle name="20% - Accent1 7 3 6 2" xfId="10410"/>
    <cellStyle name="20% - Accent1 7 3 7" xfId="4464"/>
    <cellStyle name="20% - Accent1 7 3 7 2" xfId="11772"/>
    <cellStyle name="20% - Accent1 7 3 8" xfId="5086"/>
    <cellStyle name="20% - Accent1 7 3 8 2" xfId="12359"/>
    <cellStyle name="20% - Accent1 7 3 9" xfId="8856"/>
    <cellStyle name="20% - Accent1 7 4" xfId="1433"/>
    <cellStyle name="20% - Accent1 7 4 2" xfId="3830"/>
    <cellStyle name="20% - Accent1 7 4 2 2" xfId="11151"/>
    <cellStyle name="20% - Accent1 7 4 3" xfId="5198"/>
    <cellStyle name="20% - Accent1 7 4 3 2" xfId="12460"/>
    <cellStyle name="20% - Accent1 7 4 4" xfId="6474"/>
    <cellStyle name="20% - Accent1 7 4 4 2" xfId="13683"/>
    <cellStyle name="20% - Accent1 7 4 5" xfId="7642"/>
    <cellStyle name="20% - Accent1 7 4 5 2" xfId="14822"/>
    <cellStyle name="20% - Accent1 7 4 6" xfId="9150"/>
    <cellStyle name="20% - Accent1 7 5" xfId="1446"/>
    <cellStyle name="20% - Accent1 7 5 2" xfId="3843"/>
    <cellStyle name="20% - Accent1 7 5 2 2" xfId="11164"/>
    <cellStyle name="20% - Accent1 7 5 3" xfId="5211"/>
    <cellStyle name="20% - Accent1 7 5 3 2" xfId="12472"/>
    <cellStyle name="20% - Accent1 7 5 4" xfId="6487"/>
    <cellStyle name="20% - Accent1 7 5 4 2" xfId="13695"/>
    <cellStyle name="20% - Accent1 7 5 5" xfId="7654"/>
    <cellStyle name="20% - Accent1 7 5 5 2" xfId="14834"/>
    <cellStyle name="20% - Accent1 7 5 6" xfId="9162"/>
    <cellStyle name="20% - Accent1 7 6" xfId="2168"/>
    <cellStyle name="20% - Accent1 7 6 2" xfId="4530"/>
    <cellStyle name="20% - Accent1 7 6 2 2" xfId="11829"/>
    <cellStyle name="20% - Accent1 7 6 3" xfId="5872"/>
    <cellStyle name="20% - Accent1 7 6 3 2" xfId="13109"/>
    <cellStyle name="20% - Accent1 7 6 4" xfId="7125"/>
    <cellStyle name="20% - Accent1 7 6 4 2" xfId="14318"/>
    <cellStyle name="20% - Accent1 7 6 5" xfId="8235"/>
    <cellStyle name="20% - Accent1 7 6 5 2" xfId="15411"/>
    <cellStyle name="20% - Accent1 7 6 6" xfId="9743"/>
    <cellStyle name="20% - Accent1 7 7" xfId="2878"/>
    <cellStyle name="20% - Accent1 7 7 2" xfId="10302"/>
    <cellStyle name="20% - Accent1 7 8" xfId="2710"/>
    <cellStyle name="20% - Accent1 7 8 2" xfId="10205"/>
    <cellStyle name="20% - Accent1 7 9" xfId="4177"/>
    <cellStyle name="20% - Accent1 7 9 2" xfId="11490"/>
    <cellStyle name="20% - Accent1 8" xfId="382"/>
    <cellStyle name="20% - Accent1 8 10" xfId="5146"/>
    <cellStyle name="20% - Accent1 8 10 2" xfId="12409"/>
    <cellStyle name="20% - Accent1 8 11" xfId="8728"/>
    <cellStyle name="20% - Accent1 8 2" xfId="593"/>
    <cellStyle name="20% - Accent1 8 2 10" xfId="8791"/>
    <cellStyle name="20% - Accent1 8 2 2" xfId="832"/>
    <cellStyle name="20% - Accent1 8 2 2 2" xfId="1732"/>
    <cellStyle name="20% - Accent1 8 2 2 2 2" xfId="4122"/>
    <cellStyle name="20% - Accent1 8 2 2 2 2 2" xfId="11436"/>
    <cellStyle name="20% - Accent1 8 2 2 2 3" xfId="5484"/>
    <cellStyle name="20% - Accent1 8 2 2 2 3 2" xfId="12738"/>
    <cellStyle name="20% - Accent1 8 2 2 2 4" xfId="6756"/>
    <cellStyle name="20% - Accent1 8 2 2 2 4 2" xfId="13958"/>
    <cellStyle name="20% - Accent1 8 2 2 2 5" xfId="7911"/>
    <cellStyle name="20% - Accent1 8 2 2 2 5 2" xfId="15091"/>
    <cellStyle name="20% - Accent1 8 2 2 2 6" xfId="9419"/>
    <cellStyle name="20% - Accent1 8 2 2 3" xfId="1965"/>
    <cellStyle name="20% - Accent1 8 2 2 3 2" xfId="4348"/>
    <cellStyle name="20% - Accent1 8 2 2 3 2 2" xfId="11659"/>
    <cellStyle name="20% - Accent1 8 2 2 3 3" xfId="5704"/>
    <cellStyle name="20% - Accent1 8 2 2 3 3 2" xfId="12956"/>
    <cellStyle name="20% - Accent1 8 2 2 3 4" xfId="6973"/>
    <cellStyle name="20% - Accent1 8 2 2 3 4 2" xfId="14174"/>
    <cellStyle name="20% - Accent1 8 2 2 3 5" xfId="8117"/>
    <cellStyle name="20% - Accent1 8 2 2 3 5 2" xfId="15297"/>
    <cellStyle name="20% - Accent1 8 2 2 3 6" xfId="9625"/>
    <cellStyle name="20% - Accent1 8 2 2 4" xfId="2374"/>
    <cellStyle name="20% - Accent1 8 2 2 4 2" xfId="4736"/>
    <cellStyle name="20% - Accent1 8 2 2 4 2 2" xfId="12031"/>
    <cellStyle name="20% - Accent1 8 2 2 4 3" xfId="6077"/>
    <cellStyle name="20% - Accent1 8 2 2 4 3 2" xfId="13311"/>
    <cellStyle name="20% - Accent1 8 2 2 4 4" xfId="7330"/>
    <cellStyle name="20% - Accent1 8 2 2 4 4 2" xfId="14520"/>
    <cellStyle name="20% - Accent1 8 2 2 4 5" xfId="8437"/>
    <cellStyle name="20% - Accent1 8 2 2 4 5 2" xfId="15613"/>
    <cellStyle name="20% - Accent1 8 2 2 4 6" xfId="9945"/>
    <cellStyle name="20% - Accent1 8 2 2 5" xfId="3313"/>
    <cellStyle name="20% - Accent1 8 2 2 5 2" xfId="10686"/>
    <cellStyle name="20% - Accent1 8 2 2 6" xfId="2629"/>
    <cellStyle name="20% - Accent1 8 2 2 6 2" xfId="10135"/>
    <cellStyle name="20% - Accent1 8 2 2 7" xfId="5099"/>
    <cellStyle name="20% - Accent1 8 2 2 7 2" xfId="12371"/>
    <cellStyle name="20% - Accent1 8 2 2 8" xfId="6398"/>
    <cellStyle name="20% - Accent1 8 2 2 8 2" xfId="13612"/>
    <cellStyle name="20% - Accent1 8 2 2 9" xfId="8921"/>
    <cellStyle name="20% - Accent1 8 2 3" xfId="1569"/>
    <cellStyle name="20% - Accent1 8 2 3 2" xfId="3960"/>
    <cellStyle name="20% - Accent1 8 2 3 2 2" xfId="11277"/>
    <cellStyle name="20% - Accent1 8 2 3 3" xfId="5326"/>
    <cellStyle name="20% - Accent1 8 2 3 3 2" xfId="12584"/>
    <cellStyle name="20% - Accent1 8 2 3 4" xfId="6599"/>
    <cellStyle name="20% - Accent1 8 2 3 4 2" xfId="13804"/>
    <cellStyle name="20% - Accent1 8 2 3 5" xfId="7758"/>
    <cellStyle name="20% - Accent1 8 2 3 5 2" xfId="14938"/>
    <cellStyle name="20% - Accent1 8 2 3 6" xfId="9266"/>
    <cellStyle name="20% - Accent1 8 2 4" xfId="1528"/>
    <cellStyle name="20% - Accent1 8 2 4 2" xfId="3921"/>
    <cellStyle name="20% - Accent1 8 2 4 2 2" xfId="11239"/>
    <cellStyle name="20% - Accent1 8 2 4 3" xfId="5288"/>
    <cellStyle name="20% - Accent1 8 2 4 3 2" xfId="12547"/>
    <cellStyle name="20% - Accent1 8 2 4 4" xfId="6561"/>
    <cellStyle name="20% - Accent1 8 2 4 4 2" xfId="13767"/>
    <cellStyle name="20% - Accent1 8 2 4 5" xfId="7721"/>
    <cellStyle name="20% - Accent1 8 2 4 5 2" xfId="14901"/>
    <cellStyle name="20% - Accent1 8 2 4 6" xfId="9229"/>
    <cellStyle name="20% - Accent1 8 2 5" xfId="2244"/>
    <cellStyle name="20% - Accent1 8 2 5 2" xfId="4606"/>
    <cellStyle name="20% - Accent1 8 2 5 2 2" xfId="11904"/>
    <cellStyle name="20% - Accent1 8 2 5 3" xfId="5947"/>
    <cellStyle name="20% - Accent1 8 2 5 3 2" xfId="13184"/>
    <cellStyle name="20% - Accent1 8 2 5 4" xfId="7200"/>
    <cellStyle name="20% - Accent1 8 2 5 4 2" xfId="14393"/>
    <cellStyle name="20% - Accent1 8 2 5 5" xfId="8310"/>
    <cellStyle name="20% - Accent1 8 2 5 5 2" xfId="15486"/>
    <cellStyle name="20% - Accent1 8 2 5 6" xfId="9818"/>
    <cellStyle name="20% - Accent1 8 2 6" xfId="3097"/>
    <cellStyle name="20% - Accent1 8 2 6 2" xfId="10494"/>
    <cellStyle name="20% - Accent1 8 2 7" xfId="3528"/>
    <cellStyle name="20% - Accent1 8 2 7 2" xfId="10882"/>
    <cellStyle name="20% - Accent1 8 2 8" xfId="5034"/>
    <cellStyle name="20% - Accent1 8 2 8 2" xfId="12312"/>
    <cellStyle name="20% - Accent1 8 2 9" xfId="6350"/>
    <cellStyle name="20% - Accent1 8 2 9 2" xfId="13567"/>
    <cellStyle name="20% - Accent1 8 3" xfId="780"/>
    <cellStyle name="20% - Accent1 8 3 2" xfId="1680"/>
    <cellStyle name="20% - Accent1 8 3 2 2" xfId="4070"/>
    <cellStyle name="20% - Accent1 8 3 2 2 2" xfId="11384"/>
    <cellStyle name="20% - Accent1 8 3 2 3" xfId="5432"/>
    <cellStyle name="20% - Accent1 8 3 2 3 2" xfId="12686"/>
    <cellStyle name="20% - Accent1 8 3 2 4" xfId="6704"/>
    <cellStyle name="20% - Accent1 8 3 2 4 2" xfId="13906"/>
    <cellStyle name="20% - Accent1 8 3 2 5" xfId="7859"/>
    <cellStyle name="20% - Accent1 8 3 2 5 2" xfId="15039"/>
    <cellStyle name="20% - Accent1 8 3 2 6" xfId="9367"/>
    <cellStyle name="20% - Accent1 8 3 3" xfId="1913"/>
    <cellStyle name="20% - Accent1 8 3 3 2" xfId="4296"/>
    <cellStyle name="20% - Accent1 8 3 3 2 2" xfId="11607"/>
    <cellStyle name="20% - Accent1 8 3 3 3" xfId="5652"/>
    <cellStyle name="20% - Accent1 8 3 3 3 2" xfId="12904"/>
    <cellStyle name="20% - Accent1 8 3 3 4" xfId="6921"/>
    <cellStyle name="20% - Accent1 8 3 3 4 2" xfId="14122"/>
    <cellStyle name="20% - Accent1 8 3 3 5" xfId="8065"/>
    <cellStyle name="20% - Accent1 8 3 3 5 2" xfId="15245"/>
    <cellStyle name="20% - Accent1 8 3 3 6" xfId="9573"/>
    <cellStyle name="20% - Accent1 8 3 4" xfId="2322"/>
    <cellStyle name="20% - Accent1 8 3 4 2" xfId="4684"/>
    <cellStyle name="20% - Accent1 8 3 4 2 2" xfId="11979"/>
    <cellStyle name="20% - Accent1 8 3 4 3" xfId="6025"/>
    <cellStyle name="20% - Accent1 8 3 4 3 2" xfId="13259"/>
    <cellStyle name="20% - Accent1 8 3 4 4" xfId="7278"/>
    <cellStyle name="20% - Accent1 8 3 4 4 2" xfId="14468"/>
    <cellStyle name="20% - Accent1 8 3 4 5" xfId="8385"/>
    <cellStyle name="20% - Accent1 8 3 4 5 2" xfId="15561"/>
    <cellStyle name="20% - Accent1 8 3 4 6" xfId="9893"/>
    <cellStyle name="20% - Accent1 8 3 5" xfId="3261"/>
    <cellStyle name="20% - Accent1 8 3 5 2" xfId="10634"/>
    <cellStyle name="20% - Accent1 8 3 6" xfId="3593"/>
    <cellStyle name="20% - Accent1 8 3 6 2" xfId="10939"/>
    <cellStyle name="20% - Accent1 8 3 7" xfId="5056"/>
    <cellStyle name="20% - Accent1 8 3 7 2" xfId="12331"/>
    <cellStyle name="20% - Accent1 8 3 8" xfId="6367"/>
    <cellStyle name="20% - Accent1 8 3 8 2" xfId="13582"/>
    <cellStyle name="20% - Accent1 8 3 9" xfId="8869"/>
    <cellStyle name="20% - Accent1 8 4" xfId="1458"/>
    <cellStyle name="20% - Accent1 8 4 2" xfId="3853"/>
    <cellStyle name="20% - Accent1 8 4 2 2" xfId="11174"/>
    <cellStyle name="20% - Accent1 8 4 3" xfId="5223"/>
    <cellStyle name="20% - Accent1 8 4 3 2" xfId="12483"/>
    <cellStyle name="20% - Accent1 8 4 4" xfId="6497"/>
    <cellStyle name="20% - Accent1 8 4 4 2" xfId="13704"/>
    <cellStyle name="20% - Accent1 8 4 5" xfId="7661"/>
    <cellStyle name="20% - Accent1 8 4 5 2" xfId="14841"/>
    <cellStyle name="20% - Accent1 8 4 6" xfId="9169"/>
    <cellStyle name="20% - Accent1 8 5" xfId="1510"/>
    <cellStyle name="20% - Accent1 8 5 2" xfId="3903"/>
    <cellStyle name="20% - Accent1 8 5 2 2" xfId="11221"/>
    <cellStyle name="20% - Accent1 8 5 3" xfId="5270"/>
    <cellStyle name="20% - Accent1 8 5 3 2" xfId="12529"/>
    <cellStyle name="20% - Accent1 8 5 4" xfId="6543"/>
    <cellStyle name="20% - Accent1 8 5 4 2" xfId="13749"/>
    <cellStyle name="20% - Accent1 8 5 5" xfId="7703"/>
    <cellStyle name="20% - Accent1 8 5 5 2" xfId="14883"/>
    <cellStyle name="20% - Accent1 8 5 6" xfId="9211"/>
    <cellStyle name="20% - Accent1 8 6" xfId="2181"/>
    <cellStyle name="20% - Accent1 8 6 2" xfId="4543"/>
    <cellStyle name="20% - Accent1 8 6 2 2" xfId="11842"/>
    <cellStyle name="20% - Accent1 8 6 3" xfId="5885"/>
    <cellStyle name="20% - Accent1 8 6 3 2" xfId="13122"/>
    <cellStyle name="20% - Accent1 8 6 4" xfId="7138"/>
    <cellStyle name="20% - Accent1 8 6 4 2" xfId="14331"/>
    <cellStyle name="20% - Accent1 8 6 5" xfId="8248"/>
    <cellStyle name="20% - Accent1 8 6 5 2" xfId="15424"/>
    <cellStyle name="20% - Accent1 8 6 6" xfId="9756"/>
    <cellStyle name="20% - Accent1 8 7" xfId="2914"/>
    <cellStyle name="20% - Accent1 8 7 2" xfId="10337"/>
    <cellStyle name="20% - Accent1 8 8" xfId="2702"/>
    <cellStyle name="20% - Accent1 8 8 2" xfId="10197"/>
    <cellStyle name="20% - Accent1 8 9" xfId="2759"/>
    <cellStyle name="20% - Accent1 8 9 2" xfId="10224"/>
    <cellStyle name="20% - Accent1 9" xfId="423"/>
    <cellStyle name="20% - Accent1 9 10" xfId="3054"/>
    <cellStyle name="20% - Accent1 9 10 2" xfId="10455"/>
    <cellStyle name="20% - Accent1 9 11" xfId="8741"/>
    <cellStyle name="20% - Accent1 9 2" xfId="606"/>
    <cellStyle name="20% - Accent1 9 2 10" xfId="8804"/>
    <cellStyle name="20% - Accent1 9 2 2" xfId="845"/>
    <cellStyle name="20% - Accent1 9 2 2 2" xfId="1745"/>
    <cellStyle name="20% - Accent1 9 2 2 2 2" xfId="4135"/>
    <cellStyle name="20% - Accent1 9 2 2 2 2 2" xfId="11449"/>
    <cellStyle name="20% - Accent1 9 2 2 2 3" xfId="5497"/>
    <cellStyle name="20% - Accent1 9 2 2 2 3 2" xfId="12751"/>
    <cellStyle name="20% - Accent1 9 2 2 2 4" xfId="6769"/>
    <cellStyle name="20% - Accent1 9 2 2 2 4 2" xfId="13971"/>
    <cellStyle name="20% - Accent1 9 2 2 2 5" xfId="7924"/>
    <cellStyle name="20% - Accent1 9 2 2 2 5 2" xfId="15104"/>
    <cellStyle name="20% - Accent1 9 2 2 2 6" xfId="9432"/>
    <cellStyle name="20% - Accent1 9 2 2 3" xfId="1978"/>
    <cellStyle name="20% - Accent1 9 2 2 3 2" xfId="4361"/>
    <cellStyle name="20% - Accent1 9 2 2 3 2 2" xfId="11672"/>
    <cellStyle name="20% - Accent1 9 2 2 3 3" xfId="5717"/>
    <cellStyle name="20% - Accent1 9 2 2 3 3 2" xfId="12969"/>
    <cellStyle name="20% - Accent1 9 2 2 3 4" xfId="6986"/>
    <cellStyle name="20% - Accent1 9 2 2 3 4 2" xfId="14187"/>
    <cellStyle name="20% - Accent1 9 2 2 3 5" xfId="8130"/>
    <cellStyle name="20% - Accent1 9 2 2 3 5 2" xfId="15310"/>
    <cellStyle name="20% - Accent1 9 2 2 3 6" xfId="9638"/>
    <cellStyle name="20% - Accent1 9 2 2 4" xfId="2387"/>
    <cellStyle name="20% - Accent1 9 2 2 4 2" xfId="4749"/>
    <cellStyle name="20% - Accent1 9 2 2 4 2 2" xfId="12044"/>
    <cellStyle name="20% - Accent1 9 2 2 4 3" xfId="6090"/>
    <cellStyle name="20% - Accent1 9 2 2 4 3 2" xfId="13324"/>
    <cellStyle name="20% - Accent1 9 2 2 4 4" xfId="7343"/>
    <cellStyle name="20% - Accent1 9 2 2 4 4 2" xfId="14533"/>
    <cellStyle name="20% - Accent1 9 2 2 4 5" xfId="8450"/>
    <cellStyle name="20% - Accent1 9 2 2 4 5 2" xfId="15626"/>
    <cellStyle name="20% - Accent1 9 2 2 4 6" xfId="9958"/>
    <cellStyle name="20% - Accent1 9 2 2 5" xfId="3326"/>
    <cellStyle name="20% - Accent1 9 2 2 5 2" xfId="10699"/>
    <cellStyle name="20% - Accent1 9 2 2 6" xfId="3792"/>
    <cellStyle name="20% - Accent1 9 2 2 6 2" xfId="11115"/>
    <cellStyle name="20% - Accent1 9 2 2 7" xfId="2932"/>
    <cellStyle name="20% - Accent1 9 2 2 7 2" xfId="10353"/>
    <cellStyle name="20% - Accent1 9 2 2 8" xfId="3512"/>
    <cellStyle name="20% - Accent1 9 2 2 8 2" xfId="10866"/>
    <cellStyle name="20% - Accent1 9 2 2 9" xfId="8934"/>
    <cellStyle name="20% - Accent1 9 2 3" xfId="1582"/>
    <cellStyle name="20% - Accent1 9 2 3 2" xfId="3973"/>
    <cellStyle name="20% - Accent1 9 2 3 2 2" xfId="11290"/>
    <cellStyle name="20% - Accent1 9 2 3 3" xfId="5339"/>
    <cellStyle name="20% - Accent1 9 2 3 3 2" xfId="12597"/>
    <cellStyle name="20% - Accent1 9 2 3 4" xfId="6612"/>
    <cellStyle name="20% - Accent1 9 2 3 4 2" xfId="13817"/>
    <cellStyle name="20% - Accent1 9 2 3 5" xfId="7771"/>
    <cellStyle name="20% - Accent1 9 2 3 5 2" xfId="14951"/>
    <cellStyle name="20% - Accent1 9 2 3 6" xfId="9279"/>
    <cellStyle name="20% - Accent1 9 2 4" xfId="1633"/>
    <cellStyle name="20% - Accent1 9 2 4 2" xfId="4023"/>
    <cellStyle name="20% - Accent1 9 2 4 2 2" xfId="11338"/>
    <cellStyle name="20% - Accent1 9 2 4 3" xfId="5388"/>
    <cellStyle name="20% - Accent1 9 2 4 3 2" xfId="12643"/>
    <cellStyle name="20% - Accent1 9 2 4 4" xfId="6660"/>
    <cellStyle name="20% - Accent1 9 2 4 4 2" xfId="13863"/>
    <cellStyle name="20% - Accent1 9 2 4 5" xfId="7816"/>
    <cellStyle name="20% - Accent1 9 2 4 5 2" xfId="14996"/>
    <cellStyle name="20% - Accent1 9 2 4 6" xfId="9324"/>
    <cellStyle name="20% - Accent1 9 2 5" xfId="2257"/>
    <cellStyle name="20% - Accent1 9 2 5 2" xfId="4619"/>
    <cellStyle name="20% - Accent1 9 2 5 2 2" xfId="11917"/>
    <cellStyle name="20% - Accent1 9 2 5 3" xfId="5960"/>
    <cellStyle name="20% - Accent1 9 2 5 3 2" xfId="13197"/>
    <cellStyle name="20% - Accent1 9 2 5 4" xfId="7213"/>
    <cellStyle name="20% - Accent1 9 2 5 4 2" xfId="14406"/>
    <cellStyle name="20% - Accent1 9 2 5 5" xfId="8323"/>
    <cellStyle name="20% - Accent1 9 2 5 5 2" xfId="15499"/>
    <cellStyle name="20% - Accent1 9 2 5 6" xfId="9831"/>
    <cellStyle name="20% - Accent1 9 2 6" xfId="3110"/>
    <cellStyle name="20% - Accent1 9 2 6 2" xfId="10507"/>
    <cellStyle name="20% - Accent1 9 2 7" xfId="2665"/>
    <cellStyle name="20% - Accent1 9 2 7 2" xfId="10165"/>
    <cellStyle name="20% - Accent1 9 2 8" xfId="2709"/>
    <cellStyle name="20% - Accent1 9 2 8 2" xfId="10204"/>
    <cellStyle name="20% - Accent1 9 2 9" xfId="4173"/>
    <cellStyle name="20% - Accent1 9 2 9 2" xfId="11487"/>
    <cellStyle name="20% - Accent1 9 3" xfId="793"/>
    <cellStyle name="20% - Accent1 9 3 2" xfId="1693"/>
    <cellStyle name="20% - Accent1 9 3 2 2" xfId="4083"/>
    <cellStyle name="20% - Accent1 9 3 2 2 2" xfId="11397"/>
    <cellStyle name="20% - Accent1 9 3 2 3" xfId="5445"/>
    <cellStyle name="20% - Accent1 9 3 2 3 2" xfId="12699"/>
    <cellStyle name="20% - Accent1 9 3 2 4" xfId="6717"/>
    <cellStyle name="20% - Accent1 9 3 2 4 2" xfId="13919"/>
    <cellStyle name="20% - Accent1 9 3 2 5" xfId="7872"/>
    <cellStyle name="20% - Accent1 9 3 2 5 2" xfId="15052"/>
    <cellStyle name="20% - Accent1 9 3 2 6" xfId="9380"/>
    <cellStyle name="20% - Accent1 9 3 3" xfId="1926"/>
    <cellStyle name="20% - Accent1 9 3 3 2" xfId="4309"/>
    <cellStyle name="20% - Accent1 9 3 3 2 2" xfId="11620"/>
    <cellStyle name="20% - Accent1 9 3 3 3" xfId="5665"/>
    <cellStyle name="20% - Accent1 9 3 3 3 2" xfId="12917"/>
    <cellStyle name="20% - Accent1 9 3 3 4" xfId="6934"/>
    <cellStyle name="20% - Accent1 9 3 3 4 2" xfId="14135"/>
    <cellStyle name="20% - Accent1 9 3 3 5" xfId="8078"/>
    <cellStyle name="20% - Accent1 9 3 3 5 2" xfId="15258"/>
    <cellStyle name="20% - Accent1 9 3 3 6" xfId="9586"/>
    <cellStyle name="20% - Accent1 9 3 4" xfId="2335"/>
    <cellStyle name="20% - Accent1 9 3 4 2" xfId="4697"/>
    <cellStyle name="20% - Accent1 9 3 4 2 2" xfId="11992"/>
    <cellStyle name="20% - Accent1 9 3 4 3" xfId="6038"/>
    <cellStyle name="20% - Accent1 9 3 4 3 2" xfId="13272"/>
    <cellStyle name="20% - Accent1 9 3 4 4" xfId="7291"/>
    <cellStyle name="20% - Accent1 9 3 4 4 2" xfId="14481"/>
    <cellStyle name="20% - Accent1 9 3 4 5" xfId="8398"/>
    <cellStyle name="20% - Accent1 9 3 4 5 2" xfId="15574"/>
    <cellStyle name="20% - Accent1 9 3 4 6" xfId="9906"/>
    <cellStyle name="20% - Accent1 9 3 5" xfId="3274"/>
    <cellStyle name="20% - Accent1 9 3 5 2" xfId="10647"/>
    <cellStyle name="20% - Accent1 9 3 6" xfId="2850"/>
    <cellStyle name="20% - Accent1 9 3 6 2" xfId="10277"/>
    <cellStyle name="20% - Accent1 9 3 7" xfId="3472"/>
    <cellStyle name="20% - Accent1 9 3 7 2" xfId="10831"/>
    <cellStyle name="20% - Accent1 9 3 8" xfId="4982"/>
    <cellStyle name="20% - Accent1 9 3 8 2" xfId="12265"/>
    <cellStyle name="20% - Accent1 9 3 9" xfId="8882"/>
    <cellStyle name="20% - Accent1 9 4" xfId="1478"/>
    <cellStyle name="20% - Accent1 9 4 2" xfId="3872"/>
    <cellStyle name="20% - Accent1 9 4 2 2" xfId="11192"/>
    <cellStyle name="20% - Accent1 9 4 3" xfId="5241"/>
    <cellStyle name="20% - Accent1 9 4 3 2" xfId="12501"/>
    <cellStyle name="20% - Accent1 9 4 4" xfId="6514"/>
    <cellStyle name="20% - Accent1 9 4 4 2" xfId="13721"/>
    <cellStyle name="20% - Accent1 9 4 5" xfId="7676"/>
    <cellStyle name="20% - Accent1 9 4 5 2" xfId="14856"/>
    <cellStyle name="20% - Accent1 9 4 6" xfId="9184"/>
    <cellStyle name="20% - Accent1 9 5" xfId="1840"/>
    <cellStyle name="20% - Accent1 9 5 2" xfId="4225"/>
    <cellStyle name="20% - Accent1 9 5 2 2" xfId="11538"/>
    <cellStyle name="20% - Accent1 9 5 3" xfId="5582"/>
    <cellStyle name="20% - Accent1 9 5 3 2" xfId="12835"/>
    <cellStyle name="20% - Accent1 9 5 4" xfId="6851"/>
    <cellStyle name="20% - Accent1 9 5 4 2" xfId="14053"/>
    <cellStyle name="20% - Accent1 9 5 5" xfId="7999"/>
    <cellStyle name="20% - Accent1 9 5 5 2" xfId="15179"/>
    <cellStyle name="20% - Accent1 9 5 6" xfId="9507"/>
    <cellStyle name="20% - Accent1 9 6" xfId="2194"/>
    <cellStyle name="20% - Accent1 9 6 2" xfId="4556"/>
    <cellStyle name="20% - Accent1 9 6 2 2" xfId="11855"/>
    <cellStyle name="20% - Accent1 9 6 3" xfId="5898"/>
    <cellStyle name="20% - Accent1 9 6 3 2" xfId="13135"/>
    <cellStyle name="20% - Accent1 9 6 4" xfId="7151"/>
    <cellStyle name="20% - Accent1 9 6 4 2" xfId="14344"/>
    <cellStyle name="20% - Accent1 9 6 5" xfId="8261"/>
    <cellStyle name="20% - Accent1 9 6 5 2" xfId="15437"/>
    <cellStyle name="20% - Accent1 9 6 6" xfId="9769"/>
    <cellStyle name="20% - Accent1 9 7" xfId="2950"/>
    <cellStyle name="20% - Accent1 9 7 2" xfId="10368"/>
    <cellStyle name="20% - Accent1 9 8" xfId="3538"/>
    <cellStyle name="20% - Accent1 9 8 2" xfId="10891"/>
    <cellStyle name="20% - Accent1 9 9" xfId="3769"/>
    <cellStyle name="20% - Accent1 9 9 2" xfId="11094"/>
    <cellStyle name="20% - Accent2" xfId="7" builtinId="34" customBuiltin="1"/>
    <cellStyle name="20% - Accent2 10" xfId="469"/>
    <cellStyle name="20% - Accent2 10 10" xfId="3750"/>
    <cellStyle name="20% - Accent2 10 10 2" xfId="11080"/>
    <cellStyle name="20% - Accent2 10 11" xfId="8757"/>
    <cellStyle name="20% - Accent2 10 2" xfId="621"/>
    <cellStyle name="20% - Accent2 10 2 10" xfId="8819"/>
    <cellStyle name="20% - Accent2 10 2 2" xfId="860"/>
    <cellStyle name="20% - Accent2 10 2 2 2" xfId="1760"/>
    <cellStyle name="20% - Accent2 10 2 2 2 2" xfId="4150"/>
    <cellStyle name="20% - Accent2 10 2 2 2 2 2" xfId="11464"/>
    <cellStyle name="20% - Accent2 10 2 2 2 3" xfId="5512"/>
    <cellStyle name="20% - Accent2 10 2 2 2 3 2" xfId="12766"/>
    <cellStyle name="20% - Accent2 10 2 2 2 4" xfId="6784"/>
    <cellStyle name="20% - Accent2 10 2 2 2 4 2" xfId="13986"/>
    <cellStyle name="20% - Accent2 10 2 2 2 5" xfId="7939"/>
    <cellStyle name="20% - Accent2 10 2 2 2 5 2" xfId="15119"/>
    <cellStyle name="20% - Accent2 10 2 2 2 6" xfId="9447"/>
    <cellStyle name="20% - Accent2 10 2 2 3" xfId="1993"/>
    <cellStyle name="20% - Accent2 10 2 2 3 2" xfId="4376"/>
    <cellStyle name="20% - Accent2 10 2 2 3 2 2" xfId="11687"/>
    <cellStyle name="20% - Accent2 10 2 2 3 3" xfId="5732"/>
    <cellStyle name="20% - Accent2 10 2 2 3 3 2" xfId="12984"/>
    <cellStyle name="20% - Accent2 10 2 2 3 4" xfId="7001"/>
    <cellStyle name="20% - Accent2 10 2 2 3 4 2" xfId="14202"/>
    <cellStyle name="20% - Accent2 10 2 2 3 5" xfId="8145"/>
    <cellStyle name="20% - Accent2 10 2 2 3 5 2" xfId="15325"/>
    <cellStyle name="20% - Accent2 10 2 2 3 6" xfId="9653"/>
    <cellStyle name="20% - Accent2 10 2 2 4" xfId="2402"/>
    <cellStyle name="20% - Accent2 10 2 2 4 2" xfId="4764"/>
    <cellStyle name="20% - Accent2 10 2 2 4 2 2" xfId="12059"/>
    <cellStyle name="20% - Accent2 10 2 2 4 3" xfId="6105"/>
    <cellStyle name="20% - Accent2 10 2 2 4 3 2" xfId="13339"/>
    <cellStyle name="20% - Accent2 10 2 2 4 4" xfId="7358"/>
    <cellStyle name="20% - Accent2 10 2 2 4 4 2" xfId="14548"/>
    <cellStyle name="20% - Accent2 10 2 2 4 5" xfId="8465"/>
    <cellStyle name="20% - Accent2 10 2 2 4 5 2" xfId="15641"/>
    <cellStyle name="20% - Accent2 10 2 2 4 6" xfId="9973"/>
    <cellStyle name="20% - Accent2 10 2 2 5" xfId="3341"/>
    <cellStyle name="20% - Accent2 10 2 2 5 2" xfId="10714"/>
    <cellStyle name="20% - Accent2 10 2 2 6" xfId="3079"/>
    <cellStyle name="20% - Accent2 10 2 2 6 2" xfId="10476"/>
    <cellStyle name="20% - Accent2 10 2 2 7" xfId="5163"/>
    <cellStyle name="20% - Accent2 10 2 2 7 2" xfId="12426"/>
    <cellStyle name="20% - Accent2 10 2 2 8" xfId="6446"/>
    <cellStyle name="20% - Accent2 10 2 2 8 2" xfId="13655"/>
    <cellStyle name="20% - Accent2 10 2 2 9" xfId="8949"/>
    <cellStyle name="20% - Accent2 10 2 3" xfId="1597"/>
    <cellStyle name="20% - Accent2 10 2 3 2" xfId="3988"/>
    <cellStyle name="20% - Accent2 10 2 3 2 2" xfId="11305"/>
    <cellStyle name="20% - Accent2 10 2 3 3" xfId="5354"/>
    <cellStyle name="20% - Accent2 10 2 3 3 2" xfId="12612"/>
    <cellStyle name="20% - Accent2 10 2 3 4" xfId="6627"/>
    <cellStyle name="20% - Accent2 10 2 3 4 2" xfId="13832"/>
    <cellStyle name="20% - Accent2 10 2 3 5" xfId="7786"/>
    <cellStyle name="20% - Accent2 10 2 3 5 2" xfId="14966"/>
    <cellStyle name="20% - Accent2 10 2 3 6" xfId="9294"/>
    <cellStyle name="20% - Accent2 10 2 4" xfId="1549"/>
    <cellStyle name="20% - Accent2 10 2 4 2" xfId="3940"/>
    <cellStyle name="20% - Accent2 10 2 4 2 2" xfId="11257"/>
    <cellStyle name="20% - Accent2 10 2 4 3" xfId="5306"/>
    <cellStyle name="20% - Accent2 10 2 4 3 2" xfId="12564"/>
    <cellStyle name="20% - Accent2 10 2 4 4" xfId="6579"/>
    <cellStyle name="20% - Accent2 10 2 4 4 2" xfId="13784"/>
    <cellStyle name="20% - Accent2 10 2 4 5" xfId="7738"/>
    <cellStyle name="20% - Accent2 10 2 4 5 2" xfId="14918"/>
    <cellStyle name="20% - Accent2 10 2 4 6" xfId="9246"/>
    <cellStyle name="20% - Accent2 10 2 5" xfId="2272"/>
    <cellStyle name="20% - Accent2 10 2 5 2" xfId="4634"/>
    <cellStyle name="20% - Accent2 10 2 5 2 2" xfId="11932"/>
    <cellStyle name="20% - Accent2 10 2 5 3" xfId="5975"/>
    <cellStyle name="20% - Accent2 10 2 5 3 2" xfId="13212"/>
    <cellStyle name="20% - Accent2 10 2 5 4" xfId="7228"/>
    <cellStyle name="20% - Accent2 10 2 5 4 2" xfId="14421"/>
    <cellStyle name="20% - Accent2 10 2 5 5" xfId="8338"/>
    <cellStyle name="20% - Accent2 10 2 5 5 2" xfId="15514"/>
    <cellStyle name="20% - Accent2 10 2 5 6" xfId="9846"/>
    <cellStyle name="20% - Accent2 10 2 6" xfId="3125"/>
    <cellStyle name="20% - Accent2 10 2 6 2" xfId="10522"/>
    <cellStyle name="20% - Accent2 10 2 7" xfId="2662"/>
    <cellStyle name="20% - Accent2 10 2 7 2" xfId="10162"/>
    <cellStyle name="20% - Accent2 10 2 8" xfId="3699"/>
    <cellStyle name="20% - Accent2 10 2 8 2" xfId="11033"/>
    <cellStyle name="20% - Accent2 10 2 9" xfId="3509"/>
    <cellStyle name="20% - Accent2 10 2 9 2" xfId="10864"/>
    <cellStyle name="20% - Accent2 10 3" xfId="808"/>
    <cellStyle name="20% - Accent2 10 3 2" xfId="1708"/>
    <cellStyle name="20% - Accent2 10 3 2 2" xfId="4098"/>
    <cellStyle name="20% - Accent2 10 3 2 2 2" xfId="11412"/>
    <cellStyle name="20% - Accent2 10 3 2 3" xfId="5460"/>
    <cellStyle name="20% - Accent2 10 3 2 3 2" xfId="12714"/>
    <cellStyle name="20% - Accent2 10 3 2 4" xfId="6732"/>
    <cellStyle name="20% - Accent2 10 3 2 4 2" xfId="13934"/>
    <cellStyle name="20% - Accent2 10 3 2 5" xfId="7887"/>
    <cellStyle name="20% - Accent2 10 3 2 5 2" xfId="15067"/>
    <cellStyle name="20% - Accent2 10 3 2 6" xfId="9395"/>
    <cellStyle name="20% - Accent2 10 3 3" xfId="1941"/>
    <cellStyle name="20% - Accent2 10 3 3 2" xfId="4324"/>
    <cellStyle name="20% - Accent2 10 3 3 2 2" xfId="11635"/>
    <cellStyle name="20% - Accent2 10 3 3 3" xfId="5680"/>
    <cellStyle name="20% - Accent2 10 3 3 3 2" xfId="12932"/>
    <cellStyle name="20% - Accent2 10 3 3 4" xfId="6949"/>
    <cellStyle name="20% - Accent2 10 3 3 4 2" xfId="14150"/>
    <cellStyle name="20% - Accent2 10 3 3 5" xfId="8093"/>
    <cellStyle name="20% - Accent2 10 3 3 5 2" xfId="15273"/>
    <cellStyle name="20% - Accent2 10 3 3 6" xfId="9601"/>
    <cellStyle name="20% - Accent2 10 3 4" xfId="2350"/>
    <cellStyle name="20% - Accent2 10 3 4 2" xfId="4712"/>
    <cellStyle name="20% - Accent2 10 3 4 2 2" xfId="12007"/>
    <cellStyle name="20% - Accent2 10 3 4 3" xfId="6053"/>
    <cellStyle name="20% - Accent2 10 3 4 3 2" xfId="13287"/>
    <cellStyle name="20% - Accent2 10 3 4 4" xfId="7306"/>
    <cellStyle name="20% - Accent2 10 3 4 4 2" xfId="14496"/>
    <cellStyle name="20% - Accent2 10 3 4 5" xfId="8413"/>
    <cellStyle name="20% - Accent2 10 3 4 5 2" xfId="15589"/>
    <cellStyle name="20% - Accent2 10 3 4 6" xfId="9921"/>
    <cellStyle name="20% - Accent2 10 3 5" xfId="3289"/>
    <cellStyle name="20% - Accent2 10 3 5 2" xfId="10662"/>
    <cellStyle name="20% - Accent2 10 3 6" xfId="3152"/>
    <cellStyle name="20% - Accent2 10 3 6 2" xfId="10545"/>
    <cellStyle name="20% - Accent2 10 3 7" xfId="3809"/>
    <cellStyle name="20% - Accent2 10 3 7 2" xfId="11131"/>
    <cellStyle name="20% - Accent2 10 3 8" xfId="2983"/>
    <cellStyle name="20% - Accent2 10 3 8 2" xfId="10397"/>
    <cellStyle name="20% - Accent2 10 3 9" xfId="8897"/>
    <cellStyle name="20% - Accent2 10 4" xfId="1506"/>
    <cellStyle name="20% - Accent2 10 4 2" xfId="3899"/>
    <cellStyle name="20% - Accent2 10 4 2 2" xfId="11217"/>
    <cellStyle name="20% - Accent2 10 4 3" xfId="5266"/>
    <cellStyle name="20% - Accent2 10 4 3 2" xfId="12525"/>
    <cellStyle name="20% - Accent2 10 4 4" xfId="6539"/>
    <cellStyle name="20% - Accent2 10 4 4 2" xfId="13745"/>
    <cellStyle name="20% - Accent2 10 4 5" xfId="7699"/>
    <cellStyle name="20% - Accent2 10 4 5 2" xfId="14879"/>
    <cellStyle name="20% - Accent2 10 4 6" xfId="9207"/>
    <cellStyle name="20% - Accent2 10 5" xfId="1826"/>
    <cellStyle name="20% - Accent2 10 5 2" xfId="4212"/>
    <cellStyle name="20% - Accent2 10 5 2 2" xfId="11525"/>
    <cellStyle name="20% - Accent2 10 5 3" xfId="5571"/>
    <cellStyle name="20% - Accent2 10 5 3 2" xfId="12825"/>
    <cellStyle name="20% - Accent2 10 5 4" xfId="6841"/>
    <cellStyle name="20% - Accent2 10 5 4 2" xfId="14043"/>
    <cellStyle name="20% - Accent2 10 5 5" xfId="7991"/>
    <cellStyle name="20% - Accent2 10 5 5 2" xfId="15171"/>
    <cellStyle name="20% - Accent2 10 5 6" xfId="9499"/>
    <cellStyle name="20% - Accent2 10 6" xfId="2210"/>
    <cellStyle name="20% - Accent2 10 6 2" xfId="4572"/>
    <cellStyle name="20% - Accent2 10 6 2 2" xfId="11870"/>
    <cellStyle name="20% - Accent2 10 6 3" xfId="5913"/>
    <cellStyle name="20% - Accent2 10 6 3 2" xfId="13150"/>
    <cellStyle name="20% - Accent2 10 6 4" xfId="7166"/>
    <cellStyle name="20% - Accent2 10 6 4 2" xfId="14359"/>
    <cellStyle name="20% - Accent2 10 6 5" xfId="8276"/>
    <cellStyle name="20% - Accent2 10 6 5 2" xfId="15452"/>
    <cellStyle name="20% - Accent2 10 6 6" xfId="9784"/>
    <cellStyle name="20% - Accent2 10 7" xfId="2992"/>
    <cellStyle name="20% - Accent2 10 7 2" xfId="10405"/>
    <cellStyle name="20% - Accent2 10 8" xfId="3405"/>
    <cellStyle name="20% - Accent2 10 8 2" xfId="10773"/>
    <cellStyle name="20% - Accent2 10 9" xfId="3794"/>
    <cellStyle name="20% - Accent2 10 9 2" xfId="11117"/>
    <cellStyle name="20% - Accent2 11" xfId="653"/>
    <cellStyle name="20% - Accent2 11 10" xfId="8832"/>
    <cellStyle name="20% - Accent2 11 2" xfId="873"/>
    <cellStyle name="20% - Accent2 11 2 2" xfId="1773"/>
    <cellStyle name="20% - Accent2 11 2 2 2" xfId="4163"/>
    <cellStyle name="20% - Accent2 11 2 2 2 2" xfId="11477"/>
    <cellStyle name="20% - Accent2 11 2 2 3" xfId="5525"/>
    <cellStyle name="20% - Accent2 11 2 2 3 2" xfId="12779"/>
    <cellStyle name="20% - Accent2 11 2 2 4" xfId="6797"/>
    <cellStyle name="20% - Accent2 11 2 2 4 2" xfId="13999"/>
    <cellStyle name="20% - Accent2 11 2 2 5" xfId="7952"/>
    <cellStyle name="20% - Accent2 11 2 2 5 2" xfId="15132"/>
    <cellStyle name="20% - Accent2 11 2 2 6" xfId="9460"/>
    <cellStyle name="20% - Accent2 11 2 3" xfId="2006"/>
    <cellStyle name="20% - Accent2 11 2 3 2" xfId="4389"/>
    <cellStyle name="20% - Accent2 11 2 3 2 2" xfId="11700"/>
    <cellStyle name="20% - Accent2 11 2 3 3" xfId="5745"/>
    <cellStyle name="20% - Accent2 11 2 3 3 2" xfId="12997"/>
    <cellStyle name="20% - Accent2 11 2 3 4" xfId="7014"/>
    <cellStyle name="20% - Accent2 11 2 3 4 2" xfId="14215"/>
    <cellStyle name="20% - Accent2 11 2 3 5" xfId="8158"/>
    <cellStyle name="20% - Accent2 11 2 3 5 2" xfId="15338"/>
    <cellStyle name="20% - Accent2 11 2 3 6" xfId="9666"/>
    <cellStyle name="20% - Accent2 11 2 4" xfId="2415"/>
    <cellStyle name="20% - Accent2 11 2 4 2" xfId="4777"/>
    <cellStyle name="20% - Accent2 11 2 4 2 2" xfId="12072"/>
    <cellStyle name="20% - Accent2 11 2 4 3" xfId="6118"/>
    <cellStyle name="20% - Accent2 11 2 4 3 2" xfId="13352"/>
    <cellStyle name="20% - Accent2 11 2 4 4" xfId="7371"/>
    <cellStyle name="20% - Accent2 11 2 4 4 2" xfId="14561"/>
    <cellStyle name="20% - Accent2 11 2 4 5" xfId="8478"/>
    <cellStyle name="20% - Accent2 11 2 4 5 2" xfId="15654"/>
    <cellStyle name="20% - Accent2 11 2 4 6" xfId="9986"/>
    <cellStyle name="20% - Accent2 11 2 5" xfId="3354"/>
    <cellStyle name="20% - Accent2 11 2 5 2" xfId="10727"/>
    <cellStyle name="20% - Accent2 11 2 6" xfId="3705"/>
    <cellStyle name="20% - Accent2 11 2 6 2" xfId="11039"/>
    <cellStyle name="20% - Accent2 11 2 7" xfId="3144"/>
    <cellStyle name="20% - Accent2 11 2 7 2" xfId="10540"/>
    <cellStyle name="20% - Accent2 11 2 8" xfId="4461"/>
    <cellStyle name="20% - Accent2 11 2 8 2" xfId="11769"/>
    <cellStyle name="20% - Accent2 11 2 9" xfId="8962"/>
    <cellStyle name="20% - Accent2 11 3" xfId="1613"/>
    <cellStyle name="20% - Accent2 11 3 2" xfId="4004"/>
    <cellStyle name="20% - Accent2 11 3 2 2" xfId="11321"/>
    <cellStyle name="20% - Accent2 11 3 3" xfId="5368"/>
    <cellStyle name="20% - Accent2 11 3 3 2" xfId="12626"/>
    <cellStyle name="20% - Accent2 11 3 4" xfId="6641"/>
    <cellStyle name="20% - Accent2 11 3 4 2" xfId="13846"/>
    <cellStyle name="20% - Accent2 11 3 5" xfId="7799"/>
    <cellStyle name="20% - Accent2 11 3 5 2" xfId="14979"/>
    <cellStyle name="20% - Accent2 11 3 6" xfId="9307"/>
    <cellStyle name="20% - Accent2 11 4" xfId="1876"/>
    <cellStyle name="20% - Accent2 11 4 2" xfId="4261"/>
    <cellStyle name="20% - Accent2 11 4 2 2" xfId="11573"/>
    <cellStyle name="20% - Accent2 11 4 3" xfId="5617"/>
    <cellStyle name="20% - Accent2 11 4 3 2" xfId="12870"/>
    <cellStyle name="20% - Accent2 11 4 4" xfId="6886"/>
    <cellStyle name="20% - Accent2 11 4 4 2" xfId="14088"/>
    <cellStyle name="20% - Accent2 11 4 5" xfId="8031"/>
    <cellStyle name="20% - Accent2 11 4 5 2" xfId="15211"/>
    <cellStyle name="20% - Accent2 11 4 6" xfId="9539"/>
    <cellStyle name="20% - Accent2 11 5" xfId="2285"/>
    <cellStyle name="20% - Accent2 11 5 2" xfId="4647"/>
    <cellStyle name="20% - Accent2 11 5 2 2" xfId="11945"/>
    <cellStyle name="20% - Accent2 11 5 3" xfId="5988"/>
    <cellStyle name="20% - Accent2 11 5 3 2" xfId="13225"/>
    <cellStyle name="20% - Accent2 11 5 4" xfId="7241"/>
    <cellStyle name="20% - Accent2 11 5 4 2" xfId="14434"/>
    <cellStyle name="20% - Accent2 11 5 5" xfId="8351"/>
    <cellStyle name="20% - Accent2 11 5 5 2" xfId="15527"/>
    <cellStyle name="20% - Accent2 11 5 6" xfId="9859"/>
    <cellStyle name="20% - Accent2 11 6" xfId="3154"/>
    <cellStyle name="20% - Accent2 11 6 2" xfId="10547"/>
    <cellStyle name="20% - Accent2 11 7" xfId="3625"/>
    <cellStyle name="20% - Accent2 11 7 2" xfId="10965"/>
    <cellStyle name="20% - Accent2 11 8" xfId="6264"/>
    <cellStyle name="20% - Accent2 11 8 2" xfId="13490"/>
    <cellStyle name="20% - Accent2 11 9" xfId="7511"/>
    <cellStyle name="20% - Accent2 11 9 2" xfId="14695"/>
    <cellStyle name="20% - Accent2 12" xfId="905"/>
    <cellStyle name="20% - Accent2 12 2" xfId="1793"/>
    <cellStyle name="20% - Accent2 12 2 2" xfId="4182"/>
    <cellStyle name="20% - Accent2 12 2 2 2" xfId="11495"/>
    <cellStyle name="20% - Accent2 12 2 3" xfId="5542"/>
    <cellStyle name="20% - Accent2 12 2 3 2" xfId="12796"/>
    <cellStyle name="20% - Accent2 12 2 4" xfId="6814"/>
    <cellStyle name="20% - Accent2 12 2 4 2" xfId="14016"/>
    <cellStyle name="20% - Accent2 12 2 5" xfId="7965"/>
    <cellStyle name="20% - Accent2 12 2 5 2" xfId="15145"/>
    <cellStyle name="20% - Accent2 12 2 6" xfId="9473"/>
    <cellStyle name="20% - Accent2 12 3" xfId="2019"/>
    <cellStyle name="20% - Accent2 12 3 2" xfId="4402"/>
    <cellStyle name="20% - Accent2 12 3 2 2" xfId="11713"/>
    <cellStyle name="20% - Accent2 12 3 3" xfId="5758"/>
    <cellStyle name="20% - Accent2 12 3 3 2" xfId="13010"/>
    <cellStyle name="20% - Accent2 12 3 4" xfId="7027"/>
    <cellStyle name="20% - Accent2 12 3 4 2" xfId="14228"/>
    <cellStyle name="20% - Accent2 12 3 5" xfId="8171"/>
    <cellStyle name="20% - Accent2 12 3 5 2" xfId="15351"/>
    <cellStyle name="20% - Accent2 12 3 6" xfId="9679"/>
    <cellStyle name="20% - Accent2 12 4" xfId="2428"/>
    <cellStyle name="20% - Accent2 12 4 2" xfId="4790"/>
    <cellStyle name="20% - Accent2 12 4 2 2" xfId="12085"/>
    <cellStyle name="20% - Accent2 12 4 3" xfId="6131"/>
    <cellStyle name="20% - Accent2 12 4 3 2" xfId="13365"/>
    <cellStyle name="20% - Accent2 12 4 4" xfId="7384"/>
    <cellStyle name="20% - Accent2 12 4 4 2" xfId="14574"/>
    <cellStyle name="20% - Accent2 12 4 5" xfId="8491"/>
    <cellStyle name="20% - Accent2 12 4 5 2" xfId="15667"/>
    <cellStyle name="20% - Accent2 12 4 6" xfId="9999"/>
    <cellStyle name="20% - Accent2 12 5" xfId="3382"/>
    <cellStyle name="20% - Accent2 12 5 2" xfId="10753"/>
    <cellStyle name="20% - Accent2 12 6" xfId="4469"/>
    <cellStyle name="20% - Accent2 12 6 2" xfId="11777"/>
    <cellStyle name="20% - Accent2 12 7" xfId="5170"/>
    <cellStyle name="20% - Accent2 12 7 2" xfId="12432"/>
    <cellStyle name="20% - Accent2 12 8" xfId="6450"/>
    <cellStyle name="20% - Accent2 12 8 2" xfId="13659"/>
    <cellStyle name="20% - Accent2 12 9" xfId="8975"/>
    <cellStyle name="20% - Accent2 13" xfId="948"/>
    <cellStyle name="20% - Accent2 13 2" xfId="1819"/>
    <cellStyle name="20% - Accent2 13 2 2" xfId="4205"/>
    <cellStyle name="20% - Accent2 13 2 2 2" xfId="11518"/>
    <cellStyle name="20% - Accent2 13 2 3" xfId="5564"/>
    <cellStyle name="20% - Accent2 13 2 3 2" xfId="12818"/>
    <cellStyle name="20% - Accent2 13 2 4" xfId="6834"/>
    <cellStyle name="20% - Accent2 13 2 4 2" xfId="14036"/>
    <cellStyle name="20% - Accent2 13 2 5" xfId="7984"/>
    <cellStyle name="20% - Accent2 13 2 5 2" xfId="15164"/>
    <cellStyle name="20% - Accent2 13 2 6" xfId="9492"/>
    <cellStyle name="20% - Accent2 13 3" xfId="2034"/>
    <cellStyle name="20% - Accent2 13 3 2" xfId="4416"/>
    <cellStyle name="20% - Accent2 13 3 2 2" xfId="11726"/>
    <cellStyle name="20% - Accent2 13 3 3" xfId="5772"/>
    <cellStyle name="20% - Accent2 13 3 3 2" xfId="13023"/>
    <cellStyle name="20% - Accent2 13 3 4" xfId="7041"/>
    <cellStyle name="20% - Accent2 13 3 4 2" xfId="14241"/>
    <cellStyle name="20% - Accent2 13 3 5" xfId="8184"/>
    <cellStyle name="20% - Accent2 13 3 5 2" xfId="15364"/>
    <cellStyle name="20% - Accent2 13 3 6" xfId="9692"/>
    <cellStyle name="20% - Accent2 13 4" xfId="2443"/>
    <cellStyle name="20% - Accent2 13 4 2" xfId="4805"/>
    <cellStyle name="20% - Accent2 13 4 2 2" xfId="12098"/>
    <cellStyle name="20% - Accent2 13 4 3" xfId="6146"/>
    <cellStyle name="20% - Accent2 13 4 3 2" xfId="13378"/>
    <cellStyle name="20% - Accent2 13 4 4" xfId="7399"/>
    <cellStyle name="20% - Accent2 13 4 4 2" xfId="14587"/>
    <cellStyle name="20% - Accent2 13 4 5" xfId="8504"/>
    <cellStyle name="20% - Accent2 13 4 5 2" xfId="15680"/>
    <cellStyle name="20% - Accent2 13 4 6" xfId="10012"/>
    <cellStyle name="20% - Accent2 13 5" xfId="3419"/>
    <cellStyle name="20% - Accent2 13 5 2" xfId="10783"/>
    <cellStyle name="20% - Accent2 13 6" xfId="3081"/>
    <cellStyle name="20% - Accent2 13 6 2" xfId="10478"/>
    <cellStyle name="20% - Accent2 13 7" xfId="5536"/>
    <cellStyle name="20% - Accent2 13 7 2" xfId="12790"/>
    <cellStyle name="20% - Accent2 13 8" xfId="6808"/>
    <cellStyle name="20% - Accent2 13 8 2" xfId="14010"/>
    <cellStyle name="20% - Accent2 13 9" xfId="8990"/>
    <cellStyle name="20% - Accent2 14" xfId="991"/>
    <cellStyle name="20% - Accent2 14 2" xfId="1843"/>
    <cellStyle name="20% - Accent2 14 2 2" xfId="4228"/>
    <cellStyle name="20% - Accent2 14 2 2 2" xfId="11541"/>
    <cellStyle name="20% - Accent2 14 2 3" xfId="5585"/>
    <cellStyle name="20% - Accent2 14 2 3 2" xfId="12838"/>
    <cellStyle name="20% - Accent2 14 2 4" xfId="6854"/>
    <cellStyle name="20% - Accent2 14 2 4 2" xfId="14056"/>
    <cellStyle name="20% - Accent2 14 2 5" xfId="8002"/>
    <cellStyle name="20% - Accent2 14 2 5 2" xfId="15182"/>
    <cellStyle name="20% - Accent2 14 2 6" xfId="9510"/>
    <cellStyle name="20% - Accent2 14 3" xfId="2048"/>
    <cellStyle name="20% - Accent2 14 3 2" xfId="4430"/>
    <cellStyle name="20% - Accent2 14 3 2 2" xfId="11739"/>
    <cellStyle name="20% - Accent2 14 3 3" xfId="5785"/>
    <cellStyle name="20% - Accent2 14 3 3 2" xfId="13036"/>
    <cellStyle name="20% - Accent2 14 3 4" xfId="7054"/>
    <cellStyle name="20% - Accent2 14 3 4 2" xfId="14254"/>
    <cellStyle name="20% - Accent2 14 3 5" xfId="8197"/>
    <cellStyle name="20% - Accent2 14 3 5 2" xfId="15377"/>
    <cellStyle name="20% - Accent2 14 3 6" xfId="9705"/>
    <cellStyle name="20% - Accent2 14 4" xfId="2457"/>
    <cellStyle name="20% - Accent2 14 4 2" xfId="4818"/>
    <cellStyle name="20% - Accent2 14 4 2 2" xfId="12111"/>
    <cellStyle name="20% - Accent2 14 4 3" xfId="6160"/>
    <cellStyle name="20% - Accent2 14 4 3 2" xfId="13391"/>
    <cellStyle name="20% - Accent2 14 4 4" xfId="7413"/>
    <cellStyle name="20% - Accent2 14 4 4 2" xfId="14600"/>
    <cellStyle name="20% - Accent2 14 4 5" xfId="8517"/>
    <cellStyle name="20% - Accent2 14 4 5 2" xfId="15693"/>
    <cellStyle name="20% - Accent2 14 4 6" xfId="10025"/>
    <cellStyle name="20% - Accent2 14 5" xfId="3453"/>
    <cellStyle name="20% - Accent2 14 5 2" xfId="10814"/>
    <cellStyle name="20% - Accent2 14 6" xfId="3241"/>
    <cellStyle name="20% - Accent2 14 6 2" xfId="10614"/>
    <cellStyle name="20% - Accent2 14 7" xfId="5866"/>
    <cellStyle name="20% - Accent2 14 7 2" xfId="13103"/>
    <cellStyle name="20% - Accent2 14 8" xfId="7120"/>
    <cellStyle name="20% - Accent2 14 8 2" xfId="14313"/>
    <cellStyle name="20% - Accent2 14 9" xfId="9004"/>
    <cellStyle name="20% - Accent2 15" xfId="1032"/>
    <cellStyle name="20% - Accent2 15 2" xfId="1861"/>
    <cellStyle name="20% - Accent2 15 2 2" xfId="4246"/>
    <cellStyle name="20% - Accent2 15 2 2 2" xfId="11558"/>
    <cellStyle name="20% - Accent2 15 2 3" xfId="5602"/>
    <cellStyle name="20% - Accent2 15 2 3 2" xfId="12855"/>
    <cellStyle name="20% - Accent2 15 2 4" xfId="6871"/>
    <cellStyle name="20% - Accent2 15 2 4 2" xfId="14073"/>
    <cellStyle name="20% - Accent2 15 2 5" xfId="8016"/>
    <cellStyle name="20% - Accent2 15 2 5 2" xfId="15196"/>
    <cellStyle name="20% - Accent2 15 2 6" xfId="9524"/>
    <cellStyle name="20% - Accent2 15 3" xfId="2061"/>
    <cellStyle name="20% - Accent2 15 3 2" xfId="4443"/>
    <cellStyle name="20% - Accent2 15 3 2 2" xfId="11752"/>
    <cellStyle name="20% - Accent2 15 3 3" xfId="5798"/>
    <cellStyle name="20% - Accent2 15 3 3 2" xfId="13049"/>
    <cellStyle name="20% - Accent2 15 3 4" xfId="7067"/>
    <cellStyle name="20% - Accent2 15 3 4 2" xfId="14267"/>
    <cellStyle name="20% - Accent2 15 3 5" xfId="8210"/>
    <cellStyle name="20% - Accent2 15 3 5 2" xfId="15390"/>
    <cellStyle name="20% - Accent2 15 3 6" xfId="9718"/>
    <cellStyle name="20% - Accent2 15 4" xfId="2470"/>
    <cellStyle name="20% - Accent2 15 4 2" xfId="4831"/>
    <cellStyle name="20% - Accent2 15 4 2 2" xfId="12124"/>
    <cellStyle name="20% - Accent2 15 4 3" xfId="6173"/>
    <cellStyle name="20% - Accent2 15 4 3 2" xfId="13404"/>
    <cellStyle name="20% - Accent2 15 4 4" xfId="7426"/>
    <cellStyle name="20% - Accent2 15 4 4 2" xfId="14613"/>
    <cellStyle name="20% - Accent2 15 4 5" xfId="8530"/>
    <cellStyle name="20% - Accent2 15 4 5 2" xfId="15706"/>
    <cellStyle name="20% - Accent2 15 4 6" xfId="10038"/>
    <cellStyle name="20% - Accent2 15 5" xfId="3488"/>
    <cellStyle name="20% - Accent2 15 5 2" xfId="10843"/>
    <cellStyle name="20% - Accent2 15 6" xfId="4520"/>
    <cellStyle name="20% - Accent2 15 6 2" xfId="11819"/>
    <cellStyle name="20% - Accent2 15 7" xfId="2684"/>
    <cellStyle name="20% - Accent2 15 7 2" xfId="10180"/>
    <cellStyle name="20% - Accent2 15 8" xfId="2617"/>
    <cellStyle name="20% - Accent2 15 8 2" xfId="10132"/>
    <cellStyle name="20% - Accent2 15 9" xfId="9017"/>
    <cellStyle name="20% - Accent2 16" xfId="1073"/>
    <cellStyle name="20% - Accent2 16 2" xfId="2483"/>
    <cellStyle name="20% - Accent2 16 2 2" xfId="4844"/>
    <cellStyle name="20% - Accent2 16 2 2 2" xfId="12137"/>
    <cellStyle name="20% - Accent2 16 2 3" xfId="6186"/>
    <cellStyle name="20% - Accent2 16 2 3 2" xfId="13417"/>
    <cellStyle name="20% - Accent2 16 2 4" xfId="7439"/>
    <cellStyle name="20% - Accent2 16 2 4 2" xfId="14626"/>
    <cellStyle name="20% - Accent2 16 2 5" xfId="8543"/>
    <cellStyle name="20% - Accent2 16 2 5 2" xfId="15719"/>
    <cellStyle name="20% - Accent2 16 2 6" xfId="10051"/>
    <cellStyle name="20% - Accent2 16 3" xfId="3517"/>
    <cellStyle name="20% - Accent2 16 3 2" xfId="10871"/>
    <cellStyle name="20% - Accent2 16 4" xfId="3010"/>
    <cellStyle name="20% - Accent2 16 4 2" xfId="10422"/>
    <cellStyle name="20% - Accent2 16 5" xfId="5161"/>
    <cellStyle name="20% - Accent2 16 5 2" xfId="12424"/>
    <cellStyle name="20% - Accent2 16 6" xfId="6444"/>
    <cellStyle name="20% - Accent2 16 6 2" xfId="13653"/>
    <cellStyle name="20% - Accent2 16 7" xfId="9030"/>
    <cellStyle name="20% - Accent2 17" xfId="1114"/>
    <cellStyle name="20% - Accent2 17 2" xfId="2496"/>
    <cellStyle name="20% - Accent2 17 2 2" xfId="4857"/>
    <cellStyle name="20% - Accent2 17 2 2 2" xfId="12150"/>
    <cellStyle name="20% - Accent2 17 2 3" xfId="6199"/>
    <cellStyle name="20% - Accent2 17 2 3 2" xfId="13430"/>
    <cellStyle name="20% - Accent2 17 2 4" xfId="7452"/>
    <cellStyle name="20% - Accent2 17 2 4 2" xfId="14639"/>
    <cellStyle name="20% - Accent2 17 2 5" xfId="8556"/>
    <cellStyle name="20% - Accent2 17 2 5 2" xfId="15732"/>
    <cellStyle name="20% - Accent2 17 2 6" xfId="10064"/>
    <cellStyle name="20% - Accent2 17 3" xfId="3556"/>
    <cellStyle name="20% - Accent2 17 3 2" xfId="10905"/>
    <cellStyle name="20% - Accent2 17 4" xfId="4963"/>
    <cellStyle name="20% - Accent2 17 4 2" xfId="12249"/>
    <cellStyle name="20% - Accent2 17 5" xfId="6295"/>
    <cellStyle name="20% - Accent2 17 5 2" xfId="13518"/>
    <cellStyle name="20% - Accent2 17 6" xfId="7535"/>
    <cellStyle name="20% - Accent2 17 6 2" xfId="14719"/>
    <cellStyle name="20% - Accent2 17 7" xfId="9043"/>
    <cellStyle name="20% - Accent2 18" xfId="1155"/>
    <cellStyle name="20% - Accent2 18 2" xfId="2509"/>
    <cellStyle name="20% - Accent2 18 2 2" xfId="4870"/>
    <cellStyle name="20% - Accent2 18 2 2 2" xfId="12163"/>
    <cellStyle name="20% - Accent2 18 2 3" xfId="6212"/>
    <cellStyle name="20% - Accent2 18 2 3 2" xfId="13443"/>
    <cellStyle name="20% - Accent2 18 2 4" xfId="7465"/>
    <cellStyle name="20% - Accent2 18 2 4 2" xfId="14652"/>
    <cellStyle name="20% - Accent2 18 2 5" xfId="8569"/>
    <cellStyle name="20% - Accent2 18 2 5 2" xfId="15745"/>
    <cellStyle name="20% - Accent2 18 2 6" xfId="10077"/>
    <cellStyle name="20% - Accent2 18 3" xfId="3591"/>
    <cellStyle name="20% - Accent2 18 3 2" xfId="10937"/>
    <cellStyle name="20% - Accent2 18 4" xfId="4995"/>
    <cellStyle name="20% - Accent2 18 4 2" xfId="12276"/>
    <cellStyle name="20% - Accent2 18 5" xfId="6318"/>
    <cellStyle name="20% - Accent2 18 5 2" xfId="13538"/>
    <cellStyle name="20% - Accent2 18 6" xfId="7548"/>
    <cellStyle name="20% - Accent2 18 6 2" xfId="14732"/>
    <cellStyle name="20% - Accent2 18 7" xfId="9056"/>
    <cellStyle name="20% - Accent2 19" xfId="1196"/>
    <cellStyle name="20% - Accent2 19 2" xfId="2522"/>
    <cellStyle name="20% - Accent2 19 2 2" xfId="4883"/>
    <cellStyle name="20% - Accent2 19 2 2 2" xfId="12176"/>
    <cellStyle name="20% - Accent2 19 2 3" xfId="6225"/>
    <cellStyle name="20% - Accent2 19 2 3 2" xfId="13456"/>
    <cellStyle name="20% - Accent2 19 2 4" xfId="7478"/>
    <cellStyle name="20% - Accent2 19 2 4 2" xfId="14665"/>
    <cellStyle name="20% - Accent2 19 2 5" xfId="8582"/>
    <cellStyle name="20% - Accent2 19 2 5 2" xfId="15758"/>
    <cellStyle name="20% - Accent2 19 2 6" xfId="10090"/>
    <cellStyle name="20% - Accent2 19 3" xfId="3626"/>
    <cellStyle name="20% - Accent2 19 3 2" xfId="10966"/>
    <cellStyle name="20% - Accent2 19 4" xfId="5024"/>
    <cellStyle name="20% - Accent2 19 4 2" xfId="12302"/>
    <cellStyle name="20% - Accent2 19 5" xfId="6342"/>
    <cellStyle name="20% - Accent2 19 5 2" xfId="13559"/>
    <cellStyle name="20% - Accent2 19 6" xfId="7561"/>
    <cellStyle name="20% - Accent2 19 6 2" xfId="14745"/>
    <cellStyle name="20% - Accent2 19 7" xfId="9069"/>
    <cellStyle name="20% - Accent2 2" xfId="8"/>
    <cellStyle name="20% - Accent2 2 10" xfId="6358"/>
    <cellStyle name="20% - Accent2 2 11" xfId="8621"/>
    <cellStyle name="20% - Accent2 2 2" xfId="491"/>
    <cellStyle name="20% - Accent2 2 3" xfId="678"/>
    <cellStyle name="20% - Accent2 2 4" xfId="1262"/>
    <cellStyle name="20% - Accent2 2 5" xfId="1837"/>
    <cellStyle name="20% - Accent2 2 6" xfId="2074"/>
    <cellStyle name="20% - Accent2 2 7" xfId="2591"/>
    <cellStyle name="20% - Accent2 2 8" xfId="3653"/>
    <cellStyle name="20% - Accent2 2 9" xfId="5046"/>
    <cellStyle name="20% - Accent2 20" xfId="1237"/>
    <cellStyle name="20% - Accent2 20 2" xfId="2535"/>
    <cellStyle name="20% - Accent2 20 2 2" xfId="4896"/>
    <cellStyle name="20% - Accent2 20 2 2 2" xfId="12189"/>
    <cellStyle name="20% - Accent2 20 2 3" xfId="6238"/>
    <cellStyle name="20% - Accent2 20 2 3 2" xfId="13469"/>
    <cellStyle name="20% - Accent2 20 2 4" xfId="7491"/>
    <cellStyle name="20% - Accent2 20 2 4 2" xfId="14678"/>
    <cellStyle name="20% - Accent2 20 2 5" xfId="8595"/>
    <cellStyle name="20% - Accent2 20 2 5 2" xfId="15771"/>
    <cellStyle name="20% - Accent2 20 2 6" xfId="10103"/>
    <cellStyle name="20% - Accent2 20 3" xfId="3662"/>
    <cellStyle name="20% - Accent2 20 3 2" xfId="10998"/>
    <cellStyle name="20% - Accent2 20 4" xfId="5054"/>
    <cellStyle name="20% - Accent2 20 4 2" xfId="12329"/>
    <cellStyle name="20% - Accent2 20 5" xfId="6365"/>
    <cellStyle name="20% - Accent2 20 5 2" xfId="13580"/>
    <cellStyle name="20% - Accent2 20 6" xfId="7574"/>
    <cellStyle name="20% - Accent2 20 6 2" xfId="14758"/>
    <cellStyle name="20% - Accent2 20 7" xfId="9082"/>
    <cellStyle name="20% - Accent2 21" xfId="2567"/>
    <cellStyle name="20% - Accent2 21 2" xfId="4922"/>
    <cellStyle name="20% - Accent2 21 2 2" xfId="12211"/>
    <cellStyle name="20% - Accent2 21 3" xfId="6265"/>
    <cellStyle name="20% - Accent2 21 3 2" xfId="13491"/>
    <cellStyle name="20% - Accent2 21 4" xfId="7512"/>
    <cellStyle name="20% - Accent2 21 4 2" xfId="14696"/>
    <cellStyle name="20% - Accent2 21 5" xfId="8608"/>
    <cellStyle name="20% - Accent2 21 5 2" xfId="15784"/>
    <cellStyle name="20% - Accent2 21 6" xfId="10116"/>
    <cellStyle name="20% - Accent2 3" xfId="9"/>
    <cellStyle name="20% - Accent2 3 10" xfId="5164"/>
    <cellStyle name="20% - Accent2 3 11" xfId="8622"/>
    <cellStyle name="20% - Accent2 3 2" xfId="492"/>
    <cellStyle name="20% - Accent2 3 3" xfId="679"/>
    <cellStyle name="20% - Accent2 3 4" xfId="1263"/>
    <cellStyle name="20% - Accent2 3 5" xfId="1813"/>
    <cellStyle name="20% - Accent2 3 6" xfId="2075"/>
    <cellStyle name="20% - Accent2 3 7" xfId="2592"/>
    <cellStyle name="20% - Accent2 3 8" xfId="2786"/>
    <cellStyle name="20% - Accent2 3 9" xfId="3048"/>
    <cellStyle name="20% - Accent2 4" xfId="10"/>
    <cellStyle name="20% - Accent2 4 10" xfId="6336"/>
    <cellStyle name="20% - Accent2 4 11" xfId="8623"/>
    <cellStyle name="20% - Accent2 4 2" xfId="493"/>
    <cellStyle name="20% - Accent2 4 3" xfId="680"/>
    <cellStyle name="20% - Accent2 4 4" xfId="1264"/>
    <cellStyle name="20% - Accent2 4 5" xfId="1788"/>
    <cellStyle name="20% - Accent2 4 6" xfId="2076"/>
    <cellStyle name="20% - Accent2 4 7" xfId="2593"/>
    <cellStyle name="20% - Accent2 4 8" xfId="3617"/>
    <cellStyle name="20% - Accent2 4 9" xfId="5017"/>
    <cellStyle name="20% - Accent2 5" xfId="259"/>
    <cellStyle name="20% - Accent2 5 10" xfId="7102"/>
    <cellStyle name="20% - Accent2 5 11" xfId="8704"/>
    <cellStyle name="20% - Accent2 5 2" xfId="569"/>
    <cellStyle name="20% - Accent2 5 3" xfId="756"/>
    <cellStyle name="20% - Accent2 5 4" xfId="1398"/>
    <cellStyle name="20% - Accent2 5 5" xfId="1810"/>
    <cellStyle name="20% - Accent2 5 6" xfId="2157"/>
    <cellStyle name="20% - Accent2 5 7" xfId="2813"/>
    <cellStyle name="20% - Accent2 5 8" xfId="3211"/>
    <cellStyle name="20% - Accent2 5 9" xfId="5839"/>
    <cellStyle name="20% - Accent2 6" xfId="304"/>
    <cellStyle name="20% - Accent2 7" xfId="345"/>
    <cellStyle name="20% - Accent2 7 10" xfId="6335"/>
    <cellStyle name="20% - Accent2 7 10 2" xfId="13554"/>
    <cellStyle name="20% - Accent2 7 11" xfId="8717"/>
    <cellStyle name="20% - Accent2 7 2" xfId="582"/>
    <cellStyle name="20% - Accent2 7 2 10" xfId="8780"/>
    <cellStyle name="20% - Accent2 7 2 2" xfId="821"/>
    <cellStyle name="20% - Accent2 7 2 2 2" xfId="1721"/>
    <cellStyle name="20% - Accent2 7 2 2 2 2" xfId="4111"/>
    <cellStyle name="20% - Accent2 7 2 2 2 2 2" xfId="11425"/>
    <cellStyle name="20% - Accent2 7 2 2 2 3" xfId="5473"/>
    <cellStyle name="20% - Accent2 7 2 2 2 3 2" xfId="12727"/>
    <cellStyle name="20% - Accent2 7 2 2 2 4" xfId="6745"/>
    <cellStyle name="20% - Accent2 7 2 2 2 4 2" xfId="13947"/>
    <cellStyle name="20% - Accent2 7 2 2 2 5" xfId="7900"/>
    <cellStyle name="20% - Accent2 7 2 2 2 5 2" xfId="15080"/>
    <cellStyle name="20% - Accent2 7 2 2 2 6" xfId="9408"/>
    <cellStyle name="20% - Accent2 7 2 2 3" xfId="1954"/>
    <cellStyle name="20% - Accent2 7 2 2 3 2" xfId="4337"/>
    <cellStyle name="20% - Accent2 7 2 2 3 2 2" xfId="11648"/>
    <cellStyle name="20% - Accent2 7 2 2 3 3" xfId="5693"/>
    <cellStyle name="20% - Accent2 7 2 2 3 3 2" xfId="12945"/>
    <cellStyle name="20% - Accent2 7 2 2 3 4" xfId="6962"/>
    <cellStyle name="20% - Accent2 7 2 2 3 4 2" xfId="14163"/>
    <cellStyle name="20% - Accent2 7 2 2 3 5" xfId="8106"/>
    <cellStyle name="20% - Accent2 7 2 2 3 5 2" xfId="15286"/>
    <cellStyle name="20% - Accent2 7 2 2 3 6" xfId="9614"/>
    <cellStyle name="20% - Accent2 7 2 2 4" xfId="2363"/>
    <cellStyle name="20% - Accent2 7 2 2 4 2" xfId="4725"/>
    <cellStyle name="20% - Accent2 7 2 2 4 2 2" xfId="12020"/>
    <cellStyle name="20% - Accent2 7 2 2 4 3" xfId="6066"/>
    <cellStyle name="20% - Accent2 7 2 2 4 3 2" xfId="13300"/>
    <cellStyle name="20% - Accent2 7 2 2 4 4" xfId="7319"/>
    <cellStyle name="20% - Accent2 7 2 2 4 4 2" xfId="14509"/>
    <cellStyle name="20% - Accent2 7 2 2 4 5" xfId="8426"/>
    <cellStyle name="20% - Accent2 7 2 2 4 5 2" xfId="15602"/>
    <cellStyle name="20% - Accent2 7 2 2 4 6" xfId="9934"/>
    <cellStyle name="20% - Accent2 7 2 2 5" xfId="3302"/>
    <cellStyle name="20% - Accent2 7 2 2 5 2" xfId="10675"/>
    <cellStyle name="20% - Accent2 7 2 2 6" xfId="3039"/>
    <cellStyle name="20% - Accent2 7 2 2 6 2" xfId="10447"/>
    <cellStyle name="20% - Accent2 7 2 2 7" xfId="5579"/>
    <cellStyle name="20% - Accent2 7 2 2 7 2" xfId="12833"/>
    <cellStyle name="20% - Accent2 7 2 2 8" xfId="6849"/>
    <cellStyle name="20% - Accent2 7 2 2 8 2" xfId="14051"/>
    <cellStyle name="20% - Accent2 7 2 2 9" xfId="8910"/>
    <cellStyle name="20% - Accent2 7 2 3" xfId="1558"/>
    <cellStyle name="20% - Accent2 7 2 3 2" xfId="3949"/>
    <cellStyle name="20% - Accent2 7 2 3 2 2" xfId="11266"/>
    <cellStyle name="20% - Accent2 7 2 3 3" xfId="5315"/>
    <cellStyle name="20% - Accent2 7 2 3 3 2" xfId="12573"/>
    <cellStyle name="20% - Accent2 7 2 3 4" xfId="6588"/>
    <cellStyle name="20% - Accent2 7 2 3 4 2" xfId="13793"/>
    <cellStyle name="20% - Accent2 7 2 3 5" xfId="7747"/>
    <cellStyle name="20% - Accent2 7 2 3 5 2" xfId="14927"/>
    <cellStyle name="20% - Accent2 7 2 3 6" xfId="9255"/>
    <cellStyle name="20% - Accent2 7 2 4" xfId="1641"/>
    <cellStyle name="20% - Accent2 7 2 4 2" xfId="4031"/>
    <cellStyle name="20% - Accent2 7 2 4 2 2" xfId="11346"/>
    <cellStyle name="20% - Accent2 7 2 4 3" xfId="5396"/>
    <cellStyle name="20% - Accent2 7 2 4 3 2" xfId="12651"/>
    <cellStyle name="20% - Accent2 7 2 4 4" xfId="6668"/>
    <cellStyle name="20% - Accent2 7 2 4 4 2" xfId="13871"/>
    <cellStyle name="20% - Accent2 7 2 4 5" xfId="7824"/>
    <cellStyle name="20% - Accent2 7 2 4 5 2" xfId="15004"/>
    <cellStyle name="20% - Accent2 7 2 4 6" xfId="9332"/>
    <cellStyle name="20% - Accent2 7 2 5" xfId="2233"/>
    <cellStyle name="20% - Accent2 7 2 5 2" xfId="4595"/>
    <cellStyle name="20% - Accent2 7 2 5 2 2" xfId="11893"/>
    <cellStyle name="20% - Accent2 7 2 5 3" xfId="5936"/>
    <cellStyle name="20% - Accent2 7 2 5 3 2" xfId="13173"/>
    <cellStyle name="20% - Accent2 7 2 5 4" xfId="7189"/>
    <cellStyle name="20% - Accent2 7 2 5 4 2" xfId="14382"/>
    <cellStyle name="20% - Accent2 7 2 5 5" xfId="8299"/>
    <cellStyle name="20% - Accent2 7 2 5 5 2" xfId="15475"/>
    <cellStyle name="20% - Accent2 7 2 5 6" xfId="9807"/>
    <cellStyle name="20% - Accent2 7 2 6" xfId="3086"/>
    <cellStyle name="20% - Accent2 7 2 6 2" xfId="10483"/>
    <cellStyle name="20% - Accent2 7 2 7" xfId="2892"/>
    <cellStyle name="20% - Accent2 7 2 7 2" xfId="10316"/>
    <cellStyle name="20% - Accent2 7 2 8" xfId="4221"/>
    <cellStyle name="20% - Accent2 7 2 8 2" xfId="11534"/>
    <cellStyle name="20% - Accent2 7 2 9" xfId="3391"/>
    <cellStyle name="20% - Accent2 7 2 9 2" xfId="10762"/>
    <cellStyle name="20% - Accent2 7 3" xfId="769"/>
    <cellStyle name="20% - Accent2 7 3 2" xfId="1669"/>
    <cellStyle name="20% - Accent2 7 3 2 2" xfId="4059"/>
    <cellStyle name="20% - Accent2 7 3 2 2 2" xfId="11373"/>
    <cellStyle name="20% - Accent2 7 3 2 3" xfId="5421"/>
    <cellStyle name="20% - Accent2 7 3 2 3 2" xfId="12675"/>
    <cellStyle name="20% - Accent2 7 3 2 4" xfId="6693"/>
    <cellStyle name="20% - Accent2 7 3 2 4 2" xfId="13895"/>
    <cellStyle name="20% - Accent2 7 3 2 5" xfId="7848"/>
    <cellStyle name="20% - Accent2 7 3 2 5 2" xfId="15028"/>
    <cellStyle name="20% - Accent2 7 3 2 6" xfId="9356"/>
    <cellStyle name="20% - Accent2 7 3 3" xfId="1902"/>
    <cellStyle name="20% - Accent2 7 3 3 2" xfId="4285"/>
    <cellStyle name="20% - Accent2 7 3 3 2 2" xfId="11596"/>
    <cellStyle name="20% - Accent2 7 3 3 3" xfId="5641"/>
    <cellStyle name="20% - Accent2 7 3 3 3 2" xfId="12893"/>
    <cellStyle name="20% - Accent2 7 3 3 4" xfId="6910"/>
    <cellStyle name="20% - Accent2 7 3 3 4 2" xfId="14111"/>
    <cellStyle name="20% - Accent2 7 3 3 5" xfId="8054"/>
    <cellStyle name="20% - Accent2 7 3 3 5 2" xfId="15234"/>
    <cellStyle name="20% - Accent2 7 3 3 6" xfId="9562"/>
    <cellStyle name="20% - Accent2 7 3 4" xfId="2311"/>
    <cellStyle name="20% - Accent2 7 3 4 2" xfId="4673"/>
    <cellStyle name="20% - Accent2 7 3 4 2 2" xfId="11968"/>
    <cellStyle name="20% - Accent2 7 3 4 3" xfId="6014"/>
    <cellStyle name="20% - Accent2 7 3 4 3 2" xfId="13248"/>
    <cellStyle name="20% - Accent2 7 3 4 4" xfId="7267"/>
    <cellStyle name="20% - Accent2 7 3 4 4 2" xfId="14457"/>
    <cellStyle name="20% - Accent2 7 3 4 5" xfId="8374"/>
    <cellStyle name="20% - Accent2 7 3 4 5 2" xfId="15550"/>
    <cellStyle name="20% - Accent2 7 3 4 6" xfId="9882"/>
    <cellStyle name="20% - Accent2 7 3 5" xfId="3250"/>
    <cellStyle name="20% - Accent2 7 3 5 2" xfId="10623"/>
    <cellStyle name="20% - Accent2 7 3 6" xfId="2956"/>
    <cellStyle name="20% - Accent2 7 3 6 2" xfId="10374"/>
    <cellStyle name="20% - Accent2 7 3 7" xfId="3418"/>
    <cellStyle name="20% - Accent2 7 3 7 2" xfId="10782"/>
    <cellStyle name="20% - Accent2 7 3 8" xfId="3175"/>
    <cellStyle name="20% - Accent2 7 3 8 2" xfId="10563"/>
    <cellStyle name="20% - Accent2 7 3 9" xfId="8858"/>
    <cellStyle name="20% - Accent2 7 4" xfId="1435"/>
    <cellStyle name="20% - Accent2 7 4 2" xfId="3832"/>
    <cellStyle name="20% - Accent2 7 4 2 2" xfId="11153"/>
    <cellStyle name="20% - Accent2 7 4 3" xfId="5200"/>
    <cellStyle name="20% - Accent2 7 4 3 2" xfId="12462"/>
    <cellStyle name="20% - Accent2 7 4 4" xfId="6476"/>
    <cellStyle name="20% - Accent2 7 4 4 2" xfId="13685"/>
    <cellStyle name="20% - Accent2 7 4 5" xfId="7644"/>
    <cellStyle name="20% - Accent2 7 4 5 2" xfId="14824"/>
    <cellStyle name="20% - Accent2 7 4 6" xfId="9152"/>
    <cellStyle name="20% - Accent2 7 5" xfId="1316"/>
    <cellStyle name="20% - Accent2 7 5 2" xfId="3730"/>
    <cellStyle name="20% - Accent2 7 5 2 2" xfId="11064"/>
    <cellStyle name="20% - Accent2 7 5 3" xfId="5118"/>
    <cellStyle name="20% - Accent2 7 5 3 2" xfId="12390"/>
    <cellStyle name="20% - Accent2 7 5 4" xfId="6417"/>
    <cellStyle name="20% - Accent2 7 5 4 2" xfId="13631"/>
    <cellStyle name="20% - Accent2 7 5 5" xfId="7606"/>
    <cellStyle name="20% - Accent2 7 5 5 2" xfId="14790"/>
    <cellStyle name="20% - Accent2 7 5 6" xfId="9114"/>
    <cellStyle name="20% - Accent2 7 6" xfId="2170"/>
    <cellStyle name="20% - Accent2 7 6 2" xfId="4532"/>
    <cellStyle name="20% - Accent2 7 6 2 2" xfId="11831"/>
    <cellStyle name="20% - Accent2 7 6 3" xfId="5874"/>
    <cellStyle name="20% - Accent2 7 6 3 2" xfId="13111"/>
    <cellStyle name="20% - Accent2 7 6 4" xfId="7127"/>
    <cellStyle name="20% - Accent2 7 6 4 2" xfId="14320"/>
    <cellStyle name="20% - Accent2 7 6 5" xfId="8237"/>
    <cellStyle name="20% - Accent2 7 6 5 2" xfId="15413"/>
    <cellStyle name="20% - Accent2 7 6 6" xfId="9745"/>
    <cellStyle name="20% - Accent2 7 7" xfId="2882"/>
    <cellStyle name="20% - Accent2 7 7 2" xfId="10306"/>
    <cellStyle name="20% - Accent2 7 8" xfId="3508"/>
    <cellStyle name="20% - Accent2 7 8 2" xfId="10863"/>
    <cellStyle name="20% - Accent2 7 9" xfId="5016"/>
    <cellStyle name="20% - Accent2 7 9 2" xfId="12296"/>
    <cellStyle name="20% - Accent2 8" xfId="386"/>
    <cellStyle name="20% - Accent2 8 10" xfId="6333"/>
    <cellStyle name="20% - Accent2 8 10 2" xfId="13552"/>
    <cellStyle name="20% - Accent2 8 11" xfId="8730"/>
    <cellStyle name="20% - Accent2 8 2" xfId="595"/>
    <cellStyle name="20% - Accent2 8 2 10" xfId="8793"/>
    <cellStyle name="20% - Accent2 8 2 2" xfId="834"/>
    <cellStyle name="20% - Accent2 8 2 2 2" xfId="1734"/>
    <cellStyle name="20% - Accent2 8 2 2 2 2" xfId="4124"/>
    <cellStyle name="20% - Accent2 8 2 2 2 2 2" xfId="11438"/>
    <cellStyle name="20% - Accent2 8 2 2 2 3" xfId="5486"/>
    <cellStyle name="20% - Accent2 8 2 2 2 3 2" xfId="12740"/>
    <cellStyle name="20% - Accent2 8 2 2 2 4" xfId="6758"/>
    <cellStyle name="20% - Accent2 8 2 2 2 4 2" xfId="13960"/>
    <cellStyle name="20% - Accent2 8 2 2 2 5" xfId="7913"/>
    <cellStyle name="20% - Accent2 8 2 2 2 5 2" xfId="15093"/>
    <cellStyle name="20% - Accent2 8 2 2 2 6" xfId="9421"/>
    <cellStyle name="20% - Accent2 8 2 2 3" xfId="1967"/>
    <cellStyle name="20% - Accent2 8 2 2 3 2" xfId="4350"/>
    <cellStyle name="20% - Accent2 8 2 2 3 2 2" xfId="11661"/>
    <cellStyle name="20% - Accent2 8 2 2 3 3" xfId="5706"/>
    <cellStyle name="20% - Accent2 8 2 2 3 3 2" xfId="12958"/>
    <cellStyle name="20% - Accent2 8 2 2 3 4" xfId="6975"/>
    <cellStyle name="20% - Accent2 8 2 2 3 4 2" xfId="14176"/>
    <cellStyle name="20% - Accent2 8 2 2 3 5" xfId="8119"/>
    <cellStyle name="20% - Accent2 8 2 2 3 5 2" xfId="15299"/>
    <cellStyle name="20% - Accent2 8 2 2 3 6" xfId="9627"/>
    <cellStyle name="20% - Accent2 8 2 2 4" xfId="2376"/>
    <cellStyle name="20% - Accent2 8 2 2 4 2" xfId="4738"/>
    <cellStyle name="20% - Accent2 8 2 2 4 2 2" xfId="12033"/>
    <cellStyle name="20% - Accent2 8 2 2 4 3" xfId="6079"/>
    <cellStyle name="20% - Accent2 8 2 2 4 3 2" xfId="13313"/>
    <cellStyle name="20% - Accent2 8 2 2 4 4" xfId="7332"/>
    <cellStyle name="20% - Accent2 8 2 2 4 4 2" xfId="14522"/>
    <cellStyle name="20% - Accent2 8 2 2 4 5" xfId="8439"/>
    <cellStyle name="20% - Accent2 8 2 2 4 5 2" xfId="15615"/>
    <cellStyle name="20% - Accent2 8 2 2 4 6" xfId="9947"/>
    <cellStyle name="20% - Accent2 8 2 2 5" xfId="3315"/>
    <cellStyle name="20% - Accent2 8 2 2 5 2" xfId="10688"/>
    <cellStyle name="20% - Accent2 8 2 2 6" xfId="4526"/>
    <cellStyle name="20% - Accent2 8 2 2 6 2" xfId="11825"/>
    <cellStyle name="20% - Accent2 8 2 2 7" xfId="2841"/>
    <cellStyle name="20% - Accent2 8 2 2 7 2" xfId="10269"/>
    <cellStyle name="20% - Accent2 8 2 2 8" xfId="2796"/>
    <cellStyle name="20% - Accent2 8 2 2 8 2" xfId="10245"/>
    <cellStyle name="20% - Accent2 8 2 2 9" xfId="8923"/>
    <cellStyle name="20% - Accent2 8 2 3" xfId="1571"/>
    <cellStyle name="20% - Accent2 8 2 3 2" xfId="3962"/>
    <cellStyle name="20% - Accent2 8 2 3 2 2" xfId="11279"/>
    <cellStyle name="20% - Accent2 8 2 3 3" xfId="5328"/>
    <cellStyle name="20% - Accent2 8 2 3 3 2" xfId="12586"/>
    <cellStyle name="20% - Accent2 8 2 3 4" xfId="6601"/>
    <cellStyle name="20% - Accent2 8 2 3 4 2" xfId="13806"/>
    <cellStyle name="20% - Accent2 8 2 3 5" xfId="7760"/>
    <cellStyle name="20% - Accent2 8 2 3 5 2" xfId="14940"/>
    <cellStyle name="20% - Accent2 8 2 3 6" xfId="9268"/>
    <cellStyle name="20% - Accent2 8 2 4" xfId="1527"/>
    <cellStyle name="20% - Accent2 8 2 4 2" xfId="3920"/>
    <cellStyle name="20% - Accent2 8 2 4 2 2" xfId="11238"/>
    <cellStyle name="20% - Accent2 8 2 4 3" xfId="5287"/>
    <cellStyle name="20% - Accent2 8 2 4 3 2" xfId="12546"/>
    <cellStyle name="20% - Accent2 8 2 4 4" xfId="6560"/>
    <cellStyle name="20% - Accent2 8 2 4 4 2" xfId="13766"/>
    <cellStyle name="20% - Accent2 8 2 4 5" xfId="7720"/>
    <cellStyle name="20% - Accent2 8 2 4 5 2" xfId="14900"/>
    <cellStyle name="20% - Accent2 8 2 4 6" xfId="9228"/>
    <cellStyle name="20% - Accent2 8 2 5" xfId="2246"/>
    <cellStyle name="20% - Accent2 8 2 5 2" xfId="4608"/>
    <cellStyle name="20% - Accent2 8 2 5 2 2" xfId="11906"/>
    <cellStyle name="20% - Accent2 8 2 5 3" xfId="5949"/>
    <cellStyle name="20% - Accent2 8 2 5 3 2" xfId="13186"/>
    <cellStyle name="20% - Accent2 8 2 5 4" xfId="7202"/>
    <cellStyle name="20% - Accent2 8 2 5 4 2" xfId="14395"/>
    <cellStyle name="20% - Accent2 8 2 5 5" xfId="8312"/>
    <cellStyle name="20% - Accent2 8 2 5 5 2" xfId="15488"/>
    <cellStyle name="20% - Accent2 8 2 5 6" xfId="9820"/>
    <cellStyle name="20% - Accent2 8 2 6" xfId="3099"/>
    <cellStyle name="20% - Accent2 8 2 6 2" xfId="10496"/>
    <cellStyle name="20% - Accent2 8 2 7" xfId="3463"/>
    <cellStyle name="20% - Accent2 8 2 7 2" xfId="10824"/>
    <cellStyle name="20% - Accent2 8 2 8" xfId="4973"/>
    <cellStyle name="20% - Accent2 8 2 8 2" xfId="12259"/>
    <cellStyle name="20% - Accent2 8 2 9" xfId="6303"/>
    <cellStyle name="20% - Accent2 8 2 9 2" xfId="13526"/>
    <cellStyle name="20% - Accent2 8 3" xfId="782"/>
    <cellStyle name="20% - Accent2 8 3 2" xfId="1682"/>
    <cellStyle name="20% - Accent2 8 3 2 2" xfId="4072"/>
    <cellStyle name="20% - Accent2 8 3 2 2 2" xfId="11386"/>
    <cellStyle name="20% - Accent2 8 3 2 3" xfId="5434"/>
    <cellStyle name="20% - Accent2 8 3 2 3 2" xfId="12688"/>
    <cellStyle name="20% - Accent2 8 3 2 4" xfId="6706"/>
    <cellStyle name="20% - Accent2 8 3 2 4 2" xfId="13908"/>
    <cellStyle name="20% - Accent2 8 3 2 5" xfId="7861"/>
    <cellStyle name="20% - Accent2 8 3 2 5 2" xfId="15041"/>
    <cellStyle name="20% - Accent2 8 3 2 6" xfId="9369"/>
    <cellStyle name="20% - Accent2 8 3 3" xfId="1915"/>
    <cellStyle name="20% - Accent2 8 3 3 2" xfId="4298"/>
    <cellStyle name="20% - Accent2 8 3 3 2 2" xfId="11609"/>
    <cellStyle name="20% - Accent2 8 3 3 3" xfId="5654"/>
    <cellStyle name="20% - Accent2 8 3 3 3 2" xfId="12906"/>
    <cellStyle name="20% - Accent2 8 3 3 4" xfId="6923"/>
    <cellStyle name="20% - Accent2 8 3 3 4 2" xfId="14124"/>
    <cellStyle name="20% - Accent2 8 3 3 5" xfId="8067"/>
    <cellStyle name="20% - Accent2 8 3 3 5 2" xfId="15247"/>
    <cellStyle name="20% - Accent2 8 3 3 6" xfId="9575"/>
    <cellStyle name="20% - Accent2 8 3 4" xfId="2324"/>
    <cellStyle name="20% - Accent2 8 3 4 2" xfId="4686"/>
    <cellStyle name="20% - Accent2 8 3 4 2 2" xfId="11981"/>
    <cellStyle name="20% - Accent2 8 3 4 3" xfId="6027"/>
    <cellStyle name="20% - Accent2 8 3 4 3 2" xfId="13261"/>
    <cellStyle name="20% - Accent2 8 3 4 4" xfId="7280"/>
    <cellStyle name="20% - Accent2 8 3 4 4 2" xfId="14470"/>
    <cellStyle name="20% - Accent2 8 3 4 5" xfId="8387"/>
    <cellStyle name="20% - Accent2 8 3 4 5 2" xfId="15563"/>
    <cellStyle name="20% - Accent2 8 3 4 6" xfId="9895"/>
    <cellStyle name="20% - Accent2 8 3 5" xfId="3263"/>
    <cellStyle name="20% - Accent2 8 3 5 2" xfId="10636"/>
    <cellStyle name="20% - Accent2 8 3 6" xfId="3519"/>
    <cellStyle name="20% - Accent2 8 3 6 2" xfId="10873"/>
    <cellStyle name="20% - Accent2 8 3 7" xfId="5026"/>
    <cellStyle name="20% - Accent2 8 3 7 2" xfId="12304"/>
    <cellStyle name="20% - Accent2 8 3 8" xfId="6344"/>
    <cellStyle name="20% - Accent2 8 3 8 2" xfId="13561"/>
    <cellStyle name="20% - Accent2 8 3 9" xfId="8871"/>
    <cellStyle name="20% - Accent2 8 4" xfId="1460"/>
    <cellStyle name="20% - Accent2 8 4 2" xfId="3855"/>
    <cellStyle name="20% - Accent2 8 4 2 2" xfId="11176"/>
    <cellStyle name="20% - Accent2 8 4 3" xfId="5225"/>
    <cellStyle name="20% - Accent2 8 4 3 2" xfId="12485"/>
    <cellStyle name="20% - Accent2 8 4 4" xfId="6499"/>
    <cellStyle name="20% - Accent2 8 4 4 2" xfId="13706"/>
    <cellStyle name="20% - Accent2 8 4 5" xfId="7663"/>
    <cellStyle name="20% - Accent2 8 4 5 2" xfId="14843"/>
    <cellStyle name="20% - Accent2 8 4 6" xfId="9171"/>
    <cellStyle name="20% - Accent2 8 5" xfId="1437"/>
    <cellStyle name="20% - Accent2 8 5 2" xfId="3834"/>
    <cellStyle name="20% - Accent2 8 5 2 2" xfId="11155"/>
    <cellStyle name="20% - Accent2 8 5 3" xfId="5202"/>
    <cellStyle name="20% - Accent2 8 5 3 2" xfId="12464"/>
    <cellStyle name="20% - Accent2 8 5 4" xfId="6478"/>
    <cellStyle name="20% - Accent2 8 5 4 2" xfId="13687"/>
    <cellStyle name="20% - Accent2 8 5 5" xfId="7646"/>
    <cellStyle name="20% - Accent2 8 5 5 2" xfId="14826"/>
    <cellStyle name="20% - Accent2 8 5 6" xfId="9154"/>
    <cellStyle name="20% - Accent2 8 6" xfId="2183"/>
    <cellStyle name="20% - Accent2 8 6 2" xfId="4545"/>
    <cellStyle name="20% - Accent2 8 6 2 2" xfId="11844"/>
    <cellStyle name="20% - Accent2 8 6 3" xfId="5887"/>
    <cellStyle name="20% - Accent2 8 6 3 2" xfId="13124"/>
    <cellStyle name="20% - Accent2 8 6 4" xfId="7140"/>
    <cellStyle name="20% - Accent2 8 6 4 2" xfId="14333"/>
    <cellStyle name="20% - Accent2 8 6 5" xfId="8250"/>
    <cellStyle name="20% - Accent2 8 6 5 2" xfId="15426"/>
    <cellStyle name="20% - Accent2 8 6 6" xfId="9758"/>
    <cellStyle name="20% - Accent2 8 7" xfId="2918"/>
    <cellStyle name="20% - Accent2 8 7 2" xfId="10340"/>
    <cellStyle name="20% - Accent2 8 8" xfId="3505"/>
    <cellStyle name="20% - Accent2 8 8 2" xfId="10860"/>
    <cellStyle name="20% - Accent2 8 9" xfId="5012"/>
    <cellStyle name="20% - Accent2 8 9 2" xfId="12292"/>
    <cellStyle name="20% - Accent2 9" xfId="427"/>
    <cellStyle name="20% - Accent2 9 10" xfId="3483"/>
    <cellStyle name="20% - Accent2 9 10 2" xfId="10838"/>
    <cellStyle name="20% - Accent2 9 11" xfId="8743"/>
    <cellStyle name="20% - Accent2 9 2" xfId="608"/>
    <cellStyle name="20% - Accent2 9 2 10" xfId="8806"/>
    <cellStyle name="20% - Accent2 9 2 2" xfId="847"/>
    <cellStyle name="20% - Accent2 9 2 2 2" xfId="1747"/>
    <cellStyle name="20% - Accent2 9 2 2 2 2" xfId="4137"/>
    <cellStyle name="20% - Accent2 9 2 2 2 2 2" xfId="11451"/>
    <cellStyle name="20% - Accent2 9 2 2 2 3" xfId="5499"/>
    <cellStyle name="20% - Accent2 9 2 2 2 3 2" xfId="12753"/>
    <cellStyle name="20% - Accent2 9 2 2 2 4" xfId="6771"/>
    <cellStyle name="20% - Accent2 9 2 2 2 4 2" xfId="13973"/>
    <cellStyle name="20% - Accent2 9 2 2 2 5" xfId="7926"/>
    <cellStyle name="20% - Accent2 9 2 2 2 5 2" xfId="15106"/>
    <cellStyle name="20% - Accent2 9 2 2 2 6" xfId="9434"/>
    <cellStyle name="20% - Accent2 9 2 2 3" xfId="1980"/>
    <cellStyle name="20% - Accent2 9 2 2 3 2" xfId="4363"/>
    <cellStyle name="20% - Accent2 9 2 2 3 2 2" xfId="11674"/>
    <cellStyle name="20% - Accent2 9 2 2 3 3" xfId="5719"/>
    <cellStyle name="20% - Accent2 9 2 2 3 3 2" xfId="12971"/>
    <cellStyle name="20% - Accent2 9 2 2 3 4" xfId="6988"/>
    <cellStyle name="20% - Accent2 9 2 2 3 4 2" xfId="14189"/>
    <cellStyle name="20% - Accent2 9 2 2 3 5" xfId="8132"/>
    <cellStyle name="20% - Accent2 9 2 2 3 5 2" xfId="15312"/>
    <cellStyle name="20% - Accent2 9 2 2 3 6" xfId="9640"/>
    <cellStyle name="20% - Accent2 9 2 2 4" xfId="2389"/>
    <cellStyle name="20% - Accent2 9 2 2 4 2" xfId="4751"/>
    <cellStyle name="20% - Accent2 9 2 2 4 2 2" xfId="12046"/>
    <cellStyle name="20% - Accent2 9 2 2 4 3" xfId="6092"/>
    <cellStyle name="20% - Accent2 9 2 2 4 3 2" xfId="13326"/>
    <cellStyle name="20% - Accent2 9 2 2 4 4" xfId="7345"/>
    <cellStyle name="20% - Accent2 9 2 2 4 4 2" xfId="14535"/>
    <cellStyle name="20% - Accent2 9 2 2 4 5" xfId="8452"/>
    <cellStyle name="20% - Accent2 9 2 2 4 5 2" xfId="15628"/>
    <cellStyle name="20% - Accent2 9 2 2 4 6" xfId="9960"/>
    <cellStyle name="20% - Accent2 9 2 2 5" xfId="3328"/>
    <cellStyle name="20% - Accent2 9 2 2 5 2" xfId="10701"/>
    <cellStyle name="20% - Accent2 9 2 2 6" xfId="3198"/>
    <cellStyle name="20% - Accent2 9 2 2 6 2" xfId="10584"/>
    <cellStyle name="20% - Accent2 9 2 2 7" xfId="5824"/>
    <cellStyle name="20% - Accent2 9 2 2 7 2" xfId="13073"/>
    <cellStyle name="20% - Accent2 9 2 2 8" xfId="7090"/>
    <cellStyle name="20% - Accent2 9 2 2 8 2" xfId="14290"/>
    <cellStyle name="20% - Accent2 9 2 2 9" xfId="8936"/>
    <cellStyle name="20% - Accent2 9 2 3" xfId="1584"/>
    <cellStyle name="20% - Accent2 9 2 3 2" xfId="3975"/>
    <cellStyle name="20% - Accent2 9 2 3 2 2" xfId="11292"/>
    <cellStyle name="20% - Accent2 9 2 3 3" xfId="5341"/>
    <cellStyle name="20% - Accent2 9 2 3 3 2" xfId="12599"/>
    <cellStyle name="20% - Accent2 9 2 3 4" xfId="6614"/>
    <cellStyle name="20% - Accent2 9 2 3 4 2" xfId="13819"/>
    <cellStyle name="20% - Accent2 9 2 3 5" xfId="7773"/>
    <cellStyle name="20% - Accent2 9 2 3 5 2" xfId="14953"/>
    <cellStyle name="20% - Accent2 9 2 3 6" xfId="9281"/>
    <cellStyle name="20% - Accent2 9 2 4" xfId="1269"/>
    <cellStyle name="20% - Accent2 9 2 4 2" xfId="3687"/>
    <cellStyle name="20% - Accent2 9 2 4 2 2" xfId="11022"/>
    <cellStyle name="20% - Accent2 9 2 4 3" xfId="5078"/>
    <cellStyle name="20% - Accent2 9 2 4 3 2" xfId="12351"/>
    <cellStyle name="20% - Accent2 9 2 4 4" xfId="6384"/>
    <cellStyle name="20% - Accent2 9 2 4 4 2" xfId="13598"/>
    <cellStyle name="20% - Accent2 9 2 4 5" xfId="7586"/>
    <cellStyle name="20% - Accent2 9 2 4 5 2" xfId="14770"/>
    <cellStyle name="20% - Accent2 9 2 4 6" xfId="9094"/>
    <cellStyle name="20% - Accent2 9 2 5" xfId="2259"/>
    <cellStyle name="20% - Accent2 9 2 5 2" xfId="4621"/>
    <cellStyle name="20% - Accent2 9 2 5 2 2" xfId="11919"/>
    <cellStyle name="20% - Accent2 9 2 5 3" xfId="5962"/>
    <cellStyle name="20% - Accent2 9 2 5 3 2" xfId="13199"/>
    <cellStyle name="20% - Accent2 9 2 5 4" xfId="7215"/>
    <cellStyle name="20% - Accent2 9 2 5 4 2" xfId="14408"/>
    <cellStyle name="20% - Accent2 9 2 5 5" xfId="8325"/>
    <cellStyle name="20% - Accent2 9 2 5 5 2" xfId="15501"/>
    <cellStyle name="20% - Accent2 9 2 5 6" xfId="9833"/>
    <cellStyle name="20% - Accent2 9 2 6" xfId="3112"/>
    <cellStyle name="20% - Accent2 9 2 6 2" xfId="10509"/>
    <cellStyle name="20% - Accent2 9 2 7" xfId="4928"/>
    <cellStyle name="20% - Accent2 9 2 7 2" xfId="12217"/>
    <cellStyle name="20% - Accent2 9 2 8" xfId="2731"/>
    <cellStyle name="20% - Accent2 9 2 8 2" xfId="10216"/>
    <cellStyle name="20% - Accent2 9 2 9" xfId="5136"/>
    <cellStyle name="20% - Accent2 9 2 9 2" xfId="12404"/>
    <cellStyle name="20% - Accent2 9 3" xfId="795"/>
    <cellStyle name="20% - Accent2 9 3 2" xfId="1695"/>
    <cellStyle name="20% - Accent2 9 3 2 2" xfId="4085"/>
    <cellStyle name="20% - Accent2 9 3 2 2 2" xfId="11399"/>
    <cellStyle name="20% - Accent2 9 3 2 3" xfId="5447"/>
    <cellStyle name="20% - Accent2 9 3 2 3 2" xfId="12701"/>
    <cellStyle name="20% - Accent2 9 3 2 4" xfId="6719"/>
    <cellStyle name="20% - Accent2 9 3 2 4 2" xfId="13921"/>
    <cellStyle name="20% - Accent2 9 3 2 5" xfId="7874"/>
    <cellStyle name="20% - Accent2 9 3 2 5 2" xfId="15054"/>
    <cellStyle name="20% - Accent2 9 3 2 6" xfId="9382"/>
    <cellStyle name="20% - Accent2 9 3 3" xfId="1928"/>
    <cellStyle name="20% - Accent2 9 3 3 2" xfId="4311"/>
    <cellStyle name="20% - Accent2 9 3 3 2 2" xfId="11622"/>
    <cellStyle name="20% - Accent2 9 3 3 3" xfId="5667"/>
    <cellStyle name="20% - Accent2 9 3 3 3 2" xfId="12919"/>
    <cellStyle name="20% - Accent2 9 3 3 4" xfId="6936"/>
    <cellStyle name="20% - Accent2 9 3 3 4 2" xfId="14137"/>
    <cellStyle name="20% - Accent2 9 3 3 5" xfId="8080"/>
    <cellStyle name="20% - Accent2 9 3 3 5 2" xfId="15260"/>
    <cellStyle name="20% - Accent2 9 3 3 6" xfId="9588"/>
    <cellStyle name="20% - Accent2 9 3 4" xfId="2337"/>
    <cellStyle name="20% - Accent2 9 3 4 2" xfId="4699"/>
    <cellStyle name="20% - Accent2 9 3 4 2 2" xfId="11994"/>
    <cellStyle name="20% - Accent2 9 3 4 3" xfId="6040"/>
    <cellStyle name="20% - Accent2 9 3 4 3 2" xfId="13274"/>
    <cellStyle name="20% - Accent2 9 3 4 4" xfId="7293"/>
    <cellStyle name="20% - Accent2 9 3 4 4 2" xfId="14483"/>
    <cellStyle name="20% - Accent2 9 3 4 5" xfId="8400"/>
    <cellStyle name="20% - Accent2 9 3 4 5 2" xfId="15576"/>
    <cellStyle name="20% - Accent2 9 3 4 6" xfId="9908"/>
    <cellStyle name="20% - Accent2 9 3 5" xfId="3276"/>
    <cellStyle name="20% - Accent2 9 3 5 2" xfId="10649"/>
    <cellStyle name="20% - Accent2 9 3 6" xfId="2636"/>
    <cellStyle name="20% - Accent2 9 3 6 2" xfId="10139"/>
    <cellStyle name="20% - Accent2 9 3 7" xfId="3580"/>
    <cellStyle name="20% - Accent2 9 3 7 2" xfId="10927"/>
    <cellStyle name="20% - Accent2 9 3 8" xfId="5044"/>
    <cellStyle name="20% - Accent2 9 3 8 2" xfId="12320"/>
    <cellStyle name="20% - Accent2 9 3 9" xfId="8884"/>
    <cellStyle name="20% - Accent2 9 4" xfId="1481"/>
    <cellStyle name="20% - Accent2 9 4 2" xfId="3875"/>
    <cellStyle name="20% - Accent2 9 4 2 2" xfId="11195"/>
    <cellStyle name="20% - Accent2 9 4 3" xfId="5244"/>
    <cellStyle name="20% - Accent2 9 4 3 2" xfId="12504"/>
    <cellStyle name="20% - Accent2 9 4 4" xfId="6517"/>
    <cellStyle name="20% - Accent2 9 4 4 2" xfId="13724"/>
    <cellStyle name="20% - Accent2 9 4 5" xfId="7679"/>
    <cellStyle name="20% - Accent2 9 4 5 2" xfId="14859"/>
    <cellStyle name="20% - Accent2 9 4 6" xfId="9187"/>
    <cellStyle name="20% - Accent2 9 5" xfId="1503"/>
    <cellStyle name="20% - Accent2 9 5 2" xfId="3896"/>
    <cellStyle name="20% - Accent2 9 5 2 2" xfId="11214"/>
    <cellStyle name="20% - Accent2 9 5 3" xfId="5263"/>
    <cellStyle name="20% - Accent2 9 5 3 2" xfId="12522"/>
    <cellStyle name="20% - Accent2 9 5 4" xfId="6536"/>
    <cellStyle name="20% - Accent2 9 5 4 2" xfId="13742"/>
    <cellStyle name="20% - Accent2 9 5 5" xfId="7696"/>
    <cellStyle name="20% - Accent2 9 5 5 2" xfId="14876"/>
    <cellStyle name="20% - Accent2 9 5 6" xfId="9204"/>
    <cellStyle name="20% - Accent2 9 6" xfId="2196"/>
    <cellStyle name="20% - Accent2 9 6 2" xfId="4558"/>
    <cellStyle name="20% - Accent2 9 6 2 2" xfId="11857"/>
    <cellStyle name="20% - Accent2 9 6 3" xfId="5900"/>
    <cellStyle name="20% - Accent2 9 6 3 2" xfId="13137"/>
    <cellStyle name="20% - Accent2 9 6 4" xfId="7153"/>
    <cellStyle name="20% - Accent2 9 6 4 2" xfId="14346"/>
    <cellStyle name="20% - Accent2 9 6 5" xfId="8263"/>
    <cellStyle name="20% - Accent2 9 6 5 2" xfId="15439"/>
    <cellStyle name="20% - Accent2 9 6 6" xfId="9771"/>
    <cellStyle name="20% - Accent2 9 7" xfId="2954"/>
    <cellStyle name="20% - Accent2 9 7 2" xfId="10372"/>
    <cellStyle name="20% - Accent2 9 8" xfId="3403"/>
    <cellStyle name="20% - Accent2 9 8 2" xfId="10771"/>
    <cellStyle name="20% - Accent2 9 9" xfId="2848"/>
    <cellStyle name="20% - Accent2 9 9 2" xfId="10275"/>
    <cellStyle name="20% - Accent3" xfId="11" builtinId="38" customBuiltin="1"/>
    <cellStyle name="20% - Accent3 10" xfId="473"/>
    <cellStyle name="20% - Accent3 10 10" xfId="5092"/>
    <cellStyle name="20% - Accent3 10 10 2" xfId="12364"/>
    <cellStyle name="20% - Accent3 10 11" xfId="8759"/>
    <cellStyle name="20% - Accent3 10 2" xfId="623"/>
    <cellStyle name="20% - Accent3 10 2 10" xfId="8821"/>
    <cellStyle name="20% - Accent3 10 2 2" xfId="862"/>
    <cellStyle name="20% - Accent3 10 2 2 2" xfId="1762"/>
    <cellStyle name="20% - Accent3 10 2 2 2 2" xfId="4152"/>
    <cellStyle name="20% - Accent3 10 2 2 2 2 2" xfId="11466"/>
    <cellStyle name="20% - Accent3 10 2 2 2 3" xfId="5514"/>
    <cellStyle name="20% - Accent3 10 2 2 2 3 2" xfId="12768"/>
    <cellStyle name="20% - Accent3 10 2 2 2 4" xfId="6786"/>
    <cellStyle name="20% - Accent3 10 2 2 2 4 2" xfId="13988"/>
    <cellStyle name="20% - Accent3 10 2 2 2 5" xfId="7941"/>
    <cellStyle name="20% - Accent3 10 2 2 2 5 2" xfId="15121"/>
    <cellStyle name="20% - Accent3 10 2 2 2 6" xfId="9449"/>
    <cellStyle name="20% - Accent3 10 2 2 3" xfId="1995"/>
    <cellStyle name="20% - Accent3 10 2 2 3 2" xfId="4378"/>
    <cellStyle name="20% - Accent3 10 2 2 3 2 2" xfId="11689"/>
    <cellStyle name="20% - Accent3 10 2 2 3 3" xfId="5734"/>
    <cellStyle name="20% - Accent3 10 2 2 3 3 2" xfId="12986"/>
    <cellStyle name="20% - Accent3 10 2 2 3 4" xfId="7003"/>
    <cellStyle name="20% - Accent3 10 2 2 3 4 2" xfId="14204"/>
    <cellStyle name="20% - Accent3 10 2 2 3 5" xfId="8147"/>
    <cellStyle name="20% - Accent3 10 2 2 3 5 2" xfId="15327"/>
    <cellStyle name="20% - Accent3 10 2 2 3 6" xfId="9655"/>
    <cellStyle name="20% - Accent3 10 2 2 4" xfId="2404"/>
    <cellStyle name="20% - Accent3 10 2 2 4 2" xfId="4766"/>
    <cellStyle name="20% - Accent3 10 2 2 4 2 2" xfId="12061"/>
    <cellStyle name="20% - Accent3 10 2 2 4 3" xfId="6107"/>
    <cellStyle name="20% - Accent3 10 2 2 4 3 2" xfId="13341"/>
    <cellStyle name="20% - Accent3 10 2 2 4 4" xfId="7360"/>
    <cellStyle name="20% - Accent3 10 2 2 4 4 2" xfId="14550"/>
    <cellStyle name="20% - Accent3 10 2 2 4 5" xfId="8467"/>
    <cellStyle name="20% - Accent3 10 2 2 4 5 2" xfId="15643"/>
    <cellStyle name="20% - Accent3 10 2 2 4 6" xfId="9975"/>
    <cellStyle name="20% - Accent3 10 2 2 5" xfId="3343"/>
    <cellStyle name="20% - Accent3 10 2 2 5 2" xfId="10716"/>
    <cellStyle name="20% - Accent3 10 2 2 6" xfId="3851"/>
    <cellStyle name="20% - Accent3 10 2 2 6 2" xfId="11172"/>
    <cellStyle name="20% - Accent3 10 2 2 7" xfId="3523"/>
    <cellStyle name="20% - Accent3 10 2 2 7 2" xfId="10877"/>
    <cellStyle name="20% - Accent3 10 2 2 8" xfId="5030"/>
    <cellStyle name="20% - Accent3 10 2 2 8 2" xfId="12308"/>
    <cellStyle name="20% - Accent3 10 2 2 9" xfId="8951"/>
    <cellStyle name="20% - Accent3 10 2 3" xfId="1599"/>
    <cellStyle name="20% - Accent3 10 2 3 2" xfId="3990"/>
    <cellStyle name="20% - Accent3 10 2 3 2 2" xfId="11307"/>
    <cellStyle name="20% - Accent3 10 2 3 3" xfId="5356"/>
    <cellStyle name="20% - Accent3 10 2 3 3 2" xfId="12614"/>
    <cellStyle name="20% - Accent3 10 2 3 4" xfId="6629"/>
    <cellStyle name="20% - Accent3 10 2 3 4 2" xfId="13834"/>
    <cellStyle name="20% - Accent3 10 2 3 5" xfId="7788"/>
    <cellStyle name="20% - Accent3 10 2 3 5 2" xfId="14968"/>
    <cellStyle name="20% - Accent3 10 2 3 6" xfId="9296"/>
    <cellStyle name="20% - Accent3 10 2 4" xfId="1519"/>
    <cellStyle name="20% - Accent3 10 2 4 2" xfId="3912"/>
    <cellStyle name="20% - Accent3 10 2 4 2 2" xfId="11230"/>
    <cellStyle name="20% - Accent3 10 2 4 3" xfId="5279"/>
    <cellStyle name="20% - Accent3 10 2 4 3 2" xfId="12538"/>
    <cellStyle name="20% - Accent3 10 2 4 4" xfId="6552"/>
    <cellStyle name="20% - Accent3 10 2 4 4 2" xfId="13758"/>
    <cellStyle name="20% - Accent3 10 2 4 5" xfId="7712"/>
    <cellStyle name="20% - Accent3 10 2 4 5 2" xfId="14892"/>
    <cellStyle name="20% - Accent3 10 2 4 6" xfId="9220"/>
    <cellStyle name="20% - Accent3 10 2 5" xfId="2274"/>
    <cellStyle name="20% - Accent3 10 2 5 2" xfId="4636"/>
    <cellStyle name="20% - Accent3 10 2 5 2 2" xfId="11934"/>
    <cellStyle name="20% - Accent3 10 2 5 3" xfId="5977"/>
    <cellStyle name="20% - Accent3 10 2 5 3 2" xfId="13214"/>
    <cellStyle name="20% - Accent3 10 2 5 4" xfId="7230"/>
    <cellStyle name="20% - Accent3 10 2 5 4 2" xfId="14423"/>
    <cellStyle name="20% - Accent3 10 2 5 5" xfId="8340"/>
    <cellStyle name="20% - Accent3 10 2 5 5 2" xfId="15516"/>
    <cellStyle name="20% - Accent3 10 2 5 6" xfId="9848"/>
    <cellStyle name="20% - Accent3 10 2 6" xfId="3127"/>
    <cellStyle name="20% - Accent3 10 2 6 2" xfId="10524"/>
    <cellStyle name="20% - Accent3 10 2 7" xfId="2921"/>
    <cellStyle name="20% - Accent3 10 2 7 2" xfId="10343"/>
    <cellStyle name="20% - Accent3 10 2 8" xfId="2875"/>
    <cellStyle name="20% - Accent3 10 2 8 2" xfId="10300"/>
    <cellStyle name="20% - Accent3 10 2 9" xfId="3058"/>
    <cellStyle name="20% - Accent3 10 2 9 2" xfId="10456"/>
    <cellStyle name="20% - Accent3 10 3" xfId="810"/>
    <cellStyle name="20% - Accent3 10 3 2" xfId="1710"/>
    <cellStyle name="20% - Accent3 10 3 2 2" xfId="4100"/>
    <cellStyle name="20% - Accent3 10 3 2 2 2" xfId="11414"/>
    <cellStyle name="20% - Accent3 10 3 2 3" xfId="5462"/>
    <cellStyle name="20% - Accent3 10 3 2 3 2" xfId="12716"/>
    <cellStyle name="20% - Accent3 10 3 2 4" xfId="6734"/>
    <cellStyle name="20% - Accent3 10 3 2 4 2" xfId="13936"/>
    <cellStyle name="20% - Accent3 10 3 2 5" xfId="7889"/>
    <cellStyle name="20% - Accent3 10 3 2 5 2" xfId="15069"/>
    <cellStyle name="20% - Accent3 10 3 2 6" xfId="9397"/>
    <cellStyle name="20% - Accent3 10 3 3" xfId="1943"/>
    <cellStyle name="20% - Accent3 10 3 3 2" xfId="4326"/>
    <cellStyle name="20% - Accent3 10 3 3 2 2" xfId="11637"/>
    <cellStyle name="20% - Accent3 10 3 3 3" xfId="5682"/>
    <cellStyle name="20% - Accent3 10 3 3 3 2" xfId="12934"/>
    <cellStyle name="20% - Accent3 10 3 3 4" xfId="6951"/>
    <cellStyle name="20% - Accent3 10 3 3 4 2" xfId="14152"/>
    <cellStyle name="20% - Accent3 10 3 3 5" xfId="8095"/>
    <cellStyle name="20% - Accent3 10 3 3 5 2" xfId="15275"/>
    <cellStyle name="20% - Accent3 10 3 3 6" xfId="9603"/>
    <cellStyle name="20% - Accent3 10 3 4" xfId="2352"/>
    <cellStyle name="20% - Accent3 10 3 4 2" xfId="4714"/>
    <cellStyle name="20% - Accent3 10 3 4 2 2" xfId="12009"/>
    <cellStyle name="20% - Accent3 10 3 4 3" xfId="6055"/>
    <cellStyle name="20% - Accent3 10 3 4 3 2" xfId="13289"/>
    <cellStyle name="20% - Accent3 10 3 4 4" xfId="7308"/>
    <cellStyle name="20% - Accent3 10 3 4 4 2" xfId="14498"/>
    <cellStyle name="20% - Accent3 10 3 4 5" xfId="8415"/>
    <cellStyle name="20% - Accent3 10 3 4 5 2" xfId="15591"/>
    <cellStyle name="20% - Accent3 10 3 4 6" xfId="9923"/>
    <cellStyle name="20% - Accent3 10 3 5" xfId="3291"/>
    <cellStyle name="20% - Accent3 10 3 5 2" xfId="10664"/>
    <cellStyle name="20% - Accent3 10 3 6" xfId="2633"/>
    <cellStyle name="20% - Accent3 10 3 6 2" xfId="10136"/>
    <cellStyle name="20% - Accent3 10 3 7" xfId="3239"/>
    <cellStyle name="20% - Accent3 10 3 7 2" xfId="10612"/>
    <cellStyle name="20% - Accent3 10 3 8" xfId="5864"/>
    <cellStyle name="20% - Accent3 10 3 8 2" xfId="13101"/>
    <cellStyle name="20% - Accent3 10 3 9" xfId="8899"/>
    <cellStyle name="20% - Accent3 10 4" xfId="1508"/>
    <cellStyle name="20% - Accent3 10 4 2" xfId="3901"/>
    <cellStyle name="20% - Accent3 10 4 2 2" xfId="11219"/>
    <cellStyle name="20% - Accent3 10 4 3" xfId="5268"/>
    <cellStyle name="20% - Accent3 10 4 3 2" xfId="12527"/>
    <cellStyle name="20% - Accent3 10 4 4" xfId="6541"/>
    <cellStyle name="20% - Accent3 10 4 4 2" xfId="13747"/>
    <cellStyle name="20% - Accent3 10 4 5" xfId="7701"/>
    <cellStyle name="20% - Accent3 10 4 5 2" xfId="14881"/>
    <cellStyle name="20% - Accent3 10 4 6" xfId="9209"/>
    <cellStyle name="20% - Accent3 10 5" xfId="1301"/>
    <cellStyle name="20% - Accent3 10 5 2" xfId="3715"/>
    <cellStyle name="20% - Accent3 10 5 2 2" xfId="11049"/>
    <cellStyle name="20% - Accent3 10 5 3" xfId="5103"/>
    <cellStyle name="20% - Accent3 10 5 3 2" xfId="12375"/>
    <cellStyle name="20% - Accent3 10 5 4" xfId="6402"/>
    <cellStyle name="20% - Accent3 10 5 4 2" xfId="13616"/>
    <cellStyle name="20% - Accent3 10 5 5" xfId="7591"/>
    <cellStyle name="20% - Accent3 10 5 5 2" xfId="14775"/>
    <cellStyle name="20% - Accent3 10 5 6" xfId="9099"/>
    <cellStyle name="20% - Accent3 10 6" xfId="2212"/>
    <cellStyle name="20% - Accent3 10 6 2" xfId="4574"/>
    <cellStyle name="20% - Accent3 10 6 2 2" xfId="11872"/>
    <cellStyle name="20% - Accent3 10 6 3" xfId="5915"/>
    <cellStyle name="20% - Accent3 10 6 3 2" xfId="13152"/>
    <cellStyle name="20% - Accent3 10 6 4" xfId="7168"/>
    <cellStyle name="20% - Accent3 10 6 4 2" xfId="14361"/>
    <cellStyle name="20% - Accent3 10 6 5" xfId="8278"/>
    <cellStyle name="20% - Accent3 10 6 5 2" xfId="15454"/>
    <cellStyle name="20% - Accent3 10 6 6" xfId="9786"/>
    <cellStyle name="20% - Accent3 10 7" xfId="2995"/>
    <cellStyle name="20% - Accent3 10 7 2" xfId="10408"/>
    <cellStyle name="20% - Accent3 10 8" xfId="2688"/>
    <cellStyle name="20% - Accent3 10 8 2" xfId="10183"/>
    <cellStyle name="20% - Accent3 10 9" xfId="4470"/>
    <cellStyle name="20% - Accent3 10 9 2" xfId="11778"/>
    <cellStyle name="20% - Accent3 11" xfId="657"/>
    <cellStyle name="20% - Accent3 11 10" xfId="8834"/>
    <cellStyle name="20% - Accent3 11 2" xfId="875"/>
    <cellStyle name="20% - Accent3 11 2 2" xfId="1775"/>
    <cellStyle name="20% - Accent3 11 2 2 2" xfId="4165"/>
    <cellStyle name="20% - Accent3 11 2 2 2 2" xfId="11479"/>
    <cellStyle name="20% - Accent3 11 2 2 3" xfId="5527"/>
    <cellStyle name="20% - Accent3 11 2 2 3 2" xfId="12781"/>
    <cellStyle name="20% - Accent3 11 2 2 4" xfId="6799"/>
    <cellStyle name="20% - Accent3 11 2 2 4 2" xfId="14001"/>
    <cellStyle name="20% - Accent3 11 2 2 5" xfId="7954"/>
    <cellStyle name="20% - Accent3 11 2 2 5 2" xfId="15134"/>
    <cellStyle name="20% - Accent3 11 2 2 6" xfId="9462"/>
    <cellStyle name="20% - Accent3 11 2 3" xfId="2008"/>
    <cellStyle name="20% - Accent3 11 2 3 2" xfId="4391"/>
    <cellStyle name="20% - Accent3 11 2 3 2 2" xfId="11702"/>
    <cellStyle name="20% - Accent3 11 2 3 3" xfId="5747"/>
    <cellStyle name="20% - Accent3 11 2 3 3 2" xfId="12999"/>
    <cellStyle name="20% - Accent3 11 2 3 4" xfId="7016"/>
    <cellStyle name="20% - Accent3 11 2 3 4 2" xfId="14217"/>
    <cellStyle name="20% - Accent3 11 2 3 5" xfId="8160"/>
    <cellStyle name="20% - Accent3 11 2 3 5 2" xfId="15340"/>
    <cellStyle name="20% - Accent3 11 2 3 6" xfId="9668"/>
    <cellStyle name="20% - Accent3 11 2 4" xfId="2417"/>
    <cellStyle name="20% - Accent3 11 2 4 2" xfId="4779"/>
    <cellStyle name="20% - Accent3 11 2 4 2 2" xfId="12074"/>
    <cellStyle name="20% - Accent3 11 2 4 3" xfId="6120"/>
    <cellStyle name="20% - Accent3 11 2 4 3 2" xfId="13354"/>
    <cellStyle name="20% - Accent3 11 2 4 4" xfId="7373"/>
    <cellStyle name="20% - Accent3 11 2 4 4 2" xfId="14563"/>
    <cellStyle name="20% - Accent3 11 2 4 5" xfId="8480"/>
    <cellStyle name="20% - Accent3 11 2 4 5 2" xfId="15656"/>
    <cellStyle name="20% - Accent3 11 2 4 6" xfId="9988"/>
    <cellStyle name="20% - Accent3 11 2 5" xfId="3356"/>
    <cellStyle name="20% - Accent3 11 2 5 2" xfId="10729"/>
    <cellStyle name="20% - Accent3 11 2 6" xfId="3031"/>
    <cellStyle name="20% - Accent3 11 2 6 2" xfId="10439"/>
    <cellStyle name="20% - Accent3 11 2 7" xfId="5071"/>
    <cellStyle name="20% - Accent3 11 2 7 2" xfId="12345"/>
    <cellStyle name="20% - Accent3 11 2 8" xfId="6379"/>
    <cellStyle name="20% - Accent3 11 2 8 2" xfId="13593"/>
    <cellStyle name="20% - Accent3 11 2 9" xfId="8964"/>
    <cellStyle name="20% - Accent3 11 3" xfId="1615"/>
    <cellStyle name="20% - Accent3 11 3 2" xfId="4006"/>
    <cellStyle name="20% - Accent3 11 3 2 2" xfId="11323"/>
    <cellStyle name="20% - Accent3 11 3 3" xfId="5370"/>
    <cellStyle name="20% - Accent3 11 3 3 2" xfId="12628"/>
    <cellStyle name="20% - Accent3 11 3 4" xfId="6643"/>
    <cellStyle name="20% - Accent3 11 3 4 2" xfId="13848"/>
    <cellStyle name="20% - Accent3 11 3 5" xfId="7801"/>
    <cellStyle name="20% - Accent3 11 3 5 2" xfId="14981"/>
    <cellStyle name="20% - Accent3 11 3 6" xfId="9309"/>
    <cellStyle name="20% - Accent3 11 4" xfId="1878"/>
    <cellStyle name="20% - Accent3 11 4 2" xfId="4263"/>
    <cellStyle name="20% - Accent3 11 4 2 2" xfId="11575"/>
    <cellStyle name="20% - Accent3 11 4 3" xfId="5619"/>
    <cellStyle name="20% - Accent3 11 4 3 2" xfId="12872"/>
    <cellStyle name="20% - Accent3 11 4 4" xfId="6888"/>
    <cellStyle name="20% - Accent3 11 4 4 2" xfId="14090"/>
    <cellStyle name="20% - Accent3 11 4 5" xfId="8033"/>
    <cellStyle name="20% - Accent3 11 4 5 2" xfId="15213"/>
    <cellStyle name="20% - Accent3 11 4 6" xfId="9541"/>
    <cellStyle name="20% - Accent3 11 5" xfId="2287"/>
    <cellStyle name="20% - Accent3 11 5 2" xfId="4649"/>
    <cellStyle name="20% - Accent3 11 5 2 2" xfId="11947"/>
    <cellStyle name="20% - Accent3 11 5 3" xfId="5990"/>
    <cellStyle name="20% - Accent3 11 5 3 2" xfId="13227"/>
    <cellStyle name="20% - Accent3 11 5 4" xfId="7243"/>
    <cellStyle name="20% - Accent3 11 5 4 2" xfId="14436"/>
    <cellStyle name="20% - Accent3 11 5 5" xfId="8353"/>
    <cellStyle name="20% - Accent3 11 5 5 2" xfId="15529"/>
    <cellStyle name="20% - Accent3 11 5 6" xfId="9861"/>
    <cellStyle name="20% - Accent3 11 6" xfId="3158"/>
    <cellStyle name="20% - Accent3 11 6 2" xfId="10550"/>
    <cellStyle name="20% - Accent3 11 7" xfId="3487"/>
    <cellStyle name="20% - Accent3 11 7 2" xfId="10842"/>
    <cellStyle name="20% - Accent3 11 8" xfId="4994"/>
    <cellStyle name="20% - Accent3 11 8 2" xfId="12275"/>
    <cellStyle name="20% - Accent3 11 9" xfId="6317"/>
    <cellStyle name="20% - Accent3 11 9 2" xfId="13537"/>
    <cellStyle name="20% - Accent3 12" xfId="909"/>
    <cellStyle name="20% - Accent3 12 2" xfId="1796"/>
    <cellStyle name="20% - Accent3 12 2 2" xfId="4185"/>
    <cellStyle name="20% - Accent3 12 2 2 2" xfId="11498"/>
    <cellStyle name="20% - Accent3 12 2 3" xfId="5545"/>
    <cellStyle name="20% - Accent3 12 2 3 2" xfId="12799"/>
    <cellStyle name="20% - Accent3 12 2 4" xfId="6817"/>
    <cellStyle name="20% - Accent3 12 2 4 2" xfId="14019"/>
    <cellStyle name="20% - Accent3 12 2 5" xfId="7968"/>
    <cellStyle name="20% - Accent3 12 2 5 2" xfId="15148"/>
    <cellStyle name="20% - Accent3 12 2 6" xfId="9476"/>
    <cellStyle name="20% - Accent3 12 3" xfId="2021"/>
    <cellStyle name="20% - Accent3 12 3 2" xfId="4404"/>
    <cellStyle name="20% - Accent3 12 3 2 2" xfId="11715"/>
    <cellStyle name="20% - Accent3 12 3 3" xfId="5760"/>
    <cellStyle name="20% - Accent3 12 3 3 2" xfId="13012"/>
    <cellStyle name="20% - Accent3 12 3 4" xfId="7029"/>
    <cellStyle name="20% - Accent3 12 3 4 2" xfId="14230"/>
    <cellStyle name="20% - Accent3 12 3 5" xfId="8173"/>
    <cellStyle name="20% - Accent3 12 3 5 2" xfId="15353"/>
    <cellStyle name="20% - Accent3 12 3 6" xfId="9681"/>
    <cellStyle name="20% - Accent3 12 4" xfId="2430"/>
    <cellStyle name="20% - Accent3 12 4 2" xfId="4792"/>
    <cellStyle name="20% - Accent3 12 4 2 2" xfId="12087"/>
    <cellStyle name="20% - Accent3 12 4 3" xfId="6133"/>
    <cellStyle name="20% - Accent3 12 4 3 2" xfId="13367"/>
    <cellStyle name="20% - Accent3 12 4 4" xfId="7386"/>
    <cellStyle name="20% - Accent3 12 4 4 2" xfId="14576"/>
    <cellStyle name="20% - Accent3 12 4 5" xfId="8493"/>
    <cellStyle name="20% - Accent3 12 4 5 2" xfId="15669"/>
    <cellStyle name="20% - Accent3 12 4 6" xfId="10001"/>
    <cellStyle name="20% - Accent3 12 5" xfId="3385"/>
    <cellStyle name="20% - Accent3 12 5 2" xfId="10756"/>
    <cellStyle name="20% - Accent3 12 6" xfId="3027"/>
    <cellStyle name="20% - Accent3 12 6 2" xfId="10436"/>
    <cellStyle name="20% - Accent3 12 7" xfId="5578"/>
    <cellStyle name="20% - Accent3 12 7 2" xfId="12832"/>
    <cellStyle name="20% - Accent3 12 8" xfId="6848"/>
    <cellStyle name="20% - Accent3 12 8 2" xfId="14050"/>
    <cellStyle name="20% - Accent3 12 9" xfId="8977"/>
    <cellStyle name="20% - Accent3 13" xfId="952"/>
    <cellStyle name="20% - Accent3 13 2" xfId="1822"/>
    <cellStyle name="20% - Accent3 13 2 2" xfId="4208"/>
    <cellStyle name="20% - Accent3 13 2 2 2" xfId="11521"/>
    <cellStyle name="20% - Accent3 13 2 3" xfId="5567"/>
    <cellStyle name="20% - Accent3 13 2 3 2" xfId="12821"/>
    <cellStyle name="20% - Accent3 13 2 4" xfId="6837"/>
    <cellStyle name="20% - Accent3 13 2 4 2" xfId="14039"/>
    <cellStyle name="20% - Accent3 13 2 5" xfId="7987"/>
    <cellStyle name="20% - Accent3 13 2 5 2" xfId="15167"/>
    <cellStyle name="20% - Accent3 13 2 6" xfId="9495"/>
    <cellStyle name="20% - Accent3 13 3" xfId="2036"/>
    <cellStyle name="20% - Accent3 13 3 2" xfId="4418"/>
    <cellStyle name="20% - Accent3 13 3 2 2" xfId="11728"/>
    <cellStyle name="20% - Accent3 13 3 3" xfId="5774"/>
    <cellStyle name="20% - Accent3 13 3 3 2" xfId="13025"/>
    <cellStyle name="20% - Accent3 13 3 4" xfId="7043"/>
    <cellStyle name="20% - Accent3 13 3 4 2" xfId="14243"/>
    <cellStyle name="20% - Accent3 13 3 5" xfId="8186"/>
    <cellStyle name="20% - Accent3 13 3 5 2" xfId="15366"/>
    <cellStyle name="20% - Accent3 13 3 6" xfId="9694"/>
    <cellStyle name="20% - Accent3 13 4" xfId="2445"/>
    <cellStyle name="20% - Accent3 13 4 2" xfId="4807"/>
    <cellStyle name="20% - Accent3 13 4 2 2" xfId="12100"/>
    <cellStyle name="20% - Accent3 13 4 3" xfId="6148"/>
    <cellStyle name="20% - Accent3 13 4 3 2" xfId="13380"/>
    <cellStyle name="20% - Accent3 13 4 4" xfId="7401"/>
    <cellStyle name="20% - Accent3 13 4 4 2" xfId="14589"/>
    <cellStyle name="20% - Accent3 13 4 5" xfId="8506"/>
    <cellStyle name="20% - Accent3 13 4 5 2" xfId="15682"/>
    <cellStyle name="20% - Accent3 13 4 6" xfId="10014"/>
    <cellStyle name="20% - Accent3 13 5" xfId="3422"/>
    <cellStyle name="20% - Accent3 13 5 2" xfId="10786"/>
    <cellStyle name="20% - Accent3 13 6" xfId="3187"/>
    <cellStyle name="20% - Accent3 13 6 2" xfId="10574"/>
    <cellStyle name="20% - Accent3 13 7" xfId="5815"/>
    <cellStyle name="20% - Accent3 13 7 2" xfId="13065"/>
    <cellStyle name="20% - Accent3 13 8" xfId="7082"/>
    <cellStyle name="20% - Accent3 13 8 2" xfId="14282"/>
    <cellStyle name="20% - Accent3 13 9" xfId="8992"/>
    <cellStyle name="20% - Accent3 14" xfId="995"/>
    <cellStyle name="20% - Accent3 14 2" xfId="1845"/>
    <cellStyle name="20% - Accent3 14 2 2" xfId="4230"/>
    <cellStyle name="20% - Accent3 14 2 2 2" xfId="11543"/>
    <cellStyle name="20% - Accent3 14 2 3" xfId="5587"/>
    <cellStyle name="20% - Accent3 14 2 3 2" xfId="12840"/>
    <cellStyle name="20% - Accent3 14 2 4" xfId="6856"/>
    <cellStyle name="20% - Accent3 14 2 4 2" xfId="14058"/>
    <cellStyle name="20% - Accent3 14 2 5" xfId="8004"/>
    <cellStyle name="20% - Accent3 14 2 5 2" xfId="15184"/>
    <cellStyle name="20% - Accent3 14 2 6" xfId="9512"/>
    <cellStyle name="20% - Accent3 14 3" xfId="2050"/>
    <cellStyle name="20% - Accent3 14 3 2" xfId="4432"/>
    <cellStyle name="20% - Accent3 14 3 2 2" xfId="11741"/>
    <cellStyle name="20% - Accent3 14 3 3" xfId="5787"/>
    <cellStyle name="20% - Accent3 14 3 3 2" xfId="13038"/>
    <cellStyle name="20% - Accent3 14 3 4" xfId="7056"/>
    <cellStyle name="20% - Accent3 14 3 4 2" xfId="14256"/>
    <cellStyle name="20% - Accent3 14 3 5" xfId="8199"/>
    <cellStyle name="20% - Accent3 14 3 5 2" xfId="15379"/>
    <cellStyle name="20% - Accent3 14 3 6" xfId="9707"/>
    <cellStyle name="20% - Accent3 14 4" xfId="2459"/>
    <cellStyle name="20% - Accent3 14 4 2" xfId="4820"/>
    <cellStyle name="20% - Accent3 14 4 2 2" xfId="12113"/>
    <cellStyle name="20% - Accent3 14 4 3" xfId="6162"/>
    <cellStyle name="20% - Accent3 14 4 3 2" xfId="13393"/>
    <cellStyle name="20% - Accent3 14 4 4" xfId="7415"/>
    <cellStyle name="20% - Accent3 14 4 4 2" xfId="14602"/>
    <cellStyle name="20% - Accent3 14 4 5" xfId="8519"/>
    <cellStyle name="20% - Accent3 14 4 5 2" xfId="15695"/>
    <cellStyle name="20% - Accent3 14 4 6" xfId="10027"/>
    <cellStyle name="20% - Accent3 14 5" xfId="3457"/>
    <cellStyle name="20% - Accent3 14 5 2" xfId="10818"/>
    <cellStyle name="20% - Accent3 14 6" xfId="3689"/>
    <cellStyle name="20% - Accent3 14 6 2" xfId="11024"/>
    <cellStyle name="20% - Accent3 14 7" xfId="3500"/>
    <cellStyle name="20% - Accent3 14 7 2" xfId="10855"/>
    <cellStyle name="20% - Accent3 14 8" xfId="5007"/>
    <cellStyle name="20% - Accent3 14 8 2" xfId="12288"/>
    <cellStyle name="20% - Accent3 14 9" xfId="9006"/>
    <cellStyle name="20% - Accent3 15" xfId="1036"/>
    <cellStyle name="20% - Accent3 15 2" xfId="1863"/>
    <cellStyle name="20% - Accent3 15 2 2" xfId="4248"/>
    <cellStyle name="20% - Accent3 15 2 2 2" xfId="11560"/>
    <cellStyle name="20% - Accent3 15 2 3" xfId="5604"/>
    <cellStyle name="20% - Accent3 15 2 3 2" xfId="12857"/>
    <cellStyle name="20% - Accent3 15 2 4" xfId="6873"/>
    <cellStyle name="20% - Accent3 15 2 4 2" xfId="14075"/>
    <cellStyle name="20% - Accent3 15 2 5" xfId="8018"/>
    <cellStyle name="20% - Accent3 15 2 5 2" xfId="15198"/>
    <cellStyle name="20% - Accent3 15 2 6" xfId="9526"/>
    <cellStyle name="20% - Accent3 15 3" xfId="2063"/>
    <cellStyle name="20% - Accent3 15 3 2" xfId="4445"/>
    <cellStyle name="20% - Accent3 15 3 2 2" xfId="11754"/>
    <cellStyle name="20% - Accent3 15 3 3" xfId="5800"/>
    <cellStyle name="20% - Accent3 15 3 3 2" xfId="13051"/>
    <cellStyle name="20% - Accent3 15 3 4" xfId="7069"/>
    <cellStyle name="20% - Accent3 15 3 4 2" xfId="14269"/>
    <cellStyle name="20% - Accent3 15 3 5" xfId="8212"/>
    <cellStyle name="20% - Accent3 15 3 5 2" xfId="15392"/>
    <cellStyle name="20% - Accent3 15 3 6" xfId="9720"/>
    <cellStyle name="20% - Accent3 15 4" xfId="2472"/>
    <cellStyle name="20% - Accent3 15 4 2" xfId="4833"/>
    <cellStyle name="20% - Accent3 15 4 2 2" xfId="12126"/>
    <cellStyle name="20% - Accent3 15 4 3" xfId="6175"/>
    <cellStyle name="20% - Accent3 15 4 3 2" xfId="13406"/>
    <cellStyle name="20% - Accent3 15 4 4" xfId="7428"/>
    <cellStyle name="20% - Accent3 15 4 4 2" xfId="14615"/>
    <cellStyle name="20% - Accent3 15 4 5" xfId="8532"/>
    <cellStyle name="20% - Accent3 15 4 5 2" xfId="15708"/>
    <cellStyle name="20% - Accent3 15 4 6" xfId="10040"/>
    <cellStyle name="20% - Accent3 15 5" xfId="3492"/>
    <cellStyle name="20% - Accent3 15 5 2" xfId="10847"/>
    <cellStyle name="20% - Accent3 15 6" xfId="3074"/>
    <cellStyle name="20% - Accent3 15 6 2" xfId="10471"/>
    <cellStyle name="20% - Accent3 15 7" xfId="5557"/>
    <cellStyle name="20% - Accent3 15 7 2" xfId="12811"/>
    <cellStyle name="20% - Accent3 15 8" xfId="6829"/>
    <cellStyle name="20% - Accent3 15 8 2" xfId="14031"/>
    <cellStyle name="20% - Accent3 15 9" xfId="9019"/>
    <cellStyle name="20% - Accent3 16" xfId="1077"/>
    <cellStyle name="20% - Accent3 16 2" xfId="2485"/>
    <cellStyle name="20% - Accent3 16 2 2" xfId="4846"/>
    <cellStyle name="20% - Accent3 16 2 2 2" xfId="12139"/>
    <cellStyle name="20% - Accent3 16 2 3" xfId="6188"/>
    <cellStyle name="20% - Accent3 16 2 3 2" xfId="13419"/>
    <cellStyle name="20% - Accent3 16 2 4" xfId="7441"/>
    <cellStyle name="20% - Accent3 16 2 4 2" xfId="14628"/>
    <cellStyle name="20% - Accent3 16 2 5" xfId="8545"/>
    <cellStyle name="20% - Accent3 16 2 5 2" xfId="15721"/>
    <cellStyle name="20% - Accent3 16 2 6" xfId="10053"/>
    <cellStyle name="20% - Accent3 16 3" xfId="3521"/>
    <cellStyle name="20% - Accent3 16 3 2" xfId="10875"/>
    <cellStyle name="20% - Accent3 16 4" xfId="4939"/>
    <cellStyle name="20% - Accent3 16 4 2" xfId="12228"/>
    <cellStyle name="20% - Accent3 16 5" xfId="2844"/>
    <cellStyle name="20% - Accent3 16 5 2" xfId="10272"/>
    <cellStyle name="20% - Accent3 16 6" xfId="3207"/>
    <cellStyle name="20% - Accent3 16 6 2" xfId="10592"/>
    <cellStyle name="20% - Accent3 16 7" xfId="9032"/>
    <cellStyle name="20% - Accent3 17" xfId="1118"/>
    <cellStyle name="20% - Accent3 17 2" xfId="2498"/>
    <cellStyle name="20% - Accent3 17 2 2" xfId="4859"/>
    <cellStyle name="20% - Accent3 17 2 2 2" xfId="12152"/>
    <cellStyle name="20% - Accent3 17 2 3" xfId="6201"/>
    <cellStyle name="20% - Accent3 17 2 3 2" xfId="13432"/>
    <cellStyle name="20% - Accent3 17 2 4" xfId="7454"/>
    <cellStyle name="20% - Accent3 17 2 4 2" xfId="14641"/>
    <cellStyle name="20% - Accent3 17 2 5" xfId="8558"/>
    <cellStyle name="20% - Accent3 17 2 5 2" xfId="15734"/>
    <cellStyle name="20% - Accent3 17 2 6" xfId="10066"/>
    <cellStyle name="20% - Accent3 17 3" xfId="3559"/>
    <cellStyle name="20% - Accent3 17 3 2" xfId="10908"/>
    <cellStyle name="20% - Accent3 17 4" xfId="4967"/>
    <cellStyle name="20% - Accent3 17 4 2" xfId="12253"/>
    <cellStyle name="20% - Accent3 17 5" xfId="6298"/>
    <cellStyle name="20% - Accent3 17 5 2" xfId="13521"/>
    <cellStyle name="20% - Accent3 17 6" xfId="7537"/>
    <cellStyle name="20% - Accent3 17 6 2" xfId="14721"/>
    <cellStyle name="20% - Accent3 17 7" xfId="9045"/>
    <cellStyle name="20% - Accent3 18" xfId="1159"/>
    <cellStyle name="20% - Accent3 18 2" xfId="2511"/>
    <cellStyle name="20% - Accent3 18 2 2" xfId="4872"/>
    <cellStyle name="20% - Accent3 18 2 2 2" xfId="12165"/>
    <cellStyle name="20% - Accent3 18 2 3" xfId="6214"/>
    <cellStyle name="20% - Accent3 18 2 3 2" xfId="13445"/>
    <cellStyle name="20% - Accent3 18 2 4" xfId="7467"/>
    <cellStyle name="20% - Accent3 18 2 4 2" xfId="14654"/>
    <cellStyle name="20% - Accent3 18 2 5" xfId="8571"/>
    <cellStyle name="20% - Accent3 18 2 5 2" xfId="15747"/>
    <cellStyle name="20% - Accent3 18 2 6" xfId="10079"/>
    <cellStyle name="20% - Accent3 18 3" xfId="3595"/>
    <cellStyle name="20% - Accent3 18 3 2" xfId="10941"/>
    <cellStyle name="20% - Accent3 18 4" xfId="4999"/>
    <cellStyle name="20% - Accent3 18 4 2" xfId="12280"/>
    <cellStyle name="20% - Accent3 18 5" xfId="6321"/>
    <cellStyle name="20% - Accent3 18 5 2" xfId="13541"/>
    <cellStyle name="20% - Accent3 18 6" xfId="7550"/>
    <cellStyle name="20% - Accent3 18 6 2" xfId="14734"/>
    <cellStyle name="20% - Accent3 18 7" xfId="9058"/>
    <cellStyle name="20% - Accent3 19" xfId="1200"/>
    <cellStyle name="20% - Accent3 19 2" xfId="2524"/>
    <cellStyle name="20% - Accent3 19 2 2" xfId="4885"/>
    <cellStyle name="20% - Accent3 19 2 2 2" xfId="12178"/>
    <cellStyle name="20% - Accent3 19 2 3" xfId="6227"/>
    <cellStyle name="20% - Accent3 19 2 3 2" xfId="13458"/>
    <cellStyle name="20% - Accent3 19 2 4" xfId="7480"/>
    <cellStyle name="20% - Accent3 19 2 4 2" xfId="14667"/>
    <cellStyle name="20% - Accent3 19 2 5" xfId="8584"/>
    <cellStyle name="20% - Accent3 19 2 5 2" xfId="15760"/>
    <cellStyle name="20% - Accent3 19 2 6" xfId="10092"/>
    <cellStyle name="20% - Accent3 19 3" xfId="3630"/>
    <cellStyle name="20% - Accent3 19 3 2" xfId="10970"/>
    <cellStyle name="20% - Accent3 19 4" xfId="5028"/>
    <cellStyle name="20% - Accent3 19 4 2" xfId="12306"/>
    <cellStyle name="20% - Accent3 19 5" xfId="6345"/>
    <cellStyle name="20% - Accent3 19 5 2" xfId="13562"/>
    <cellStyle name="20% - Accent3 19 6" xfId="7563"/>
    <cellStyle name="20% - Accent3 19 6 2" xfId="14747"/>
    <cellStyle name="20% - Accent3 19 7" xfId="9071"/>
    <cellStyle name="20% - Accent3 2" xfId="12"/>
    <cellStyle name="20% - Accent3 2 10" xfId="6288"/>
    <cellStyle name="20% - Accent3 2 11" xfId="8624"/>
    <cellStyle name="20% - Accent3 2 2" xfId="494"/>
    <cellStyle name="20% - Accent3 2 3" xfId="681"/>
    <cellStyle name="20% - Accent3 2 4" xfId="1266"/>
    <cellStyle name="20% - Accent3 2 5" xfId="1500"/>
    <cellStyle name="20% - Accent3 2 6" xfId="2077"/>
    <cellStyle name="20% - Accent3 2 7" xfId="2595"/>
    <cellStyle name="20% - Accent3 2 8" xfId="3547"/>
    <cellStyle name="20% - Accent3 2 9" xfId="4955"/>
    <cellStyle name="20% - Accent3 20" xfId="1241"/>
    <cellStyle name="20% - Accent3 20 2" xfId="2537"/>
    <cellStyle name="20% - Accent3 20 2 2" xfId="4898"/>
    <cellStyle name="20% - Accent3 20 2 2 2" xfId="12191"/>
    <cellStyle name="20% - Accent3 20 2 3" xfId="6240"/>
    <cellStyle name="20% - Accent3 20 2 3 2" xfId="13471"/>
    <cellStyle name="20% - Accent3 20 2 4" xfId="7493"/>
    <cellStyle name="20% - Accent3 20 2 4 2" xfId="14680"/>
    <cellStyle name="20% - Accent3 20 2 5" xfId="8597"/>
    <cellStyle name="20% - Accent3 20 2 5 2" xfId="15773"/>
    <cellStyle name="20% - Accent3 20 2 6" xfId="10105"/>
    <cellStyle name="20% - Accent3 20 3" xfId="3666"/>
    <cellStyle name="20% - Accent3 20 3 2" xfId="11002"/>
    <cellStyle name="20% - Accent3 20 4" xfId="5058"/>
    <cellStyle name="20% - Accent3 20 4 2" xfId="12333"/>
    <cellStyle name="20% - Accent3 20 5" xfId="6368"/>
    <cellStyle name="20% - Accent3 20 5 2" xfId="13583"/>
    <cellStyle name="20% - Accent3 20 6" xfId="7576"/>
    <cellStyle name="20% - Accent3 20 6 2" xfId="14760"/>
    <cellStyle name="20% - Accent3 20 7" xfId="9084"/>
    <cellStyle name="20% - Accent3 21" xfId="2571"/>
    <cellStyle name="20% - Accent3 21 2" xfId="4926"/>
    <cellStyle name="20% - Accent3 21 2 2" xfId="12215"/>
    <cellStyle name="20% - Accent3 21 3" xfId="6268"/>
    <cellStyle name="20% - Accent3 21 3 2" xfId="13494"/>
    <cellStyle name="20% - Accent3 21 4" xfId="7515"/>
    <cellStyle name="20% - Accent3 21 4 2" xfId="14699"/>
    <cellStyle name="20% - Accent3 21 5" xfId="8610"/>
    <cellStyle name="20% - Accent3 21 5 2" xfId="15786"/>
    <cellStyle name="20% - Accent3 21 6" xfId="10118"/>
    <cellStyle name="20% - Accent3 3" xfId="13"/>
    <cellStyle name="20% - Accent3 3 10" xfId="5074"/>
    <cellStyle name="20% - Accent3 3 11" xfId="8625"/>
    <cellStyle name="20% - Accent3 3 2" xfId="495"/>
    <cellStyle name="20% - Accent3 3 3" xfId="682"/>
    <cellStyle name="20% - Accent3 3 4" xfId="1267"/>
    <cellStyle name="20% - Accent3 3 5" xfId="1384"/>
    <cellStyle name="20% - Accent3 3 6" xfId="2078"/>
    <cellStyle name="20% - Accent3 3 7" xfId="2596"/>
    <cellStyle name="20% - Accent3 3 8" xfId="3510"/>
    <cellStyle name="20% - Accent3 3 9" xfId="4454"/>
    <cellStyle name="20% - Accent3 4" xfId="14"/>
    <cellStyle name="20% - Accent3 4 10" xfId="5811"/>
    <cellStyle name="20% - Accent3 4 11" xfId="8626"/>
    <cellStyle name="20% - Accent3 4 2" xfId="496"/>
    <cellStyle name="20% - Accent3 4 3" xfId="683"/>
    <cellStyle name="20% - Accent3 4 4" xfId="1268"/>
    <cellStyle name="20% - Accent3 4 5" xfId="1477"/>
    <cellStyle name="20% - Accent3 4 6" xfId="2079"/>
    <cellStyle name="20% - Accent3 4 7" xfId="2597"/>
    <cellStyle name="20% - Accent3 4 8" xfId="3480"/>
    <cellStyle name="20% - Accent3 4 9" xfId="3181"/>
    <cellStyle name="20% - Accent3 5" xfId="263"/>
    <cellStyle name="20% - Accent3 5 10" xfId="3061"/>
    <cellStyle name="20% - Accent3 5 11" xfId="8706"/>
    <cellStyle name="20% - Accent3 5 2" xfId="571"/>
    <cellStyle name="20% - Accent3 5 3" xfId="758"/>
    <cellStyle name="20% - Accent3 5 4" xfId="1400"/>
    <cellStyle name="20% - Accent3 5 5" xfId="1319"/>
    <cellStyle name="20% - Accent3 5 6" xfId="2159"/>
    <cellStyle name="20% - Accent3 5 7" xfId="2817"/>
    <cellStyle name="20% - Accent3 5 8" xfId="3755"/>
    <cellStyle name="20% - Accent3 5 9" xfId="3478"/>
    <cellStyle name="20% - Accent3 6" xfId="308"/>
    <cellStyle name="20% - Accent3 7" xfId="349"/>
    <cellStyle name="20% - Accent3 7 10" xfId="2987"/>
    <cellStyle name="20% - Accent3 7 10 2" xfId="10400"/>
    <cellStyle name="20% - Accent3 7 11" xfId="8719"/>
    <cellStyle name="20% - Accent3 7 2" xfId="584"/>
    <cellStyle name="20% - Accent3 7 2 10" xfId="8782"/>
    <cellStyle name="20% - Accent3 7 2 2" xfId="823"/>
    <cellStyle name="20% - Accent3 7 2 2 2" xfId="1723"/>
    <cellStyle name="20% - Accent3 7 2 2 2 2" xfId="4113"/>
    <cellStyle name="20% - Accent3 7 2 2 2 2 2" xfId="11427"/>
    <cellStyle name="20% - Accent3 7 2 2 2 3" xfId="5475"/>
    <cellStyle name="20% - Accent3 7 2 2 2 3 2" xfId="12729"/>
    <cellStyle name="20% - Accent3 7 2 2 2 4" xfId="6747"/>
    <cellStyle name="20% - Accent3 7 2 2 2 4 2" xfId="13949"/>
    <cellStyle name="20% - Accent3 7 2 2 2 5" xfId="7902"/>
    <cellStyle name="20% - Accent3 7 2 2 2 5 2" xfId="15082"/>
    <cellStyle name="20% - Accent3 7 2 2 2 6" xfId="9410"/>
    <cellStyle name="20% - Accent3 7 2 2 3" xfId="1956"/>
    <cellStyle name="20% - Accent3 7 2 2 3 2" xfId="4339"/>
    <cellStyle name="20% - Accent3 7 2 2 3 2 2" xfId="11650"/>
    <cellStyle name="20% - Accent3 7 2 2 3 3" xfId="5695"/>
    <cellStyle name="20% - Accent3 7 2 2 3 3 2" xfId="12947"/>
    <cellStyle name="20% - Accent3 7 2 2 3 4" xfId="6964"/>
    <cellStyle name="20% - Accent3 7 2 2 3 4 2" xfId="14165"/>
    <cellStyle name="20% - Accent3 7 2 2 3 5" xfId="8108"/>
    <cellStyle name="20% - Accent3 7 2 2 3 5 2" xfId="15288"/>
    <cellStyle name="20% - Accent3 7 2 2 3 6" xfId="9616"/>
    <cellStyle name="20% - Accent3 7 2 2 4" xfId="2365"/>
    <cellStyle name="20% - Accent3 7 2 2 4 2" xfId="4727"/>
    <cellStyle name="20% - Accent3 7 2 2 4 2 2" xfId="12022"/>
    <cellStyle name="20% - Accent3 7 2 2 4 3" xfId="6068"/>
    <cellStyle name="20% - Accent3 7 2 2 4 3 2" xfId="13302"/>
    <cellStyle name="20% - Accent3 7 2 2 4 4" xfId="7321"/>
    <cellStyle name="20% - Accent3 7 2 2 4 4 2" xfId="14511"/>
    <cellStyle name="20% - Accent3 7 2 2 4 5" xfId="8428"/>
    <cellStyle name="20% - Accent3 7 2 2 4 5 2" xfId="15604"/>
    <cellStyle name="20% - Accent3 7 2 2 4 6" xfId="9936"/>
    <cellStyle name="20% - Accent3 7 2 2 5" xfId="3304"/>
    <cellStyle name="20% - Accent3 7 2 2 5 2" xfId="10677"/>
    <cellStyle name="20% - Accent3 7 2 2 6" xfId="4241"/>
    <cellStyle name="20% - Accent3 7 2 2 6 2" xfId="11554"/>
    <cellStyle name="20% - Accent3 7 2 2 7" xfId="2826"/>
    <cellStyle name="20% - Accent3 7 2 2 7 2" xfId="10260"/>
    <cellStyle name="20% - Accent3 7 2 2 8" xfId="3644"/>
    <cellStyle name="20% - Accent3 7 2 2 8 2" xfId="10983"/>
    <cellStyle name="20% - Accent3 7 2 2 9" xfId="8912"/>
    <cellStyle name="20% - Accent3 7 2 3" xfId="1560"/>
    <cellStyle name="20% - Accent3 7 2 3 2" xfId="3951"/>
    <cellStyle name="20% - Accent3 7 2 3 2 2" xfId="11268"/>
    <cellStyle name="20% - Accent3 7 2 3 3" xfId="5317"/>
    <cellStyle name="20% - Accent3 7 2 3 3 2" xfId="12575"/>
    <cellStyle name="20% - Accent3 7 2 3 4" xfId="6590"/>
    <cellStyle name="20% - Accent3 7 2 3 4 2" xfId="13795"/>
    <cellStyle name="20% - Accent3 7 2 3 5" xfId="7749"/>
    <cellStyle name="20% - Accent3 7 2 3 5 2" xfId="14929"/>
    <cellStyle name="20% - Accent3 7 2 3 6" xfId="9257"/>
    <cellStyle name="20% - Accent3 7 2 4" xfId="1640"/>
    <cellStyle name="20% - Accent3 7 2 4 2" xfId="4030"/>
    <cellStyle name="20% - Accent3 7 2 4 2 2" xfId="11345"/>
    <cellStyle name="20% - Accent3 7 2 4 3" xfId="5395"/>
    <cellStyle name="20% - Accent3 7 2 4 3 2" xfId="12650"/>
    <cellStyle name="20% - Accent3 7 2 4 4" xfId="6667"/>
    <cellStyle name="20% - Accent3 7 2 4 4 2" xfId="13870"/>
    <cellStyle name="20% - Accent3 7 2 4 5" xfId="7823"/>
    <cellStyle name="20% - Accent3 7 2 4 5 2" xfId="15003"/>
    <cellStyle name="20% - Accent3 7 2 4 6" xfId="9331"/>
    <cellStyle name="20% - Accent3 7 2 5" xfId="2235"/>
    <cellStyle name="20% - Accent3 7 2 5 2" xfId="4597"/>
    <cellStyle name="20% - Accent3 7 2 5 2 2" xfId="11895"/>
    <cellStyle name="20% - Accent3 7 2 5 3" xfId="5938"/>
    <cellStyle name="20% - Accent3 7 2 5 3 2" xfId="13175"/>
    <cellStyle name="20% - Accent3 7 2 5 4" xfId="7191"/>
    <cellStyle name="20% - Accent3 7 2 5 4 2" xfId="14384"/>
    <cellStyle name="20% - Accent3 7 2 5 5" xfId="8301"/>
    <cellStyle name="20% - Accent3 7 2 5 5 2" xfId="15477"/>
    <cellStyle name="20% - Accent3 7 2 5 6" xfId="9809"/>
    <cellStyle name="20% - Accent3 7 2 6" xfId="3088"/>
    <cellStyle name="20% - Accent3 7 2 6 2" xfId="10485"/>
    <cellStyle name="20% - Accent3 7 2 7" xfId="2823"/>
    <cellStyle name="20% - Accent3 7 2 7 2" xfId="10259"/>
    <cellStyle name="20% - Accent3 7 2 8" xfId="2835"/>
    <cellStyle name="20% - Accent3 7 2 8 2" xfId="10264"/>
    <cellStyle name="20% - Accent3 7 2 9" xfId="3367"/>
    <cellStyle name="20% - Accent3 7 2 9 2" xfId="10740"/>
    <cellStyle name="20% - Accent3 7 3" xfId="771"/>
    <cellStyle name="20% - Accent3 7 3 2" xfId="1671"/>
    <cellStyle name="20% - Accent3 7 3 2 2" xfId="4061"/>
    <cellStyle name="20% - Accent3 7 3 2 2 2" xfId="11375"/>
    <cellStyle name="20% - Accent3 7 3 2 3" xfId="5423"/>
    <cellStyle name="20% - Accent3 7 3 2 3 2" xfId="12677"/>
    <cellStyle name="20% - Accent3 7 3 2 4" xfId="6695"/>
    <cellStyle name="20% - Accent3 7 3 2 4 2" xfId="13897"/>
    <cellStyle name="20% - Accent3 7 3 2 5" xfId="7850"/>
    <cellStyle name="20% - Accent3 7 3 2 5 2" xfId="15030"/>
    <cellStyle name="20% - Accent3 7 3 2 6" xfId="9358"/>
    <cellStyle name="20% - Accent3 7 3 3" xfId="1904"/>
    <cellStyle name="20% - Accent3 7 3 3 2" xfId="4287"/>
    <cellStyle name="20% - Accent3 7 3 3 2 2" xfId="11598"/>
    <cellStyle name="20% - Accent3 7 3 3 3" xfId="5643"/>
    <cellStyle name="20% - Accent3 7 3 3 3 2" xfId="12895"/>
    <cellStyle name="20% - Accent3 7 3 3 4" xfId="6912"/>
    <cellStyle name="20% - Accent3 7 3 3 4 2" xfId="14113"/>
    <cellStyle name="20% - Accent3 7 3 3 5" xfId="8056"/>
    <cellStyle name="20% - Accent3 7 3 3 5 2" xfId="15236"/>
    <cellStyle name="20% - Accent3 7 3 3 6" xfId="9564"/>
    <cellStyle name="20% - Accent3 7 3 4" xfId="2313"/>
    <cellStyle name="20% - Accent3 7 3 4 2" xfId="4675"/>
    <cellStyle name="20% - Accent3 7 3 4 2 2" xfId="11970"/>
    <cellStyle name="20% - Accent3 7 3 4 3" xfId="6016"/>
    <cellStyle name="20% - Accent3 7 3 4 3 2" xfId="13250"/>
    <cellStyle name="20% - Accent3 7 3 4 4" xfId="7269"/>
    <cellStyle name="20% - Accent3 7 3 4 4 2" xfId="14459"/>
    <cellStyle name="20% - Accent3 7 3 4 5" xfId="8376"/>
    <cellStyle name="20% - Accent3 7 3 4 5 2" xfId="15552"/>
    <cellStyle name="20% - Accent3 7 3 4 6" xfId="9884"/>
    <cellStyle name="20% - Accent3 7 3 5" xfId="3252"/>
    <cellStyle name="20% - Accent3 7 3 5 2" xfId="10625"/>
    <cellStyle name="20% - Accent3 7 3 6" xfId="2884"/>
    <cellStyle name="20% - Accent3 7 3 6 2" xfId="10308"/>
    <cellStyle name="20% - Accent3 7 3 7" xfId="2586"/>
    <cellStyle name="20% - Accent3 7 3 7 2" xfId="10126"/>
    <cellStyle name="20% - Accent3 7 3 8" xfId="2909"/>
    <cellStyle name="20% - Accent3 7 3 8 2" xfId="10333"/>
    <cellStyle name="20% - Accent3 7 3 9" xfId="8860"/>
    <cellStyle name="20% - Accent3 7 4" xfId="1438"/>
    <cellStyle name="20% - Accent3 7 4 2" xfId="3835"/>
    <cellStyle name="20% - Accent3 7 4 2 2" xfId="11156"/>
    <cellStyle name="20% - Accent3 7 4 3" xfId="5203"/>
    <cellStyle name="20% - Accent3 7 4 3 2" xfId="12465"/>
    <cellStyle name="20% - Accent3 7 4 4" xfId="6479"/>
    <cellStyle name="20% - Accent3 7 4 4 2" xfId="13688"/>
    <cellStyle name="20% - Accent3 7 4 5" xfId="7647"/>
    <cellStyle name="20% - Accent3 7 4 5 2" xfId="14827"/>
    <cellStyle name="20% - Accent3 7 4 6" xfId="9155"/>
    <cellStyle name="20% - Accent3 7 5" xfId="1829"/>
    <cellStyle name="20% - Accent3 7 5 2" xfId="4215"/>
    <cellStyle name="20% - Accent3 7 5 2 2" xfId="11528"/>
    <cellStyle name="20% - Accent3 7 5 3" xfId="5574"/>
    <cellStyle name="20% - Accent3 7 5 3 2" xfId="12828"/>
    <cellStyle name="20% - Accent3 7 5 4" xfId="6844"/>
    <cellStyle name="20% - Accent3 7 5 4 2" xfId="14046"/>
    <cellStyle name="20% - Accent3 7 5 5" xfId="7994"/>
    <cellStyle name="20% - Accent3 7 5 5 2" xfId="15174"/>
    <cellStyle name="20% - Accent3 7 5 6" xfId="9502"/>
    <cellStyle name="20% - Accent3 7 6" xfId="2172"/>
    <cellStyle name="20% - Accent3 7 6 2" xfId="4534"/>
    <cellStyle name="20% - Accent3 7 6 2 2" xfId="11833"/>
    <cellStyle name="20% - Accent3 7 6 3" xfId="5876"/>
    <cellStyle name="20% - Accent3 7 6 3 2" xfId="13113"/>
    <cellStyle name="20% - Accent3 7 6 4" xfId="7129"/>
    <cellStyle name="20% - Accent3 7 6 4 2" xfId="14322"/>
    <cellStyle name="20% - Accent3 7 6 5" xfId="8239"/>
    <cellStyle name="20% - Accent3 7 6 5 2" xfId="15415"/>
    <cellStyle name="20% - Accent3 7 6 6" xfId="9747"/>
    <cellStyle name="20% - Accent3 7 7" xfId="2886"/>
    <cellStyle name="20% - Accent3 7 7 2" xfId="10310"/>
    <cellStyle name="20% - Accent3 7 8" xfId="3373"/>
    <cellStyle name="20% - Accent3 7 8 2" xfId="10745"/>
    <cellStyle name="20% - Accent3 7 9" xfId="3786"/>
    <cellStyle name="20% - Accent3 7 9 2" xfId="11109"/>
    <cellStyle name="20% - Accent3 8" xfId="390"/>
    <cellStyle name="20% - Accent3 8 10" xfId="5120"/>
    <cellStyle name="20% - Accent3 8 10 2" xfId="12392"/>
    <cellStyle name="20% - Accent3 8 11" xfId="8732"/>
    <cellStyle name="20% - Accent3 8 2" xfId="597"/>
    <cellStyle name="20% - Accent3 8 2 10" xfId="8795"/>
    <cellStyle name="20% - Accent3 8 2 2" xfId="836"/>
    <cellStyle name="20% - Accent3 8 2 2 2" xfId="1736"/>
    <cellStyle name="20% - Accent3 8 2 2 2 2" xfId="4126"/>
    <cellStyle name="20% - Accent3 8 2 2 2 2 2" xfId="11440"/>
    <cellStyle name="20% - Accent3 8 2 2 2 3" xfId="5488"/>
    <cellStyle name="20% - Accent3 8 2 2 2 3 2" xfId="12742"/>
    <cellStyle name="20% - Accent3 8 2 2 2 4" xfId="6760"/>
    <cellStyle name="20% - Accent3 8 2 2 2 4 2" xfId="13962"/>
    <cellStyle name="20% - Accent3 8 2 2 2 5" xfId="7915"/>
    <cellStyle name="20% - Accent3 8 2 2 2 5 2" xfId="15095"/>
    <cellStyle name="20% - Accent3 8 2 2 2 6" xfId="9423"/>
    <cellStyle name="20% - Accent3 8 2 2 3" xfId="1969"/>
    <cellStyle name="20% - Accent3 8 2 2 3 2" xfId="4352"/>
    <cellStyle name="20% - Accent3 8 2 2 3 2 2" xfId="11663"/>
    <cellStyle name="20% - Accent3 8 2 2 3 3" xfId="5708"/>
    <cellStyle name="20% - Accent3 8 2 2 3 3 2" xfId="12960"/>
    <cellStyle name="20% - Accent3 8 2 2 3 4" xfId="6977"/>
    <cellStyle name="20% - Accent3 8 2 2 3 4 2" xfId="14178"/>
    <cellStyle name="20% - Accent3 8 2 2 3 5" xfId="8121"/>
    <cellStyle name="20% - Accent3 8 2 2 3 5 2" xfId="15301"/>
    <cellStyle name="20% - Accent3 8 2 2 3 6" xfId="9629"/>
    <cellStyle name="20% - Accent3 8 2 2 4" xfId="2378"/>
    <cellStyle name="20% - Accent3 8 2 2 4 2" xfId="4740"/>
    <cellStyle name="20% - Accent3 8 2 2 4 2 2" xfId="12035"/>
    <cellStyle name="20% - Accent3 8 2 2 4 3" xfId="6081"/>
    <cellStyle name="20% - Accent3 8 2 2 4 3 2" xfId="13315"/>
    <cellStyle name="20% - Accent3 8 2 2 4 4" xfId="7334"/>
    <cellStyle name="20% - Accent3 8 2 2 4 4 2" xfId="14524"/>
    <cellStyle name="20% - Accent3 8 2 2 4 5" xfId="8441"/>
    <cellStyle name="20% - Accent3 8 2 2 4 5 2" xfId="15617"/>
    <cellStyle name="20% - Accent3 8 2 2 4 6" xfId="9949"/>
    <cellStyle name="20% - Accent3 8 2 2 5" xfId="3317"/>
    <cellStyle name="20% - Accent3 8 2 2 5 2" xfId="10690"/>
    <cellStyle name="20% - Accent3 8 2 2 6" xfId="3805"/>
    <cellStyle name="20% - Accent3 8 2 2 6 2" xfId="11127"/>
    <cellStyle name="20% - Accent3 8 2 2 7" xfId="2715"/>
    <cellStyle name="20% - Accent3 8 2 2 7 2" xfId="10210"/>
    <cellStyle name="20% - Accent3 8 2 2 8" xfId="3044"/>
    <cellStyle name="20% - Accent3 8 2 2 8 2" xfId="10452"/>
    <cellStyle name="20% - Accent3 8 2 2 9" xfId="8925"/>
    <cellStyle name="20% - Accent3 8 2 3" xfId="1573"/>
    <cellStyle name="20% - Accent3 8 2 3 2" xfId="3964"/>
    <cellStyle name="20% - Accent3 8 2 3 2 2" xfId="11281"/>
    <cellStyle name="20% - Accent3 8 2 3 3" xfId="5330"/>
    <cellStyle name="20% - Accent3 8 2 3 3 2" xfId="12588"/>
    <cellStyle name="20% - Accent3 8 2 3 4" xfId="6603"/>
    <cellStyle name="20% - Accent3 8 2 3 4 2" xfId="13808"/>
    <cellStyle name="20% - Accent3 8 2 3 5" xfId="7762"/>
    <cellStyle name="20% - Accent3 8 2 3 5 2" xfId="14942"/>
    <cellStyle name="20% - Accent3 8 2 3 6" xfId="9270"/>
    <cellStyle name="20% - Accent3 8 2 4" xfId="1526"/>
    <cellStyle name="20% - Accent3 8 2 4 2" xfId="3919"/>
    <cellStyle name="20% - Accent3 8 2 4 2 2" xfId="11237"/>
    <cellStyle name="20% - Accent3 8 2 4 3" xfId="5286"/>
    <cellStyle name="20% - Accent3 8 2 4 3 2" xfId="12545"/>
    <cellStyle name="20% - Accent3 8 2 4 4" xfId="6559"/>
    <cellStyle name="20% - Accent3 8 2 4 4 2" xfId="13765"/>
    <cellStyle name="20% - Accent3 8 2 4 5" xfId="7719"/>
    <cellStyle name="20% - Accent3 8 2 4 5 2" xfId="14899"/>
    <cellStyle name="20% - Accent3 8 2 4 6" xfId="9227"/>
    <cellStyle name="20% - Accent3 8 2 5" xfId="2248"/>
    <cellStyle name="20% - Accent3 8 2 5 2" xfId="4610"/>
    <cellStyle name="20% - Accent3 8 2 5 2 2" xfId="11908"/>
    <cellStyle name="20% - Accent3 8 2 5 3" xfId="5951"/>
    <cellStyle name="20% - Accent3 8 2 5 3 2" xfId="13188"/>
    <cellStyle name="20% - Accent3 8 2 5 4" xfId="7204"/>
    <cellStyle name="20% - Accent3 8 2 5 4 2" xfId="14397"/>
    <cellStyle name="20% - Accent3 8 2 5 5" xfId="8314"/>
    <cellStyle name="20% - Accent3 8 2 5 5 2" xfId="15490"/>
    <cellStyle name="20% - Accent3 8 2 5 6" xfId="9822"/>
    <cellStyle name="20% - Accent3 8 2 6" xfId="3101"/>
    <cellStyle name="20% - Accent3 8 2 6 2" xfId="10498"/>
    <cellStyle name="20% - Accent3 8 2 7" xfId="3392"/>
    <cellStyle name="20% - Accent3 8 2 7 2" xfId="10763"/>
    <cellStyle name="20% - Accent3 8 2 8" xfId="4200"/>
    <cellStyle name="20% - Accent3 8 2 8 2" xfId="11513"/>
    <cellStyle name="20% - Accent3 8 2 9" xfId="3414"/>
    <cellStyle name="20% - Accent3 8 2 9 2" xfId="10778"/>
    <cellStyle name="20% - Accent3 8 3" xfId="784"/>
    <cellStyle name="20% - Accent3 8 3 2" xfId="1684"/>
    <cellStyle name="20% - Accent3 8 3 2 2" xfId="4074"/>
    <cellStyle name="20% - Accent3 8 3 2 2 2" xfId="11388"/>
    <cellStyle name="20% - Accent3 8 3 2 3" xfId="5436"/>
    <cellStyle name="20% - Accent3 8 3 2 3 2" xfId="12690"/>
    <cellStyle name="20% - Accent3 8 3 2 4" xfId="6708"/>
    <cellStyle name="20% - Accent3 8 3 2 4 2" xfId="13910"/>
    <cellStyle name="20% - Accent3 8 3 2 5" xfId="7863"/>
    <cellStyle name="20% - Accent3 8 3 2 5 2" xfId="15043"/>
    <cellStyle name="20% - Accent3 8 3 2 6" xfId="9371"/>
    <cellStyle name="20% - Accent3 8 3 3" xfId="1917"/>
    <cellStyle name="20% - Accent3 8 3 3 2" xfId="4300"/>
    <cellStyle name="20% - Accent3 8 3 3 2 2" xfId="11611"/>
    <cellStyle name="20% - Accent3 8 3 3 3" xfId="5656"/>
    <cellStyle name="20% - Accent3 8 3 3 3 2" xfId="12908"/>
    <cellStyle name="20% - Accent3 8 3 3 4" xfId="6925"/>
    <cellStyle name="20% - Accent3 8 3 3 4 2" xfId="14126"/>
    <cellStyle name="20% - Accent3 8 3 3 5" xfId="8069"/>
    <cellStyle name="20% - Accent3 8 3 3 5 2" xfId="15249"/>
    <cellStyle name="20% - Accent3 8 3 3 6" xfId="9577"/>
    <cellStyle name="20% - Accent3 8 3 4" xfId="2326"/>
    <cellStyle name="20% - Accent3 8 3 4 2" xfId="4688"/>
    <cellStyle name="20% - Accent3 8 3 4 2 2" xfId="11983"/>
    <cellStyle name="20% - Accent3 8 3 4 3" xfId="6029"/>
    <cellStyle name="20% - Accent3 8 3 4 3 2" xfId="13263"/>
    <cellStyle name="20% - Accent3 8 3 4 4" xfId="7282"/>
    <cellStyle name="20% - Accent3 8 3 4 4 2" xfId="14472"/>
    <cellStyle name="20% - Accent3 8 3 4 5" xfId="8389"/>
    <cellStyle name="20% - Accent3 8 3 4 5 2" xfId="15565"/>
    <cellStyle name="20% - Accent3 8 3 4 6" xfId="9897"/>
    <cellStyle name="20% - Accent3 8 3 5" xfId="3265"/>
    <cellStyle name="20% - Accent3 8 3 5 2" xfId="10638"/>
    <cellStyle name="20% - Accent3 8 3 6" xfId="3455"/>
    <cellStyle name="20% - Accent3 8 3 6 2" xfId="10816"/>
    <cellStyle name="20% - Accent3 8 3 7" xfId="4965"/>
    <cellStyle name="20% - Accent3 8 3 7 2" xfId="12251"/>
    <cellStyle name="20% - Accent3 8 3 8" xfId="6297"/>
    <cellStyle name="20% - Accent3 8 3 8 2" xfId="13520"/>
    <cellStyle name="20% - Accent3 8 3 9" xfId="8873"/>
    <cellStyle name="20% - Accent3 8 4" xfId="1462"/>
    <cellStyle name="20% - Accent3 8 4 2" xfId="3857"/>
    <cellStyle name="20% - Accent3 8 4 2 2" xfId="11178"/>
    <cellStyle name="20% - Accent3 8 4 3" xfId="5227"/>
    <cellStyle name="20% - Accent3 8 4 3 2" xfId="12487"/>
    <cellStyle name="20% - Accent3 8 4 4" xfId="6501"/>
    <cellStyle name="20% - Accent3 8 4 4 2" xfId="13708"/>
    <cellStyle name="20% - Accent3 8 4 5" xfId="7665"/>
    <cellStyle name="20% - Accent3 8 4 5 2" xfId="14845"/>
    <cellStyle name="20% - Accent3 8 4 6" xfId="9173"/>
    <cellStyle name="20% - Accent3 8 5" xfId="1311"/>
    <cellStyle name="20% - Accent3 8 5 2" xfId="3725"/>
    <cellStyle name="20% - Accent3 8 5 2 2" xfId="11059"/>
    <cellStyle name="20% - Accent3 8 5 3" xfId="5113"/>
    <cellStyle name="20% - Accent3 8 5 3 2" xfId="12385"/>
    <cellStyle name="20% - Accent3 8 5 4" xfId="6412"/>
    <cellStyle name="20% - Accent3 8 5 4 2" xfId="13626"/>
    <cellStyle name="20% - Accent3 8 5 5" xfId="7601"/>
    <cellStyle name="20% - Accent3 8 5 5 2" xfId="14785"/>
    <cellStyle name="20% - Accent3 8 5 6" xfId="9109"/>
    <cellStyle name="20% - Accent3 8 6" xfId="2185"/>
    <cellStyle name="20% - Accent3 8 6 2" xfId="4547"/>
    <cellStyle name="20% - Accent3 8 6 2 2" xfId="11846"/>
    <cellStyle name="20% - Accent3 8 6 3" xfId="5889"/>
    <cellStyle name="20% - Accent3 8 6 3 2" xfId="13126"/>
    <cellStyle name="20% - Accent3 8 6 4" xfId="7142"/>
    <cellStyle name="20% - Accent3 8 6 4 2" xfId="14335"/>
    <cellStyle name="20% - Accent3 8 6 5" xfId="8252"/>
    <cellStyle name="20% - Accent3 8 6 5 2" xfId="15428"/>
    <cellStyle name="20% - Accent3 8 6 6" xfId="9760"/>
    <cellStyle name="20% - Accent3 8 7" xfId="2922"/>
    <cellStyle name="20% - Accent3 8 7 2" xfId="10344"/>
    <cellStyle name="20% - Accent3 8 8" xfId="3368"/>
    <cellStyle name="20% - Accent3 8 8 2" xfId="10741"/>
    <cellStyle name="20% - Accent3 8 9" xfId="3076"/>
    <cellStyle name="20% - Accent3 8 9 2" xfId="10473"/>
    <cellStyle name="20% - Accent3 9" xfId="431"/>
    <cellStyle name="20% - Accent3 9 10" xfId="3532"/>
    <cellStyle name="20% - Accent3 9 10 2" xfId="10886"/>
    <cellStyle name="20% - Accent3 9 11" xfId="8745"/>
    <cellStyle name="20% - Accent3 9 2" xfId="610"/>
    <cellStyle name="20% - Accent3 9 2 10" xfId="8808"/>
    <cellStyle name="20% - Accent3 9 2 2" xfId="849"/>
    <cellStyle name="20% - Accent3 9 2 2 2" xfId="1749"/>
    <cellStyle name="20% - Accent3 9 2 2 2 2" xfId="4139"/>
    <cellStyle name="20% - Accent3 9 2 2 2 2 2" xfId="11453"/>
    <cellStyle name="20% - Accent3 9 2 2 2 3" xfId="5501"/>
    <cellStyle name="20% - Accent3 9 2 2 2 3 2" xfId="12755"/>
    <cellStyle name="20% - Accent3 9 2 2 2 4" xfId="6773"/>
    <cellStyle name="20% - Accent3 9 2 2 2 4 2" xfId="13975"/>
    <cellStyle name="20% - Accent3 9 2 2 2 5" xfId="7928"/>
    <cellStyle name="20% - Accent3 9 2 2 2 5 2" xfId="15108"/>
    <cellStyle name="20% - Accent3 9 2 2 2 6" xfId="9436"/>
    <cellStyle name="20% - Accent3 9 2 2 3" xfId="1982"/>
    <cellStyle name="20% - Accent3 9 2 2 3 2" xfId="4365"/>
    <cellStyle name="20% - Accent3 9 2 2 3 2 2" xfId="11676"/>
    <cellStyle name="20% - Accent3 9 2 2 3 3" xfId="5721"/>
    <cellStyle name="20% - Accent3 9 2 2 3 3 2" xfId="12973"/>
    <cellStyle name="20% - Accent3 9 2 2 3 4" xfId="6990"/>
    <cellStyle name="20% - Accent3 9 2 2 3 4 2" xfId="14191"/>
    <cellStyle name="20% - Accent3 9 2 2 3 5" xfId="8134"/>
    <cellStyle name="20% - Accent3 9 2 2 3 5 2" xfId="15314"/>
    <cellStyle name="20% - Accent3 9 2 2 3 6" xfId="9642"/>
    <cellStyle name="20% - Accent3 9 2 2 4" xfId="2391"/>
    <cellStyle name="20% - Accent3 9 2 2 4 2" xfId="4753"/>
    <cellStyle name="20% - Accent3 9 2 2 4 2 2" xfId="12048"/>
    <cellStyle name="20% - Accent3 9 2 2 4 3" xfId="6094"/>
    <cellStyle name="20% - Accent3 9 2 2 4 3 2" xfId="13328"/>
    <cellStyle name="20% - Accent3 9 2 2 4 4" xfId="7347"/>
    <cellStyle name="20% - Accent3 9 2 2 4 4 2" xfId="14537"/>
    <cellStyle name="20% - Accent3 9 2 2 4 5" xfId="8454"/>
    <cellStyle name="20% - Accent3 9 2 2 4 5 2" xfId="15630"/>
    <cellStyle name="20% - Accent3 9 2 2 4 6" xfId="9962"/>
    <cellStyle name="20% - Accent3 9 2 2 5" xfId="3330"/>
    <cellStyle name="20% - Accent3 9 2 2 5 2" xfId="10703"/>
    <cellStyle name="20% - Accent3 9 2 2 6" xfId="4475"/>
    <cellStyle name="20% - Accent3 9 2 2 6 2" xfId="11783"/>
    <cellStyle name="20% - Accent3 9 2 2 7" xfId="5097"/>
    <cellStyle name="20% - Accent3 9 2 2 7 2" xfId="12369"/>
    <cellStyle name="20% - Accent3 9 2 2 8" xfId="6396"/>
    <cellStyle name="20% - Accent3 9 2 2 8 2" xfId="13610"/>
    <cellStyle name="20% - Accent3 9 2 2 9" xfId="8938"/>
    <cellStyle name="20% - Accent3 9 2 3" xfId="1586"/>
    <cellStyle name="20% - Accent3 9 2 3 2" xfId="3977"/>
    <cellStyle name="20% - Accent3 9 2 3 2 2" xfId="11294"/>
    <cellStyle name="20% - Accent3 9 2 3 3" xfId="5343"/>
    <cellStyle name="20% - Accent3 9 2 3 3 2" xfId="12601"/>
    <cellStyle name="20% - Accent3 9 2 3 4" xfId="6616"/>
    <cellStyle name="20% - Accent3 9 2 3 4 2" xfId="13821"/>
    <cellStyle name="20% - Accent3 9 2 3 5" xfId="7775"/>
    <cellStyle name="20% - Accent3 9 2 3 5 2" xfId="14955"/>
    <cellStyle name="20% - Accent3 9 2 3 6" xfId="9283"/>
    <cellStyle name="20% - Accent3 9 2 4" xfId="1662"/>
    <cellStyle name="20% - Accent3 9 2 4 2" xfId="4052"/>
    <cellStyle name="20% - Accent3 9 2 4 2 2" xfId="11366"/>
    <cellStyle name="20% - Accent3 9 2 4 3" xfId="5414"/>
    <cellStyle name="20% - Accent3 9 2 4 3 2" xfId="12668"/>
    <cellStyle name="20% - Accent3 9 2 4 4" xfId="6686"/>
    <cellStyle name="20% - Accent3 9 2 4 4 2" xfId="13888"/>
    <cellStyle name="20% - Accent3 9 2 4 5" xfId="7841"/>
    <cellStyle name="20% - Accent3 9 2 4 5 2" xfId="15021"/>
    <cellStyle name="20% - Accent3 9 2 4 6" xfId="9349"/>
    <cellStyle name="20% - Accent3 9 2 5" xfId="2261"/>
    <cellStyle name="20% - Accent3 9 2 5 2" xfId="4623"/>
    <cellStyle name="20% - Accent3 9 2 5 2 2" xfId="11921"/>
    <cellStyle name="20% - Accent3 9 2 5 3" xfId="5964"/>
    <cellStyle name="20% - Accent3 9 2 5 3 2" xfId="13201"/>
    <cellStyle name="20% - Accent3 9 2 5 4" xfId="7217"/>
    <cellStyle name="20% - Accent3 9 2 5 4 2" xfId="14410"/>
    <cellStyle name="20% - Accent3 9 2 5 5" xfId="8327"/>
    <cellStyle name="20% - Accent3 9 2 5 5 2" xfId="15503"/>
    <cellStyle name="20% - Accent3 9 2 5 6" xfId="9835"/>
    <cellStyle name="20% - Accent3 9 2 6" xfId="3114"/>
    <cellStyle name="20% - Accent3 9 2 6 2" xfId="10511"/>
    <cellStyle name="20% - Accent3 9 2 7" xfId="2663"/>
    <cellStyle name="20% - Accent3 9 2 7 2" xfId="10163"/>
    <cellStyle name="20% - Accent3 9 2 8" xfId="4510"/>
    <cellStyle name="20% - Accent3 9 2 8 2" xfId="11809"/>
    <cellStyle name="20% - Accent3 9 2 9" xfId="3761"/>
    <cellStyle name="20% - Accent3 9 2 9 2" xfId="11087"/>
    <cellStyle name="20% - Accent3 9 3" xfId="797"/>
    <cellStyle name="20% - Accent3 9 3 2" xfId="1697"/>
    <cellStyle name="20% - Accent3 9 3 2 2" xfId="4087"/>
    <cellStyle name="20% - Accent3 9 3 2 2 2" xfId="11401"/>
    <cellStyle name="20% - Accent3 9 3 2 3" xfId="5449"/>
    <cellStyle name="20% - Accent3 9 3 2 3 2" xfId="12703"/>
    <cellStyle name="20% - Accent3 9 3 2 4" xfId="6721"/>
    <cellStyle name="20% - Accent3 9 3 2 4 2" xfId="13923"/>
    <cellStyle name="20% - Accent3 9 3 2 5" xfId="7876"/>
    <cellStyle name="20% - Accent3 9 3 2 5 2" xfId="15056"/>
    <cellStyle name="20% - Accent3 9 3 2 6" xfId="9384"/>
    <cellStyle name="20% - Accent3 9 3 3" xfId="1930"/>
    <cellStyle name="20% - Accent3 9 3 3 2" xfId="4313"/>
    <cellStyle name="20% - Accent3 9 3 3 2 2" xfId="11624"/>
    <cellStyle name="20% - Accent3 9 3 3 3" xfId="5669"/>
    <cellStyle name="20% - Accent3 9 3 3 3 2" xfId="12921"/>
    <cellStyle name="20% - Accent3 9 3 3 4" xfId="6938"/>
    <cellStyle name="20% - Accent3 9 3 3 4 2" xfId="14139"/>
    <cellStyle name="20% - Accent3 9 3 3 5" xfId="8082"/>
    <cellStyle name="20% - Accent3 9 3 3 5 2" xfId="15262"/>
    <cellStyle name="20% - Accent3 9 3 3 6" xfId="9590"/>
    <cellStyle name="20% - Accent3 9 3 4" xfId="2339"/>
    <cellStyle name="20% - Accent3 9 3 4 2" xfId="4701"/>
    <cellStyle name="20% - Accent3 9 3 4 2 2" xfId="11996"/>
    <cellStyle name="20% - Accent3 9 3 4 3" xfId="6042"/>
    <cellStyle name="20% - Accent3 9 3 4 3 2" xfId="13276"/>
    <cellStyle name="20% - Accent3 9 3 4 4" xfId="7295"/>
    <cellStyle name="20% - Accent3 9 3 4 4 2" xfId="14485"/>
    <cellStyle name="20% - Accent3 9 3 4 5" xfId="8402"/>
    <cellStyle name="20% - Accent3 9 3 4 5 2" xfId="15578"/>
    <cellStyle name="20% - Accent3 9 3 4 6" xfId="9910"/>
    <cellStyle name="20% - Accent3 9 3 5" xfId="3278"/>
    <cellStyle name="20% - Accent3 9 3 5 2" xfId="10651"/>
    <cellStyle name="20% - Accent3 9 3 6" xfId="4920"/>
    <cellStyle name="20% - Accent3 9 3 6 2" xfId="12209"/>
    <cellStyle name="20% - Accent3 9 3 7" xfId="4038"/>
    <cellStyle name="20% - Accent3 9 3 7 2" xfId="11353"/>
    <cellStyle name="20% - Accent3 9 3 8" xfId="3142"/>
    <cellStyle name="20% - Accent3 9 3 8 2" xfId="10538"/>
    <cellStyle name="20% - Accent3 9 3 9" xfId="8886"/>
    <cellStyle name="20% - Accent3 9 4" xfId="1483"/>
    <cellStyle name="20% - Accent3 9 4 2" xfId="3877"/>
    <cellStyle name="20% - Accent3 9 4 2 2" xfId="11197"/>
    <cellStyle name="20% - Accent3 9 4 3" xfId="5246"/>
    <cellStyle name="20% - Accent3 9 4 3 2" xfId="12506"/>
    <cellStyle name="20% - Accent3 9 4 4" xfId="6519"/>
    <cellStyle name="20% - Accent3 9 4 4 2" xfId="13726"/>
    <cellStyle name="20% - Accent3 9 4 5" xfId="7681"/>
    <cellStyle name="20% - Accent3 9 4 5 2" xfId="14861"/>
    <cellStyle name="20% - Accent3 9 4 6" xfId="9189"/>
    <cellStyle name="20% - Accent3 9 5" xfId="1449"/>
    <cellStyle name="20% - Accent3 9 5 2" xfId="3846"/>
    <cellStyle name="20% - Accent3 9 5 2 2" xfId="11167"/>
    <cellStyle name="20% - Accent3 9 5 3" xfId="5214"/>
    <cellStyle name="20% - Accent3 9 5 3 2" xfId="12475"/>
    <cellStyle name="20% - Accent3 9 5 4" xfId="6490"/>
    <cellStyle name="20% - Accent3 9 5 4 2" xfId="13698"/>
    <cellStyle name="20% - Accent3 9 5 5" xfId="7657"/>
    <cellStyle name="20% - Accent3 9 5 5 2" xfId="14837"/>
    <cellStyle name="20% - Accent3 9 5 6" xfId="9165"/>
    <cellStyle name="20% - Accent3 9 6" xfId="2198"/>
    <cellStyle name="20% - Accent3 9 6 2" xfId="4560"/>
    <cellStyle name="20% - Accent3 9 6 2 2" xfId="11859"/>
    <cellStyle name="20% - Accent3 9 6 3" xfId="5902"/>
    <cellStyle name="20% - Accent3 9 6 3 2" xfId="13139"/>
    <cellStyle name="20% - Accent3 9 6 4" xfId="7155"/>
    <cellStyle name="20% - Accent3 9 6 4 2" xfId="14348"/>
    <cellStyle name="20% - Accent3 9 6 5" xfId="8265"/>
    <cellStyle name="20% - Accent3 9 6 5 2" xfId="15441"/>
    <cellStyle name="20% - Accent3 9 6 6" xfId="9773"/>
    <cellStyle name="20% - Accent3 9 7" xfId="2958"/>
    <cellStyle name="20% - Accent3 9 7 2" xfId="10376"/>
    <cellStyle name="20% - Accent3 9 8" xfId="2694"/>
    <cellStyle name="20% - Accent3 9 8 2" xfId="10189"/>
    <cellStyle name="20% - Accent3 9 9" xfId="3704"/>
    <cellStyle name="20% - Accent3 9 9 2" xfId="11038"/>
    <cellStyle name="20% - Accent4" xfId="15" builtinId="42" customBuiltin="1"/>
    <cellStyle name="20% - Accent4 10" xfId="477"/>
    <cellStyle name="20% - Accent4 10 10" xfId="3225"/>
    <cellStyle name="20% - Accent4 10 10 2" xfId="10600"/>
    <cellStyle name="20% - Accent4 10 11" xfId="8761"/>
    <cellStyle name="20% - Accent4 10 2" xfId="625"/>
    <cellStyle name="20% - Accent4 10 2 10" xfId="8823"/>
    <cellStyle name="20% - Accent4 10 2 2" xfId="864"/>
    <cellStyle name="20% - Accent4 10 2 2 2" xfId="1764"/>
    <cellStyle name="20% - Accent4 10 2 2 2 2" xfId="4154"/>
    <cellStyle name="20% - Accent4 10 2 2 2 2 2" xfId="11468"/>
    <cellStyle name="20% - Accent4 10 2 2 2 3" xfId="5516"/>
    <cellStyle name="20% - Accent4 10 2 2 2 3 2" xfId="12770"/>
    <cellStyle name="20% - Accent4 10 2 2 2 4" xfId="6788"/>
    <cellStyle name="20% - Accent4 10 2 2 2 4 2" xfId="13990"/>
    <cellStyle name="20% - Accent4 10 2 2 2 5" xfId="7943"/>
    <cellStyle name="20% - Accent4 10 2 2 2 5 2" xfId="15123"/>
    <cellStyle name="20% - Accent4 10 2 2 2 6" xfId="9451"/>
    <cellStyle name="20% - Accent4 10 2 2 3" xfId="1997"/>
    <cellStyle name="20% - Accent4 10 2 2 3 2" xfId="4380"/>
    <cellStyle name="20% - Accent4 10 2 2 3 2 2" xfId="11691"/>
    <cellStyle name="20% - Accent4 10 2 2 3 3" xfId="5736"/>
    <cellStyle name="20% - Accent4 10 2 2 3 3 2" xfId="12988"/>
    <cellStyle name="20% - Accent4 10 2 2 3 4" xfId="7005"/>
    <cellStyle name="20% - Accent4 10 2 2 3 4 2" xfId="14206"/>
    <cellStyle name="20% - Accent4 10 2 2 3 5" xfId="8149"/>
    <cellStyle name="20% - Accent4 10 2 2 3 5 2" xfId="15329"/>
    <cellStyle name="20% - Accent4 10 2 2 3 6" xfId="9657"/>
    <cellStyle name="20% - Accent4 10 2 2 4" xfId="2406"/>
    <cellStyle name="20% - Accent4 10 2 2 4 2" xfId="4768"/>
    <cellStyle name="20% - Accent4 10 2 2 4 2 2" xfId="12063"/>
    <cellStyle name="20% - Accent4 10 2 2 4 3" xfId="6109"/>
    <cellStyle name="20% - Accent4 10 2 2 4 3 2" xfId="13343"/>
    <cellStyle name="20% - Accent4 10 2 2 4 4" xfId="7362"/>
    <cellStyle name="20% - Accent4 10 2 2 4 4 2" xfId="14552"/>
    <cellStyle name="20% - Accent4 10 2 2 4 5" xfId="8469"/>
    <cellStyle name="20% - Accent4 10 2 2 4 5 2" xfId="15645"/>
    <cellStyle name="20% - Accent4 10 2 2 4 6" xfId="9977"/>
    <cellStyle name="20% - Accent4 10 2 2 5" xfId="3345"/>
    <cellStyle name="20% - Accent4 10 2 2 5 2" xfId="10718"/>
    <cellStyle name="20% - Accent4 10 2 2 6" xfId="3196"/>
    <cellStyle name="20% - Accent4 10 2 2 6 2" xfId="10582"/>
    <cellStyle name="20% - Accent4 10 2 2 7" xfId="5822"/>
    <cellStyle name="20% - Accent4 10 2 2 7 2" xfId="13071"/>
    <cellStyle name="20% - Accent4 10 2 2 8" xfId="7088"/>
    <cellStyle name="20% - Accent4 10 2 2 8 2" xfId="14288"/>
    <cellStyle name="20% - Accent4 10 2 2 9" xfId="8953"/>
    <cellStyle name="20% - Accent4 10 2 3" xfId="1601"/>
    <cellStyle name="20% - Accent4 10 2 3 2" xfId="3992"/>
    <cellStyle name="20% - Accent4 10 2 3 2 2" xfId="11309"/>
    <cellStyle name="20% - Accent4 10 2 3 3" xfId="5358"/>
    <cellStyle name="20% - Accent4 10 2 3 3 2" xfId="12616"/>
    <cellStyle name="20% - Accent4 10 2 3 4" xfId="6631"/>
    <cellStyle name="20% - Accent4 10 2 3 4 2" xfId="13836"/>
    <cellStyle name="20% - Accent4 10 2 3 5" xfId="7790"/>
    <cellStyle name="20% - Accent4 10 2 3 5 2" xfId="14970"/>
    <cellStyle name="20% - Accent4 10 2 3 6" xfId="9298"/>
    <cellStyle name="20% - Accent4 10 2 4" xfId="1518"/>
    <cellStyle name="20% - Accent4 10 2 4 2" xfId="3911"/>
    <cellStyle name="20% - Accent4 10 2 4 2 2" xfId="11229"/>
    <cellStyle name="20% - Accent4 10 2 4 3" xfId="5278"/>
    <cellStyle name="20% - Accent4 10 2 4 3 2" xfId="12537"/>
    <cellStyle name="20% - Accent4 10 2 4 4" xfId="6551"/>
    <cellStyle name="20% - Accent4 10 2 4 4 2" xfId="13757"/>
    <cellStyle name="20% - Accent4 10 2 4 5" xfId="7711"/>
    <cellStyle name="20% - Accent4 10 2 4 5 2" xfId="14891"/>
    <cellStyle name="20% - Accent4 10 2 4 6" xfId="9219"/>
    <cellStyle name="20% - Accent4 10 2 5" xfId="2276"/>
    <cellStyle name="20% - Accent4 10 2 5 2" xfId="4638"/>
    <cellStyle name="20% - Accent4 10 2 5 2 2" xfId="11936"/>
    <cellStyle name="20% - Accent4 10 2 5 3" xfId="5979"/>
    <cellStyle name="20% - Accent4 10 2 5 3 2" xfId="13216"/>
    <cellStyle name="20% - Accent4 10 2 5 4" xfId="7232"/>
    <cellStyle name="20% - Accent4 10 2 5 4 2" xfId="14425"/>
    <cellStyle name="20% - Accent4 10 2 5 5" xfId="8342"/>
    <cellStyle name="20% - Accent4 10 2 5 5 2" xfId="15518"/>
    <cellStyle name="20% - Accent4 10 2 5 6" xfId="9850"/>
    <cellStyle name="20% - Accent4 10 2 6" xfId="3129"/>
    <cellStyle name="20% - Accent4 10 2 6 2" xfId="10526"/>
    <cellStyle name="20% - Accent4 10 2 7" xfId="2854"/>
    <cellStyle name="20% - Accent4 10 2 7 2" xfId="10281"/>
    <cellStyle name="20% - Accent4 10 2 8" xfId="2976"/>
    <cellStyle name="20% - Accent4 10 2 8 2" xfId="10392"/>
    <cellStyle name="20% - Accent4 10 2 9" xfId="3781"/>
    <cellStyle name="20% - Accent4 10 2 9 2" xfId="11104"/>
    <cellStyle name="20% - Accent4 10 3" xfId="812"/>
    <cellStyle name="20% - Accent4 10 3 2" xfId="1712"/>
    <cellStyle name="20% - Accent4 10 3 2 2" xfId="4102"/>
    <cellStyle name="20% - Accent4 10 3 2 2 2" xfId="11416"/>
    <cellStyle name="20% - Accent4 10 3 2 3" xfId="5464"/>
    <cellStyle name="20% - Accent4 10 3 2 3 2" xfId="12718"/>
    <cellStyle name="20% - Accent4 10 3 2 4" xfId="6736"/>
    <cellStyle name="20% - Accent4 10 3 2 4 2" xfId="13938"/>
    <cellStyle name="20% - Accent4 10 3 2 5" xfId="7891"/>
    <cellStyle name="20% - Accent4 10 3 2 5 2" xfId="15071"/>
    <cellStyle name="20% - Accent4 10 3 2 6" xfId="9399"/>
    <cellStyle name="20% - Accent4 10 3 3" xfId="1945"/>
    <cellStyle name="20% - Accent4 10 3 3 2" xfId="4328"/>
    <cellStyle name="20% - Accent4 10 3 3 2 2" xfId="11639"/>
    <cellStyle name="20% - Accent4 10 3 3 3" xfId="5684"/>
    <cellStyle name="20% - Accent4 10 3 3 3 2" xfId="12936"/>
    <cellStyle name="20% - Accent4 10 3 3 4" xfId="6953"/>
    <cellStyle name="20% - Accent4 10 3 3 4 2" xfId="14154"/>
    <cellStyle name="20% - Accent4 10 3 3 5" xfId="8097"/>
    <cellStyle name="20% - Accent4 10 3 3 5 2" xfId="15277"/>
    <cellStyle name="20% - Accent4 10 3 3 6" xfId="9605"/>
    <cellStyle name="20% - Accent4 10 3 4" xfId="2354"/>
    <cellStyle name="20% - Accent4 10 3 4 2" xfId="4716"/>
    <cellStyle name="20% - Accent4 10 3 4 2 2" xfId="12011"/>
    <cellStyle name="20% - Accent4 10 3 4 3" xfId="6057"/>
    <cellStyle name="20% - Accent4 10 3 4 3 2" xfId="13291"/>
    <cellStyle name="20% - Accent4 10 3 4 4" xfId="7310"/>
    <cellStyle name="20% - Accent4 10 3 4 4 2" xfId="14500"/>
    <cellStyle name="20% - Accent4 10 3 4 5" xfId="8417"/>
    <cellStyle name="20% - Accent4 10 3 4 5 2" xfId="15593"/>
    <cellStyle name="20% - Accent4 10 3 4 6" xfId="9925"/>
    <cellStyle name="20% - Accent4 10 3 5" xfId="3293"/>
    <cellStyle name="20% - Accent4 10 3 5 2" xfId="10666"/>
    <cellStyle name="20% - Accent4 10 3 6" xfId="4528"/>
    <cellStyle name="20% - Accent4 10 3 6 2" xfId="11827"/>
    <cellStyle name="20% - Accent4 10 3 7" xfId="3475"/>
    <cellStyle name="20% - Accent4 10 3 7 2" xfId="10833"/>
    <cellStyle name="20% - Accent4 10 3 8" xfId="4985"/>
    <cellStyle name="20% - Accent4 10 3 8 2" xfId="12267"/>
    <cellStyle name="20% - Accent4 10 3 9" xfId="8901"/>
    <cellStyle name="20% - Accent4 10 4" xfId="1511"/>
    <cellStyle name="20% - Accent4 10 4 2" xfId="3904"/>
    <cellStyle name="20% - Accent4 10 4 2 2" xfId="11222"/>
    <cellStyle name="20% - Accent4 10 4 3" xfId="5271"/>
    <cellStyle name="20% - Accent4 10 4 3 2" xfId="12530"/>
    <cellStyle name="20% - Accent4 10 4 4" xfId="6544"/>
    <cellStyle name="20% - Accent4 10 4 4 2" xfId="13750"/>
    <cellStyle name="20% - Accent4 10 4 5" xfId="7704"/>
    <cellStyle name="20% - Accent4 10 4 5 2" xfId="14884"/>
    <cellStyle name="20% - Accent4 10 4 6" xfId="9212"/>
    <cellStyle name="20% - Accent4 10 5" xfId="1422"/>
    <cellStyle name="20% - Accent4 10 5 2" xfId="3819"/>
    <cellStyle name="20% - Accent4 10 5 2 2" xfId="11140"/>
    <cellStyle name="20% - Accent4 10 5 3" xfId="5189"/>
    <cellStyle name="20% - Accent4 10 5 3 2" xfId="12451"/>
    <cellStyle name="20% - Accent4 10 5 4" xfId="6465"/>
    <cellStyle name="20% - Accent4 10 5 4 2" xfId="13674"/>
    <cellStyle name="20% - Accent4 10 5 5" xfId="7634"/>
    <cellStyle name="20% - Accent4 10 5 5 2" xfId="14814"/>
    <cellStyle name="20% - Accent4 10 5 6" xfId="9142"/>
    <cellStyle name="20% - Accent4 10 6" xfId="2214"/>
    <cellStyle name="20% - Accent4 10 6 2" xfId="4576"/>
    <cellStyle name="20% - Accent4 10 6 2 2" xfId="11874"/>
    <cellStyle name="20% - Accent4 10 6 3" xfId="5917"/>
    <cellStyle name="20% - Accent4 10 6 3 2" xfId="13154"/>
    <cellStyle name="20% - Accent4 10 6 4" xfId="7170"/>
    <cellStyle name="20% - Accent4 10 6 4 2" xfId="14363"/>
    <cellStyle name="20% - Accent4 10 6 5" xfId="8280"/>
    <cellStyle name="20% - Accent4 10 6 5 2" xfId="15456"/>
    <cellStyle name="20% - Accent4 10 6 6" xfId="9788"/>
    <cellStyle name="20% - Accent4 10 7" xfId="2999"/>
    <cellStyle name="20% - Accent4 10 7 2" xfId="10412"/>
    <cellStyle name="20% - Accent4 10 8" xfId="2846"/>
    <cellStyle name="20% - Accent4 10 8 2" xfId="10274"/>
    <cellStyle name="20% - Accent4 10 9" xfId="2695"/>
    <cellStyle name="20% - Accent4 10 9 2" xfId="10190"/>
    <cellStyle name="20% - Accent4 11" xfId="661"/>
    <cellStyle name="20% - Accent4 11 10" xfId="8836"/>
    <cellStyle name="20% - Accent4 11 2" xfId="877"/>
    <cellStyle name="20% - Accent4 11 2 2" xfId="1777"/>
    <cellStyle name="20% - Accent4 11 2 2 2" xfId="4167"/>
    <cellStyle name="20% - Accent4 11 2 2 2 2" xfId="11481"/>
    <cellStyle name="20% - Accent4 11 2 2 3" xfId="5529"/>
    <cellStyle name="20% - Accent4 11 2 2 3 2" xfId="12783"/>
    <cellStyle name="20% - Accent4 11 2 2 4" xfId="6801"/>
    <cellStyle name="20% - Accent4 11 2 2 4 2" xfId="14003"/>
    <cellStyle name="20% - Accent4 11 2 2 5" xfId="7956"/>
    <cellStyle name="20% - Accent4 11 2 2 5 2" xfId="15136"/>
    <cellStyle name="20% - Accent4 11 2 2 6" xfId="9464"/>
    <cellStyle name="20% - Accent4 11 2 3" xfId="2010"/>
    <cellStyle name="20% - Accent4 11 2 3 2" xfId="4393"/>
    <cellStyle name="20% - Accent4 11 2 3 2 2" xfId="11704"/>
    <cellStyle name="20% - Accent4 11 2 3 3" xfId="5749"/>
    <cellStyle name="20% - Accent4 11 2 3 3 2" xfId="13001"/>
    <cellStyle name="20% - Accent4 11 2 3 4" xfId="7018"/>
    <cellStyle name="20% - Accent4 11 2 3 4 2" xfId="14219"/>
    <cellStyle name="20% - Accent4 11 2 3 5" xfId="8162"/>
    <cellStyle name="20% - Accent4 11 2 3 5 2" xfId="15342"/>
    <cellStyle name="20% - Accent4 11 2 3 6" xfId="9670"/>
    <cellStyle name="20% - Accent4 11 2 4" xfId="2419"/>
    <cellStyle name="20% - Accent4 11 2 4 2" xfId="4781"/>
    <cellStyle name="20% - Accent4 11 2 4 2 2" xfId="12076"/>
    <cellStyle name="20% - Accent4 11 2 4 3" xfId="6122"/>
    <cellStyle name="20% - Accent4 11 2 4 3 2" xfId="13356"/>
    <cellStyle name="20% - Accent4 11 2 4 4" xfId="7375"/>
    <cellStyle name="20% - Accent4 11 2 4 4 2" xfId="14565"/>
    <cellStyle name="20% - Accent4 11 2 4 5" xfId="8482"/>
    <cellStyle name="20% - Accent4 11 2 4 5 2" xfId="15658"/>
    <cellStyle name="20% - Accent4 11 2 4 6" xfId="9990"/>
    <cellStyle name="20% - Accent4 11 2 5" xfId="3358"/>
    <cellStyle name="20% - Accent4 11 2 5 2" xfId="10731"/>
    <cellStyle name="20% - Accent4 11 2 6" xfId="2856"/>
    <cellStyle name="20% - Accent4 11 2 6 2" xfId="10283"/>
    <cellStyle name="20% - Accent4 11 2 7" xfId="3399"/>
    <cellStyle name="20% - Accent4 11 2 7 2" xfId="10769"/>
    <cellStyle name="20% - Accent4 11 2 8" xfId="3177"/>
    <cellStyle name="20% - Accent4 11 2 8 2" xfId="10565"/>
    <cellStyle name="20% - Accent4 11 2 9" xfId="8966"/>
    <cellStyle name="20% - Accent4 11 3" xfId="1618"/>
    <cellStyle name="20% - Accent4 11 3 2" xfId="4009"/>
    <cellStyle name="20% - Accent4 11 3 2 2" xfId="11326"/>
    <cellStyle name="20% - Accent4 11 3 3" xfId="5373"/>
    <cellStyle name="20% - Accent4 11 3 3 2" xfId="12631"/>
    <cellStyle name="20% - Accent4 11 3 4" xfId="6646"/>
    <cellStyle name="20% - Accent4 11 3 4 2" xfId="13851"/>
    <cellStyle name="20% - Accent4 11 3 5" xfId="7804"/>
    <cellStyle name="20% - Accent4 11 3 5 2" xfId="14984"/>
    <cellStyle name="20% - Accent4 11 3 6" xfId="9312"/>
    <cellStyle name="20% - Accent4 11 4" xfId="1880"/>
    <cellStyle name="20% - Accent4 11 4 2" xfId="4265"/>
    <cellStyle name="20% - Accent4 11 4 2 2" xfId="11577"/>
    <cellStyle name="20% - Accent4 11 4 3" xfId="5621"/>
    <cellStyle name="20% - Accent4 11 4 3 2" xfId="12874"/>
    <cellStyle name="20% - Accent4 11 4 4" xfId="6890"/>
    <cellStyle name="20% - Accent4 11 4 4 2" xfId="14092"/>
    <cellStyle name="20% - Accent4 11 4 5" xfId="8035"/>
    <cellStyle name="20% - Accent4 11 4 5 2" xfId="15215"/>
    <cellStyle name="20% - Accent4 11 4 6" xfId="9543"/>
    <cellStyle name="20% - Accent4 11 5" xfId="2289"/>
    <cellStyle name="20% - Accent4 11 5 2" xfId="4651"/>
    <cellStyle name="20% - Accent4 11 5 2 2" xfId="11949"/>
    <cellStyle name="20% - Accent4 11 5 3" xfId="5992"/>
    <cellStyle name="20% - Accent4 11 5 3 2" xfId="13229"/>
    <cellStyle name="20% - Accent4 11 5 4" xfId="7245"/>
    <cellStyle name="20% - Accent4 11 5 4 2" xfId="14438"/>
    <cellStyle name="20% - Accent4 11 5 5" xfId="8355"/>
    <cellStyle name="20% - Accent4 11 5 5 2" xfId="15531"/>
    <cellStyle name="20% - Accent4 11 5 6" xfId="9863"/>
    <cellStyle name="20% - Accent4 11 6" xfId="3162"/>
    <cellStyle name="20% - Accent4 11 6 2" xfId="10554"/>
    <cellStyle name="20% - Accent4 11 7" xfId="3153"/>
    <cellStyle name="20% - Accent4 11 7 2" xfId="10546"/>
    <cellStyle name="20% - Accent4 11 8" xfId="3802"/>
    <cellStyle name="20% - Accent4 11 8 2" xfId="11124"/>
    <cellStyle name="20% - Accent4 11 9" xfId="2904"/>
    <cellStyle name="20% - Accent4 11 9 2" xfId="10328"/>
    <cellStyle name="20% - Accent4 12" xfId="913"/>
    <cellStyle name="20% - Accent4 12 2" xfId="1799"/>
    <cellStyle name="20% - Accent4 12 2 2" xfId="4188"/>
    <cellStyle name="20% - Accent4 12 2 2 2" xfId="11501"/>
    <cellStyle name="20% - Accent4 12 2 3" xfId="5548"/>
    <cellStyle name="20% - Accent4 12 2 3 2" xfId="12802"/>
    <cellStyle name="20% - Accent4 12 2 4" xfId="6820"/>
    <cellStyle name="20% - Accent4 12 2 4 2" xfId="14022"/>
    <cellStyle name="20% - Accent4 12 2 5" xfId="7971"/>
    <cellStyle name="20% - Accent4 12 2 5 2" xfId="15151"/>
    <cellStyle name="20% - Accent4 12 2 6" xfId="9479"/>
    <cellStyle name="20% - Accent4 12 3" xfId="2023"/>
    <cellStyle name="20% - Accent4 12 3 2" xfId="4406"/>
    <cellStyle name="20% - Accent4 12 3 2 2" xfId="11717"/>
    <cellStyle name="20% - Accent4 12 3 3" xfId="5762"/>
    <cellStyle name="20% - Accent4 12 3 3 2" xfId="13014"/>
    <cellStyle name="20% - Accent4 12 3 4" xfId="7031"/>
    <cellStyle name="20% - Accent4 12 3 4 2" xfId="14232"/>
    <cellStyle name="20% - Accent4 12 3 5" xfId="8175"/>
    <cellStyle name="20% - Accent4 12 3 5 2" xfId="15355"/>
    <cellStyle name="20% - Accent4 12 3 6" xfId="9683"/>
    <cellStyle name="20% - Accent4 12 4" xfId="2432"/>
    <cellStyle name="20% - Accent4 12 4 2" xfId="4794"/>
    <cellStyle name="20% - Accent4 12 4 2 2" xfId="12089"/>
    <cellStyle name="20% - Accent4 12 4 3" xfId="6135"/>
    <cellStyle name="20% - Accent4 12 4 3 2" xfId="13369"/>
    <cellStyle name="20% - Accent4 12 4 4" xfId="7388"/>
    <cellStyle name="20% - Accent4 12 4 4 2" xfId="14578"/>
    <cellStyle name="20% - Accent4 12 4 5" xfId="8495"/>
    <cellStyle name="20% - Accent4 12 4 5 2" xfId="15671"/>
    <cellStyle name="20% - Accent4 12 4 6" xfId="10003"/>
    <cellStyle name="20% - Accent4 12 5" xfId="3389"/>
    <cellStyle name="20% - Accent4 12 5 2" xfId="10760"/>
    <cellStyle name="20% - Accent4 12 6" xfId="3191"/>
    <cellStyle name="20% - Accent4 12 6 2" xfId="10578"/>
    <cellStyle name="20% - Accent4 12 7" xfId="5818"/>
    <cellStyle name="20% - Accent4 12 7 2" xfId="13068"/>
    <cellStyle name="20% - Accent4 12 8" xfId="7085"/>
    <cellStyle name="20% - Accent4 12 8 2" xfId="14285"/>
    <cellStyle name="20% - Accent4 12 9" xfId="8979"/>
    <cellStyle name="20% - Accent4 13" xfId="956"/>
    <cellStyle name="20% - Accent4 13 2" xfId="1824"/>
    <cellStyle name="20% - Accent4 13 2 2" xfId="4210"/>
    <cellStyle name="20% - Accent4 13 2 2 2" xfId="11523"/>
    <cellStyle name="20% - Accent4 13 2 3" xfId="5569"/>
    <cellStyle name="20% - Accent4 13 2 3 2" xfId="12823"/>
    <cellStyle name="20% - Accent4 13 2 4" xfId="6839"/>
    <cellStyle name="20% - Accent4 13 2 4 2" xfId="14041"/>
    <cellStyle name="20% - Accent4 13 2 5" xfId="7989"/>
    <cellStyle name="20% - Accent4 13 2 5 2" xfId="15169"/>
    <cellStyle name="20% - Accent4 13 2 6" xfId="9497"/>
    <cellStyle name="20% - Accent4 13 3" xfId="2038"/>
    <cellStyle name="20% - Accent4 13 3 2" xfId="4420"/>
    <cellStyle name="20% - Accent4 13 3 2 2" xfId="11730"/>
    <cellStyle name="20% - Accent4 13 3 3" xfId="5776"/>
    <cellStyle name="20% - Accent4 13 3 3 2" xfId="13027"/>
    <cellStyle name="20% - Accent4 13 3 4" xfId="7045"/>
    <cellStyle name="20% - Accent4 13 3 4 2" xfId="14245"/>
    <cellStyle name="20% - Accent4 13 3 5" xfId="8188"/>
    <cellStyle name="20% - Accent4 13 3 5 2" xfId="15368"/>
    <cellStyle name="20% - Accent4 13 3 6" xfId="9696"/>
    <cellStyle name="20% - Accent4 13 4" xfId="2447"/>
    <cellStyle name="20% - Accent4 13 4 2" xfId="4809"/>
    <cellStyle name="20% - Accent4 13 4 2 2" xfId="12102"/>
    <cellStyle name="20% - Accent4 13 4 3" xfId="6150"/>
    <cellStyle name="20% - Accent4 13 4 3 2" xfId="13382"/>
    <cellStyle name="20% - Accent4 13 4 4" xfId="7403"/>
    <cellStyle name="20% - Accent4 13 4 4 2" xfId="14591"/>
    <cellStyle name="20% - Accent4 13 4 5" xfId="8508"/>
    <cellStyle name="20% - Accent4 13 4 5 2" xfId="15684"/>
    <cellStyle name="20% - Accent4 13 4 6" xfId="10016"/>
    <cellStyle name="20% - Accent4 13 5" xfId="3426"/>
    <cellStyle name="20% - Accent4 13 5 2" xfId="10790"/>
    <cellStyle name="20% - Accent4 13 6" xfId="3695"/>
    <cellStyle name="20% - Accent4 13 6 2" xfId="11030"/>
    <cellStyle name="20% - Accent4 13 7" xfId="3931"/>
    <cellStyle name="20% - Accent4 13 7 2" xfId="11248"/>
    <cellStyle name="20% - Accent4 13 8" xfId="3062"/>
    <cellStyle name="20% - Accent4 13 8 2" xfId="10459"/>
    <cellStyle name="20% - Accent4 13 9" xfId="8994"/>
    <cellStyle name="20% - Accent4 14" xfId="999"/>
    <cellStyle name="20% - Accent4 14 2" xfId="1848"/>
    <cellStyle name="20% - Accent4 14 2 2" xfId="4233"/>
    <cellStyle name="20% - Accent4 14 2 2 2" xfId="11546"/>
    <cellStyle name="20% - Accent4 14 2 3" xfId="5590"/>
    <cellStyle name="20% - Accent4 14 2 3 2" xfId="12843"/>
    <cellStyle name="20% - Accent4 14 2 4" xfId="6859"/>
    <cellStyle name="20% - Accent4 14 2 4 2" xfId="14061"/>
    <cellStyle name="20% - Accent4 14 2 5" xfId="8007"/>
    <cellStyle name="20% - Accent4 14 2 5 2" xfId="15187"/>
    <cellStyle name="20% - Accent4 14 2 6" xfId="9515"/>
    <cellStyle name="20% - Accent4 14 3" xfId="2052"/>
    <cellStyle name="20% - Accent4 14 3 2" xfId="4434"/>
    <cellStyle name="20% - Accent4 14 3 2 2" xfId="11743"/>
    <cellStyle name="20% - Accent4 14 3 3" xfId="5789"/>
    <cellStyle name="20% - Accent4 14 3 3 2" xfId="13040"/>
    <cellStyle name="20% - Accent4 14 3 4" xfId="7058"/>
    <cellStyle name="20% - Accent4 14 3 4 2" xfId="14258"/>
    <cellStyle name="20% - Accent4 14 3 5" xfId="8201"/>
    <cellStyle name="20% - Accent4 14 3 5 2" xfId="15381"/>
    <cellStyle name="20% - Accent4 14 3 6" xfId="9709"/>
    <cellStyle name="20% - Accent4 14 4" xfId="2461"/>
    <cellStyle name="20% - Accent4 14 4 2" xfId="4822"/>
    <cellStyle name="20% - Accent4 14 4 2 2" xfId="12115"/>
    <cellStyle name="20% - Accent4 14 4 3" xfId="6164"/>
    <cellStyle name="20% - Accent4 14 4 3 2" xfId="13395"/>
    <cellStyle name="20% - Accent4 14 4 4" xfId="7417"/>
    <cellStyle name="20% - Accent4 14 4 4 2" xfId="14604"/>
    <cellStyle name="20% - Accent4 14 4 5" xfId="8521"/>
    <cellStyle name="20% - Accent4 14 4 5 2" xfId="15697"/>
    <cellStyle name="20% - Accent4 14 4 6" xfId="10029"/>
    <cellStyle name="20% - Accent4 14 5" xfId="3461"/>
    <cellStyle name="20% - Accent4 14 5 2" xfId="10822"/>
    <cellStyle name="20% - Accent4 14 6" xfId="3812"/>
    <cellStyle name="20% - Accent4 14 6 2" xfId="11133"/>
    <cellStyle name="20% - Accent4 14 7" xfId="2936"/>
    <cellStyle name="20% - Accent4 14 7 2" xfId="10357"/>
    <cellStyle name="20% - Accent4 14 8" xfId="3575"/>
    <cellStyle name="20% - Accent4 14 8 2" xfId="10923"/>
    <cellStyle name="20% - Accent4 14 9" xfId="9008"/>
    <cellStyle name="20% - Accent4 15" xfId="1040"/>
    <cellStyle name="20% - Accent4 15 2" xfId="1866"/>
    <cellStyle name="20% - Accent4 15 2 2" xfId="4251"/>
    <cellStyle name="20% - Accent4 15 2 2 2" xfId="11563"/>
    <cellStyle name="20% - Accent4 15 2 3" xfId="5607"/>
    <cellStyle name="20% - Accent4 15 2 3 2" xfId="12860"/>
    <cellStyle name="20% - Accent4 15 2 4" xfId="6876"/>
    <cellStyle name="20% - Accent4 15 2 4 2" xfId="14078"/>
    <cellStyle name="20% - Accent4 15 2 5" xfId="8021"/>
    <cellStyle name="20% - Accent4 15 2 5 2" xfId="15201"/>
    <cellStyle name="20% - Accent4 15 2 6" xfId="9529"/>
    <cellStyle name="20% - Accent4 15 3" xfId="2065"/>
    <cellStyle name="20% - Accent4 15 3 2" xfId="4447"/>
    <cellStyle name="20% - Accent4 15 3 2 2" xfId="11756"/>
    <cellStyle name="20% - Accent4 15 3 3" xfId="5802"/>
    <cellStyle name="20% - Accent4 15 3 3 2" xfId="13053"/>
    <cellStyle name="20% - Accent4 15 3 4" xfId="7071"/>
    <cellStyle name="20% - Accent4 15 3 4 2" xfId="14271"/>
    <cellStyle name="20% - Accent4 15 3 5" xfId="8214"/>
    <cellStyle name="20% - Accent4 15 3 5 2" xfId="15394"/>
    <cellStyle name="20% - Accent4 15 3 6" xfId="9722"/>
    <cellStyle name="20% - Accent4 15 4" xfId="2474"/>
    <cellStyle name="20% - Accent4 15 4 2" xfId="4835"/>
    <cellStyle name="20% - Accent4 15 4 2 2" xfId="12128"/>
    <cellStyle name="20% - Accent4 15 4 3" xfId="6177"/>
    <cellStyle name="20% - Accent4 15 4 3 2" xfId="13408"/>
    <cellStyle name="20% - Accent4 15 4 4" xfId="7430"/>
    <cellStyle name="20% - Accent4 15 4 4 2" xfId="14617"/>
    <cellStyle name="20% - Accent4 15 4 5" xfId="8534"/>
    <cellStyle name="20% - Accent4 15 4 5 2" xfId="15710"/>
    <cellStyle name="20% - Accent4 15 4 6" xfId="10042"/>
    <cellStyle name="20% - Accent4 15 5" xfId="3495"/>
    <cellStyle name="20% - Accent4 15 5 2" xfId="10850"/>
    <cellStyle name="20% - Accent4 15 6" xfId="3179"/>
    <cellStyle name="20% - Accent4 15 6 2" xfId="10567"/>
    <cellStyle name="20% - Accent4 15 7" xfId="5809"/>
    <cellStyle name="20% - Accent4 15 7 2" xfId="13060"/>
    <cellStyle name="20% - Accent4 15 8" xfId="7078"/>
    <cellStyle name="20% - Accent4 15 8 2" xfId="14278"/>
    <cellStyle name="20% - Accent4 15 9" xfId="9021"/>
    <cellStyle name="20% - Accent4 16" xfId="1081"/>
    <cellStyle name="20% - Accent4 16 2" xfId="2487"/>
    <cellStyle name="20% - Accent4 16 2 2" xfId="4848"/>
    <cellStyle name="20% - Accent4 16 2 2 2" xfId="12141"/>
    <cellStyle name="20% - Accent4 16 2 3" xfId="6190"/>
    <cellStyle name="20% - Accent4 16 2 3 2" xfId="13421"/>
    <cellStyle name="20% - Accent4 16 2 4" xfId="7443"/>
    <cellStyle name="20% - Accent4 16 2 4 2" xfId="14630"/>
    <cellStyle name="20% - Accent4 16 2 5" xfId="8547"/>
    <cellStyle name="20% - Accent4 16 2 5 2" xfId="15723"/>
    <cellStyle name="20% - Accent4 16 2 6" xfId="10055"/>
    <cellStyle name="20% - Accent4 16 3" xfId="3525"/>
    <cellStyle name="20% - Accent4 16 3 2" xfId="10879"/>
    <cellStyle name="20% - Accent4 16 4" xfId="4942"/>
    <cellStyle name="20% - Accent4 16 4 2" xfId="12231"/>
    <cellStyle name="20% - Accent4 16 5" xfId="6280"/>
    <cellStyle name="20% - Accent4 16 5 2" xfId="13506"/>
    <cellStyle name="20% - Accent4 16 6" xfId="7526"/>
    <cellStyle name="20% - Accent4 16 6 2" xfId="14710"/>
    <cellStyle name="20% - Accent4 16 7" xfId="9034"/>
    <cellStyle name="20% - Accent4 17" xfId="1122"/>
    <cellStyle name="20% - Accent4 17 2" xfId="2500"/>
    <cellStyle name="20% - Accent4 17 2 2" xfId="4861"/>
    <cellStyle name="20% - Accent4 17 2 2 2" xfId="12154"/>
    <cellStyle name="20% - Accent4 17 2 3" xfId="6203"/>
    <cellStyle name="20% - Accent4 17 2 3 2" xfId="13434"/>
    <cellStyle name="20% - Accent4 17 2 4" xfId="7456"/>
    <cellStyle name="20% - Accent4 17 2 4 2" xfId="14643"/>
    <cellStyle name="20% - Accent4 17 2 5" xfId="8560"/>
    <cellStyle name="20% - Accent4 17 2 5 2" xfId="15736"/>
    <cellStyle name="20% - Accent4 17 2 6" xfId="10068"/>
    <cellStyle name="20% - Accent4 17 3" xfId="3562"/>
    <cellStyle name="20% - Accent4 17 3 2" xfId="10911"/>
    <cellStyle name="20% - Accent4 17 4" xfId="4971"/>
    <cellStyle name="20% - Accent4 17 4 2" xfId="12257"/>
    <cellStyle name="20% - Accent4 17 5" xfId="6301"/>
    <cellStyle name="20% - Accent4 17 5 2" xfId="13524"/>
    <cellStyle name="20% - Accent4 17 6" xfId="7539"/>
    <cellStyle name="20% - Accent4 17 6 2" xfId="14723"/>
    <cellStyle name="20% - Accent4 17 7" xfId="9047"/>
    <cellStyle name="20% - Accent4 18" xfId="1163"/>
    <cellStyle name="20% - Accent4 18 2" xfId="2513"/>
    <cellStyle name="20% - Accent4 18 2 2" xfId="4874"/>
    <cellStyle name="20% - Accent4 18 2 2 2" xfId="12167"/>
    <cellStyle name="20% - Accent4 18 2 3" xfId="6216"/>
    <cellStyle name="20% - Accent4 18 2 3 2" xfId="13447"/>
    <cellStyle name="20% - Accent4 18 2 4" xfId="7469"/>
    <cellStyle name="20% - Accent4 18 2 4 2" xfId="14656"/>
    <cellStyle name="20% - Accent4 18 2 5" xfId="8573"/>
    <cellStyle name="20% - Accent4 18 2 5 2" xfId="15749"/>
    <cellStyle name="20% - Accent4 18 2 6" xfId="10081"/>
    <cellStyle name="20% - Accent4 18 3" xfId="3598"/>
    <cellStyle name="20% - Accent4 18 3 2" xfId="10944"/>
    <cellStyle name="20% - Accent4 18 4" xfId="5002"/>
    <cellStyle name="20% - Accent4 18 4 2" xfId="12283"/>
    <cellStyle name="20% - Accent4 18 5" xfId="6324"/>
    <cellStyle name="20% - Accent4 18 5 2" xfId="13544"/>
    <cellStyle name="20% - Accent4 18 6" xfId="7552"/>
    <cellStyle name="20% - Accent4 18 6 2" xfId="14736"/>
    <cellStyle name="20% - Accent4 18 7" xfId="9060"/>
    <cellStyle name="20% - Accent4 19" xfId="1204"/>
    <cellStyle name="20% - Accent4 19 2" xfId="2526"/>
    <cellStyle name="20% - Accent4 19 2 2" xfId="4887"/>
    <cellStyle name="20% - Accent4 19 2 2 2" xfId="12180"/>
    <cellStyle name="20% - Accent4 19 2 3" xfId="6229"/>
    <cellStyle name="20% - Accent4 19 2 3 2" xfId="13460"/>
    <cellStyle name="20% - Accent4 19 2 4" xfId="7482"/>
    <cellStyle name="20% - Accent4 19 2 4 2" xfId="14669"/>
    <cellStyle name="20% - Accent4 19 2 5" xfId="8586"/>
    <cellStyle name="20% - Accent4 19 2 5 2" xfId="15762"/>
    <cellStyle name="20% - Accent4 19 2 6" xfId="10094"/>
    <cellStyle name="20% - Accent4 19 3" xfId="3633"/>
    <cellStyle name="20% - Accent4 19 3 2" xfId="10973"/>
    <cellStyle name="20% - Accent4 19 4" xfId="5032"/>
    <cellStyle name="20% - Accent4 19 4 2" xfId="12310"/>
    <cellStyle name="20% - Accent4 19 5" xfId="6348"/>
    <cellStyle name="20% - Accent4 19 5 2" xfId="13565"/>
    <cellStyle name="20% - Accent4 19 6" xfId="7565"/>
    <cellStyle name="20% - Accent4 19 6 2" xfId="14749"/>
    <cellStyle name="20% - Accent4 19 7" xfId="9073"/>
    <cellStyle name="20% - Accent4 2" xfId="16"/>
    <cellStyle name="20% - Accent4 2 10" xfId="2682"/>
    <cellStyle name="20% - Accent4 2 11" xfId="8627"/>
    <cellStyle name="20% - Accent4 2 2" xfId="497"/>
    <cellStyle name="20% - Accent4 2 3" xfId="684"/>
    <cellStyle name="20% - Accent4 2 4" xfId="1270"/>
    <cellStyle name="20% - Accent4 2 5" xfId="1432"/>
    <cellStyle name="20% - Accent4 2 6" xfId="2080"/>
    <cellStyle name="20% - Accent4 2 7" xfId="2599"/>
    <cellStyle name="20% - Accent4 2 8" xfId="3411"/>
    <cellStyle name="20% - Accent4 2 9" xfId="3696"/>
    <cellStyle name="20% - Accent4 20" xfId="1245"/>
    <cellStyle name="20% - Accent4 20 2" xfId="2539"/>
    <cellStyle name="20% - Accent4 20 2 2" xfId="4900"/>
    <cellStyle name="20% - Accent4 20 2 2 2" xfId="12193"/>
    <cellStyle name="20% - Accent4 20 2 3" xfId="6242"/>
    <cellStyle name="20% - Accent4 20 2 3 2" xfId="13473"/>
    <cellStyle name="20% - Accent4 20 2 4" xfId="7495"/>
    <cellStyle name="20% - Accent4 20 2 4 2" xfId="14682"/>
    <cellStyle name="20% - Accent4 20 2 5" xfId="8599"/>
    <cellStyle name="20% - Accent4 20 2 5 2" xfId="15775"/>
    <cellStyle name="20% - Accent4 20 2 6" xfId="10107"/>
    <cellStyle name="20% - Accent4 20 3" xfId="3669"/>
    <cellStyle name="20% - Accent4 20 3 2" xfId="11005"/>
    <cellStyle name="20% - Accent4 20 4" xfId="5061"/>
    <cellStyle name="20% - Accent4 20 4 2" xfId="12336"/>
    <cellStyle name="20% - Accent4 20 5" xfId="6371"/>
    <cellStyle name="20% - Accent4 20 5 2" xfId="13586"/>
    <cellStyle name="20% - Accent4 20 6" xfId="7578"/>
    <cellStyle name="20% - Accent4 20 6 2" xfId="14762"/>
    <cellStyle name="20% - Accent4 20 7" xfId="9086"/>
    <cellStyle name="20% - Accent4 21" xfId="2575"/>
    <cellStyle name="20% - Accent4 21 2" xfId="4929"/>
    <cellStyle name="20% - Accent4 21 2 2" xfId="12218"/>
    <cellStyle name="20% - Accent4 21 3" xfId="6271"/>
    <cellStyle name="20% - Accent4 21 3 2" xfId="13497"/>
    <cellStyle name="20% - Accent4 21 4" xfId="7518"/>
    <cellStyle name="20% - Accent4 21 4 2" xfId="14702"/>
    <cellStyle name="20% - Accent4 21 5" xfId="8612"/>
    <cellStyle name="20% - Accent4 21 5 2" xfId="15788"/>
    <cellStyle name="20% - Accent4 21 6" xfId="10120"/>
    <cellStyle name="20% - Accent4 3" xfId="17"/>
    <cellStyle name="20% - Accent4 3 10" xfId="5819"/>
    <cellStyle name="20% - Accent4 3 11" xfId="8628"/>
    <cellStyle name="20% - Accent4 3 2" xfId="498"/>
    <cellStyle name="20% - Accent4 3 3" xfId="685"/>
    <cellStyle name="20% - Accent4 3 4" xfId="1271"/>
    <cellStyle name="20% - Accent4 3 5" xfId="1415"/>
    <cellStyle name="20% - Accent4 3 6" xfId="2081"/>
    <cellStyle name="20% - Accent4 3 7" xfId="2600"/>
    <cellStyle name="20% - Accent4 3 8" xfId="3375"/>
    <cellStyle name="20% - Accent4 3 9" xfId="3193"/>
    <cellStyle name="20% - Accent4 4" xfId="18"/>
    <cellStyle name="20% - Accent4 4 10" xfId="2978"/>
    <cellStyle name="20% - Accent4 4 11" xfId="8629"/>
    <cellStyle name="20% - Accent4 4 2" xfId="499"/>
    <cellStyle name="20% - Accent4 4 3" xfId="686"/>
    <cellStyle name="20% - Accent4 4 4" xfId="1272"/>
    <cellStyle name="20% - Accent4 4 5" xfId="1394"/>
    <cellStyle name="20% - Accent4 4 6" xfId="2082"/>
    <cellStyle name="20% - Accent4 4 7" xfId="2601"/>
    <cellStyle name="20% - Accent4 4 8" xfId="3145"/>
    <cellStyle name="20% - Accent4 4 9" xfId="2917"/>
    <cellStyle name="20% - Accent4 5" xfId="267"/>
    <cellStyle name="20% - Accent4 5 10" xfId="4976"/>
    <cellStyle name="20% - Accent4 5 11" xfId="8708"/>
    <cellStyle name="20% - Accent4 5 2" xfId="573"/>
    <cellStyle name="20% - Accent4 5 3" xfId="760"/>
    <cellStyle name="20% - Accent4 5 4" xfId="1403"/>
    <cellStyle name="20% - Accent4 5 5" xfId="1411"/>
    <cellStyle name="20% - Accent4 5 6" xfId="2161"/>
    <cellStyle name="20% - Accent4 5 7" xfId="2821"/>
    <cellStyle name="20% - Accent4 5 8" xfId="4492"/>
    <cellStyle name="20% - Accent4 5 9" xfId="3466"/>
    <cellStyle name="20% - Accent4 6" xfId="312"/>
    <cellStyle name="20% - Accent4 7" xfId="353"/>
    <cellStyle name="20% - Accent4 7 10" xfId="3192"/>
    <cellStyle name="20% - Accent4 7 10 2" xfId="10579"/>
    <cellStyle name="20% - Accent4 7 11" xfId="8721"/>
    <cellStyle name="20% - Accent4 7 2" xfId="586"/>
    <cellStyle name="20% - Accent4 7 2 10" xfId="8784"/>
    <cellStyle name="20% - Accent4 7 2 2" xfId="825"/>
    <cellStyle name="20% - Accent4 7 2 2 2" xfId="1725"/>
    <cellStyle name="20% - Accent4 7 2 2 2 2" xfId="4115"/>
    <cellStyle name="20% - Accent4 7 2 2 2 2 2" xfId="11429"/>
    <cellStyle name="20% - Accent4 7 2 2 2 3" xfId="5477"/>
    <cellStyle name="20% - Accent4 7 2 2 2 3 2" xfId="12731"/>
    <cellStyle name="20% - Accent4 7 2 2 2 4" xfId="6749"/>
    <cellStyle name="20% - Accent4 7 2 2 2 4 2" xfId="13951"/>
    <cellStyle name="20% - Accent4 7 2 2 2 5" xfId="7904"/>
    <cellStyle name="20% - Accent4 7 2 2 2 5 2" xfId="15084"/>
    <cellStyle name="20% - Accent4 7 2 2 2 6" xfId="9412"/>
    <cellStyle name="20% - Accent4 7 2 2 3" xfId="1958"/>
    <cellStyle name="20% - Accent4 7 2 2 3 2" xfId="4341"/>
    <cellStyle name="20% - Accent4 7 2 2 3 2 2" xfId="11652"/>
    <cellStyle name="20% - Accent4 7 2 2 3 3" xfId="5697"/>
    <cellStyle name="20% - Accent4 7 2 2 3 3 2" xfId="12949"/>
    <cellStyle name="20% - Accent4 7 2 2 3 4" xfId="6966"/>
    <cellStyle name="20% - Accent4 7 2 2 3 4 2" xfId="14167"/>
    <cellStyle name="20% - Accent4 7 2 2 3 5" xfId="8110"/>
    <cellStyle name="20% - Accent4 7 2 2 3 5 2" xfId="15290"/>
    <cellStyle name="20% - Accent4 7 2 2 3 6" xfId="9618"/>
    <cellStyle name="20% - Accent4 7 2 2 4" xfId="2367"/>
    <cellStyle name="20% - Accent4 7 2 2 4 2" xfId="4729"/>
    <cellStyle name="20% - Accent4 7 2 2 4 2 2" xfId="12024"/>
    <cellStyle name="20% - Accent4 7 2 2 4 3" xfId="6070"/>
    <cellStyle name="20% - Accent4 7 2 2 4 3 2" xfId="13304"/>
    <cellStyle name="20% - Accent4 7 2 2 4 4" xfId="7323"/>
    <cellStyle name="20% - Accent4 7 2 2 4 4 2" xfId="14513"/>
    <cellStyle name="20% - Accent4 7 2 2 4 5" xfId="8430"/>
    <cellStyle name="20% - Accent4 7 2 2 4 5 2" xfId="15606"/>
    <cellStyle name="20% - Accent4 7 2 2 4 6" xfId="9938"/>
    <cellStyle name="20% - Accent4 7 2 2 5" xfId="3306"/>
    <cellStyle name="20% - Accent4 7 2 2 5 2" xfId="10679"/>
    <cellStyle name="20% - Accent4 7 2 2 6" xfId="3201"/>
    <cellStyle name="20% - Accent4 7 2 2 6 2" xfId="10587"/>
    <cellStyle name="20% - Accent4 7 2 2 7" xfId="5827"/>
    <cellStyle name="20% - Accent4 7 2 2 7 2" xfId="13076"/>
    <cellStyle name="20% - Accent4 7 2 2 8" xfId="7093"/>
    <cellStyle name="20% - Accent4 7 2 2 8 2" xfId="14293"/>
    <cellStyle name="20% - Accent4 7 2 2 9" xfId="8914"/>
    <cellStyle name="20% - Accent4 7 2 3" xfId="1562"/>
    <cellStyle name="20% - Accent4 7 2 3 2" xfId="3953"/>
    <cellStyle name="20% - Accent4 7 2 3 2 2" xfId="11270"/>
    <cellStyle name="20% - Accent4 7 2 3 3" xfId="5319"/>
    <cellStyle name="20% - Accent4 7 2 3 3 2" xfId="12577"/>
    <cellStyle name="20% - Accent4 7 2 3 4" xfId="6592"/>
    <cellStyle name="20% - Accent4 7 2 3 4 2" xfId="13797"/>
    <cellStyle name="20% - Accent4 7 2 3 5" xfId="7751"/>
    <cellStyle name="20% - Accent4 7 2 3 5 2" xfId="14931"/>
    <cellStyle name="20% - Accent4 7 2 3 6" xfId="9259"/>
    <cellStyle name="20% - Accent4 7 2 4" xfId="1639"/>
    <cellStyle name="20% - Accent4 7 2 4 2" xfId="4029"/>
    <cellStyle name="20% - Accent4 7 2 4 2 2" xfId="11344"/>
    <cellStyle name="20% - Accent4 7 2 4 3" xfId="5394"/>
    <cellStyle name="20% - Accent4 7 2 4 3 2" xfId="12649"/>
    <cellStyle name="20% - Accent4 7 2 4 4" xfId="6666"/>
    <cellStyle name="20% - Accent4 7 2 4 4 2" xfId="13869"/>
    <cellStyle name="20% - Accent4 7 2 4 5" xfId="7822"/>
    <cellStyle name="20% - Accent4 7 2 4 5 2" xfId="15002"/>
    <cellStyle name="20% - Accent4 7 2 4 6" xfId="9330"/>
    <cellStyle name="20% - Accent4 7 2 5" xfId="2237"/>
    <cellStyle name="20% - Accent4 7 2 5 2" xfId="4599"/>
    <cellStyle name="20% - Accent4 7 2 5 2 2" xfId="11897"/>
    <cellStyle name="20% - Accent4 7 2 5 3" xfId="5940"/>
    <cellStyle name="20% - Accent4 7 2 5 3 2" xfId="13177"/>
    <cellStyle name="20% - Accent4 7 2 5 4" xfId="7193"/>
    <cellStyle name="20% - Accent4 7 2 5 4 2" xfId="14386"/>
    <cellStyle name="20% - Accent4 7 2 5 5" xfId="8303"/>
    <cellStyle name="20% - Accent4 7 2 5 5 2" xfId="15479"/>
    <cellStyle name="20% - Accent4 7 2 5 6" xfId="9811"/>
    <cellStyle name="20% - Accent4 7 2 6" xfId="3090"/>
    <cellStyle name="20% - Accent4 7 2 6 2" xfId="10487"/>
    <cellStyle name="20% - Accent4 7 2 7" xfId="2668"/>
    <cellStyle name="20% - Accent4 7 2 7 2" xfId="10168"/>
    <cellStyle name="20% - Accent4 7 2 8" xfId="2799"/>
    <cellStyle name="20% - Accent4 7 2 8 2" xfId="10247"/>
    <cellStyle name="20% - Accent4 7 2 9" xfId="3140"/>
    <cellStyle name="20% - Accent4 7 2 9 2" xfId="10537"/>
    <cellStyle name="20% - Accent4 7 3" xfId="773"/>
    <cellStyle name="20% - Accent4 7 3 2" xfId="1673"/>
    <cellStyle name="20% - Accent4 7 3 2 2" xfId="4063"/>
    <cellStyle name="20% - Accent4 7 3 2 2 2" xfId="11377"/>
    <cellStyle name="20% - Accent4 7 3 2 3" xfId="5425"/>
    <cellStyle name="20% - Accent4 7 3 2 3 2" xfId="12679"/>
    <cellStyle name="20% - Accent4 7 3 2 4" xfId="6697"/>
    <cellStyle name="20% - Accent4 7 3 2 4 2" xfId="13899"/>
    <cellStyle name="20% - Accent4 7 3 2 5" xfId="7852"/>
    <cellStyle name="20% - Accent4 7 3 2 5 2" xfId="15032"/>
    <cellStyle name="20% - Accent4 7 3 2 6" xfId="9360"/>
    <cellStyle name="20% - Accent4 7 3 3" xfId="1906"/>
    <cellStyle name="20% - Accent4 7 3 3 2" xfId="4289"/>
    <cellStyle name="20% - Accent4 7 3 3 2 2" xfId="11600"/>
    <cellStyle name="20% - Accent4 7 3 3 3" xfId="5645"/>
    <cellStyle name="20% - Accent4 7 3 3 3 2" xfId="12897"/>
    <cellStyle name="20% - Accent4 7 3 3 4" xfId="6914"/>
    <cellStyle name="20% - Accent4 7 3 3 4 2" xfId="14115"/>
    <cellStyle name="20% - Accent4 7 3 3 5" xfId="8058"/>
    <cellStyle name="20% - Accent4 7 3 3 5 2" xfId="15238"/>
    <cellStyle name="20% - Accent4 7 3 3 6" xfId="9566"/>
    <cellStyle name="20% - Accent4 7 3 4" xfId="2315"/>
    <cellStyle name="20% - Accent4 7 3 4 2" xfId="4677"/>
    <cellStyle name="20% - Accent4 7 3 4 2 2" xfId="11972"/>
    <cellStyle name="20% - Accent4 7 3 4 3" xfId="6018"/>
    <cellStyle name="20% - Accent4 7 3 4 3 2" xfId="13252"/>
    <cellStyle name="20% - Accent4 7 3 4 4" xfId="7271"/>
    <cellStyle name="20% - Accent4 7 3 4 4 2" xfId="14461"/>
    <cellStyle name="20% - Accent4 7 3 4 5" xfId="8378"/>
    <cellStyle name="20% - Accent4 7 3 4 5 2" xfId="15554"/>
    <cellStyle name="20% - Accent4 7 3 4 6" xfId="9886"/>
    <cellStyle name="20% - Accent4 7 3 5" xfId="3254"/>
    <cellStyle name="20% - Accent4 7 3 5 2" xfId="10627"/>
    <cellStyle name="20% - Accent4 7 3 6" xfId="2815"/>
    <cellStyle name="20% - Accent4 7 3 6 2" xfId="10255"/>
    <cellStyle name="20% - Accent4 7 3 7" xfId="3440"/>
    <cellStyle name="20% - Accent4 7 3 7 2" xfId="10802"/>
    <cellStyle name="20% - Accent4 7 3 8" xfId="4951"/>
    <cellStyle name="20% - Accent4 7 3 8 2" xfId="12239"/>
    <cellStyle name="20% - Accent4 7 3 9" xfId="8862"/>
    <cellStyle name="20% - Accent4 7 4" xfId="1440"/>
    <cellStyle name="20% - Accent4 7 4 2" xfId="3837"/>
    <cellStyle name="20% - Accent4 7 4 2 2" xfId="11158"/>
    <cellStyle name="20% - Accent4 7 4 3" xfId="5205"/>
    <cellStyle name="20% - Accent4 7 4 3 2" xfId="12467"/>
    <cellStyle name="20% - Accent4 7 4 4" xfId="6481"/>
    <cellStyle name="20% - Accent4 7 4 4 2" xfId="13690"/>
    <cellStyle name="20% - Accent4 7 4 5" xfId="7649"/>
    <cellStyle name="20% - Accent4 7 4 5 2" xfId="14829"/>
    <cellStyle name="20% - Accent4 7 4 6" xfId="9157"/>
    <cellStyle name="20% - Accent4 7 5" xfId="1314"/>
    <cellStyle name="20% - Accent4 7 5 2" xfId="3728"/>
    <cellStyle name="20% - Accent4 7 5 2 2" xfId="11062"/>
    <cellStyle name="20% - Accent4 7 5 3" xfId="5116"/>
    <cellStyle name="20% - Accent4 7 5 3 2" xfId="12388"/>
    <cellStyle name="20% - Accent4 7 5 4" xfId="6415"/>
    <cellStyle name="20% - Accent4 7 5 4 2" xfId="13629"/>
    <cellStyle name="20% - Accent4 7 5 5" xfId="7604"/>
    <cellStyle name="20% - Accent4 7 5 5 2" xfId="14788"/>
    <cellStyle name="20% - Accent4 7 5 6" xfId="9112"/>
    <cellStyle name="20% - Accent4 7 6" xfId="2174"/>
    <cellStyle name="20% - Accent4 7 6 2" xfId="4536"/>
    <cellStyle name="20% - Accent4 7 6 2 2" xfId="11835"/>
    <cellStyle name="20% - Accent4 7 6 3" xfId="5878"/>
    <cellStyle name="20% - Accent4 7 6 3 2" xfId="13115"/>
    <cellStyle name="20% - Accent4 7 6 4" xfId="7131"/>
    <cellStyle name="20% - Accent4 7 6 4 2" xfId="14324"/>
    <cellStyle name="20% - Accent4 7 6 5" xfId="8241"/>
    <cellStyle name="20% - Accent4 7 6 5 2" xfId="15417"/>
    <cellStyle name="20% - Accent4 7 6 6" xfId="9749"/>
    <cellStyle name="20% - Accent4 7 7" xfId="2890"/>
    <cellStyle name="20% - Accent4 7 7 2" xfId="10314"/>
    <cellStyle name="20% - Accent4 7 8" xfId="2943"/>
    <cellStyle name="20% - Accent4 7 8 2" xfId="10362"/>
    <cellStyle name="20% - Accent4 7 9" xfId="2658"/>
    <cellStyle name="20% - Accent4 7 9 2" xfId="10158"/>
    <cellStyle name="20% - Accent4 8" xfId="394"/>
    <cellStyle name="20% - Accent4 8 10" xfId="5027"/>
    <cellStyle name="20% - Accent4 8 10 2" xfId="12305"/>
    <cellStyle name="20% - Accent4 8 11" xfId="8734"/>
    <cellStyle name="20% - Accent4 8 2" xfId="599"/>
    <cellStyle name="20% - Accent4 8 2 10" xfId="8797"/>
    <cellStyle name="20% - Accent4 8 2 2" xfId="838"/>
    <cellStyle name="20% - Accent4 8 2 2 2" xfId="1738"/>
    <cellStyle name="20% - Accent4 8 2 2 2 2" xfId="4128"/>
    <cellStyle name="20% - Accent4 8 2 2 2 2 2" xfId="11442"/>
    <cellStyle name="20% - Accent4 8 2 2 2 3" xfId="5490"/>
    <cellStyle name="20% - Accent4 8 2 2 2 3 2" xfId="12744"/>
    <cellStyle name="20% - Accent4 8 2 2 2 4" xfId="6762"/>
    <cellStyle name="20% - Accent4 8 2 2 2 4 2" xfId="13964"/>
    <cellStyle name="20% - Accent4 8 2 2 2 5" xfId="7917"/>
    <cellStyle name="20% - Accent4 8 2 2 2 5 2" xfId="15097"/>
    <cellStyle name="20% - Accent4 8 2 2 2 6" xfId="9425"/>
    <cellStyle name="20% - Accent4 8 2 2 3" xfId="1971"/>
    <cellStyle name="20% - Accent4 8 2 2 3 2" xfId="4354"/>
    <cellStyle name="20% - Accent4 8 2 2 3 2 2" xfId="11665"/>
    <cellStyle name="20% - Accent4 8 2 2 3 3" xfId="5710"/>
    <cellStyle name="20% - Accent4 8 2 2 3 3 2" xfId="12962"/>
    <cellStyle name="20% - Accent4 8 2 2 3 4" xfId="6979"/>
    <cellStyle name="20% - Accent4 8 2 2 3 4 2" xfId="14180"/>
    <cellStyle name="20% - Accent4 8 2 2 3 5" xfId="8123"/>
    <cellStyle name="20% - Accent4 8 2 2 3 5 2" xfId="15303"/>
    <cellStyle name="20% - Accent4 8 2 2 3 6" xfId="9631"/>
    <cellStyle name="20% - Accent4 8 2 2 4" xfId="2380"/>
    <cellStyle name="20% - Accent4 8 2 2 4 2" xfId="4742"/>
    <cellStyle name="20% - Accent4 8 2 2 4 2 2" xfId="12037"/>
    <cellStyle name="20% - Accent4 8 2 2 4 3" xfId="6083"/>
    <cellStyle name="20% - Accent4 8 2 2 4 3 2" xfId="13317"/>
    <cellStyle name="20% - Accent4 8 2 2 4 4" xfId="7336"/>
    <cellStyle name="20% - Accent4 8 2 2 4 4 2" xfId="14526"/>
    <cellStyle name="20% - Accent4 8 2 2 4 5" xfId="8443"/>
    <cellStyle name="20% - Accent4 8 2 2 4 5 2" xfId="15619"/>
    <cellStyle name="20% - Accent4 8 2 2 4 6" xfId="9951"/>
    <cellStyle name="20% - Accent4 8 2 2 5" xfId="3319"/>
    <cellStyle name="20% - Accent4 8 2 2 5 2" xfId="10692"/>
    <cellStyle name="20% - Accent4 8 2 2 6" xfId="3080"/>
    <cellStyle name="20% - Accent4 8 2 2 6 2" xfId="10477"/>
    <cellStyle name="20% - Accent4 8 2 2 7" xfId="5597"/>
    <cellStyle name="20% - Accent4 8 2 2 7 2" xfId="12850"/>
    <cellStyle name="20% - Accent4 8 2 2 8" xfId="6866"/>
    <cellStyle name="20% - Accent4 8 2 2 8 2" xfId="14068"/>
    <cellStyle name="20% - Accent4 8 2 2 9" xfId="8927"/>
    <cellStyle name="20% - Accent4 8 2 3" xfId="1575"/>
    <cellStyle name="20% - Accent4 8 2 3 2" xfId="3966"/>
    <cellStyle name="20% - Accent4 8 2 3 2 2" xfId="11283"/>
    <cellStyle name="20% - Accent4 8 2 3 3" xfId="5332"/>
    <cellStyle name="20% - Accent4 8 2 3 3 2" xfId="12590"/>
    <cellStyle name="20% - Accent4 8 2 3 4" xfId="6605"/>
    <cellStyle name="20% - Accent4 8 2 3 4 2" xfId="13810"/>
    <cellStyle name="20% - Accent4 8 2 3 5" xfId="7764"/>
    <cellStyle name="20% - Accent4 8 2 3 5 2" xfId="14944"/>
    <cellStyle name="20% - Accent4 8 2 3 6" xfId="9272"/>
    <cellStyle name="20% - Accent4 8 2 4" xfId="1423"/>
    <cellStyle name="20% - Accent4 8 2 4 2" xfId="3820"/>
    <cellStyle name="20% - Accent4 8 2 4 2 2" xfId="11141"/>
    <cellStyle name="20% - Accent4 8 2 4 3" xfId="5190"/>
    <cellStyle name="20% - Accent4 8 2 4 3 2" xfId="12452"/>
    <cellStyle name="20% - Accent4 8 2 4 4" xfId="6466"/>
    <cellStyle name="20% - Accent4 8 2 4 4 2" xfId="13675"/>
    <cellStyle name="20% - Accent4 8 2 4 5" xfId="7635"/>
    <cellStyle name="20% - Accent4 8 2 4 5 2" xfId="14815"/>
    <cellStyle name="20% - Accent4 8 2 4 6" xfId="9143"/>
    <cellStyle name="20% - Accent4 8 2 5" xfId="2250"/>
    <cellStyle name="20% - Accent4 8 2 5 2" xfId="4612"/>
    <cellStyle name="20% - Accent4 8 2 5 2 2" xfId="11910"/>
    <cellStyle name="20% - Accent4 8 2 5 3" xfId="5953"/>
    <cellStyle name="20% - Accent4 8 2 5 3 2" xfId="13190"/>
    <cellStyle name="20% - Accent4 8 2 5 4" xfId="7206"/>
    <cellStyle name="20% - Accent4 8 2 5 4 2" xfId="14399"/>
    <cellStyle name="20% - Accent4 8 2 5 5" xfId="8316"/>
    <cellStyle name="20% - Accent4 8 2 5 5 2" xfId="15492"/>
    <cellStyle name="20% - Accent4 8 2 5 6" xfId="9824"/>
    <cellStyle name="20% - Accent4 8 2 6" xfId="3103"/>
    <cellStyle name="20% - Accent4 8 2 6 2" xfId="10500"/>
    <cellStyle name="20% - Accent4 8 2 7" xfId="3002"/>
    <cellStyle name="20% - Accent4 8 2 7 2" xfId="10415"/>
    <cellStyle name="20% - Accent4 8 2 8" xfId="4463"/>
    <cellStyle name="20% - Accent4 8 2 8 2" xfId="11771"/>
    <cellStyle name="20% - Accent4 8 2 9" xfId="5085"/>
    <cellStyle name="20% - Accent4 8 2 9 2" xfId="12358"/>
    <cellStyle name="20% - Accent4 8 3" xfId="786"/>
    <cellStyle name="20% - Accent4 8 3 2" xfId="1686"/>
    <cellStyle name="20% - Accent4 8 3 2 2" xfId="4076"/>
    <cellStyle name="20% - Accent4 8 3 2 2 2" xfId="11390"/>
    <cellStyle name="20% - Accent4 8 3 2 3" xfId="5438"/>
    <cellStyle name="20% - Accent4 8 3 2 3 2" xfId="12692"/>
    <cellStyle name="20% - Accent4 8 3 2 4" xfId="6710"/>
    <cellStyle name="20% - Accent4 8 3 2 4 2" xfId="13912"/>
    <cellStyle name="20% - Accent4 8 3 2 5" xfId="7865"/>
    <cellStyle name="20% - Accent4 8 3 2 5 2" xfId="15045"/>
    <cellStyle name="20% - Accent4 8 3 2 6" xfId="9373"/>
    <cellStyle name="20% - Accent4 8 3 3" xfId="1919"/>
    <cellStyle name="20% - Accent4 8 3 3 2" xfId="4302"/>
    <cellStyle name="20% - Accent4 8 3 3 2 2" xfId="11613"/>
    <cellStyle name="20% - Accent4 8 3 3 3" xfId="5658"/>
    <cellStyle name="20% - Accent4 8 3 3 3 2" xfId="12910"/>
    <cellStyle name="20% - Accent4 8 3 3 4" xfId="6927"/>
    <cellStyle name="20% - Accent4 8 3 3 4 2" xfId="14128"/>
    <cellStyle name="20% - Accent4 8 3 3 5" xfId="8071"/>
    <cellStyle name="20% - Accent4 8 3 3 5 2" xfId="15251"/>
    <cellStyle name="20% - Accent4 8 3 3 6" xfId="9579"/>
    <cellStyle name="20% - Accent4 8 3 4" xfId="2328"/>
    <cellStyle name="20% - Accent4 8 3 4 2" xfId="4690"/>
    <cellStyle name="20% - Accent4 8 3 4 2 2" xfId="11985"/>
    <cellStyle name="20% - Accent4 8 3 4 3" xfId="6031"/>
    <cellStyle name="20% - Accent4 8 3 4 3 2" xfId="13265"/>
    <cellStyle name="20% - Accent4 8 3 4 4" xfId="7284"/>
    <cellStyle name="20% - Accent4 8 3 4 4 2" xfId="14474"/>
    <cellStyle name="20% - Accent4 8 3 4 5" xfId="8391"/>
    <cellStyle name="20% - Accent4 8 3 4 5 2" xfId="15567"/>
    <cellStyle name="20% - Accent4 8 3 4 6" xfId="9899"/>
    <cellStyle name="20% - Accent4 8 3 5" xfId="3267"/>
    <cellStyle name="20% - Accent4 8 3 5 2" xfId="10640"/>
    <cellStyle name="20% - Accent4 8 3 6" xfId="3384"/>
    <cellStyle name="20% - Accent4 8 3 6 2" xfId="10755"/>
    <cellStyle name="20% - Accent4 8 3 7" xfId="3797"/>
    <cellStyle name="20% - Accent4 8 3 7 2" xfId="11119"/>
    <cellStyle name="20% - Accent4 8 3 8" xfId="4488"/>
    <cellStyle name="20% - Accent4 8 3 8 2" xfId="11796"/>
    <cellStyle name="20% - Accent4 8 3 9" xfId="8875"/>
    <cellStyle name="20% - Accent4 8 4" xfId="1464"/>
    <cellStyle name="20% - Accent4 8 4 2" xfId="3859"/>
    <cellStyle name="20% - Accent4 8 4 2 2" xfId="11180"/>
    <cellStyle name="20% - Accent4 8 4 3" xfId="5229"/>
    <cellStyle name="20% - Accent4 8 4 3 2" xfId="12489"/>
    <cellStyle name="20% - Accent4 8 4 4" xfId="6503"/>
    <cellStyle name="20% - Accent4 8 4 4 2" xfId="13710"/>
    <cellStyle name="20% - Accent4 8 4 5" xfId="7667"/>
    <cellStyle name="20% - Accent4 8 4 5 2" xfId="14847"/>
    <cellStyle name="20% - Accent4 8 4 6" xfId="9175"/>
    <cellStyle name="20% - Accent4 8 5" xfId="1821"/>
    <cellStyle name="20% - Accent4 8 5 2" xfId="4207"/>
    <cellStyle name="20% - Accent4 8 5 2 2" xfId="11520"/>
    <cellStyle name="20% - Accent4 8 5 3" xfId="5566"/>
    <cellStyle name="20% - Accent4 8 5 3 2" xfId="12820"/>
    <cellStyle name="20% - Accent4 8 5 4" xfId="6836"/>
    <cellStyle name="20% - Accent4 8 5 4 2" xfId="14038"/>
    <cellStyle name="20% - Accent4 8 5 5" xfId="7986"/>
    <cellStyle name="20% - Accent4 8 5 5 2" xfId="15166"/>
    <cellStyle name="20% - Accent4 8 5 6" xfId="9494"/>
    <cellStyle name="20% - Accent4 8 6" xfId="2187"/>
    <cellStyle name="20% - Accent4 8 6 2" xfId="4549"/>
    <cellStyle name="20% - Accent4 8 6 2 2" xfId="11848"/>
    <cellStyle name="20% - Accent4 8 6 3" xfId="5891"/>
    <cellStyle name="20% - Accent4 8 6 3 2" xfId="13128"/>
    <cellStyle name="20% - Accent4 8 6 4" xfId="7144"/>
    <cellStyle name="20% - Accent4 8 6 4 2" xfId="14337"/>
    <cellStyle name="20% - Accent4 8 6 5" xfId="8254"/>
    <cellStyle name="20% - Accent4 8 6 5 2" xfId="15430"/>
    <cellStyle name="20% - Accent4 8 6 6" xfId="9762"/>
    <cellStyle name="20% - Accent4 8 7" xfId="2926"/>
    <cellStyle name="20% - Accent4 8 7 2" xfId="10348"/>
    <cellStyle name="20% - Accent4 8 8" xfId="2940"/>
    <cellStyle name="20% - Accent4 8 8 2" xfId="10359"/>
    <cellStyle name="20% - Accent4 8 9" xfId="3520"/>
    <cellStyle name="20% - Accent4 8 9 2" xfId="10874"/>
    <cellStyle name="20% - Accent4 9" xfId="435"/>
    <cellStyle name="20% - Accent4 9 10" xfId="4950"/>
    <cellStyle name="20% - Accent4 9 10 2" xfId="12238"/>
    <cellStyle name="20% - Accent4 9 11" xfId="8747"/>
    <cellStyle name="20% - Accent4 9 2" xfId="612"/>
    <cellStyle name="20% - Accent4 9 2 10" xfId="8810"/>
    <cellStyle name="20% - Accent4 9 2 2" xfId="851"/>
    <cellStyle name="20% - Accent4 9 2 2 2" xfId="1751"/>
    <cellStyle name="20% - Accent4 9 2 2 2 2" xfId="4141"/>
    <cellStyle name="20% - Accent4 9 2 2 2 2 2" xfId="11455"/>
    <cellStyle name="20% - Accent4 9 2 2 2 3" xfId="5503"/>
    <cellStyle name="20% - Accent4 9 2 2 2 3 2" xfId="12757"/>
    <cellStyle name="20% - Accent4 9 2 2 2 4" xfId="6775"/>
    <cellStyle name="20% - Accent4 9 2 2 2 4 2" xfId="13977"/>
    <cellStyle name="20% - Accent4 9 2 2 2 5" xfId="7930"/>
    <cellStyle name="20% - Accent4 9 2 2 2 5 2" xfId="15110"/>
    <cellStyle name="20% - Accent4 9 2 2 2 6" xfId="9438"/>
    <cellStyle name="20% - Accent4 9 2 2 3" xfId="1984"/>
    <cellStyle name="20% - Accent4 9 2 2 3 2" xfId="4367"/>
    <cellStyle name="20% - Accent4 9 2 2 3 2 2" xfId="11678"/>
    <cellStyle name="20% - Accent4 9 2 2 3 3" xfId="5723"/>
    <cellStyle name="20% - Accent4 9 2 2 3 3 2" xfId="12975"/>
    <cellStyle name="20% - Accent4 9 2 2 3 4" xfId="6992"/>
    <cellStyle name="20% - Accent4 9 2 2 3 4 2" xfId="14193"/>
    <cellStyle name="20% - Accent4 9 2 2 3 5" xfId="8136"/>
    <cellStyle name="20% - Accent4 9 2 2 3 5 2" xfId="15316"/>
    <cellStyle name="20% - Accent4 9 2 2 3 6" xfId="9644"/>
    <cellStyle name="20% - Accent4 9 2 2 4" xfId="2393"/>
    <cellStyle name="20% - Accent4 9 2 2 4 2" xfId="4755"/>
    <cellStyle name="20% - Accent4 9 2 2 4 2 2" xfId="12050"/>
    <cellStyle name="20% - Accent4 9 2 2 4 3" xfId="6096"/>
    <cellStyle name="20% - Accent4 9 2 2 4 3 2" xfId="13330"/>
    <cellStyle name="20% - Accent4 9 2 2 4 4" xfId="7349"/>
    <cellStyle name="20% - Accent4 9 2 2 4 4 2" xfId="14539"/>
    <cellStyle name="20% - Accent4 9 2 2 4 5" xfId="8456"/>
    <cellStyle name="20% - Accent4 9 2 2 4 5 2" xfId="15632"/>
    <cellStyle name="20% - Accent4 9 2 2 4 6" xfId="9964"/>
    <cellStyle name="20% - Accent4 9 2 2 5" xfId="3332"/>
    <cellStyle name="20% - Accent4 9 2 2 5 2" xfId="10705"/>
    <cellStyle name="20% - Accent4 9 2 2 6" xfId="3708"/>
    <cellStyle name="20% - Accent4 9 2 2 6 2" xfId="11042"/>
    <cellStyle name="20% - Accent4 9 2 2 7" xfId="2907"/>
    <cellStyle name="20% - Accent4 9 2 2 7 2" xfId="10331"/>
    <cellStyle name="20% - Accent4 9 2 2 8" xfId="2953"/>
    <cellStyle name="20% - Accent4 9 2 2 8 2" xfId="10371"/>
    <cellStyle name="20% - Accent4 9 2 2 9" xfId="8940"/>
    <cellStyle name="20% - Accent4 9 2 3" xfId="1588"/>
    <cellStyle name="20% - Accent4 9 2 3 2" xfId="3979"/>
    <cellStyle name="20% - Accent4 9 2 3 2 2" xfId="11296"/>
    <cellStyle name="20% - Accent4 9 2 3 3" xfId="5345"/>
    <cellStyle name="20% - Accent4 9 2 3 3 2" xfId="12603"/>
    <cellStyle name="20% - Accent4 9 2 3 4" xfId="6618"/>
    <cellStyle name="20% - Accent4 9 2 3 4 2" xfId="13823"/>
    <cellStyle name="20% - Accent4 9 2 3 5" xfId="7777"/>
    <cellStyle name="20% - Accent4 9 2 3 5 2" xfId="14957"/>
    <cellStyle name="20% - Accent4 9 2 3 6" xfId="9285"/>
    <cellStyle name="20% - Accent4 9 2 4" xfId="1632"/>
    <cellStyle name="20% - Accent4 9 2 4 2" xfId="4022"/>
    <cellStyle name="20% - Accent4 9 2 4 2 2" xfId="11337"/>
    <cellStyle name="20% - Accent4 9 2 4 3" xfId="5387"/>
    <cellStyle name="20% - Accent4 9 2 4 3 2" xfId="12642"/>
    <cellStyle name="20% - Accent4 9 2 4 4" xfId="6659"/>
    <cellStyle name="20% - Accent4 9 2 4 4 2" xfId="13862"/>
    <cellStyle name="20% - Accent4 9 2 4 5" xfId="7815"/>
    <cellStyle name="20% - Accent4 9 2 4 5 2" xfId="14995"/>
    <cellStyle name="20% - Accent4 9 2 4 6" xfId="9323"/>
    <cellStyle name="20% - Accent4 9 2 5" xfId="2263"/>
    <cellStyle name="20% - Accent4 9 2 5 2" xfId="4625"/>
    <cellStyle name="20% - Accent4 9 2 5 2 2" xfId="11923"/>
    <cellStyle name="20% - Accent4 9 2 5 3" xfId="5966"/>
    <cellStyle name="20% - Accent4 9 2 5 3 2" xfId="13203"/>
    <cellStyle name="20% - Accent4 9 2 5 4" xfId="7219"/>
    <cellStyle name="20% - Accent4 9 2 5 4 2" xfId="14412"/>
    <cellStyle name="20% - Accent4 9 2 5 5" xfId="8329"/>
    <cellStyle name="20% - Accent4 9 2 5 5 2" xfId="15505"/>
    <cellStyle name="20% - Accent4 9 2 5 6" xfId="9837"/>
    <cellStyle name="20% - Accent4 9 2 6" xfId="3116"/>
    <cellStyle name="20% - Accent4 9 2 6 2" xfId="10513"/>
    <cellStyle name="20% - Accent4 9 2 7" xfId="3597"/>
    <cellStyle name="20% - Accent4 9 2 7 2" xfId="10943"/>
    <cellStyle name="20% - Accent4 9 2 8" xfId="5060"/>
    <cellStyle name="20% - Accent4 9 2 8 2" xfId="12335"/>
    <cellStyle name="20% - Accent4 9 2 9" xfId="6370"/>
    <cellStyle name="20% - Accent4 9 2 9 2" xfId="13585"/>
    <cellStyle name="20% - Accent4 9 3" xfId="799"/>
    <cellStyle name="20% - Accent4 9 3 2" xfId="1699"/>
    <cellStyle name="20% - Accent4 9 3 2 2" xfId="4089"/>
    <cellStyle name="20% - Accent4 9 3 2 2 2" xfId="11403"/>
    <cellStyle name="20% - Accent4 9 3 2 3" xfId="5451"/>
    <cellStyle name="20% - Accent4 9 3 2 3 2" xfId="12705"/>
    <cellStyle name="20% - Accent4 9 3 2 4" xfId="6723"/>
    <cellStyle name="20% - Accent4 9 3 2 4 2" xfId="13925"/>
    <cellStyle name="20% - Accent4 9 3 2 5" xfId="7878"/>
    <cellStyle name="20% - Accent4 9 3 2 5 2" xfId="15058"/>
    <cellStyle name="20% - Accent4 9 3 2 6" xfId="9386"/>
    <cellStyle name="20% - Accent4 9 3 3" xfId="1932"/>
    <cellStyle name="20% - Accent4 9 3 3 2" xfId="4315"/>
    <cellStyle name="20% - Accent4 9 3 3 2 2" xfId="11626"/>
    <cellStyle name="20% - Accent4 9 3 3 3" xfId="5671"/>
    <cellStyle name="20% - Accent4 9 3 3 3 2" xfId="12923"/>
    <cellStyle name="20% - Accent4 9 3 3 4" xfId="6940"/>
    <cellStyle name="20% - Accent4 9 3 3 4 2" xfId="14141"/>
    <cellStyle name="20% - Accent4 9 3 3 5" xfId="8084"/>
    <cellStyle name="20% - Accent4 9 3 3 5 2" xfId="15264"/>
    <cellStyle name="20% - Accent4 9 3 3 6" xfId="9592"/>
    <cellStyle name="20% - Accent4 9 3 4" xfId="2341"/>
    <cellStyle name="20% - Accent4 9 3 4 2" xfId="4703"/>
    <cellStyle name="20% - Accent4 9 3 4 2 2" xfId="11998"/>
    <cellStyle name="20% - Accent4 9 3 4 3" xfId="6044"/>
    <cellStyle name="20% - Accent4 9 3 4 3 2" xfId="13278"/>
    <cellStyle name="20% - Accent4 9 3 4 4" xfId="7297"/>
    <cellStyle name="20% - Accent4 9 3 4 4 2" xfId="14487"/>
    <cellStyle name="20% - Accent4 9 3 4 5" xfId="8404"/>
    <cellStyle name="20% - Accent4 9 3 4 5 2" xfId="15580"/>
    <cellStyle name="20% - Accent4 9 3 4 6" xfId="9912"/>
    <cellStyle name="20% - Accent4 9 3 5" xfId="3280"/>
    <cellStyle name="20% - Accent4 9 3 5 2" xfId="10653"/>
    <cellStyle name="20% - Accent4 9 3 6" xfId="2634"/>
    <cellStyle name="20% - Accent4 9 3 6 2" xfId="10137"/>
    <cellStyle name="20% - Accent4 9 3 7" xfId="3437"/>
    <cellStyle name="20% - Accent4 9 3 7 2" xfId="10799"/>
    <cellStyle name="20% - Accent4 9 3 8" xfId="3243"/>
    <cellStyle name="20% - Accent4 9 3 8 2" xfId="10616"/>
    <cellStyle name="20% - Accent4 9 3 9" xfId="8888"/>
    <cellStyle name="20% - Accent4 9 4" xfId="1486"/>
    <cellStyle name="20% - Accent4 9 4 2" xfId="3880"/>
    <cellStyle name="20% - Accent4 9 4 2 2" xfId="11200"/>
    <cellStyle name="20% - Accent4 9 4 3" xfId="5249"/>
    <cellStyle name="20% - Accent4 9 4 3 2" xfId="12509"/>
    <cellStyle name="20% - Accent4 9 4 4" xfId="6522"/>
    <cellStyle name="20% - Accent4 9 4 4 2" xfId="13729"/>
    <cellStyle name="20% - Accent4 9 4 5" xfId="7684"/>
    <cellStyle name="20% - Accent4 9 4 5 2" xfId="14864"/>
    <cellStyle name="20% - Accent4 9 4 6" xfId="9192"/>
    <cellStyle name="20% - Accent4 9 5" xfId="1306"/>
    <cellStyle name="20% - Accent4 9 5 2" xfId="3720"/>
    <cellStyle name="20% - Accent4 9 5 2 2" xfId="11054"/>
    <cellStyle name="20% - Accent4 9 5 3" xfId="5108"/>
    <cellStyle name="20% - Accent4 9 5 3 2" xfId="12380"/>
    <cellStyle name="20% - Accent4 9 5 4" xfId="6407"/>
    <cellStyle name="20% - Accent4 9 5 4 2" xfId="13621"/>
    <cellStyle name="20% - Accent4 9 5 5" xfId="7596"/>
    <cellStyle name="20% - Accent4 9 5 5 2" xfId="14780"/>
    <cellStyle name="20% - Accent4 9 5 6" xfId="9104"/>
    <cellStyle name="20% - Accent4 9 6" xfId="2200"/>
    <cellStyle name="20% - Accent4 9 6 2" xfId="4562"/>
    <cellStyle name="20% - Accent4 9 6 2 2" xfId="11861"/>
    <cellStyle name="20% - Accent4 9 6 3" xfId="5904"/>
    <cellStyle name="20% - Accent4 9 6 3 2" xfId="13141"/>
    <cellStyle name="20% - Accent4 9 6 4" xfId="7157"/>
    <cellStyle name="20% - Accent4 9 6 4 2" xfId="14350"/>
    <cellStyle name="20% - Accent4 9 6 5" xfId="8267"/>
    <cellStyle name="20% - Accent4 9 6 5 2" xfId="15443"/>
    <cellStyle name="20% - Accent4 9 6 6" xfId="9775"/>
    <cellStyle name="20% - Accent4 9 7" xfId="2962"/>
    <cellStyle name="20% - Accent4 9 7 2" xfId="10380"/>
    <cellStyle name="20% - Accent4 9 8" xfId="2834"/>
    <cellStyle name="20% - Accent4 9 8 2" xfId="10263"/>
    <cellStyle name="20% - Accent4 9 9" xfId="3439"/>
    <cellStyle name="20% - Accent4 9 9 2" xfId="10801"/>
    <cellStyle name="20% - Accent5" xfId="19" builtinId="46" customBuiltin="1"/>
    <cellStyle name="20% - Accent5 10" xfId="481"/>
    <cellStyle name="20% - Accent5 10 10" xfId="2832"/>
    <cellStyle name="20% - Accent5 10 10 2" xfId="10262"/>
    <cellStyle name="20% - Accent5 10 11" xfId="8763"/>
    <cellStyle name="20% - Accent5 10 2" xfId="627"/>
    <cellStyle name="20% - Accent5 10 2 10" xfId="8825"/>
    <cellStyle name="20% - Accent5 10 2 2" xfId="866"/>
    <cellStyle name="20% - Accent5 10 2 2 2" xfId="1766"/>
    <cellStyle name="20% - Accent5 10 2 2 2 2" xfId="4156"/>
    <cellStyle name="20% - Accent5 10 2 2 2 2 2" xfId="11470"/>
    <cellStyle name="20% - Accent5 10 2 2 2 3" xfId="5518"/>
    <cellStyle name="20% - Accent5 10 2 2 2 3 2" xfId="12772"/>
    <cellStyle name="20% - Accent5 10 2 2 2 4" xfId="6790"/>
    <cellStyle name="20% - Accent5 10 2 2 2 4 2" xfId="13992"/>
    <cellStyle name="20% - Accent5 10 2 2 2 5" xfId="7945"/>
    <cellStyle name="20% - Accent5 10 2 2 2 5 2" xfId="15125"/>
    <cellStyle name="20% - Accent5 10 2 2 2 6" xfId="9453"/>
    <cellStyle name="20% - Accent5 10 2 2 3" xfId="1999"/>
    <cellStyle name="20% - Accent5 10 2 2 3 2" xfId="4382"/>
    <cellStyle name="20% - Accent5 10 2 2 3 2 2" xfId="11693"/>
    <cellStyle name="20% - Accent5 10 2 2 3 3" xfId="5738"/>
    <cellStyle name="20% - Accent5 10 2 2 3 3 2" xfId="12990"/>
    <cellStyle name="20% - Accent5 10 2 2 3 4" xfId="7007"/>
    <cellStyle name="20% - Accent5 10 2 2 3 4 2" xfId="14208"/>
    <cellStyle name="20% - Accent5 10 2 2 3 5" xfId="8151"/>
    <cellStyle name="20% - Accent5 10 2 2 3 5 2" xfId="15331"/>
    <cellStyle name="20% - Accent5 10 2 2 3 6" xfId="9659"/>
    <cellStyle name="20% - Accent5 10 2 2 4" xfId="2408"/>
    <cellStyle name="20% - Accent5 10 2 2 4 2" xfId="4770"/>
    <cellStyle name="20% - Accent5 10 2 2 4 2 2" xfId="12065"/>
    <cellStyle name="20% - Accent5 10 2 2 4 3" xfId="6111"/>
    <cellStyle name="20% - Accent5 10 2 2 4 3 2" xfId="13345"/>
    <cellStyle name="20% - Accent5 10 2 2 4 4" xfId="7364"/>
    <cellStyle name="20% - Accent5 10 2 2 4 4 2" xfId="14554"/>
    <cellStyle name="20% - Accent5 10 2 2 4 5" xfId="8471"/>
    <cellStyle name="20% - Accent5 10 2 2 4 5 2" xfId="15647"/>
    <cellStyle name="20% - Accent5 10 2 2 4 6" xfId="9979"/>
    <cellStyle name="20% - Accent5 10 2 2 5" xfId="3347"/>
    <cellStyle name="20% - Accent5 10 2 2 5 2" xfId="10720"/>
    <cellStyle name="20% - Accent5 10 2 2 6" xfId="4473"/>
    <cellStyle name="20% - Accent5 10 2 2 6 2" xfId="11781"/>
    <cellStyle name="20% - Accent5 10 2 2 7" xfId="5095"/>
    <cellStyle name="20% - Accent5 10 2 2 7 2" xfId="12367"/>
    <cellStyle name="20% - Accent5 10 2 2 8" xfId="6394"/>
    <cellStyle name="20% - Accent5 10 2 2 8 2" xfId="13608"/>
    <cellStyle name="20% - Accent5 10 2 2 9" xfId="8955"/>
    <cellStyle name="20% - Accent5 10 2 3" xfId="1603"/>
    <cellStyle name="20% - Accent5 10 2 3 2" xfId="3994"/>
    <cellStyle name="20% - Accent5 10 2 3 2 2" xfId="11311"/>
    <cellStyle name="20% - Accent5 10 2 3 3" xfId="5360"/>
    <cellStyle name="20% - Accent5 10 2 3 3 2" xfId="12618"/>
    <cellStyle name="20% - Accent5 10 2 3 4" xfId="6633"/>
    <cellStyle name="20% - Accent5 10 2 3 4 2" xfId="13838"/>
    <cellStyle name="20% - Accent5 10 2 3 5" xfId="7792"/>
    <cellStyle name="20% - Accent5 10 2 3 5 2" xfId="14972"/>
    <cellStyle name="20% - Accent5 10 2 3 6" xfId="9300"/>
    <cellStyle name="20% - Accent5 10 2 4" xfId="1517"/>
    <cellStyle name="20% - Accent5 10 2 4 2" xfId="3910"/>
    <cellStyle name="20% - Accent5 10 2 4 2 2" xfId="11228"/>
    <cellStyle name="20% - Accent5 10 2 4 3" xfId="5277"/>
    <cellStyle name="20% - Accent5 10 2 4 3 2" xfId="12536"/>
    <cellStyle name="20% - Accent5 10 2 4 4" xfId="6550"/>
    <cellStyle name="20% - Accent5 10 2 4 4 2" xfId="13756"/>
    <cellStyle name="20% - Accent5 10 2 4 5" xfId="7710"/>
    <cellStyle name="20% - Accent5 10 2 4 5 2" xfId="14890"/>
    <cellStyle name="20% - Accent5 10 2 4 6" xfId="9218"/>
    <cellStyle name="20% - Accent5 10 2 5" xfId="2278"/>
    <cellStyle name="20% - Accent5 10 2 5 2" xfId="4640"/>
    <cellStyle name="20% - Accent5 10 2 5 2 2" xfId="11938"/>
    <cellStyle name="20% - Accent5 10 2 5 3" xfId="5981"/>
    <cellStyle name="20% - Accent5 10 2 5 3 2" xfId="13218"/>
    <cellStyle name="20% - Accent5 10 2 5 4" xfId="7234"/>
    <cellStyle name="20% - Accent5 10 2 5 4 2" xfId="14427"/>
    <cellStyle name="20% - Accent5 10 2 5 5" xfId="8344"/>
    <cellStyle name="20% - Accent5 10 2 5 5 2" xfId="15520"/>
    <cellStyle name="20% - Accent5 10 2 5 6" xfId="9852"/>
    <cellStyle name="20% - Accent5 10 2 6" xfId="3131"/>
    <cellStyle name="20% - Accent5 10 2 6 2" xfId="10528"/>
    <cellStyle name="20% - Accent5 10 2 7" xfId="2661"/>
    <cellStyle name="20% - Accent5 10 2 7 2" xfId="10161"/>
    <cellStyle name="20% - Accent5 10 2 8" xfId="3410"/>
    <cellStyle name="20% - Accent5 10 2 8 2" xfId="10776"/>
    <cellStyle name="20% - Accent5 10 2 9" xfId="3176"/>
    <cellStyle name="20% - Accent5 10 2 9 2" xfId="10564"/>
    <cellStyle name="20% - Accent5 10 3" xfId="814"/>
    <cellStyle name="20% - Accent5 10 3 2" xfId="1714"/>
    <cellStyle name="20% - Accent5 10 3 2 2" xfId="4104"/>
    <cellStyle name="20% - Accent5 10 3 2 2 2" xfId="11418"/>
    <cellStyle name="20% - Accent5 10 3 2 3" xfId="5466"/>
    <cellStyle name="20% - Accent5 10 3 2 3 2" xfId="12720"/>
    <cellStyle name="20% - Accent5 10 3 2 4" xfId="6738"/>
    <cellStyle name="20% - Accent5 10 3 2 4 2" xfId="13940"/>
    <cellStyle name="20% - Accent5 10 3 2 5" xfId="7893"/>
    <cellStyle name="20% - Accent5 10 3 2 5 2" xfId="15073"/>
    <cellStyle name="20% - Accent5 10 3 2 6" xfId="9401"/>
    <cellStyle name="20% - Accent5 10 3 3" xfId="1947"/>
    <cellStyle name="20% - Accent5 10 3 3 2" xfId="4330"/>
    <cellStyle name="20% - Accent5 10 3 3 2 2" xfId="11641"/>
    <cellStyle name="20% - Accent5 10 3 3 3" xfId="5686"/>
    <cellStyle name="20% - Accent5 10 3 3 3 2" xfId="12938"/>
    <cellStyle name="20% - Accent5 10 3 3 4" xfId="6955"/>
    <cellStyle name="20% - Accent5 10 3 3 4 2" xfId="14156"/>
    <cellStyle name="20% - Accent5 10 3 3 5" xfId="8099"/>
    <cellStyle name="20% - Accent5 10 3 3 5 2" xfId="15279"/>
    <cellStyle name="20% - Accent5 10 3 3 6" xfId="9607"/>
    <cellStyle name="20% - Accent5 10 3 4" xfId="2356"/>
    <cellStyle name="20% - Accent5 10 3 4 2" xfId="4718"/>
    <cellStyle name="20% - Accent5 10 3 4 2 2" xfId="12013"/>
    <cellStyle name="20% - Accent5 10 3 4 3" xfId="6059"/>
    <cellStyle name="20% - Accent5 10 3 4 3 2" xfId="13293"/>
    <cellStyle name="20% - Accent5 10 3 4 4" xfId="7312"/>
    <cellStyle name="20% - Accent5 10 3 4 4 2" xfId="14502"/>
    <cellStyle name="20% - Accent5 10 3 4 5" xfId="8419"/>
    <cellStyle name="20% - Accent5 10 3 4 5 2" xfId="15595"/>
    <cellStyle name="20% - Accent5 10 3 4 6" xfId="9927"/>
    <cellStyle name="20% - Accent5 10 3 5" xfId="3295"/>
    <cellStyle name="20% - Accent5 10 3 5 2" xfId="10668"/>
    <cellStyle name="20% - Accent5 10 3 6" xfId="3807"/>
    <cellStyle name="20% - Accent5 10 3 6 2" xfId="11129"/>
    <cellStyle name="20% - Accent5 10 3 7" xfId="3613"/>
    <cellStyle name="20% - Accent5 10 3 7 2" xfId="10956"/>
    <cellStyle name="20% - Accent5 10 3 8" xfId="6254"/>
    <cellStyle name="20% - Accent5 10 3 8 2" xfId="13482"/>
    <cellStyle name="20% - Accent5 10 3 9" xfId="8903"/>
    <cellStyle name="20% - Accent5 10 4" xfId="1513"/>
    <cellStyle name="20% - Accent5 10 4 2" xfId="3906"/>
    <cellStyle name="20% - Accent5 10 4 2 2" xfId="11224"/>
    <cellStyle name="20% - Accent5 10 4 3" xfId="5273"/>
    <cellStyle name="20% - Accent5 10 4 3 2" xfId="12532"/>
    <cellStyle name="20% - Accent5 10 4 4" xfId="6546"/>
    <cellStyle name="20% - Accent5 10 4 4 2" xfId="13752"/>
    <cellStyle name="20% - Accent5 10 4 5" xfId="7706"/>
    <cellStyle name="20% - Accent5 10 4 5 2" xfId="14886"/>
    <cellStyle name="20% - Accent5 10 4 6" xfId="9214"/>
    <cellStyle name="20% - Accent5 10 5" xfId="1300"/>
    <cellStyle name="20% - Accent5 10 5 2" xfId="3714"/>
    <cellStyle name="20% - Accent5 10 5 2 2" xfId="11048"/>
    <cellStyle name="20% - Accent5 10 5 3" xfId="5102"/>
    <cellStyle name="20% - Accent5 10 5 3 2" xfId="12374"/>
    <cellStyle name="20% - Accent5 10 5 4" xfId="6401"/>
    <cellStyle name="20% - Accent5 10 5 4 2" xfId="13615"/>
    <cellStyle name="20% - Accent5 10 5 5" xfId="7590"/>
    <cellStyle name="20% - Accent5 10 5 5 2" xfId="14774"/>
    <cellStyle name="20% - Accent5 10 5 6" xfId="9098"/>
    <cellStyle name="20% - Accent5 10 6" xfId="2216"/>
    <cellStyle name="20% - Accent5 10 6 2" xfId="4578"/>
    <cellStyle name="20% - Accent5 10 6 2 2" xfId="11876"/>
    <cellStyle name="20% - Accent5 10 6 3" xfId="5919"/>
    <cellStyle name="20% - Accent5 10 6 3 2" xfId="13156"/>
    <cellStyle name="20% - Accent5 10 6 4" xfId="7172"/>
    <cellStyle name="20% - Accent5 10 6 4 2" xfId="14365"/>
    <cellStyle name="20% - Accent5 10 6 5" xfId="8282"/>
    <cellStyle name="20% - Accent5 10 6 5 2" xfId="15458"/>
    <cellStyle name="20% - Accent5 10 6 6" xfId="9790"/>
    <cellStyle name="20% - Accent5 10 7" xfId="3003"/>
    <cellStyle name="20% - Accent5 10 7 2" xfId="10416"/>
    <cellStyle name="20% - Accent5 10 8" xfId="4915"/>
    <cellStyle name="20% - Accent5 10 8 2" xfId="12205"/>
    <cellStyle name="20% - Accent5 10 9" xfId="3757"/>
    <cellStyle name="20% - Accent5 10 9 2" xfId="11084"/>
    <cellStyle name="20% - Accent5 11" xfId="665"/>
    <cellStyle name="20% - Accent5 11 10" xfId="8838"/>
    <cellStyle name="20% - Accent5 11 2" xfId="879"/>
    <cellStyle name="20% - Accent5 11 2 2" xfId="1779"/>
    <cellStyle name="20% - Accent5 11 2 2 2" xfId="4169"/>
    <cellStyle name="20% - Accent5 11 2 2 2 2" xfId="11483"/>
    <cellStyle name="20% - Accent5 11 2 2 3" xfId="5531"/>
    <cellStyle name="20% - Accent5 11 2 2 3 2" xfId="12785"/>
    <cellStyle name="20% - Accent5 11 2 2 4" xfId="6803"/>
    <cellStyle name="20% - Accent5 11 2 2 4 2" xfId="14005"/>
    <cellStyle name="20% - Accent5 11 2 2 5" xfId="7958"/>
    <cellStyle name="20% - Accent5 11 2 2 5 2" xfId="15138"/>
    <cellStyle name="20% - Accent5 11 2 2 6" xfId="9466"/>
    <cellStyle name="20% - Accent5 11 2 3" xfId="2012"/>
    <cellStyle name="20% - Accent5 11 2 3 2" xfId="4395"/>
    <cellStyle name="20% - Accent5 11 2 3 2 2" xfId="11706"/>
    <cellStyle name="20% - Accent5 11 2 3 3" xfId="5751"/>
    <cellStyle name="20% - Accent5 11 2 3 3 2" xfId="13003"/>
    <cellStyle name="20% - Accent5 11 2 3 4" xfId="7020"/>
    <cellStyle name="20% - Accent5 11 2 3 4 2" xfId="14221"/>
    <cellStyle name="20% - Accent5 11 2 3 5" xfId="8164"/>
    <cellStyle name="20% - Accent5 11 2 3 5 2" xfId="15344"/>
    <cellStyle name="20% - Accent5 11 2 3 6" xfId="9672"/>
    <cellStyle name="20% - Accent5 11 2 4" xfId="2421"/>
    <cellStyle name="20% - Accent5 11 2 4 2" xfId="4783"/>
    <cellStyle name="20% - Accent5 11 2 4 2 2" xfId="12078"/>
    <cellStyle name="20% - Accent5 11 2 4 3" xfId="6124"/>
    <cellStyle name="20% - Accent5 11 2 4 3 2" xfId="13358"/>
    <cellStyle name="20% - Accent5 11 2 4 4" xfId="7377"/>
    <cellStyle name="20% - Accent5 11 2 4 4 2" xfId="14567"/>
    <cellStyle name="20% - Accent5 11 2 4 5" xfId="8484"/>
    <cellStyle name="20% - Accent5 11 2 4 5 2" xfId="15660"/>
    <cellStyle name="20% - Accent5 11 2 4 6" xfId="9992"/>
    <cellStyle name="20% - Accent5 11 2 5" xfId="3360"/>
    <cellStyle name="20% - Accent5 11 2 5 2" xfId="10733"/>
    <cellStyle name="20% - Accent5 11 2 6" xfId="3868"/>
    <cellStyle name="20% - Accent5 11 2 6 2" xfId="11189"/>
    <cellStyle name="20% - Accent5 11 2 7" xfId="2900"/>
    <cellStyle name="20% - Accent5 11 2 7 2" xfId="10324"/>
    <cellStyle name="20% - Accent5 11 2 8" xfId="2706"/>
    <cellStyle name="20% - Accent5 11 2 8 2" xfId="10201"/>
    <cellStyle name="20% - Accent5 11 2 9" xfId="8968"/>
    <cellStyle name="20% - Accent5 11 3" xfId="1620"/>
    <cellStyle name="20% - Accent5 11 3 2" xfId="4011"/>
    <cellStyle name="20% - Accent5 11 3 2 2" xfId="11328"/>
    <cellStyle name="20% - Accent5 11 3 3" xfId="5375"/>
    <cellStyle name="20% - Accent5 11 3 3 2" xfId="12633"/>
    <cellStyle name="20% - Accent5 11 3 4" xfId="6648"/>
    <cellStyle name="20% - Accent5 11 3 4 2" xfId="13853"/>
    <cellStyle name="20% - Accent5 11 3 5" xfId="7806"/>
    <cellStyle name="20% - Accent5 11 3 5 2" xfId="14986"/>
    <cellStyle name="20% - Accent5 11 3 6" xfId="9314"/>
    <cellStyle name="20% - Accent5 11 4" xfId="1882"/>
    <cellStyle name="20% - Accent5 11 4 2" xfId="4267"/>
    <cellStyle name="20% - Accent5 11 4 2 2" xfId="11579"/>
    <cellStyle name="20% - Accent5 11 4 3" xfId="5623"/>
    <cellStyle name="20% - Accent5 11 4 3 2" xfId="12876"/>
    <cellStyle name="20% - Accent5 11 4 4" xfId="6892"/>
    <cellStyle name="20% - Accent5 11 4 4 2" xfId="14094"/>
    <cellStyle name="20% - Accent5 11 4 5" xfId="8037"/>
    <cellStyle name="20% - Accent5 11 4 5 2" xfId="15217"/>
    <cellStyle name="20% - Accent5 11 4 6" xfId="9545"/>
    <cellStyle name="20% - Accent5 11 5" xfId="2291"/>
    <cellStyle name="20% - Accent5 11 5 2" xfId="4653"/>
    <cellStyle name="20% - Accent5 11 5 2 2" xfId="11951"/>
    <cellStyle name="20% - Accent5 11 5 3" xfId="5994"/>
    <cellStyle name="20% - Accent5 11 5 3 2" xfId="13231"/>
    <cellStyle name="20% - Accent5 11 5 4" xfId="7247"/>
    <cellStyle name="20% - Accent5 11 5 4 2" xfId="14440"/>
    <cellStyle name="20% - Accent5 11 5 5" xfId="8357"/>
    <cellStyle name="20% - Accent5 11 5 5 2" xfId="15533"/>
    <cellStyle name="20% - Accent5 11 5 6" xfId="9865"/>
    <cellStyle name="20% - Accent5 11 6" xfId="3166"/>
    <cellStyle name="20% - Accent5 11 6 2" xfId="10558"/>
    <cellStyle name="20% - Accent5 11 7" xfId="2913"/>
    <cellStyle name="20% - Accent5 11 7 2" xfId="10336"/>
    <cellStyle name="20% - Accent5 11 8" xfId="3441"/>
    <cellStyle name="20% - Accent5 11 8 2" xfId="10803"/>
    <cellStyle name="20% - Accent5 11 9" xfId="4952"/>
    <cellStyle name="20% - Accent5 11 9 2" xfId="12240"/>
    <cellStyle name="20% - Accent5 12" xfId="917"/>
    <cellStyle name="20% - Accent5 12 2" xfId="1802"/>
    <cellStyle name="20% - Accent5 12 2 2" xfId="4191"/>
    <cellStyle name="20% - Accent5 12 2 2 2" xfId="11504"/>
    <cellStyle name="20% - Accent5 12 2 3" xfId="5551"/>
    <cellStyle name="20% - Accent5 12 2 3 2" xfId="12805"/>
    <cellStyle name="20% - Accent5 12 2 4" xfId="6823"/>
    <cellStyle name="20% - Accent5 12 2 4 2" xfId="14025"/>
    <cellStyle name="20% - Accent5 12 2 5" xfId="7974"/>
    <cellStyle name="20% - Accent5 12 2 5 2" xfId="15154"/>
    <cellStyle name="20% - Accent5 12 2 6" xfId="9482"/>
    <cellStyle name="20% - Accent5 12 3" xfId="2025"/>
    <cellStyle name="20% - Accent5 12 3 2" xfId="4408"/>
    <cellStyle name="20% - Accent5 12 3 2 2" xfId="11719"/>
    <cellStyle name="20% - Accent5 12 3 3" xfId="5764"/>
    <cellStyle name="20% - Accent5 12 3 3 2" xfId="13016"/>
    <cellStyle name="20% - Accent5 12 3 4" xfId="7033"/>
    <cellStyle name="20% - Accent5 12 3 4 2" xfId="14234"/>
    <cellStyle name="20% - Accent5 12 3 5" xfId="8177"/>
    <cellStyle name="20% - Accent5 12 3 5 2" xfId="15357"/>
    <cellStyle name="20% - Accent5 12 3 6" xfId="9685"/>
    <cellStyle name="20% - Accent5 12 4" xfId="2434"/>
    <cellStyle name="20% - Accent5 12 4 2" xfId="4796"/>
    <cellStyle name="20% - Accent5 12 4 2 2" xfId="12091"/>
    <cellStyle name="20% - Accent5 12 4 3" xfId="6137"/>
    <cellStyle name="20% - Accent5 12 4 3 2" xfId="13371"/>
    <cellStyle name="20% - Accent5 12 4 4" xfId="7390"/>
    <cellStyle name="20% - Accent5 12 4 4 2" xfId="14580"/>
    <cellStyle name="20% - Accent5 12 4 5" xfId="8497"/>
    <cellStyle name="20% - Accent5 12 4 5 2" xfId="15673"/>
    <cellStyle name="20% - Accent5 12 4 6" xfId="10005"/>
    <cellStyle name="20% - Accent5 12 5" xfId="3393"/>
    <cellStyle name="20% - Accent5 12 5 2" xfId="10764"/>
    <cellStyle name="20% - Accent5 12 6" xfId="3698"/>
    <cellStyle name="20% - Accent5 12 6 2" xfId="11032"/>
    <cellStyle name="20% - Accent5 12 7" xfId="3546"/>
    <cellStyle name="20% - Accent5 12 7 2" xfId="10897"/>
    <cellStyle name="20% - Accent5 12 8" xfId="3227"/>
    <cellStyle name="20% - Accent5 12 8 2" xfId="10602"/>
    <cellStyle name="20% - Accent5 12 9" xfId="8981"/>
    <cellStyle name="20% - Accent5 13" xfId="960"/>
    <cellStyle name="20% - Accent5 13 2" xfId="1827"/>
    <cellStyle name="20% - Accent5 13 2 2" xfId="4213"/>
    <cellStyle name="20% - Accent5 13 2 2 2" xfId="11526"/>
    <cellStyle name="20% - Accent5 13 2 3" xfId="5572"/>
    <cellStyle name="20% - Accent5 13 2 3 2" xfId="12826"/>
    <cellStyle name="20% - Accent5 13 2 4" xfId="6842"/>
    <cellStyle name="20% - Accent5 13 2 4 2" xfId="14044"/>
    <cellStyle name="20% - Accent5 13 2 5" xfId="7992"/>
    <cellStyle name="20% - Accent5 13 2 5 2" xfId="15172"/>
    <cellStyle name="20% - Accent5 13 2 6" xfId="9500"/>
    <cellStyle name="20% - Accent5 13 3" xfId="2040"/>
    <cellStyle name="20% - Accent5 13 3 2" xfId="4422"/>
    <cellStyle name="20% - Accent5 13 3 2 2" xfId="11732"/>
    <cellStyle name="20% - Accent5 13 3 3" xfId="5778"/>
    <cellStyle name="20% - Accent5 13 3 3 2" xfId="13029"/>
    <cellStyle name="20% - Accent5 13 3 4" xfId="7047"/>
    <cellStyle name="20% - Accent5 13 3 4 2" xfId="14247"/>
    <cellStyle name="20% - Accent5 13 3 5" xfId="8190"/>
    <cellStyle name="20% - Accent5 13 3 5 2" xfId="15370"/>
    <cellStyle name="20% - Accent5 13 3 6" xfId="9698"/>
    <cellStyle name="20% - Accent5 13 4" xfId="2449"/>
    <cellStyle name="20% - Accent5 13 4 2" xfId="4811"/>
    <cellStyle name="20% - Accent5 13 4 2 2" xfId="12104"/>
    <cellStyle name="20% - Accent5 13 4 3" xfId="6152"/>
    <cellStyle name="20% - Accent5 13 4 3 2" xfId="13384"/>
    <cellStyle name="20% - Accent5 13 4 4" xfId="7405"/>
    <cellStyle name="20% - Accent5 13 4 4 2" xfId="14593"/>
    <cellStyle name="20% - Accent5 13 4 5" xfId="8510"/>
    <cellStyle name="20% - Accent5 13 4 5 2" xfId="15686"/>
    <cellStyle name="20% - Accent5 13 4 6" xfId="10018"/>
    <cellStyle name="20% - Accent5 13 5" xfId="3429"/>
    <cellStyle name="20% - Accent5 13 5 2" xfId="10793"/>
    <cellStyle name="20% - Accent5 13 6" xfId="3895"/>
    <cellStyle name="20% - Accent5 13 6 2" xfId="11213"/>
    <cellStyle name="20% - Accent5 13 7" xfId="2649"/>
    <cellStyle name="20% - Accent5 13 7 2" xfId="10150"/>
    <cellStyle name="20% - Accent5 13 8" xfId="3577"/>
    <cellStyle name="20% - Accent5 13 8 2" xfId="10924"/>
    <cellStyle name="20% - Accent5 13 9" xfId="8996"/>
    <cellStyle name="20% - Accent5 14" xfId="1003"/>
    <cellStyle name="20% - Accent5 14 2" xfId="1850"/>
    <cellStyle name="20% - Accent5 14 2 2" xfId="4235"/>
    <cellStyle name="20% - Accent5 14 2 2 2" xfId="11548"/>
    <cellStyle name="20% - Accent5 14 2 3" xfId="5592"/>
    <cellStyle name="20% - Accent5 14 2 3 2" xfId="12845"/>
    <cellStyle name="20% - Accent5 14 2 4" xfId="6861"/>
    <cellStyle name="20% - Accent5 14 2 4 2" xfId="14063"/>
    <cellStyle name="20% - Accent5 14 2 5" xfId="8009"/>
    <cellStyle name="20% - Accent5 14 2 5 2" xfId="15189"/>
    <cellStyle name="20% - Accent5 14 2 6" xfId="9517"/>
    <cellStyle name="20% - Accent5 14 3" xfId="2054"/>
    <cellStyle name="20% - Accent5 14 3 2" xfId="4436"/>
    <cellStyle name="20% - Accent5 14 3 2 2" xfId="11745"/>
    <cellStyle name="20% - Accent5 14 3 3" xfId="5791"/>
    <cellStyle name="20% - Accent5 14 3 3 2" xfId="13042"/>
    <cellStyle name="20% - Accent5 14 3 4" xfId="7060"/>
    <cellStyle name="20% - Accent5 14 3 4 2" xfId="14260"/>
    <cellStyle name="20% - Accent5 14 3 5" xfId="8203"/>
    <cellStyle name="20% - Accent5 14 3 5 2" xfId="15383"/>
    <cellStyle name="20% - Accent5 14 3 6" xfId="9711"/>
    <cellStyle name="20% - Accent5 14 4" xfId="2463"/>
    <cellStyle name="20% - Accent5 14 4 2" xfId="4824"/>
    <cellStyle name="20% - Accent5 14 4 2 2" xfId="12117"/>
    <cellStyle name="20% - Accent5 14 4 3" xfId="6166"/>
    <cellStyle name="20% - Accent5 14 4 3 2" xfId="13397"/>
    <cellStyle name="20% - Accent5 14 4 4" xfId="7419"/>
    <cellStyle name="20% - Accent5 14 4 4 2" xfId="14606"/>
    <cellStyle name="20% - Accent5 14 4 5" xfId="8523"/>
    <cellStyle name="20% - Accent5 14 4 5 2" xfId="15699"/>
    <cellStyle name="20% - Accent5 14 4 6" xfId="10031"/>
    <cellStyle name="20% - Accent5 14 5" xfId="3464"/>
    <cellStyle name="20% - Accent5 14 5 2" xfId="10825"/>
    <cellStyle name="20% - Accent5 14 6" xfId="4458"/>
    <cellStyle name="20% - Accent5 14 6 2" xfId="11766"/>
    <cellStyle name="20% - Accent5 14 7" xfId="5080"/>
    <cellStyle name="20% - Accent5 14 7 2" xfId="12353"/>
    <cellStyle name="20% - Accent5 14 8" xfId="6386"/>
    <cellStyle name="20% - Accent5 14 8 2" xfId="13600"/>
    <cellStyle name="20% - Accent5 14 9" xfId="9010"/>
    <cellStyle name="20% - Accent5 15" xfId="1044"/>
    <cellStyle name="20% - Accent5 15 2" xfId="1869"/>
    <cellStyle name="20% - Accent5 15 2 2" xfId="4254"/>
    <cellStyle name="20% - Accent5 15 2 2 2" xfId="11566"/>
    <cellStyle name="20% - Accent5 15 2 3" xfId="5610"/>
    <cellStyle name="20% - Accent5 15 2 3 2" xfId="12863"/>
    <cellStyle name="20% - Accent5 15 2 4" xfId="6879"/>
    <cellStyle name="20% - Accent5 15 2 4 2" xfId="14081"/>
    <cellStyle name="20% - Accent5 15 2 5" xfId="8024"/>
    <cellStyle name="20% - Accent5 15 2 5 2" xfId="15204"/>
    <cellStyle name="20% - Accent5 15 2 6" xfId="9532"/>
    <cellStyle name="20% - Accent5 15 3" xfId="2067"/>
    <cellStyle name="20% - Accent5 15 3 2" xfId="4449"/>
    <cellStyle name="20% - Accent5 15 3 2 2" xfId="11758"/>
    <cellStyle name="20% - Accent5 15 3 3" xfId="5804"/>
    <cellStyle name="20% - Accent5 15 3 3 2" xfId="13055"/>
    <cellStyle name="20% - Accent5 15 3 4" xfId="7073"/>
    <cellStyle name="20% - Accent5 15 3 4 2" xfId="14273"/>
    <cellStyle name="20% - Accent5 15 3 5" xfId="8216"/>
    <cellStyle name="20% - Accent5 15 3 5 2" xfId="15396"/>
    <cellStyle name="20% - Accent5 15 3 6" xfId="9724"/>
    <cellStyle name="20% - Accent5 15 4" xfId="2476"/>
    <cellStyle name="20% - Accent5 15 4 2" xfId="4837"/>
    <cellStyle name="20% - Accent5 15 4 2 2" xfId="12130"/>
    <cellStyle name="20% - Accent5 15 4 3" xfId="6179"/>
    <cellStyle name="20% - Accent5 15 4 3 2" xfId="13410"/>
    <cellStyle name="20% - Accent5 15 4 4" xfId="7432"/>
    <cellStyle name="20% - Accent5 15 4 4 2" xfId="14619"/>
    <cellStyle name="20% - Accent5 15 4 5" xfId="8536"/>
    <cellStyle name="20% - Accent5 15 4 5 2" xfId="15712"/>
    <cellStyle name="20% - Accent5 15 4 6" xfId="10044"/>
    <cellStyle name="20% - Accent5 15 5" xfId="3498"/>
    <cellStyle name="20% - Accent5 15 5 2" xfId="10853"/>
    <cellStyle name="20% - Accent5 15 6" xfId="3683"/>
    <cellStyle name="20% - Accent5 15 6 2" xfId="11018"/>
    <cellStyle name="20% - Accent5 15 7" xfId="2985"/>
    <cellStyle name="20% - Accent5 15 7 2" xfId="10399"/>
    <cellStyle name="20% - Accent5 15 8" xfId="3024"/>
    <cellStyle name="20% - Accent5 15 8 2" xfId="10434"/>
    <cellStyle name="20% - Accent5 15 9" xfId="9023"/>
    <cellStyle name="20% - Accent5 16" xfId="1085"/>
    <cellStyle name="20% - Accent5 16 2" xfId="2489"/>
    <cellStyle name="20% - Accent5 16 2 2" xfId="4850"/>
    <cellStyle name="20% - Accent5 16 2 2 2" xfId="12143"/>
    <cellStyle name="20% - Accent5 16 2 3" xfId="6192"/>
    <cellStyle name="20% - Accent5 16 2 3 2" xfId="13423"/>
    <cellStyle name="20% - Accent5 16 2 4" xfId="7445"/>
    <cellStyle name="20% - Accent5 16 2 4 2" xfId="14632"/>
    <cellStyle name="20% - Accent5 16 2 5" xfId="8549"/>
    <cellStyle name="20% - Accent5 16 2 5 2" xfId="15725"/>
    <cellStyle name="20% - Accent5 16 2 6" xfId="10057"/>
    <cellStyle name="20% - Accent5 16 3" xfId="3529"/>
    <cellStyle name="20% - Accent5 16 3 2" xfId="10883"/>
    <cellStyle name="20% - Accent5 16 4" xfId="4945"/>
    <cellStyle name="20% - Accent5 16 4 2" xfId="12234"/>
    <cellStyle name="20% - Accent5 16 5" xfId="6283"/>
    <cellStyle name="20% - Accent5 16 5 2" xfId="13509"/>
    <cellStyle name="20% - Accent5 16 6" xfId="7528"/>
    <cellStyle name="20% - Accent5 16 6 2" xfId="14712"/>
    <cellStyle name="20% - Accent5 16 7" xfId="9036"/>
    <cellStyle name="20% - Accent5 17" xfId="1126"/>
    <cellStyle name="20% - Accent5 17 2" xfId="2502"/>
    <cellStyle name="20% - Accent5 17 2 2" xfId="4863"/>
    <cellStyle name="20% - Accent5 17 2 2 2" xfId="12156"/>
    <cellStyle name="20% - Accent5 17 2 3" xfId="6205"/>
    <cellStyle name="20% - Accent5 17 2 3 2" xfId="13436"/>
    <cellStyle name="20% - Accent5 17 2 4" xfId="7458"/>
    <cellStyle name="20% - Accent5 17 2 4 2" xfId="14645"/>
    <cellStyle name="20% - Accent5 17 2 5" xfId="8562"/>
    <cellStyle name="20% - Accent5 17 2 5 2" xfId="15738"/>
    <cellStyle name="20% - Accent5 17 2 6" xfId="10070"/>
    <cellStyle name="20% - Accent5 17 3" xfId="3566"/>
    <cellStyle name="20% - Accent5 17 3 2" xfId="10915"/>
    <cellStyle name="20% - Accent5 17 4" xfId="4974"/>
    <cellStyle name="20% - Accent5 17 4 2" xfId="12260"/>
    <cellStyle name="20% - Accent5 17 5" xfId="6304"/>
    <cellStyle name="20% - Accent5 17 5 2" xfId="13527"/>
    <cellStyle name="20% - Accent5 17 6" xfId="7541"/>
    <cellStyle name="20% - Accent5 17 6 2" xfId="14725"/>
    <cellStyle name="20% - Accent5 17 7" xfId="9049"/>
    <cellStyle name="20% - Accent5 18" xfId="1167"/>
    <cellStyle name="20% - Accent5 18 2" xfId="2515"/>
    <cellStyle name="20% - Accent5 18 2 2" xfId="4876"/>
    <cellStyle name="20% - Accent5 18 2 2 2" xfId="12169"/>
    <cellStyle name="20% - Accent5 18 2 3" xfId="6218"/>
    <cellStyle name="20% - Accent5 18 2 3 2" xfId="13449"/>
    <cellStyle name="20% - Accent5 18 2 4" xfId="7471"/>
    <cellStyle name="20% - Accent5 18 2 4 2" xfId="14658"/>
    <cellStyle name="20% - Accent5 18 2 5" xfId="8575"/>
    <cellStyle name="20% - Accent5 18 2 5 2" xfId="15751"/>
    <cellStyle name="20% - Accent5 18 2 6" xfId="10083"/>
    <cellStyle name="20% - Accent5 18 3" xfId="3601"/>
    <cellStyle name="20% - Accent5 18 3 2" xfId="10947"/>
    <cellStyle name="20% - Accent5 18 4" xfId="5005"/>
    <cellStyle name="20% - Accent5 18 4 2" xfId="12286"/>
    <cellStyle name="20% - Accent5 18 5" xfId="6327"/>
    <cellStyle name="20% - Accent5 18 5 2" xfId="13547"/>
    <cellStyle name="20% - Accent5 18 6" xfId="7554"/>
    <cellStyle name="20% - Accent5 18 6 2" xfId="14738"/>
    <cellStyle name="20% - Accent5 18 7" xfId="9062"/>
    <cellStyle name="20% - Accent5 19" xfId="1208"/>
    <cellStyle name="20% - Accent5 19 2" xfId="2528"/>
    <cellStyle name="20% - Accent5 19 2 2" xfId="4889"/>
    <cellStyle name="20% - Accent5 19 2 2 2" xfId="12182"/>
    <cellStyle name="20% - Accent5 19 2 3" xfId="6231"/>
    <cellStyle name="20% - Accent5 19 2 3 2" xfId="13462"/>
    <cellStyle name="20% - Accent5 19 2 4" xfId="7484"/>
    <cellStyle name="20% - Accent5 19 2 4 2" xfId="14671"/>
    <cellStyle name="20% - Accent5 19 2 5" xfId="8588"/>
    <cellStyle name="20% - Accent5 19 2 5 2" xfId="15764"/>
    <cellStyle name="20% - Accent5 19 2 6" xfId="10096"/>
    <cellStyle name="20% - Accent5 19 3" xfId="3636"/>
    <cellStyle name="20% - Accent5 19 3 2" xfId="10976"/>
    <cellStyle name="20% - Accent5 19 4" xfId="5035"/>
    <cellStyle name="20% - Accent5 19 4 2" xfId="12313"/>
    <cellStyle name="20% - Accent5 19 5" xfId="6351"/>
    <cellStyle name="20% - Accent5 19 5 2" xfId="13568"/>
    <cellStyle name="20% - Accent5 19 6" xfId="7567"/>
    <cellStyle name="20% - Accent5 19 6 2" xfId="14751"/>
    <cellStyle name="20% - Accent5 19 7" xfId="9075"/>
    <cellStyle name="20% - Accent5 2" xfId="20"/>
    <cellStyle name="20% - Accent5 2 10" xfId="5844"/>
    <cellStyle name="20% - Accent5 2 11" xfId="8630"/>
    <cellStyle name="20% - Accent5 2 2" xfId="500"/>
    <cellStyle name="20% - Accent5 2 3" xfId="687"/>
    <cellStyle name="20% - Accent5 2 4" xfId="1274"/>
    <cellStyle name="20% - Accent5 2 5" xfId="1839"/>
    <cellStyle name="20% - Accent5 2 6" xfId="2083"/>
    <cellStyle name="20% - Accent5 2 7" xfId="2602"/>
    <cellStyle name="20% - Accent5 2 8" xfId="2785"/>
    <cellStyle name="20% - Accent5 2 9" xfId="3216"/>
    <cellStyle name="20% - Accent5 20" xfId="1249"/>
    <cellStyle name="20% - Accent5 20 2" xfId="2541"/>
    <cellStyle name="20% - Accent5 20 2 2" xfId="4902"/>
    <cellStyle name="20% - Accent5 20 2 2 2" xfId="12195"/>
    <cellStyle name="20% - Accent5 20 2 3" xfId="6244"/>
    <cellStyle name="20% - Accent5 20 2 3 2" xfId="13475"/>
    <cellStyle name="20% - Accent5 20 2 4" xfId="7497"/>
    <cellStyle name="20% - Accent5 20 2 4 2" xfId="14684"/>
    <cellStyle name="20% - Accent5 20 2 5" xfId="8601"/>
    <cellStyle name="20% - Accent5 20 2 5 2" xfId="15777"/>
    <cellStyle name="20% - Accent5 20 2 6" xfId="10109"/>
    <cellStyle name="20% - Accent5 20 3" xfId="3673"/>
    <cellStyle name="20% - Accent5 20 3 2" xfId="11009"/>
    <cellStyle name="20% - Accent5 20 4" xfId="5064"/>
    <cellStyle name="20% - Accent5 20 4 2" xfId="12339"/>
    <cellStyle name="20% - Accent5 20 5" xfId="6374"/>
    <cellStyle name="20% - Accent5 20 5 2" xfId="13589"/>
    <cellStyle name="20% - Accent5 20 6" xfId="7580"/>
    <cellStyle name="20% - Accent5 20 6 2" xfId="14764"/>
    <cellStyle name="20% - Accent5 20 7" xfId="9088"/>
    <cellStyle name="20% - Accent5 21" xfId="2579"/>
    <cellStyle name="20% - Accent5 21 2" xfId="4933"/>
    <cellStyle name="20% - Accent5 21 2 2" xfId="12222"/>
    <cellStyle name="20% - Accent5 21 3" xfId="6274"/>
    <cellStyle name="20% - Accent5 21 3 2" xfId="13500"/>
    <cellStyle name="20% - Accent5 21 4" xfId="7521"/>
    <cellStyle name="20% - Accent5 21 4 2" xfId="14705"/>
    <cellStyle name="20% - Accent5 21 5" xfId="8614"/>
    <cellStyle name="20% - Accent5 21 5 2" xfId="15790"/>
    <cellStyle name="20% - Accent5 21 6" xfId="10122"/>
    <cellStyle name="20% - Accent5 3" xfId="21"/>
    <cellStyle name="20% - Accent5 3 10" xfId="6250"/>
    <cellStyle name="20% - Accent5 3 11" xfId="8631"/>
    <cellStyle name="20% - Accent5 3 2" xfId="501"/>
    <cellStyle name="20% - Accent5 3 3" xfId="688"/>
    <cellStyle name="20% - Accent5 3 4" xfId="1275"/>
    <cellStyle name="20% - Accent5 3 5" xfId="1815"/>
    <cellStyle name="20% - Accent5 3 6" xfId="2084"/>
    <cellStyle name="20% - Accent5 3 7" xfId="2603"/>
    <cellStyle name="20% - Accent5 3 8" xfId="2948"/>
    <cellStyle name="20% - Accent5 3 9" xfId="3609"/>
    <cellStyle name="20% - Accent5 4" xfId="22"/>
    <cellStyle name="20% - Accent5 4 10" xfId="3756"/>
    <cellStyle name="20% - Accent5 4 11" xfId="8632"/>
    <cellStyle name="20% - Accent5 4 2" xfId="502"/>
    <cellStyle name="20% - Accent5 4 3" xfId="689"/>
    <cellStyle name="20% - Accent5 4 4" xfId="1276"/>
    <cellStyle name="20% - Accent5 4 5" xfId="1790"/>
    <cellStyle name="20% - Accent5 4 6" xfId="2085"/>
    <cellStyle name="20% - Accent5 4 7" xfId="2604"/>
    <cellStyle name="20% - Accent5 4 8" xfId="2912"/>
    <cellStyle name="20% - Accent5 4 9" xfId="4909"/>
    <cellStyle name="20% - Accent5 5" xfId="271"/>
    <cellStyle name="20% - Accent5 5 10" xfId="6570"/>
    <cellStyle name="20% - Accent5 5 11" xfId="8710"/>
    <cellStyle name="20% - Accent5 5 2" xfId="575"/>
    <cellStyle name="20% - Accent5 5 3" xfId="762"/>
    <cellStyle name="20% - Accent5 5 4" xfId="1406"/>
    <cellStyle name="20% - Accent5 5 5" xfId="1318"/>
    <cellStyle name="20% - Accent5 5 6" xfId="2163"/>
    <cellStyle name="20% - Accent5 5 7" xfId="2824"/>
    <cellStyle name="20% - Accent5 5 8" xfId="3047"/>
    <cellStyle name="20% - Accent5 5 9" xfId="5297"/>
    <cellStyle name="20% - Accent5 6" xfId="316"/>
    <cellStyle name="20% - Accent5 7" xfId="357"/>
    <cellStyle name="20% - Accent5 7 10" xfId="3697"/>
    <cellStyle name="20% - Accent5 7 10 2" xfId="11031"/>
    <cellStyle name="20% - Accent5 7 11" xfId="8723"/>
    <cellStyle name="20% - Accent5 7 2" xfId="588"/>
    <cellStyle name="20% - Accent5 7 2 10" xfId="8786"/>
    <cellStyle name="20% - Accent5 7 2 2" xfId="827"/>
    <cellStyle name="20% - Accent5 7 2 2 2" xfId="1727"/>
    <cellStyle name="20% - Accent5 7 2 2 2 2" xfId="4117"/>
    <cellStyle name="20% - Accent5 7 2 2 2 2 2" xfId="11431"/>
    <cellStyle name="20% - Accent5 7 2 2 2 3" xfId="5479"/>
    <cellStyle name="20% - Accent5 7 2 2 2 3 2" xfId="12733"/>
    <cellStyle name="20% - Accent5 7 2 2 2 4" xfId="6751"/>
    <cellStyle name="20% - Accent5 7 2 2 2 4 2" xfId="13953"/>
    <cellStyle name="20% - Accent5 7 2 2 2 5" xfId="7906"/>
    <cellStyle name="20% - Accent5 7 2 2 2 5 2" xfId="15086"/>
    <cellStyle name="20% - Accent5 7 2 2 2 6" xfId="9414"/>
    <cellStyle name="20% - Accent5 7 2 2 3" xfId="1960"/>
    <cellStyle name="20% - Accent5 7 2 2 3 2" xfId="4343"/>
    <cellStyle name="20% - Accent5 7 2 2 3 2 2" xfId="11654"/>
    <cellStyle name="20% - Accent5 7 2 2 3 3" xfId="5699"/>
    <cellStyle name="20% - Accent5 7 2 2 3 3 2" xfId="12951"/>
    <cellStyle name="20% - Accent5 7 2 2 3 4" xfId="6968"/>
    <cellStyle name="20% - Accent5 7 2 2 3 4 2" xfId="14169"/>
    <cellStyle name="20% - Accent5 7 2 2 3 5" xfId="8112"/>
    <cellStyle name="20% - Accent5 7 2 2 3 5 2" xfId="15292"/>
    <cellStyle name="20% - Accent5 7 2 2 3 6" xfId="9620"/>
    <cellStyle name="20% - Accent5 7 2 2 4" xfId="2369"/>
    <cellStyle name="20% - Accent5 7 2 2 4 2" xfId="4731"/>
    <cellStyle name="20% - Accent5 7 2 2 4 2 2" xfId="12026"/>
    <cellStyle name="20% - Accent5 7 2 2 4 3" xfId="6072"/>
    <cellStyle name="20% - Accent5 7 2 2 4 3 2" xfId="13306"/>
    <cellStyle name="20% - Accent5 7 2 2 4 4" xfId="7325"/>
    <cellStyle name="20% - Accent5 7 2 2 4 4 2" xfId="14515"/>
    <cellStyle name="20% - Accent5 7 2 2 4 5" xfId="8432"/>
    <cellStyle name="20% - Accent5 7 2 2 4 5 2" xfId="15608"/>
    <cellStyle name="20% - Accent5 7 2 2 4 6" xfId="9940"/>
    <cellStyle name="20% - Accent5 7 2 2 5" xfId="3308"/>
    <cellStyle name="20% - Accent5 7 2 2 5 2" xfId="10681"/>
    <cellStyle name="20% - Accent5 7 2 2 6" xfId="4478"/>
    <cellStyle name="20% - Accent5 7 2 2 6 2" xfId="11786"/>
    <cellStyle name="20% - Accent5 7 2 2 7" xfId="5100"/>
    <cellStyle name="20% - Accent5 7 2 2 7 2" xfId="12372"/>
    <cellStyle name="20% - Accent5 7 2 2 8" xfId="6399"/>
    <cellStyle name="20% - Accent5 7 2 2 8 2" xfId="13613"/>
    <cellStyle name="20% - Accent5 7 2 2 9" xfId="8916"/>
    <cellStyle name="20% - Accent5 7 2 3" xfId="1564"/>
    <cellStyle name="20% - Accent5 7 2 3 2" xfId="3955"/>
    <cellStyle name="20% - Accent5 7 2 3 2 2" xfId="11272"/>
    <cellStyle name="20% - Accent5 7 2 3 3" xfId="5321"/>
    <cellStyle name="20% - Accent5 7 2 3 3 2" xfId="12579"/>
    <cellStyle name="20% - Accent5 7 2 3 4" xfId="6594"/>
    <cellStyle name="20% - Accent5 7 2 3 4 2" xfId="13799"/>
    <cellStyle name="20% - Accent5 7 2 3 5" xfId="7753"/>
    <cellStyle name="20% - Accent5 7 2 3 5 2" xfId="14933"/>
    <cellStyle name="20% - Accent5 7 2 3 6" xfId="9261"/>
    <cellStyle name="20% - Accent5 7 2 4" xfId="1277"/>
    <cellStyle name="20% - Accent5 7 2 4 2" xfId="3693"/>
    <cellStyle name="20% - Accent5 7 2 4 2 2" xfId="11028"/>
    <cellStyle name="20% - Accent5 7 2 4 3" xfId="5083"/>
    <cellStyle name="20% - Accent5 7 2 4 3 2" xfId="12356"/>
    <cellStyle name="20% - Accent5 7 2 4 4" xfId="6388"/>
    <cellStyle name="20% - Accent5 7 2 4 4 2" xfId="13602"/>
    <cellStyle name="20% - Accent5 7 2 4 5" xfId="7588"/>
    <cellStyle name="20% - Accent5 7 2 4 5 2" xfId="14772"/>
    <cellStyle name="20% - Accent5 7 2 4 6" xfId="9096"/>
    <cellStyle name="20% - Accent5 7 2 5" xfId="2239"/>
    <cellStyle name="20% - Accent5 7 2 5 2" xfId="4601"/>
    <cellStyle name="20% - Accent5 7 2 5 2 2" xfId="11899"/>
    <cellStyle name="20% - Accent5 7 2 5 3" xfId="5942"/>
    <cellStyle name="20% - Accent5 7 2 5 3 2" xfId="13179"/>
    <cellStyle name="20% - Accent5 7 2 5 4" xfId="7195"/>
    <cellStyle name="20% - Accent5 7 2 5 4 2" xfId="14388"/>
    <cellStyle name="20% - Accent5 7 2 5 5" xfId="8305"/>
    <cellStyle name="20% - Accent5 7 2 5 5 2" xfId="15481"/>
    <cellStyle name="20% - Accent5 7 2 5 6" xfId="9813"/>
    <cellStyle name="20% - Accent5 7 2 6" xfId="3092"/>
    <cellStyle name="20% - Accent5 7 2 6 2" xfId="10489"/>
    <cellStyle name="20% - Accent5 7 2 7" xfId="3672"/>
    <cellStyle name="20% - Accent5 7 2 7 2" xfId="11008"/>
    <cellStyle name="20% - Accent5 7 2 8" xfId="4509"/>
    <cellStyle name="20% - Accent5 7 2 8 2" xfId="11808"/>
    <cellStyle name="20% - Accent5 7 2 9" xfId="5149"/>
    <cellStyle name="20% - Accent5 7 2 9 2" xfId="12412"/>
    <cellStyle name="20% - Accent5 7 3" xfId="775"/>
    <cellStyle name="20% - Accent5 7 3 2" xfId="1675"/>
    <cellStyle name="20% - Accent5 7 3 2 2" xfId="4065"/>
    <cellStyle name="20% - Accent5 7 3 2 2 2" xfId="11379"/>
    <cellStyle name="20% - Accent5 7 3 2 3" xfId="5427"/>
    <cellStyle name="20% - Accent5 7 3 2 3 2" xfId="12681"/>
    <cellStyle name="20% - Accent5 7 3 2 4" xfId="6699"/>
    <cellStyle name="20% - Accent5 7 3 2 4 2" xfId="13901"/>
    <cellStyle name="20% - Accent5 7 3 2 5" xfId="7854"/>
    <cellStyle name="20% - Accent5 7 3 2 5 2" xfId="15034"/>
    <cellStyle name="20% - Accent5 7 3 2 6" xfId="9362"/>
    <cellStyle name="20% - Accent5 7 3 3" xfId="1908"/>
    <cellStyle name="20% - Accent5 7 3 3 2" xfId="4291"/>
    <cellStyle name="20% - Accent5 7 3 3 2 2" xfId="11602"/>
    <cellStyle name="20% - Accent5 7 3 3 3" xfId="5647"/>
    <cellStyle name="20% - Accent5 7 3 3 3 2" xfId="12899"/>
    <cellStyle name="20% - Accent5 7 3 3 4" xfId="6916"/>
    <cellStyle name="20% - Accent5 7 3 3 4 2" xfId="14117"/>
    <cellStyle name="20% - Accent5 7 3 3 5" xfId="8060"/>
    <cellStyle name="20% - Accent5 7 3 3 5 2" xfId="15240"/>
    <cellStyle name="20% - Accent5 7 3 3 6" xfId="9568"/>
    <cellStyle name="20% - Accent5 7 3 4" xfId="2317"/>
    <cellStyle name="20% - Accent5 7 3 4 2" xfId="4679"/>
    <cellStyle name="20% - Accent5 7 3 4 2 2" xfId="11974"/>
    <cellStyle name="20% - Accent5 7 3 4 3" xfId="6020"/>
    <cellStyle name="20% - Accent5 7 3 4 3 2" xfId="13254"/>
    <cellStyle name="20% - Accent5 7 3 4 4" xfId="7273"/>
    <cellStyle name="20% - Accent5 7 3 4 4 2" xfId="14463"/>
    <cellStyle name="20% - Accent5 7 3 4 5" xfId="8380"/>
    <cellStyle name="20% - Accent5 7 3 4 5 2" xfId="15556"/>
    <cellStyle name="20% - Accent5 7 3 4 6" xfId="9888"/>
    <cellStyle name="20% - Accent5 7 3 5" xfId="3256"/>
    <cellStyle name="20% - Accent5 7 3 5 2" xfId="10629"/>
    <cellStyle name="20% - Accent5 7 3 6" xfId="2639"/>
    <cellStyle name="20% - Accent5 7 3 6 2" xfId="10142"/>
    <cellStyle name="20% - Accent5 7 3 7" xfId="3748"/>
    <cellStyle name="20% - Accent5 7 3 7 2" xfId="11078"/>
    <cellStyle name="20% - Accent5 7 3 8" xfId="4219"/>
    <cellStyle name="20% - Accent5 7 3 8 2" xfId="11532"/>
    <cellStyle name="20% - Accent5 7 3 9" xfId="8864"/>
    <cellStyle name="20% - Accent5 7 4" xfId="1443"/>
    <cellStyle name="20% - Accent5 7 4 2" xfId="3840"/>
    <cellStyle name="20% - Accent5 7 4 2 2" xfId="11161"/>
    <cellStyle name="20% - Accent5 7 4 3" xfId="5208"/>
    <cellStyle name="20% - Accent5 7 4 3 2" xfId="12470"/>
    <cellStyle name="20% - Accent5 7 4 4" xfId="6484"/>
    <cellStyle name="20% - Accent5 7 4 4 2" xfId="13693"/>
    <cellStyle name="20% - Accent5 7 4 5" xfId="7652"/>
    <cellStyle name="20% - Accent5 7 4 5 2" xfId="14832"/>
    <cellStyle name="20% - Accent5 7 4 6" xfId="9160"/>
    <cellStyle name="20% - Accent5 7 5" xfId="1424"/>
    <cellStyle name="20% - Accent5 7 5 2" xfId="3821"/>
    <cellStyle name="20% - Accent5 7 5 2 2" xfId="11142"/>
    <cellStyle name="20% - Accent5 7 5 3" xfId="5191"/>
    <cellStyle name="20% - Accent5 7 5 3 2" xfId="12453"/>
    <cellStyle name="20% - Accent5 7 5 4" xfId="6467"/>
    <cellStyle name="20% - Accent5 7 5 4 2" xfId="13676"/>
    <cellStyle name="20% - Accent5 7 5 5" xfId="7636"/>
    <cellStyle name="20% - Accent5 7 5 5 2" xfId="14816"/>
    <cellStyle name="20% - Accent5 7 5 6" xfId="9144"/>
    <cellStyle name="20% - Accent5 7 6" xfId="2176"/>
    <cellStyle name="20% - Accent5 7 6 2" xfId="4538"/>
    <cellStyle name="20% - Accent5 7 6 2 2" xfId="11837"/>
    <cellStyle name="20% - Accent5 7 6 3" xfId="5880"/>
    <cellStyle name="20% - Accent5 7 6 3 2" xfId="13117"/>
    <cellStyle name="20% - Accent5 7 6 4" xfId="7133"/>
    <cellStyle name="20% - Accent5 7 6 4 2" xfId="14326"/>
    <cellStyle name="20% - Accent5 7 6 5" xfId="8243"/>
    <cellStyle name="20% - Accent5 7 6 5 2" xfId="15419"/>
    <cellStyle name="20% - Accent5 7 6 6" xfId="9751"/>
    <cellStyle name="20% - Accent5 7 7" xfId="2893"/>
    <cellStyle name="20% - Accent5 7 7 2" xfId="10317"/>
    <cellStyle name="20% - Accent5 7 8" xfId="2800"/>
    <cellStyle name="20% - Accent5 7 8 2" xfId="10248"/>
    <cellStyle name="20% - Accent5 7 9" xfId="2979"/>
    <cellStyle name="20% - Accent5 7 9 2" xfId="10394"/>
    <cellStyle name="20% - Accent5 8" xfId="398"/>
    <cellStyle name="20% - Accent5 8 10" xfId="4199"/>
    <cellStyle name="20% - Accent5 8 10 2" xfId="11512"/>
    <cellStyle name="20% - Accent5 8 11" xfId="8736"/>
    <cellStyle name="20% - Accent5 8 2" xfId="601"/>
    <cellStyle name="20% - Accent5 8 2 10" xfId="8799"/>
    <cellStyle name="20% - Accent5 8 2 2" xfId="840"/>
    <cellStyle name="20% - Accent5 8 2 2 2" xfId="1740"/>
    <cellStyle name="20% - Accent5 8 2 2 2 2" xfId="4130"/>
    <cellStyle name="20% - Accent5 8 2 2 2 2 2" xfId="11444"/>
    <cellStyle name="20% - Accent5 8 2 2 2 3" xfId="5492"/>
    <cellStyle name="20% - Accent5 8 2 2 2 3 2" xfId="12746"/>
    <cellStyle name="20% - Accent5 8 2 2 2 4" xfId="6764"/>
    <cellStyle name="20% - Accent5 8 2 2 2 4 2" xfId="13966"/>
    <cellStyle name="20% - Accent5 8 2 2 2 5" xfId="7919"/>
    <cellStyle name="20% - Accent5 8 2 2 2 5 2" xfId="15099"/>
    <cellStyle name="20% - Accent5 8 2 2 2 6" xfId="9427"/>
    <cellStyle name="20% - Accent5 8 2 2 3" xfId="1973"/>
    <cellStyle name="20% - Accent5 8 2 2 3 2" xfId="4356"/>
    <cellStyle name="20% - Accent5 8 2 2 3 2 2" xfId="11667"/>
    <cellStyle name="20% - Accent5 8 2 2 3 3" xfId="5712"/>
    <cellStyle name="20% - Accent5 8 2 2 3 3 2" xfId="12964"/>
    <cellStyle name="20% - Accent5 8 2 2 3 4" xfId="6981"/>
    <cellStyle name="20% - Accent5 8 2 2 3 4 2" xfId="14182"/>
    <cellStyle name="20% - Accent5 8 2 2 3 5" xfId="8125"/>
    <cellStyle name="20% - Accent5 8 2 2 3 5 2" xfId="15305"/>
    <cellStyle name="20% - Accent5 8 2 2 3 6" xfId="9633"/>
    <cellStyle name="20% - Accent5 8 2 2 4" xfId="2382"/>
    <cellStyle name="20% - Accent5 8 2 2 4 2" xfId="4744"/>
    <cellStyle name="20% - Accent5 8 2 2 4 2 2" xfId="12039"/>
    <cellStyle name="20% - Accent5 8 2 2 4 3" xfId="6085"/>
    <cellStyle name="20% - Accent5 8 2 2 4 3 2" xfId="13319"/>
    <cellStyle name="20% - Accent5 8 2 2 4 4" xfId="7338"/>
    <cellStyle name="20% - Accent5 8 2 2 4 4 2" xfId="14528"/>
    <cellStyle name="20% - Accent5 8 2 2 4 5" xfId="8445"/>
    <cellStyle name="20% - Accent5 8 2 2 4 5 2" xfId="15621"/>
    <cellStyle name="20% - Accent5 8 2 2 4 6" xfId="9953"/>
    <cellStyle name="20% - Accent5 8 2 2 5" xfId="3321"/>
    <cellStyle name="20% - Accent5 8 2 2 5 2" xfId="10694"/>
    <cellStyle name="20% - Accent5 8 2 2 6" xfId="3779"/>
    <cellStyle name="20% - Accent5 8 2 2 6 2" xfId="11102"/>
    <cellStyle name="20% - Accent5 8 2 2 7" xfId="3459"/>
    <cellStyle name="20% - Accent5 8 2 2 7 2" xfId="10820"/>
    <cellStyle name="20% - Accent5 8 2 2 8" xfId="4969"/>
    <cellStyle name="20% - Accent5 8 2 2 8 2" xfId="12255"/>
    <cellStyle name="20% - Accent5 8 2 2 9" xfId="8929"/>
    <cellStyle name="20% - Accent5 8 2 3" xfId="1577"/>
    <cellStyle name="20% - Accent5 8 2 3 2" xfId="3968"/>
    <cellStyle name="20% - Accent5 8 2 3 2 2" xfId="11285"/>
    <cellStyle name="20% - Accent5 8 2 3 3" xfId="5334"/>
    <cellStyle name="20% - Accent5 8 2 3 3 2" xfId="12592"/>
    <cellStyle name="20% - Accent5 8 2 3 4" xfId="6607"/>
    <cellStyle name="20% - Accent5 8 2 3 4 2" xfId="13812"/>
    <cellStyle name="20% - Accent5 8 2 3 5" xfId="7766"/>
    <cellStyle name="20% - Accent5 8 2 3 5 2" xfId="14946"/>
    <cellStyle name="20% - Accent5 8 2 3 6" xfId="9274"/>
    <cellStyle name="20% - Accent5 8 2 4" xfId="1552"/>
    <cellStyle name="20% - Accent5 8 2 4 2" xfId="3943"/>
    <cellStyle name="20% - Accent5 8 2 4 2 2" xfId="11260"/>
    <cellStyle name="20% - Accent5 8 2 4 3" xfId="5309"/>
    <cellStyle name="20% - Accent5 8 2 4 3 2" xfId="12567"/>
    <cellStyle name="20% - Accent5 8 2 4 4" xfId="6582"/>
    <cellStyle name="20% - Accent5 8 2 4 4 2" xfId="13787"/>
    <cellStyle name="20% - Accent5 8 2 4 5" xfId="7741"/>
    <cellStyle name="20% - Accent5 8 2 4 5 2" xfId="14921"/>
    <cellStyle name="20% - Accent5 8 2 4 6" xfId="9249"/>
    <cellStyle name="20% - Accent5 8 2 5" xfId="2252"/>
    <cellStyle name="20% - Accent5 8 2 5 2" xfId="4614"/>
    <cellStyle name="20% - Accent5 8 2 5 2 2" xfId="11912"/>
    <cellStyle name="20% - Accent5 8 2 5 3" xfId="5955"/>
    <cellStyle name="20% - Accent5 8 2 5 3 2" xfId="13192"/>
    <cellStyle name="20% - Accent5 8 2 5 4" xfId="7208"/>
    <cellStyle name="20% - Accent5 8 2 5 4 2" xfId="14401"/>
    <cellStyle name="20% - Accent5 8 2 5 5" xfId="8318"/>
    <cellStyle name="20% - Accent5 8 2 5 5 2" xfId="15494"/>
    <cellStyle name="20% - Accent5 8 2 5 6" xfId="9826"/>
    <cellStyle name="20% - Accent5 8 2 6" xfId="3105"/>
    <cellStyle name="20% - Accent5 8 2 6 2" xfId="10502"/>
    <cellStyle name="20% - Accent5 8 2 7" xfId="2961"/>
    <cellStyle name="20% - Accent5 8 2 7 2" xfId="10379"/>
    <cellStyle name="20% - Accent5 8 2 8" xfId="2949"/>
    <cellStyle name="20% - Accent5 8 2 8 2" xfId="10367"/>
    <cellStyle name="20% - Accent5 8 2 9" xfId="2655"/>
    <cellStyle name="20% - Accent5 8 2 9 2" xfId="10155"/>
    <cellStyle name="20% - Accent5 8 3" xfId="788"/>
    <cellStyle name="20% - Accent5 8 3 2" xfId="1688"/>
    <cellStyle name="20% - Accent5 8 3 2 2" xfId="4078"/>
    <cellStyle name="20% - Accent5 8 3 2 2 2" xfId="11392"/>
    <cellStyle name="20% - Accent5 8 3 2 3" xfId="5440"/>
    <cellStyle name="20% - Accent5 8 3 2 3 2" xfId="12694"/>
    <cellStyle name="20% - Accent5 8 3 2 4" xfId="6712"/>
    <cellStyle name="20% - Accent5 8 3 2 4 2" xfId="13914"/>
    <cellStyle name="20% - Accent5 8 3 2 5" xfId="7867"/>
    <cellStyle name="20% - Accent5 8 3 2 5 2" xfId="15047"/>
    <cellStyle name="20% - Accent5 8 3 2 6" xfId="9375"/>
    <cellStyle name="20% - Accent5 8 3 3" xfId="1921"/>
    <cellStyle name="20% - Accent5 8 3 3 2" xfId="4304"/>
    <cellStyle name="20% - Accent5 8 3 3 2 2" xfId="11615"/>
    <cellStyle name="20% - Accent5 8 3 3 3" xfId="5660"/>
    <cellStyle name="20% - Accent5 8 3 3 3 2" xfId="12912"/>
    <cellStyle name="20% - Accent5 8 3 3 4" xfId="6929"/>
    <cellStyle name="20% - Accent5 8 3 3 4 2" xfId="14130"/>
    <cellStyle name="20% - Accent5 8 3 3 5" xfId="8073"/>
    <cellStyle name="20% - Accent5 8 3 3 5 2" xfId="15253"/>
    <cellStyle name="20% - Accent5 8 3 3 6" xfId="9581"/>
    <cellStyle name="20% - Accent5 8 3 4" xfId="2330"/>
    <cellStyle name="20% - Accent5 8 3 4 2" xfId="4692"/>
    <cellStyle name="20% - Accent5 8 3 4 2 2" xfId="11987"/>
    <cellStyle name="20% - Accent5 8 3 4 3" xfId="6033"/>
    <cellStyle name="20% - Accent5 8 3 4 3 2" xfId="13267"/>
    <cellStyle name="20% - Accent5 8 3 4 4" xfId="7286"/>
    <cellStyle name="20% - Accent5 8 3 4 4 2" xfId="14476"/>
    <cellStyle name="20% - Accent5 8 3 4 5" xfId="8393"/>
    <cellStyle name="20% - Accent5 8 3 4 5 2" xfId="15569"/>
    <cellStyle name="20% - Accent5 8 3 4 6" xfId="9901"/>
    <cellStyle name="20% - Accent5 8 3 5" xfId="3269"/>
    <cellStyle name="20% - Accent5 8 3 5 2" xfId="10642"/>
    <cellStyle name="20% - Accent5 8 3 6" xfId="2994"/>
    <cellStyle name="20% - Accent5 8 3 6 2" xfId="10407"/>
    <cellStyle name="20% - Accent5 8 3 7" xfId="3847"/>
    <cellStyle name="20% - Accent5 8 3 7 2" xfId="11168"/>
    <cellStyle name="20% - Accent5 8 3 8" xfId="3424"/>
    <cellStyle name="20% - Accent5 8 3 8 2" xfId="10788"/>
    <cellStyle name="20% - Accent5 8 3 9" xfId="8877"/>
    <cellStyle name="20% - Accent5 8 4" xfId="1466"/>
    <cellStyle name="20% - Accent5 8 4 2" xfId="3861"/>
    <cellStyle name="20% - Accent5 8 4 2 2" xfId="11182"/>
    <cellStyle name="20% - Accent5 8 4 3" xfId="5231"/>
    <cellStyle name="20% - Accent5 8 4 3 2" xfId="12491"/>
    <cellStyle name="20% - Accent5 8 4 4" xfId="6505"/>
    <cellStyle name="20% - Accent5 8 4 4 2" xfId="13712"/>
    <cellStyle name="20% - Accent5 8 4 5" xfId="7669"/>
    <cellStyle name="20% - Accent5 8 4 5 2" xfId="14849"/>
    <cellStyle name="20% - Accent5 8 4 6" xfId="9177"/>
    <cellStyle name="20% - Accent5 8 5" xfId="1309"/>
    <cellStyle name="20% - Accent5 8 5 2" xfId="3723"/>
    <cellStyle name="20% - Accent5 8 5 2 2" xfId="11057"/>
    <cellStyle name="20% - Accent5 8 5 3" xfId="5111"/>
    <cellStyle name="20% - Accent5 8 5 3 2" xfId="12383"/>
    <cellStyle name="20% - Accent5 8 5 4" xfId="6410"/>
    <cellStyle name="20% - Accent5 8 5 4 2" xfId="13624"/>
    <cellStyle name="20% - Accent5 8 5 5" xfId="7599"/>
    <cellStyle name="20% - Accent5 8 5 5 2" xfId="14783"/>
    <cellStyle name="20% - Accent5 8 5 6" xfId="9107"/>
    <cellStyle name="20% - Accent5 8 6" xfId="2189"/>
    <cellStyle name="20% - Accent5 8 6 2" xfId="4551"/>
    <cellStyle name="20% - Accent5 8 6 2 2" xfId="11850"/>
    <cellStyle name="20% - Accent5 8 6 3" xfId="5893"/>
    <cellStyle name="20% - Accent5 8 6 3 2" xfId="13130"/>
    <cellStyle name="20% - Accent5 8 6 4" xfId="7146"/>
    <cellStyle name="20% - Accent5 8 6 4 2" xfId="14339"/>
    <cellStyle name="20% - Accent5 8 6 5" xfId="8256"/>
    <cellStyle name="20% - Accent5 8 6 5 2" xfId="15432"/>
    <cellStyle name="20% - Accent5 8 6 6" xfId="9764"/>
    <cellStyle name="20% - Accent5 8 7" xfId="2930"/>
    <cellStyle name="20% - Accent5 8 7 2" xfId="10351"/>
    <cellStyle name="20% - Accent5 8 8" xfId="2797"/>
    <cellStyle name="20% - Accent5 8 8 2" xfId="10246"/>
    <cellStyle name="20% - Accent5 8 9" xfId="3477"/>
    <cellStyle name="20% - Accent5 8 9 2" xfId="10835"/>
    <cellStyle name="20% - Accent5 9" xfId="439"/>
    <cellStyle name="20% - Accent5 9 10" xfId="5140"/>
    <cellStyle name="20% - Accent5 9 10 2" xfId="12406"/>
    <cellStyle name="20% - Accent5 9 11" xfId="8749"/>
    <cellStyle name="20% - Accent5 9 2" xfId="614"/>
    <cellStyle name="20% - Accent5 9 2 10" xfId="8812"/>
    <cellStyle name="20% - Accent5 9 2 2" xfId="853"/>
    <cellStyle name="20% - Accent5 9 2 2 2" xfId="1753"/>
    <cellStyle name="20% - Accent5 9 2 2 2 2" xfId="4143"/>
    <cellStyle name="20% - Accent5 9 2 2 2 2 2" xfId="11457"/>
    <cellStyle name="20% - Accent5 9 2 2 2 3" xfId="5505"/>
    <cellStyle name="20% - Accent5 9 2 2 2 3 2" xfId="12759"/>
    <cellStyle name="20% - Accent5 9 2 2 2 4" xfId="6777"/>
    <cellStyle name="20% - Accent5 9 2 2 2 4 2" xfId="13979"/>
    <cellStyle name="20% - Accent5 9 2 2 2 5" xfId="7932"/>
    <cellStyle name="20% - Accent5 9 2 2 2 5 2" xfId="15112"/>
    <cellStyle name="20% - Accent5 9 2 2 2 6" xfId="9440"/>
    <cellStyle name="20% - Accent5 9 2 2 3" xfId="1986"/>
    <cellStyle name="20% - Accent5 9 2 2 3 2" xfId="4369"/>
    <cellStyle name="20% - Accent5 9 2 2 3 2 2" xfId="11680"/>
    <cellStyle name="20% - Accent5 9 2 2 3 3" xfId="5725"/>
    <cellStyle name="20% - Accent5 9 2 2 3 3 2" xfId="12977"/>
    <cellStyle name="20% - Accent5 9 2 2 3 4" xfId="6994"/>
    <cellStyle name="20% - Accent5 9 2 2 3 4 2" xfId="14195"/>
    <cellStyle name="20% - Accent5 9 2 2 3 5" xfId="8138"/>
    <cellStyle name="20% - Accent5 9 2 2 3 5 2" xfId="15318"/>
    <cellStyle name="20% - Accent5 9 2 2 3 6" xfId="9646"/>
    <cellStyle name="20% - Accent5 9 2 2 4" xfId="2395"/>
    <cellStyle name="20% - Accent5 9 2 2 4 2" xfId="4757"/>
    <cellStyle name="20% - Accent5 9 2 2 4 2 2" xfId="12052"/>
    <cellStyle name="20% - Accent5 9 2 2 4 3" xfId="6098"/>
    <cellStyle name="20% - Accent5 9 2 2 4 3 2" xfId="13332"/>
    <cellStyle name="20% - Accent5 9 2 2 4 4" xfId="7351"/>
    <cellStyle name="20% - Accent5 9 2 2 4 4 2" xfId="14541"/>
    <cellStyle name="20% - Accent5 9 2 2 4 5" xfId="8458"/>
    <cellStyle name="20% - Accent5 9 2 2 4 5 2" xfId="15634"/>
    <cellStyle name="20% - Accent5 9 2 2 4 6" xfId="9966"/>
    <cellStyle name="20% - Accent5 9 2 2 5" xfId="3334"/>
    <cellStyle name="20% - Accent5 9 2 2 5 2" xfId="10707"/>
    <cellStyle name="20% - Accent5 9 2 2 6" xfId="3034"/>
    <cellStyle name="20% - Accent5 9 2 2 6 2" xfId="10442"/>
    <cellStyle name="20% - Accent5 9 2 2 7" xfId="5181"/>
    <cellStyle name="20% - Accent5 9 2 2 7 2" xfId="12443"/>
    <cellStyle name="20% - Accent5 9 2 2 8" xfId="6458"/>
    <cellStyle name="20% - Accent5 9 2 2 8 2" xfId="13667"/>
    <cellStyle name="20% - Accent5 9 2 2 9" xfId="8942"/>
    <cellStyle name="20% - Accent5 9 2 3" xfId="1590"/>
    <cellStyle name="20% - Accent5 9 2 3 2" xfId="3981"/>
    <cellStyle name="20% - Accent5 9 2 3 2 2" xfId="11298"/>
    <cellStyle name="20% - Accent5 9 2 3 3" xfId="5347"/>
    <cellStyle name="20% - Accent5 9 2 3 3 2" xfId="12605"/>
    <cellStyle name="20% - Accent5 9 2 3 4" xfId="6620"/>
    <cellStyle name="20% - Accent5 9 2 3 4 2" xfId="13825"/>
    <cellStyle name="20% - Accent5 9 2 3 5" xfId="7779"/>
    <cellStyle name="20% - Accent5 9 2 3 5 2" xfId="14959"/>
    <cellStyle name="20% - Accent5 9 2 3 6" xfId="9287"/>
    <cellStyle name="20% - Accent5 9 2 4" xfId="1631"/>
    <cellStyle name="20% - Accent5 9 2 4 2" xfId="4021"/>
    <cellStyle name="20% - Accent5 9 2 4 2 2" xfId="11336"/>
    <cellStyle name="20% - Accent5 9 2 4 3" xfId="5386"/>
    <cellStyle name="20% - Accent5 9 2 4 3 2" xfId="12641"/>
    <cellStyle name="20% - Accent5 9 2 4 4" xfId="6658"/>
    <cellStyle name="20% - Accent5 9 2 4 4 2" xfId="13861"/>
    <cellStyle name="20% - Accent5 9 2 4 5" xfId="7814"/>
    <cellStyle name="20% - Accent5 9 2 4 5 2" xfId="14994"/>
    <cellStyle name="20% - Accent5 9 2 4 6" xfId="9322"/>
    <cellStyle name="20% - Accent5 9 2 5" xfId="2265"/>
    <cellStyle name="20% - Accent5 9 2 5 2" xfId="4627"/>
    <cellStyle name="20% - Accent5 9 2 5 2 2" xfId="11925"/>
    <cellStyle name="20% - Accent5 9 2 5 3" xfId="5968"/>
    <cellStyle name="20% - Accent5 9 2 5 3 2" xfId="13205"/>
    <cellStyle name="20% - Accent5 9 2 5 4" xfId="7221"/>
    <cellStyle name="20% - Accent5 9 2 5 4 2" xfId="14414"/>
    <cellStyle name="20% - Accent5 9 2 5 5" xfId="8331"/>
    <cellStyle name="20% - Accent5 9 2 5 5 2" xfId="15507"/>
    <cellStyle name="20% - Accent5 9 2 5 6" xfId="9839"/>
    <cellStyle name="20% - Accent5 9 2 6" xfId="3118"/>
    <cellStyle name="20% - Accent5 9 2 6 2" xfId="10515"/>
    <cellStyle name="20% - Accent5 9 2 7" xfId="3524"/>
    <cellStyle name="20% - Accent5 9 2 7 2" xfId="10878"/>
    <cellStyle name="20% - Accent5 9 2 8" xfId="5031"/>
    <cellStyle name="20% - Accent5 9 2 8 2" xfId="12309"/>
    <cellStyle name="20% - Accent5 9 2 9" xfId="6347"/>
    <cellStyle name="20% - Accent5 9 2 9 2" xfId="13564"/>
    <cellStyle name="20% - Accent5 9 3" xfId="801"/>
    <cellStyle name="20% - Accent5 9 3 2" xfId="1701"/>
    <cellStyle name="20% - Accent5 9 3 2 2" xfId="4091"/>
    <cellStyle name="20% - Accent5 9 3 2 2 2" xfId="11405"/>
    <cellStyle name="20% - Accent5 9 3 2 3" xfId="5453"/>
    <cellStyle name="20% - Accent5 9 3 2 3 2" xfId="12707"/>
    <cellStyle name="20% - Accent5 9 3 2 4" xfId="6725"/>
    <cellStyle name="20% - Accent5 9 3 2 4 2" xfId="13927"/>
    <cellStyle name="20% - Accent5 9 3 2 5" xfId="7880"/>
    <cellStyle name="20% - Accent5 9 3 2 5 2" xfId="15060"/>
    <cellStyle name="20% - Accent5 9 3 2 6" xfId="9388"/>
    <cellStyle name="20% - Accent5 9 3 3" xfId="1934"/>
    <cellStyle name="20% - Accent5 9 3 3 2" xfId="4317"/>
    <cellStyle name="20% - Accent5 9 3 3 2 2" xfId="11628"/>
    <cellStyle name="20% - Accent5 9 3 3 3" xfId="5673"/>
    <cellStyle name="20% - Accent5 9 3 3 3 2" xfId="12925"/>
    <cellStyle name="20% - Accent5 9 3 3 4" xfId="6942"/>
    <cellStyle name="20% - Accent5 9 3 3 4 2" xfId="14143"/>
    <cellStyle name="20% - Accent5 9 3 3 5" xfId="8086"/>
    <cellStyle name="20% - Accent5 9 3 3 5 2" xfId="15266"/>
    <cellStyle name="20% - Accent5 9 3 3 6" xfId="9594"/>
    <cellStyle name="20% - Accent5 9 3 4" xfId="2343"/>
    <cellStyle name="20% - Accent5 9 3 4 2" xfId="4705"/>
    <cellStyle name="20% - Accent5 9 3 4 2 2" xfId="12000"/>
    <cellStyle name="20% - Accent5 9 3 4 3" xfId="6046"/>
    <cellStyle name="20% - Accent5 9 3 4 3 2" xfId="13280"/>
    <cellStyle name="20% - Accent5 9 3 4 4" xfId="7299"/>
    <cellStyle name="20% - Accent5 9 3 4 4 2" xfId="14489"/>
    <cellStyle name="20% - Accent5 9 3 4 5" xfId="8406"/>
    <cellStyle name="20% - Accent5 9 3 4 5 2" xfId="15582"/>
    <cellStyle name="20% - Accent5 9 3 4 6" xfId="9914"/>
    <cellStyle name="20% - Accent5 9 3 5" xfId="3282"/>
    <cellStyle name="20% - Accent5 9 3 5 2" xfId="10655"/>
    <cellStyle name="20% - Accent5 9 3 6" xfId="3589"/>
    <cellStyle name="20% - Accent5 9 3 6 2" xfId="10935"/>
    <cellStyle name="20% - Accent5 9 3 7" xfId="5052"/>
    <cellStyle name="20% - Accent5 9 3 7 2" xfId="12327"/>
    <cellStyle name="20% - Accent5 9 3 8" xfId="6363"/>
    <cellStyle name="20% - Accent5 9 3 8 2" xfId="13578"/>
    <cellStyle name="20% - Accent5 9 3 9" xfId="8890"/>
    <cellStyle name="20% - Accent5 9 4" xfId="1489"/>
    <cellStyle name="20% - Accent5 9 4 2" xfId="3883"/>
    <cellStyle name="20% - Accent5 9 4 2 2" xfId="11203"/>
    <cellStyle name="20% - Accent5 9 4 3" xfId="5252"/>
    <cellStyle name="20% - Accent5 9 4 3 2" xfId="12512"/>
    <cellStyle name="20% - Accent5 9 4 4" xfId="6525"/>
    <cellStyle name="20% - Accent5 9 4 4 2" xfId="13732"/>
    <cellStyle name="20% - Accent5 9 4 5" xfId="7687"/>
    <cellStyle name="20% - Accent5 9 4 5 2" xfId="14867"/>
    <cellStyle name="20% - Accent5 9 4 6" xfId="9195"/>
    <cellStyle name="20% - Accent5 9 5" xfId="1832"/>
    <cellStyle name="20% - Accent5 9 5 2" xfId="4218"/>
    <cellStyle name="20% - Accent5 9 5 2 2" xfId="11531"/>
    <cellStyle name="20% - Accent5 9 5 3" xfId="5577"/>
    <cellStyle name="20% - Accent5 9 5 3 2" xfId="12831"/>
    <cellStyle name="20% - Accent5 9 5 4" xfId="6847"/>
    <cellStyle name="20% - Accent5 9 5 4 2" xfId="14049"/>
    <cellStyle name="20% - Accent5 9 5 5" xfId="7997"/>
    <cellStyle name="20% - Accent5 9 5 5 2" xfId="15177"/>
    <cellStyle name="20% - Accent5 9 5 6" xfId="9505"/>
    <cellStyle name="20% - Accent5 9 6" xfId="2202"/>
    <cellStyle name="20% - Accent5 9 6 2" xfId="4564"/>
    <cellStyle name="20% - Accent5 9 6 2 2" xfId="11863"/>
    <cellStyle name="20% - Accent5 9 6 3" xfId="5906"/>
    <cellStyle name="20% - Accent5 9 6 3 2" xfId="13143"/>
    <cellStyle name="20% - Accent5 9 6 4" xfId="7159"/>
    <cellStyle name="20% - Accent5 9 6 4 2" xfId="14352"/>
    <cellStyle name="20% - Accent5 9 6 5" xfId="8269"/>
    <cellStyle name="20% - Accent5 9 6 5 2" xfId="15445"/>
    <cellStyle name="20% - Accent5 9 6 6" xfId="9777"/>
    <cellStyle name="20% - Accent5 9 7" xfId="2966"/>
    <cellStyle name="20% - Accent5 9 7 2" xfId="10383"/>
    <cellStyle name="20% - Accent5 9 8" xfId="4907"/>
    <cellStyle name="20% - Accent5 9 8 2" xfId="12199"/>
    <cellStyle name="20% - Accent5 9 9" xfId="2738"/>
    <cellStyle name="20% - Accent5 9 9 2" xfId="10217"/>
    <cellStyle name="20% - Accent6" xfId="23" builtinId="50" customBuiltin="1"/>
    <cellStyle name="20% - Accent6 10" xfId="485"/>
    <cellStyle name="20% - Accent6 10 10" xfId="6360"/>
    <cellStyle name="20% - Accent6 10 10 2" xfId="13575"/>
    <cellStyle name="20% - Accent6 10 11" xfId="8765"/>
    <cellStyle name="20% - Accent6 10 2" xfId="629"/>
    <cellStyle name="20% - Accent6 10 2 10" xfId="8827"/>
    <cellStyle name="20% - Accent6 10 2 2" xfId="868"/>
    <cellStyle name="20% - Accent6 10 2 2 2" xfId="1768"/>
    <cellStyle name="20% - Accent6 10 2 2 2 2" xfId="4158"/>
    <cellStyle name="20% - Accent6 10 2 2 2 2 2" xfId="11472"/>
    <cellStyle name="20% - Accent6 10 2 2 2 3" xfId="5520"/>
    <cellStyle name="20% - Accent6 10 2 2 2 3 2" xfId="12774"/>
    <cellStyle name="20% - Accent6 10 2 2 2 4" xfId="6792"/>
    <cellStyle name="20% - Accent6 10 2 2 2 4 2" xfId="13994"/>
    <cellStyle name="20% - Accent6 10 2 2 2 5" xfId="7947"/>
    <cellStyle name="20% - Accent6 10 2 2 2 5 2" xfId="15127"/>
    <cellStyle name="20% - Accent6 10 2 2 2 6" xfId="9455"/>
    <cellStyle name="20% - Accent6 10 2 2 3" xfId="2001"/>
    <cellStyle name="20% - Accent6 10 2 2 3 2" xfId="4384"/>
    <cellStyle name="20% - Accent6 10 2 2 3 2 2" xfId="11695"/>
    <cellStyle name="20% - Accent6 10 2 2 3 3" xfId="5740"/>
    <cellStyle name="20% - Accent6 10 2 2 3 3 2" xfId="12992"/>
    <cellStyle name="20% - Accent6 10 2 2 3 4" xfId="7009"/>
    <cellStyle name="20% - Accent6 10 2 2 3 4 2" xfId="14210"/>
    <cellStyle name="20% - Accent6 10 2 2 3 5" xfId="8153"/>
    <cellStyle name="20% - Accent6 10 2 2 3 5 2" xfId="15333"/>
    <cellStyle name="20% - Accent6 10 2 2 3 6" xfId="9661"/>
    <cellStyle name="20% - Accent6 10 2 2 4" xfId="2410"/>
    <cellStyle name="20% - Accent6 10 2 2 4 2" xfId="4772"/>
    <cellStyle name="20% - Accent6 10 2 2 4 2 2" xfId="12067"/>
    <cellStyle name="20% - Accent6 10 2 2 4 3" xfId="6113"/>
    <cellStyle name="20% - Accent6 10 2 2 4 3 2" xfId="13347"/>
    <cellStyle name="20% - Accent6 10 2 2 4 4" xfId="7366"/>
    <cellStyle name="20% - Accent6 10 2 2 4 4 2" xfId="14556"/>
    <cellStyle name="20% - Accent6 10 2 2 4 5" xfId="8473"/>
    <cellStyle name="20% - Accent6 10 2 2 4 5 2" xfId="15649"/>
    <cellStyle name="20% - Accent6 10 2 2 4 6" xfId="9981"/>
    <cellStyle name="20% - Accent6 10 2 2 5" xfId="3349"/>
    <cellStyle name="20% - Accent6 10 2 2 5 2" xfId="10722"/>
    <cellStyle name="20% - Accent6 10 2 2 6" xfId="3706"/>
    <cellStyle name="20% - Accent6 10 2 2 6 2" xfId="11040"/>
    <cellStyle name="20% - Accent6 10 2 2 7" xfId="2982"/>
    <cellStyle name="20% - Accent6 10 2 2 7 2" xfId="10396"/>
    <cellStyle name="20% - Accent6 10 2 2 8" xfId="3808"/>
    <cellStyle name="20% - Accent6 10 2 2 8 2" xfId="11130"/>
    <cellStyle name="20% - Accent6 10 2 2 9" xfId="8957"/>
    <cellStyle name="20% - Accent6 10 2 3" xfId="1605"/>
    <cellStyle name="20% - Accent6 10 2 3 2" xfId="3996"/>
    <cellStyle name="20% - Accent6 10 2 3 2 2" xfId="11313"/>
    <cellStyle name="20% - Accent6 10 2 3 3" xfId="5362"/>
    <cellStyle name="20% - Accent6 10 2 3 3 2" xfId="12620"/>
    <cellStyle name="20% - Accent6 10 2 3 4" xfId="6635"/>
    <cellStyle name="20% - Accent6 10 2 3 4 2" xfId="13840"/>
    <cellStyle name="20% - Accent6 10 2 3 5" xfId="7794"/>
    <cellStyle name="20% - Accent6 10 2 3 5 2" xfId="14974"/>
    <cellStyle name="20% - Accent6 10 2 3 6" xfId="9302"/>
    <cellStyle name="20% - Accent6 10 2 4" xfId="1416"/>
    <cellStyle name="20% - Accent6 10 2 4 2" xfId="3813"/>
    <cellStyle name="20% - Accent6 10 2 4 2 2" xfId="11134"/>
    <cellStyle name="20% - Accent6 10 2 4 3" xfId="5183"/>
    <cellStyle name="20% - Accent6 10 2 4 3 2" xfId="12445"/>
    <cellStyle name="20% - Accent6 10 2 4 4" xfId="6459"/>
    <cellStyle name="20% - Accent6 10 2 4 4 2" xfId="13668"/>
    <cellStyle name="20% - Accent6 10 2 4 5" xfId="7628"/>
    <cellStyle name="20% - Accent6 10 2 4 5 2" xfId="14808"/>
    <cellStyle name="20% - Accent6 10 2 4 6" xfId="9136"/>
    <cellStyle name="20% - Accent6 10 2 5" xfId="2280"/>
    <cellStyle name="20% - Accent6 10 2 5 2" xfId="4642"/>
    <cellStyle name="20% - Accent6 10 2 5 2 2" xfId="11940"/>
    <cellStyle name="20% - Accent6 10 2 5 3" xfId="5983"/>
    <cellStyle name="20% - Accent6 10 2 5 3 2" xfId="13220"/>
    <cellStyle name="20% - Accent6 10 2 5 4" xfId="7236"/>
    <cellStyle name="20% - Accent6 10 2 5 4 2" xfId="14429"/>
    <cellStyle name="20% - Accent6 10 2 5 5" xfId="8346"/>
    <cellStyle name="20% - Accent6 10 2 5 5 2" xfId="15522"/>
    <cellStyle name="20% - Accent6 10 2 5 6" xfId="9854"/>
    <cellStyle name="20% - Accent6 10 2 6" xfId="3133"/>
    <cellStyle name="20% - Accent6 10 2 6 2" xfId="10530"/>
    <cellStyle name="20% - Accent6 10 2 7" xfId="4925"/>
    <cellStyle name="20% - Accent6 10 2 7 2" xfId="12214"/>
    <cellStyle name="20% - Accent6 10 2 8" xfId="4037"/>
    <cellStyle name="20% - Accent6 10 2 8 2" xfId="11352"/>
    <cellStyle name="20% - Accent6 10 2 9" xfId="3531"/>
    <cellStyle name="20% - Accent6 10 2 9 2" xfId="10885"/>
    <cellStyle name="20% - Accent6 10 3" xfId="816"/>
    <cellStyle name="20% - Accent6 10 3 2" xfId="1716"/>
    <cellStyle name="20% - Accent6 10 3 2 2" xfId="4106"/>
    <cellStyle name="20% - Accent6 10 3 2 2 2" xfId="11420"/>
    <cellStyle name="20% - Accent6 10 3 2 3" xfId="5468"/>
    <cellStyle name="20% - Accent6 10 3 2 3 2" xfId="12722"/>
    <cellStyle name="20% - Accent6 10 3 2 4" xfId="6740"/>
    <cellStyle name="20% - Accent6 10 3 2 4 2" xfId="13942"/>
    <cellStyle name="20% - Accent6 10 3 2 5" xfId="7895"/>
    <cellStyle name="20% - Accent6 10 3 2 5 2" xfId="15075"/>
    <cellStyle name="20% - Accent6 10 3 2 6" xfId="9403"/>
    <cellStyle name="20% - Accent6 10 3 3" xfId="1949"/>
    <cellStyle name="20% - Accent6 10 3 3 2" xfId="4332"/>
    <cellStyle name="20% - Accent6 10 3 3 2 2" xfId="11643"/>
    <cellStyle name="20% - Accent6 10 3 3 3" xfId="5688"/>
    <cellStyle name="20% - Accent6 10 3 3 3 2" xfId="12940"/>
    <cellStyle name="20% - Accent6 10 3 3 4" xfId="6957"/>
    <cellStyle name="20% - Accent6 10 3 3 4 2" xfId="14158"/>
    <cellStyle name="20% - Accent6 10 3 3 5" xfId="8101"/>
    <cellStyle name="20% - Accent6 10 3 3 5 2" xfId="15281"/>
    <cellStyle name="20% - Accent6 10 3 3 6" xfId="9609"/>
    <cellStyle name="20% - Accent6 10 3 4" xfId="2358"/>
    <cellStyle name="20% - Accent6 10 3 4 2" xfId="4720"/>
    <cellStyle name="20% - Accent6 10 3 4 2 2" xfId="12015"/>
    <cellStyle name="20% - Accent6 10 3 4 3" xfId="6061"/>
    <cellStyle name="20% - Accent6 10 3 4 3 2" xfId="13295"/>
    <cellStyle name="20% - Accent6 10 3 4 4" xfId="7314"/>
    <cellStyle name="20% - Accent6 10 3 4 4 2" xfId="14504"/>
    <cellStyle name="20% - Accent6 10 3 4 5" xfId="8421"/>
    <cellStyle name="20% - Accent6 10 3 4 5 2" xfId="15597"/>
    <cellStyle name="20% - Accent6 10 3 4 6" xfId="9929"/>
    <cellStyle name="20% - Accent6 10 3 5" xfId="3297"/>
    <cellStyle name="20% - Accent6 10 3 5 2" xfId="10670"/>
    <cellStyle name="20% - Accent6 10 3 6" xfId="3082"/>
    <cellStyle name="20% - Accent6 10 3 6 2" xfId="10479"/>
    <cellStyle name="20% - Accent6 10 3 7" xfId="5364"/>
    <cellStyle name="20% - Accent6 10 3 7 2" xfId="12622"/>
    <cellStyle name="20% - Accent6 10 3 8" xfId="6637"/>
    <cellStyle name="20% - Accent6 10 3 8 2" xfId="13842"/>
    <cellStyle name="20% - Accent6 10 3 9" xfId="8905"/>
    <cellStyle name="20% - Accent6 10 4" xfId="1515"/>
    <cellStyle name="20% - Accent6 10 4 2" xfId="3908"/>
    <cellStyle name="20% - Accent6 10 4 2 2" xfId="11226"/>
    <cellStyle name="20% - Accent6 10 4 3" xfId="5275"/>
    <cellStyle name="20% - Accent6 10 4 3 2" xfId="12534"/>
    <cellStyle name="20% - Accent6 10 4 4" xfId="6548"/>
    <cellStyle name="20% - Accent6 10 4 4 2" xfId="13754"/>
    <cellStyle name="20% - Accent6 10 4 5" xfId="7708"/>
    <cellStyle name="20% - Accent6 10 4 5 2" xfId="14888"/>
    <cellStyle name="20% - Accent6 10 4 6" xfId="9216"/>
    <cellStyle name="20% - Accent6 10 5" xfId="1798"/>
    <cellStyle name="20% - Accent6 10 5 2" xfId="4187"/>
    <cellStyle name="20% - Accent6 10 5 2 2" xfId="11500"/>
    <cellStyle name="20% - Accent6 10 5 3" xfId="5547"/>
    <cellStyle name="20% - Accent6 10 5 3 2" xfId="12801"/>
    <cellStyle name="20% - Accent6 10 5 4" xfId="6819"/>
    <cellStyle name="20% - Accent6 10 5 4 2" xfId="14021"/>
    <cellStyle name="20% - Accent6 10 5 5" xfId="7970"/>
    <cellStyle name="20% - Accent6 10 5 5 2" xfId="15150"/>
    <cellStyle name="20% - Accent6 10 5 6" xfId="9478"/>
    <cellStyle name="20% - Accent6 10 6" xfId="2218"/>
    <cellStyle name="20% - Accent6 10 6 2" xfId="4580"/>
    <cellStyle name="20% - Accent6 10 6 2 2" xfId="11878"/>
    <cellStyle name="20% - Accent6 10 6 3" xfId="5921"/>
    <cellStyle name="20% - Accent6 10 6 3 2" xfId="13158"/>
    <cellStyle name="20% - Accent6 10 6 4" xfId="7174"/>
    <cellStyle name="20% - Accent6 10 6 4 2" xfId="14367"/>
    <cellStyle name="20% - Accent6 10 6 5" xfId="8284"/>
    <cellStyle name="20% - Accent6 10 6 5 2" xfId="15460"/>
    <cellStyle name="20% - Accent6 10 6 6" xfId="9792"/>
    <cellStyle name="20% - Accent6 10 7" xfId="3007"/>
    <cellStyle name="20% - Accent6 10 7 2" xfId="10419"/>
    <cellStyle name="20% - Accent6 10 8" xfId="3584"/>
    <cellStyle name="20% - Accent6 10 8 2" xfId="10931"/>
    <cellStyle name="20% - Accent6 10 9" xfId="5048"/>
    <cellStyle name="20% - Accent6 10 9 2" xfId="12323"/>
    <cellStyle name="20% - Accent6 11" xfId="669"/>
    <cellStyle name="20% - Accent6 11 10" xfId="8840"/>
    <cellStyle name="20% - Accent6 11 2" xfId="881"/>
    <cellStyle name="20% - Accent6 11 2 2" xfId="1781"/>
    <cellStyle name="20% - Accent6 11 2 2 2" xfId="4171"/>
    <cellStyle name="20% - Accent6 11 2 2 2 2" xfId="11485"/>
    <cellStyle name="20% - Accent6 11 2 2 3" xfId="5533"/>
    <cellStyle name="20% - Accent6 11 2 2 3 2" xfId="12787"/>
    <cellStyle name="20% - Accent6 11 2 2 4" xfId="6805"/>
    <cellStyle name="20% - Accent6 11 2 2 4 2" xfId="14007"/>
    <cellStyle name="20% - Accent6 11 2 2 5" xfId="7960"/>
    <cellStyle name="20% - Accent6 11 2 2 5 2" xfId="15140"/>
    <cellStyle name="20% - Accent6 11 2 2 6" xfId="9468"/>
    <cellStyle name="20% - Accent6 11 2 3" xfId="2014"/>
    <cellStyle name="20% - Accent6 11 2 3 2" xfId="4397"/>
    <cellStyle name="20% - Accent6 11 2 3 2 2" xfId="11708"/>
    <cellStyle name="20% - Accent6 11 2 3 3" xfId="5753"/>
    <cellStyle name="20% - Accent6 11 2 3 3 2" xfId="13005"/>
    <cellStyle name="20% - Accent6 11 2 3 4" xfId="7022"/>
    <cellStyle name="20% - Accent6 11 2 3 4 2" xfId="14223"/>
    <cellStyle name="20% - Accent6 11 2 3 5" xfId="8166"/>
    <cellStyle name="20% - Accent6 11 2 3 5 2" xfId="15346"/>
    <cellStyle name="20% - Accent6 11 2 3 6" xfId="9674"/>
    <cellStyle name="20% - Accent6 11 2 4" xfId="2423"/>
    <cellStyle name="20% - Accent6 11 2 4 2" xfId="4785"/>
    <cellStyle name="20% - Accent6 11 2 4 2 2" xfId="12080"/>
    <cellStyle name="20% - Accent6 11 2 4 3" xfId="6126"/>
    <cellStyle name="20% - Accent6 11 2 4 3 2" xfId="13360"/>
    <cellStyle name="20% - Accent6 11 2 4 4" xfId="7379"/>
    <cellStyle name="20% - Accent6 11 2 4 4 2" xfId="14569"/>
    <cellStyle name="20% - Accent6 11 2 4 5" xfId="8486"/>
    <cellStyle name="20% - Accent6 11 2 4 5 2" xfId="15662"/>
    <cellStyle name="20% - Accent6 11 2 4 6" xfId="9994"/>
    <cellStyle name="20% - Accent6 11 2 5" xfId="3362"/>
    <cellStyle name="20% - Accent6 11 2 5 2" xfId="10735"/>
    <cellStyle name="20% - Accent6 11 2 6" xfId="3240"/>
    <cellStyle name="20% - Accent6 11 2 6 2" xfId="10613"/>
    <cellStyle name="20% - Accent6 11 2 7" xfId="5865"/>
    <cellStyle name="20% - Accent6 11 2 7 2" xfId="13102"/>
    <cellStyle name="20% - Accent6 11 2 8" xfId="7119"/>
    <cellStyle name="20% - Accent6 11 2 8 2" xfId="14312"/>
    <cellStyle name="20% - Accent6 11 2 9" xfId="8970"/>
    <cellStyle name="20% - Accent6 11 3" xfId="1622"/>
    <cellStyle name="20% - Accent6 11 3 2" xfId="4013"/>
    <cellStyle name="20% - Accent6 11 3 2 2" xfId="11330"/>
    <cellStyle name="20% - Accent6 11 3 3" xfId="5377"/>
    <cellStyle name="20% - Accent6 11 3 3 2" xfId="12635"/>
    <cellStyle name="20% - Accent6 11 3 4" xfId="6650"/>
    <cellStyle name="20% - Accent6 11 3 4 2" xfId="13855"/>
    <cellStyle name="20% - Accent6 11 3 5" xfId="7808"/>
    <cellStyle name="20% - Accent6 11 3 5 2" xfId="14988"/>
    <cellStyle name="20% - Accent6 11 3 6" xfId="9316"/>
    <cellStyle name="20% - Accent6 11 4" xfId="1884"/>
    <cellStyle name="20% - Accent6 11 4 2" xfId="4269"/>
    <cellStyle name="20% - Accent6 11 4 2 2" xfId="11581"/>
    <cellStyle name="20% - Accent6 11 4 3" xfId="5625"/>
    <cellStyle name="20% - Accent6 11 4 3 2" xfId="12878"/>
    <cellStyle name="20% - Accent6 11 4 4" xfId="6894"/>
    <cellStyle name="20% - Accent6 11 4 4 2" xfId="14096"/>
    <cellStyle name="20% - Accent6 11 4 5" xfId="8039"/>
    <cellStyle name="20% - Accent6 11 4 5 2" xfId="15219"/>
    <cellStyle name="20% - Accent6 11 4 6" xfId="9547"/>
    <cellStyle name="20% - Accent6 11 5" xfId="2293"/>
    <cellStyle name="20% - Accent6 11 5 2" xfId="4655"/>
    <cellStyle name="20% - Accent6 11 5 2 2" xfId="11953"/>
    <cellStyle name="20% - Accent6 11 5 3" xfId="5996"/>
    <cellStyle name="20% - Accent6 11 5 3 2" xfId="13233"/>
    <cellStyle name="20% - Accent6 11 5 4" xfId="7249"/>
    <cellStyle name="20% - Accent6 11 5 4 2" xfId="14442"/>
    <cellStyle name="20% - Accent6 11 5 5" xfId="8359"/>
    <cellStyle name="20% - Accent6 11 5 5 2" xfId="15535"/>
    <cellStyle name="20% - Accent6 11 5 6" xfId="9867"/>
    <cellStyle name="20% - Accent6 11 6" xfId="3169"/>
    <cellStyle name="20% - Accent6 11 6 2" xfId="10560"/>
    <cellStyle name="20% - Accent6 11 7" xfId="2653"/>
    <cellStyle name="20% - Accent6 11 7 2" xfId="10153"/>
    <cellStyle name="20% - Accent6 11 8" xfId="3651"/>
    <cellStyle name="20% - Accent6 11 8 2" xfId="10989"/>
    <cellStyle name="20% - Accent6 11 9" xfId="3767"/>
    <cellStyle name="20% - Accent6 11 9 2" xfId="11092"/>
    <cellStyle name="20% - Accent6 12" xfId="921"/>
    <cellStyle name="20% - Accent6 12 2" xfId="1805"/>
    <cellStyle name="20% - Accent6 12 2 2" xfId="4194"/>
    <cellStyle name="20% - Accent6 12 2 2 2" xfId="11507"/>
    <cellStyle name="20% - Accent6 12 2 3" xfId="5554"/>
    <cellStyle name="20% - Accent6 12 2 3 2" xfId="12808"/>
    <cellStyle name="20% - Accent6 12 2 4" xfId="6826"/>
    <cellStyle name="20% - Accent6 12 2 4 2" xfId="14028"/>
    <cellStyle name="20% - Accent6 12 2 5" xfId="7977"/>
    <cellStyle name="20% - Accent6 12 2 5 2" xfId="15157"/>
    <cellStyle name="20% - Accent6 12 2 6" xfId="9485"/>
    <cellStyle name="20% - Accent6 12 3" xfId="2027"/>
    <cellStyle name="20% - Accent6 12 3 2" xfId="4410"/>
    <cellStyle name="20% - Accent6 12 3 2 2" xfId="11721"/>
    <cellStyle name="20% - Accent6 12 3 3" xfId="5766"/>
    <cellStyle name="20% - Accent6 12 3 3 2" xfId="13018"/>
    <cellStyle name="20% - Accent6 12 3 4" xfId="7035"/>
    <cellStyle name="20% - Accent6 12 3 4 2" xfId="14236"/>
    <cellStyle name="20% - Accent6 12 3 5" xfId="8179"/>
    <cellStyle name="20% - Accent6 12 3 5 2" xfId="15359"/>
    <cellStyle name="20% - Accent6 12 3 6" xfId="9687"/>
    <cellStyle name="20% - Accent6 12 4" xfId="2436"/>
    <cellStyle name="20% - Accent6 12 4 2" xfId="4798"/>
    <cellStyle name="20% - Accent6 12 4 2 2" xfId="12093"/>
    <cellStyle name="20% - Accent6 12 4 3" xfId="6139"/>
    <cellStyle name="20% - Accent6 12 4 3 2" xfId="13373"/>
    <cellStyle name="20% - Accent6 12 4 4" xfId="7392"/>
    <cellStyle name="20% - Accent6 12 4 4 2" xfId="14582"/>
    <cellStyle name="20% - Accent6 12 4 5" xfId="8499"/>
    <cellStyle name="20% - Accent6 12 4 5 2" xfId="15675"/>
    <cellStyle name="20% - Accent6 12 4 6" xfId="10007"/>
    <cellStyle name="20% - Accent6 12 5" xfId="3397"/>
    <cellStyle name="20% - Accent6 12 5 2" xfId="10767"/>
    <cellStyle name="20% - Accent6 12 6" xfId="2849"/>
    <cellStyle name="20% - Accent6 12 6 2" xfId="10276"/>
    <cellStyle name="20% - Accent6 12 7" xfId="3606"/>
    <cellStyle name="20% - Accent6 12 7 2" xfId="10952"/>
    <cellStyle name="20% - Accent6 12 8" xfId="5068"/>
    <cellStyle name="20% - Accent6 12 8 2" xfId="12343"/>
    <cellStyle name="20% - Accent6 12 9" xfId="8983"/>
    <cellStyle name="20% - Accent6 13" xfId="964"/>
    <cellStyle name="20% - Accent6 13 2" xfId="1830"/>
    <cellStyle name="20% - Accent6 13 2 2" xfId="4216"/>
    <cellStyle name="20% - Accent6 13 2 2 2" xfId="11529"/>
    <cellStyle name="20% - Accent6 13 2 3" xfId="5575"/>
    <cellStyle name="20% - Accent6 13 2 3 2" xfId="12829"/>
    <cellStyle name="20% - Accent6 13 2 4" xfId="6845"/>
    <cellStyle name="20% - Accent6 13 2 4 2" xfId="14047"/>
    <cellStyle name="20% - Accent6 13 2 5" xfId="7995"/>
    <cellStyle name="20% - Accent6 13 2 5 2" xfId="15175"/>
    <cellStyle name="20% - Accent6 13 2 6" xfId="9503"/>
    <cellStyle name="20% - Accent6 13 3" xfId="2042"/>
    <cellStyle name="20% - Accent6 13 3 2" xfId="4424"/>
    <cellStyle name="20% - Accent6 13 3 2 2" xfId="11734"/>
    <cellStyle name="20% - Accent6 13 3 3" xfId="5780"/>
    <cellStyle name="20% - Accent6 13 3 3 2" xfId="13031"/>
    <cellStyle name="20% - Accent6 13 3 4" xfId="7049"/>
    <cellStyle name="20% - Accent6 13 3 4 2" xfId="14249"/>
    <cellStyle name="20% - Accent6 13 3 5" xfId="8192"/>
    <cellStyle name="20% - Accent6 13 3 5 2" xfId="15372"/>
    <cellStyle name="20% - Accent6 13 3 6" xfId="9700"/>
    <cellStyle name="20% - Accent6 13 4" xfId="2451"/>
    <cellStyle name="20% - Accent6 13 4 2" xfId="4813"/>
    <cellStyle name="20% - Accent6 13 4 2 2" xfId="12106"/>
    <cellStyle name="20% - Accent6 13 4 3" xfId="6154"/>
    <cellStyle name="20% - Accent6 13 4 3 2" xfId="13386"/>
    <cellStyle name="20% - Accent6 13 4 4" xfId="7407"/>
    <cellStyle name="20% - Accent6 13 4 4 2" xfId="14595"/>
    <cellStyle name="20% - Accent6 13 4 5" xfId="8512"/>
    <cellStyle name="20% - Accent6 13 4 5 2" xfId="15688"/>
    <cellStyle name="20% - Accent6 13 4 6" xfId="10020"/>
    <cellStyle name="20% - Accent6 13 5" xfId="3432"/>
    <cellStyle name="20% - Accent6 13 5 2" xfId="10796"/>
    <cellStyle name="20% - Accent6 13 6" xfId="2605"/>
    <cellStyle name="20% - Accent6 13 6 2" xfId="10130"/>
    <cellStyle name="20% - Accent6 13 7" xfId="5084"/>
    <cellStyle name="20% - Accent6 13 7 2" xfId="12357"/>
    <cellStyle name="20% - Accent6 13 8" xfId="6389"/>
    <cellStyle name="20% - Accent6 13 8 2" xfId="13603"/>
    <cellStyle name="20% - Accent6 13 9" xfId="8998"/>
    <cellStyle name="20% - Accent6 14" xfId="1007"/>
    <cellStyle name="20% - Accent6 14 2" xfId="1852"/>
    <cellStyle name="20% - Accent6 14 2 2" xfId="4237"/>
    <cellStyle name="20% - Accent6 14 2 2 2" xfId="11550"/>
    <cellStyle name="20% - Accent6 14 2 3" xfId="5594"/>
    <cellStyle name="20% - Accent6 14 2 3 2" xfId="12847"/>
    <cellStyle name="20% - Accent6 14 2 4" xfId="6863"/>
    <cellStyle name="20% - Accent6 14 2 4 2" xfId="14065"/>
    <cellStyle name="20% - Accent6 14 2 5" xfId="8011"/>
    <cellStyle name="20% - Accent6 14 2 5 2" xfId="15191"/>
    <cellStyle name="20% - Accent6 14 2 6" xfId="9519"/>
    <cellStyle name="20% - Accent6 14 3" xfId="2056"/>
    <cellStyle name="20% - Accent6 14 3 2" xfId="4438"/>
    <cellStyle name="20% - Accent6 14 3 2 2" xfId="11747"/>
    <cellStyle name="20% - Accent6 14 3 3" xfId="5793"/>
    <cellStyle name="20% - Accent6 14 3 3 2" xfId="13044"/>
    <cellStyle name="20% - Accent6 14 3 4" xfId="7062"/>
    <cellStyle name="20% - Accent6 14 3 4 2" xfId="14262"/>
    <cellStyle name="20% - Accent6 14 3 5" xfId="8205"/>
    <cellStyle name="20% - Accent6 14 3 5 2" xfId="15385"/>
    <cellStyle name="20% - Accent6 14 3 6" xfId="9713"/>
    <cellStyle name="20% - Accent6 14 4" xfId="2465"/>
    <cellStyle name="20% - Accent6 14 4 2" xfId="4826"/>
    <cellStyle name="20% - Accent6 14 4 2 2" xfId="12119"/>
    <cellStyle name="20% - Accent6 14 4 3" xfId="6168"/>
    <cellStyle name="20% - Accent6 14 4 3 2" xfId="13399"/>
    <cellStyle name="20% - Accent6 14 4 4" xfId="7421"/>
    <cellStyle name="20% - Accent6 14 4 4 2" xfId="14608"/>
    <cellStyle name="20% - Accent6 14 4 5" xfId="8525"/>
    <cellStyle name="20% - Accent6 14 4 5 2" xfId="15701"/>
    <cellStyle name="20% - Accent6 14 4 6" xfId="10033"/>
    <cellStyle name="20% - Accent6 14 5" xfId="3468"/>
    <cellStyle name="20% - Accent6 14 5 2" xfId="10828"/>
    <cellStyle name="20% - Accent6 14 6" xfId="3016"/>
    <cellStyle name="20% - Accent6 14 6 2" xfId="10427"/>
    <cellStyle name="20% - Accent6 14 7" xfId="5197"/>
    <cellStyle name="20% - Accent6 14 7 2" xfId="12459"/>
    <cellStyle name="20% - Accent6 14 8" xfId="6473"/>
    <cellStyle name="20% - Accent6 14 8 2" xfId="13682"/>
    <cellStyle name="20% - Accent6 14 9" xfId="9012"/>
    <cellStyle name="20% - Accent6 15" xfId="1048"/>
    <cellStyle name="20% - Accent6 15 2" xfId="1871"/>
    <cellStyle name="20% - Accent6 15 2 2" xfId="4256"/>
    <cellStyle name="20% - Accent6 15 2 2 2" xfId="11568"/>
    <cellStyle name="20% - Accent6 15 2 3" xfId="5612"/>
    <cellStyle name="20% - Accent6 15 2 3 2" xfId="12865"/>
    <cellStyle name="20% - Accent6 15 2 4" xfId="6881"/>
    <cellStyle name="20% - Accent6 15 2 4 2" xfId="14083"/>
    <cellStyle name="20% - Accent6 15 2 5" xfId="8026"/>
    <cellStyle name="20% - Accent6 15 2 5 2" xfId="15206"/>
    <cellStyle name="20% - Accent6 15 2 6" xfId="9534"/>
    <cellStyle name="20% - Accent6 15 3" xfId="2069"/>
    <cellStyle name="20% - Accent6 15 3 2" xfId="4451"/>
    <cellStyle name="20% - Accent6 15 3 2 2" xfId="11760"/>
    <cellStyle name="20% - Accent6 15 3 3" xfId="5806"/>
    <cellStyle name="20% - Accent6 15 3 3 2" xfId="13057"/>
    <cellStyle name="20% - Accent6 15 3 4" xfId="7075"/>
    <cellStyle name="20% - Accent6 15 3 4 2" xfId="14275"/>
    <cellStyle name="20% - Accent6 15 3 5" xfId="8218"/>
    <cellStyle name="20% - Accent6 15 3 5 2" xfId="15398"/>
    <cellStyle name="20% - Accent6 15 3 6" xfId="9726"/>
    <cellStyle name="20% - Accent6 15 4" xfId="2478"/>
    <cellStyle name="20% - Accent6 15 4 2" xfId="4839"/>
    <cellStyle name="20% - Accent6 15 4 2 2" xfId="12132"/>
    <cellStyle name="20% - Accent6 15 4 3" xfId="6181"/>
    <cellStyle name="20% - Accent6 15 4 3 2" xfId="13412"/>
    <cellStyle name="20% - Accent6 15 4 4" xfId="7434"/>
    <cellStyle name="20% - Accent6 15 4 4 2" xfId="14621"/>
    <cellStyle name="20% - Accent6 15 4 5" xfId="8538"/>
    <cellStyle name="20% - Accent6 15 4 5 2" xfId="15714"/>
    <cellStyle name="20% - Accent6 15 4 6" xfId="10046"/>
    <cellStyle name="20% - Accent6 15 5" xfId="3501"/>
    <cellStyle name="20% - Accent6 15 5 2" xfId="10856"/>
    <cellStyle name="20% - Accent6 15 6" xfId="4223"/>
    <cellStyle name="20% - Accent6 15 6 2" xfId="11536"/>
    <cellStyle name="20% - Accent6 15 7" xfId="3448"/>
    <cellStyle name="20% - Accent6 15 7 2" xfId="10809"/>
    <cellStyle name="20% - Accent6 15 8" xfId="4958"/>
    <cellStyle name="20% - Accent6 15 8 2" xfId="12244"/>
    <cellStyle name="20% - Accent6 15 9" xfId="9025"/>
    <cellStyle name="20% - Accent6 16" xfId="1089"/>
    <cellStyle name="20% - Accent6 16 2" xfId="2491"/>
    <cellStyle name="20% - Accent6 16 2 2" xfId="4852"/>
    <cellStyle name="20% - Accent6 16 2 2 2" xfId="12145"/>
    <cellStyle name="20% - Accent6 16 2 3" xfId="6194"/>
    <cellStyle name="20% - Accent6 16 2 3 2" xfId="13425"/>
    <cellStyle name="20% - Accent6 16 2 4" xfId="7447"/>
    <cellStyle name="20% - Accent6 16 2 4 2" xfId="14634"/>
    <cellStyle name="20% - Accent6 16 2 5" xfId="8551"/>
    <cellStyle name="20% - Accent6 16 2 5 2" xfId="15727"/>
    <cellStyle name="20% - Accent6 16 2 6" xfId="10059"/>
    <cellStyle name="20% - Accent6 16 3" xfId="3533"/>
    <cellStyle name="20% - Accent6 16 3 2" xfId="10887"/>
    <cellStyle name="20% - Accent6 16 4" xfId="4947"/>
    <cellStyle name="20% - Accent6 16 4 2" xfId="12236"/>
    <cellStyle name="20% - Accent6 16 5" xfId="6285"/>
    <cellStyle name="20% - Accent6 16 5 2" xfId="13511"/>
    <cellStyle name="20% - Accent6 16 6" xfId="7530"/>
    <cellStyle name="20% - Accent6 16 6 2" xfId="14714"/>
    <cellStyle name="20% - Accent6 16 7" xfId="9038"/>
    <cellStyle name="20% - Accent6 17" xfId="1130"/>
    <cellStyle name="20% - Accent6 17 2" xfId="2504"/>
    <cellStyle name="20% - Accent6 17 2 2" xfId="4865"/>
    <cellStyle name="20% - Accent6 17 2 2 2" xfId="12158"/>
    <cellStyle name="20% - Accent6 17 2 3" xfId="6207"/>
    <cellStyle name="20% - Accent6 17 2 3 2" xfId="13438"/>
    <cellStyle name="20% - Accent6 17 2 4" xfId="7460"/>
    <cellStyle name="20% - Accent6 17 2 4 2" xfId="14647"/>
    <cellStyle name="20% - Accent6 17 2 5" xfId="8564"/>
    <cellStyle name="20% - Accent6 17 2 5 2" xfId="15740"/>
    <cellStyle name="20% - Accent6 17 2 6" xfId="10072"/>
    <cellStyle name="20% - Accent6 17 3" xfId="3568"/>
    <cellStyle name="20% - Accent6 17 3 2" xfId="10917"/>
    <cellStyle name="20% - Accent6 17 4" xfId="4978"/>
    <cellStyle name="20% - Accent6 17 4 2" xfId="12263"/>
    <cellStyle name="20% - Accent6 17 5" xfId="6306"/>
    <cellStyle name="20% - Accent6 17 5 2" xfId="13529"/>
    <cellStyle name="20% - Accent6 17 6" xfId="7543"/>
    <cellStyle name="20% - Accent6 17 6 2" xfId="14727"/>
    <cellStyle name="20% - Accent6 17 7" xfId="9051"/>
    <cellStyle name="20% - Accent6 18" xfId="1171"/>
    <cellStyle name="20% - Accent6 18 2" xfId="2517"/>
    <cellStyle name="20% - Accent6 18 2 2" xfId="4878"/>
    <cellStyle name="20% - Accent6 18 2 2 2" xfId="12171"/>
    <cellStyle name="20% - Accent6 18 2 3" xfId="6220"/>
    <cellStyle name="20% - Accent6 18 2 3 2" xfId="13451"/>
    <cellStyle name="20% - Accent6 18 2 4" xfId="7473"/>
    <cellStyle name="20% - Accent6 18 2 4 2" xfId="14660"/>
    <cellStyle name="20% - Accent6 18 2 5" xfId="8577"/>
    <cellStyle name="20% - Accent6 18 2 5 2" xfId="15753"/>
    <cellStyle name="20% - Accent6 18 2 6" xfId="10085"/>
    <cellStyle name="20% - Accent6 18 3" xfId="3604"/>
    <cellStyle name="20% - Accent6 18 3 2" xfId="10950"/>
    <cellStyle name="20% - Accent6 18 4" xfId="5008"/>
    <cellStyle name="20% - Accent6 18 4 2" xfId="12289"/>
    <cellStyle name="20% - Accent6 18 5" xfId="6329"/>
    <cellStyle name="20% - Accent6 18 5 2" xfId="13549"/>
    <cellStyle name="20% - Accent6 18 6" xfId="7556"/>
    <cellStyle name="20% - Accent6 18 6 2" xfId="14740"/>
    <cellStyle name="20% - Accent6 18 7" xfId="9064"/>
    <cellStyle name="20% - Accent6 19" xfId="1212"/>
    <cellStyle name="20% - Accent6 19 2" xfId="2530"/>
    <cellStyle name="20% - Accent6 19 2 2" xfId="4891"/>
    <cellStyle name="20% - Accent6 19 2 2 2" xfId="12184"/>
    <cellStyle name="20% - Accent6 19 2 3" xfId="6233"/>
    <cellStyle name="20% - Accent6 19 2 3 2" xfId="13464"/>
    <cellStyle name="20% - Accent6 19 2 4" xfId="7486"/>
    <cellStyle name="20% - Accent6 19 2 4 2" xfId="14673"/>
    <cellStyle name="20% - Accent6 19 2 5" xfId="8590"/>
    <cellStyle name="20% - Accent6 19 2 5 2" xfId="15766"/>
    <cellStyle name="20% - Accent6 19 2 6" xfId="10098"/>
    <cellStyle name="20% - Accent6 19 3" xfId="3639"/>
    <cellStyle name="20% - Accent6 19 3 2" xfId="10979"/>
    <cellStyle name="20% - Accent6 19 4" xfId="5037"/>
    <cellStyle name="20% - Accent6 19 4 2" xfId="12315"/>
    <cellStyle name="20% - Accent6 19 5" xfId="6353"/>
    <cellStyle name="20% - Accent6 19 5 2" xfId="13570"/>
    <cellStyle name="20% - Accent6 19 6" xfId="7569"/>
    <cellStyle name="20% - Accent6 19 6 2" xfId="14753"/>
    <cellStyle name="20% - Accent6 19 7" xfId="9077"/>
    <cellStyle name="20% - Accent6 2" xfId="24"/>
    <cellStyle name="20% - Accent6 2 10" xfId="2645"/>
    <cellStyle name="20% - Accent6 2 11" xfId="8633"/>
    <cellStyle name="20% - Accent6 2 2" xfId="503"/>
    <cellStyle name="20% - Accent6 2 3" xfId="690"/>
    <cellStyle name="20% - Accent6 2 4" xfId="1278"/>
    <cellStyle name="20% - Accent6 2 5" xfId="1502"/>
    <cellStyle name="20% - Accent6 2 6" xfId="2086"/>
    <cellStyle name="20% - Accent6 2 7" xfId="2606"/>
    <cellStyle name="20% - Accent6 2 8" xfId="2847"/>
    <cellStyle name="20% - Accent6 2 9" xfId="4489"/>
    <cellStyle name="20% - Accent6 20" xfId="1253"/>
    <cellStyle name="20% - Accent6 20 2" xfId="2543"/>
    <cellStyle name="20% - Accent6 20 2 2" xfId="4904"/>
    <cellStyle name="20% - Accent6 20 2 2 2" xfId="12197"/>
    <cellStyle name="20% - Accent6 20 2 3" xfId="6246"/>
    <cellStyle name="20% - Accent6 20 2 3 2" xfId="13477"/>
    <cellStyle name="20% - Accent6 20 2 4" xfId="7499"/>
    <cellStyle name="20% - Accent6 20 2 4 2" xfId="14686"/>
    <cellStyle name="20% - Accent6 20 2 5" xfId="8603"/>
    <cellStyle name="20% - Accent6 20 2 5 2" xfId="15779"/>
    <cellStyle name="20% - Accent6 20 2 6" xfId="10111"/>
    <cellStyle name="20% - Accent6 20 3" xfId="3675"/>
    <cellStyle name="20% - Accent6 20 3 2" xfId="11011"/>
    <cellStyle name="20% - Accent6 20 4" xfId="5066"/>
    <cellStyle name="20% - Accent6 20 4 2" xfId="12341"/>
    <cellStyle name="20% - Accent6 20 5" xfId="6376"/>
    <cellStyle name="20% - Accent6 20 5 2" xfId="13591"/>
    <cellStyle name="20% - Accent6 20 6" xfId="7582"/>
    <cellStyle name="20% - Accent6 20 6 2" xfId="14766"/>
    <cellStyle name="20% - Accent6 20 7" xfId="9090"/>
    <cellStyle name="20% - Accent6 21" xfId="2583"/>
    <cellStyle name="20% - Accent6 21 2" xfId="4935"/>
    <cellStyle name="20% - Accent6 21 2 2" xfId="12224"/>
    <cellStyle name="20% - Accent6 21 3" xfId="6276"/>
    <cellStyle name="20% - Accent6 21 3 2" xfId="13502"/>
    <cellStyle name="20% - Accent6 21 4" xfId="7523"/>
    <cellStyle name="20% - Accent6 21 4 2" xfId="14707"/>
    <cellStyle name="20% - Accent6 21 5" xfId="8616"/>
    <cellStyle name="20% - Accent6 21 5 2" xfId="15792"/>
    <cellStyle name="20% - Accent6 21 6" xfId="10124"/>
    <cellStyle name="20% - Accent6 3" xfId="25"/>
    <cellStyle name="20% - Accent6 3 10" xfId="5842"/>
    <cellStyle name="20% - Accent6 3 11" xfId="8634"/>
    <cellStyle name="20% - Accent6 3 2" xfId="504"/>
    <cellStyle name="20% - Accent6 3 3" xfId="691"/>
    <cellStyle name="20% - Accent6 3 4" xfId="1279"/>
    <cellStyle name="20% - Accent6 3 5" xfId="1470"/>
    <cellStyle name="20% - Accent6 3 6" xfId="2087"/>
    <cellStyle name="20% - Accent6 3 7" xfId="2607"/>
    <cellStyle name="20% - Accent6 3 8" xfId="2807"/>
    <cellStyle name="20% - Accent6 3 9" xfId="3214"/>
    <cellStyle name="20% - Accent6 4" xfId="26"/>
    <cellStyle name="20% - Accent6 4 10" xfId="7506"/>
    <cellStyle name="20% - Accent6 4 11" xfId="8635"/>
    <cellStyle name="20% - Accent6 4 2" xfId="505"/>
    <cellStyle name="20% - Accent6 4 3" xfId="692"/>
    <cellStyle name="20% - Accent6 4 4" xfId="1280"/>
    <cellStyle name="20% - Accent6 4 5" xfId="1450"/>
    <cellStyle name="20% - Accent6 4 6" xfId="2088"/>
    <cellStyle name="20% - Accent6 4 7" xfId="2608"/>
    <cellStyle name="20% - Accent6 4 8" xfId="4916"/>
    <cellStyle name="20% - Accent6 4 9" xfId="6259"/>
    <cellStyle name="20% - Accent6 5" xfId="275"/>
    <cellStyle name="20% - Accent6 5 10" xfId="5381"/>
    <cellStyle name="20% - Accent6 5 11" xfId="8712"/>
    <cellStyle name="20% - Accent6 5 2" xfId="577"/>
    <cellStyle name="20% - Accent6 5 3" xfId="764"/>
    <cellStyle name="20% - Accent6 5 4" xfId="1408"/>
    <cellStyle name="20% - Accent6 5 5" xfId="1785"/>
    <cellStyle name="20% - Accent6 5 6" xfId="2165"/>
    <cellStyle name="20% - Accent6 5 7" xfId="2828"/>
    <cellStyle name="20% - Accent6 5 8" xfId="3751"/>
    <cellStyle name="20% - Accent6 5 9" xfId="4016"/>
    <cellStyle name="20% - Accent6 6" xfId="320"/>
    <cellStyle name="20% - Accent6 7" xfId="361"/>
    <cellStyle name="20% - Accent6 7 10" xfId="5851"/>
    <cellStyle name="20% - Accent6 7 10 2" xfId="13089"/>
    <cellStyle name="20% - Accent6 7 11" xfId="8725"/>
    <cellStyle name="20% - Accent6 7 2" xfId="590"/>
    <cellStyle name="20% - Accent6 7 2 10" xfId="8788"/>
    <cellStyle name="20% - Accent6 7 2 2" xfId="829"/>
    <cellStyle name="20% - Accent6 7 2 2 2" xfId="1729"/>
    <cellStyle name="20% - Accent6 7 2 2 2 2" xfId="4119"/>
    <cellStyle name="20% - Accent6 7 2 2 2 2 2" xfId="11433"/>
    <cellStyle name="20% - Accent6 7 2 2 2 3" xfId="5481"/>
    <cellStyle name="20% - Accent6 7 2 2 2 3 2" xfId="12735"/>
    <cellStyle name="20% - Accent6 7 2 2 2 4" xfId="6753"/>
    <cellStyle name="20% - Accent6 7 2 2 2 4 2" xfId="13955"/>
    <cellStyle name="20% - Accent6 7 2 2 2 5" xfId="7908"/>
    <cellStyle name="20% - Accent6 7 2 2 2 5 2" xfId="15088"/>
    <cellStyle name="20% - Accent6 7 2 2 2 6" xfId="9416"/>
    <cellStyle name="20% - Accent6 7 2 2 3" xfId="1962"/>
    <cellStyle name="20% - Accent6 7 2 2 3 2" xfId="4345"/>
    <cellStyle name="20% - Accent6 7 2 2 3 2 2" xfId="11656"/>
    <cellStyle name="20% - Accent6 7 2 2 3 3" xfId="5701"/>
    <cellStyle name="20% - Accent6 7 2 2 3 3 2" xfId="12953"/>
    <cellStyle name="20% - Accent6 7 2 2 3 4" xfId="6970"/>
    <cellStyle name="20% - Accent6 7 2 2 3 4 2" xfId="14171"/>
    <cellStyle name="20% - Accent6 7 2 2 3 5" xfId="8114"/>
    <cellStyle name="20% - Accent6 7 2 2 3 5 2" xfId="15294"/>
    <cellStyle name="20% - Accent6 7 2 2 3 6" xfId="9622"/>
    <cellStyle name="20% - Accent6 7 2 2 4" xfId="2371"/>
    <cellStyle name="20% - Accent6 7 2 2 4 2" xfId="4733"/>
    <cellStyle name="20% - Accent6 7 2 2 4 2 2" xfId="12028"/>
    <cellStyle name="20% - Accent6 7 2 2 4 3" xfId="6074"/>
    <cellStyle name="20% - Accent6 7 2 2 4 3 2" xfId="13308"/>
    <cellStyle name="20% - Accent6 7 2 2 4 4" xfId="7327"/>
    <cellStyle name="20% - Accent6 7 2 2 4 4 2" xfId="14517"/>
    <cellStyle name="20% - Accent6 7 2 2 4 5" xfId="8434"/>
    <cellStyle name="20% - Accent6 7 2 2 4 5 2" xfId="15610"/>
    <cellStyle name="20% - Accent6 7 2 2 4 6" xfId="9942"/>
    <cellStyle name="20% - Accent6 7 2 2 5" xfId="3310"/>
    <cellStyle name="20% - Accent6 7 2 2 5 2" xfId="10683"/>
    <cellStyle name="20% - Accent6 7 2 2 6" xfId="3711"/>
    <cellStyle name="20% - Accent6 7 2 2 6 2" xfId="11045"/>
    <cellStyle name="20% - Accent6 7 2 2 7" xfId="2802"/>
    <cellStyle name="20% - Accent6 7 2 2 7 2" xfId="10250"/>
    <cellStyle name="20% - Accent6 7 2 2 8" xfId="2903"/>
    <cellStyle name="20% - Accent6 7 2 2 8 2" xfId="10327"/>
    <cellStyle name="20% - Accent6 7 2 2 9" xfId="8918"/>
    <cellStyle name="20% - Accent6 7 2 3" xfId="1566"/>
    <cellStyle name="20% - Accent6 7 2 3 2" xfId="3957"/>
    <cellStyle name="20% - Accent6 7 2 3 2 2" xfId="11274"/>
    <cellStyle name="20% - Accent6 7 2 3 3" xfId="5323"/>
    <cellStyle name="20% - Accent6 7 2 3 3 2" xfId="12581"/>
    <cellStyle name="20% - Accent6 7 2 3 4" xfId="6596"/>
    <cellStyle name="20% - Accent6 7 2 3 4 2" xfId="13801"/>
    <cellStyle name="20% - Accent6 7 2 3 5" xfId="7755"/>
    <cellStyle name="20% - Accent6 7 2 3 5 2" xfId="14935"/>
    <cellStyle name="20% - Accent6 7 2 3 6" xfId="9263"/>
    <cellStyle name="20% - Accent6 7 2 4" xfId="1664"/>
    <cellStyle name="20% - Accent6 7 2 4 2" xfId="4054"/>
    <cellStyle name="20% - Accent6 7 2 4 2 2" xfId="11368"/>
    <cellStyle name="20% - Accent6 7 2 4 3" xfId="5416"/>
    <cellStyle name="20% - Accent6 7 2 4 3 2" xfId="12670"/>
    <cellStyle name="20% - Accent6 7 2 4 4" xfId="6688"/>
    <cellStyle name="20% - Accent6 7 2 4 4 2" xfId="13890"/>
    <cellStyle name="20% - Accent6 7 2 4 5" xfId="7843"/>
    <cellStyle name="20% - Accent6 7 2 4 5 2" xfId="15023"/>
    <cellStyle name="20% - Accent6 7 2 4 6" xfId="9351"/>
    <cellStyle name="20% - Accent6 7 2 5" xfId="2241"/>
    <cellStyle name="20% - Accent6 7 2 5 2" xfId="4603"/>
    <cellStyle name="20% - Accent6 7 2 5 2 2" xfId="11901"/>
    <cellStyle name="20% - Accent6 7 2 5 3" xfId="5944"/>
    <cellStyle name="20% - Accent6 7 2 5 3 2" xfId="13181"/>
    <cellStyle name="20% - Accent6 7 2 5 4" xfId="7197"/>
    <cellStyle name="20% - Accent6 7 2 5 4 2" xfId="14390"/>
    <cellStyle name="20% - Accent6 7 2 5 5" xfId="8307"/>
    <cellStyle name="20% - Accent6 7 2 5 5 2" xfId="15483"/>
    <cellStyle name="20% - Accent6 7 2 5 6" xfId="9815"/>
    <cellStyle name="20% - Accent6 7 2 6" xfId="3094"/>
    <cellStyle name="20% - Accent6 7 2 6 2" xfId="10491"/>
    <cellStyle name="20% - Accent6 7 2 7" xfId="3635"/>
    <cellStyle name="20% - Accent6 7 2 7 2" xfId="10975"/>
    <cellStyle name="20% - Accent6 7 2 8" xfId="6273"/>
    <cellStyle name="20% - Accent6 7 2 8 2" xfId="13499"/>
    <cellStyle name="20% - Accent6 7 2 9" xfId="7520"/>
    <cellStyle name="20% - Accent6 7 2 9 2" xfId="14704"/>
    <cellStyle name="20% - Accent6 7 3" xfId="777"/>
    <cellStyle name="20% - Accent6 7 3 2" xfId="1677"/>
    <cellStyle name="20% - Accent6 7 3 2 2" xfId="4067"/>
    <cellStyle name="20% - Accent6 7 3 2 2 2" xfId="11381"/>
    <cellStyle name="20% - Accent6 7 3 2 3" xfId="5429"/>
    <cellStyle name="20% - Accent6 7 3 2 3 2" xfId="12683"/>
    <cellStyle name="20% - Accent6 7 3 2 4" xfId="6701"/>
    <cellStyle name="20% - Accent6 7 3 2 4 2" xfId="13903"/>
    <cellStyle name="20% - Accent6 7 3 2 5" xfId="7856"/>
    <cellStyle name="20% - Accent6 7 3 2 5 2" xfId="15036"/>
    <cellStyle name="20% - Accent6 7 3 2 6" xfId="9364"/>
    <cellStyle name="20% - Accent6 7 3 3" xfId="1910"/>
    <cellStyle name="20% - Accent6 7 3 3 2" xfId="4293"/>
    <cellStyle name="20% - Accent6 7 3 3 2 2" xfId="11604"/>
    <cellStyle name="20% - Accent6 7 3 3 3" xfId="5649"/>
    <cellStyle name="20% - Accent6 7 3 3 3 2" xfId="12901"/>
    <cellStyle name="20% - Accent6 7 3 3 4" xfId="6918"/>
    <cellStyle name="20% - Accent6 7 3 3 4 2" xfId="14119"/>
    <cellStyle name="20% - Accent6 7 3 3 5" xfId="8062"/>
    <cellStyle name="20% - Accent6 7 3 3 5 2" xfId="15242"/>
    <cellStyle name="20% - Accent6 7 3 3 6" xfId="9570"/>
    <cellStyle name="20% - Accent6 7 3 4" xfId="2319"/>
    <cellStyle name="20% - Accent6 7 3 4 2" xfId="4681"/>
    <cellStyle name="20% - Accent6 7 3 4 2 2" xfId="11976"/>
    <cellStyle name="20% - Accent6 7 3 4 3" xfId="6022"/>
    <cellStyle name="20% - Accent6 7 3 4 3 2" xfId="13256"/>
    <cellStyle name="20% - Accent6 7 3 4 4" xfId="7275"/>
    <cellStyle name="20% - Accent6 7 3 4 4 2" xfId="14465"/>
    <cellStyle name="20% - Accent6 7 3 4 5" xfId="8382"/>
    <cellStyle name="20% - Accent6 7 3 4 5 2" xfId="15558"/>
    <cellStyle name="20% - Accent6 7 3 4 6" xfId="9890"/>
    <cellStyle name="20% - Accent6 7 3 5" xfId="3258"/>
    <cellStyle name="20% - Accent6 7 3 5 2" xfId="10631"/>
    <cellStyle name="20% - Accent6 7 3 6" xfId="3664"/>
    <cellStyle name="20% - Accent6 7 3 6 2" xfId="11000"/>
    <cellStyle name="20% - Accent6 7 3 7" xfId="2777"/>
    <cellStyle name="20% - Accent6 7 3 7 2" xfId="10236"/>
    <cellStyle name="20% - Accent6 7 3 8" xfId="2744"/>
    <cellStyle name="20% - Accent6 7 3 8 2" xfId="10220"/>
    <cellStyle name="20% - Accent6 7 3 9" xfId="8866"/>
    <cellStyle name="20% - Accent6 7 4" xfId="1447"/>
    <cellStyle name="20% - Accent6 7 4 2" xfId="3844"/>
    <cellStyle name="20% - Accent6 7 4 2 2" xfId="11165"/>
    <cellStyle name="20% - Accent6 7 4 3" xfId="5212"/>
    <cellStyle name="20% - Accent6 7 4 3 2" xfId="12473"/>
    <cellStyle name="20% - Accent6 7 4 4" xfId="6488"/>
    <cellStyle name="20% - Accent6 7 4 4 2" xfId="13696"/>
    <cellStyle name="20% - Accent6 7 4 5" xfId="7655"/>
    <cellStyle name="20% - Accent6 7 4 5 2" xfId="14835"/>
    <cellStyle name="20% - Accent6 7 4 6" xfId="9163"/>
    <cellStyle name="20% - Accent6 7 5" xfId="1313"/>
    <cellStyle name="20% - Accent6 7 5 2" xfId="3727"/>
    <cellStyle name="20% - Accent6 7 5 2 2" xfId="11061"/>
    <cellStyle name="20% - Accent6 7 5 3" xfId="5115"/>
    <cellStyle name="20% - Accent6 7 5 3 2" xfId="12387"/>
    <cellStyle name="20% - Accent6 7 5 4" xfId="6414"/>
    <cellStyle name="20% - Accent6 7 5 4 2" xfId="13628"/>
    <cellStyle name="20% - Accent6 7 5 5" xfId="7603"/>
    <cellStyle name="20% - Accent6 7 5 5 2" xfId="14787"/>
    <cellStyle name="20% - Accent6 7 5 6" xfId="9111"/>
    <cellStyle name="20% - Accent6 7 6" xfId="2178"/>
    <cellStyle name="20% - Accent6 7 6 2" xfId="4540"/>
    <cellStyle name="20% - Accent6 7 6 2 2" xfId="11839"/>
    <cellStyle name="20% - Accent6 7 6 3" xfId="5882"/>
    <cellStyle name="20% - Accent6 7 6 3 2" xfId="13119"/>
    <cellStyle name="20% - Accent6 7 6 4" xfId="7135"/>
    <cellStyle name="20% - Accent6 7 6 4 2" xfId="14328"/>
    <cellStyle name="20% - Accent6 7 6 5" xfId="8245"/>
    <cellStyle name="20% - Accent6 7 6 5 2" xfId="15421"/>
    <cellStyle name="20% - Accent6 7 6 6" xfId="9753"/>
    <cellStyle name="20% - Accent6 7 7" xfId="2897"/>
    <cellStyle name="20% - Accent6 7 7 2" xfId="10321"/>
    <cellStyle name="20% - Accent6 7 8" xfId="3649"/>
    <cellStyle name="20% - Accent6 7 8 2" xfId="10987"/>
    <cellStyle name="20% - Accent6 7 9" xfId="3222"/>
    <cellStyle name="20% - Accent6 7 9 2" xfId="10597"/>
    <cellStyle name="20% - Accent6 8" xfId="402"/>
    <cellStyle name="20% - Accent6 8 10" xfId="7502"/>
    <cellStyle name="20% - Accent6 8 10 2" xfId="14688"/>
    <cellStyle name="20% - Accent6 8 11" xfId="8738"/>
    <cellStyle name="20% - Accent6 8 2" xfId="603"/>
    <cellStyle name="20% - Accent6 8 2 10" xfId="8801"/>
    <cellStyle name="20% - Accent6 8 2 2" xfId="842"/>
    <cellStyle name="20% - Accent6 8 2 2 2" xfId="1742"/>
    <cellStyle name="20% - Accent6 8 2 2 2 2" xfId="4132"/>
    <cellStyle name="20% - Accent6 8 2 2 2 2 2" xfId="11446"/>
    <cellStyle name="20% - Accent6 8 2 2 2 3" xfId="5494"/>
    <cellStyle name="20% - Accent6 8 2 2 2 3 2" xfId="12748"/>
    <cellStyle name="20% - Accent6 8 2 2 2 4" xfId="6766"/>
    <cellStyle name="20% - Accent6 8 2 2 2 4 2" xfId="13968"/>
    <cellStyle name="20% - Accent6 8 2 2 2 5" xfId="7921"/>
    <cellStyle name="20% - Accent6 8 2 2 2 5 2" xfId="15101"/>
    <cellStyle name="20% - Accent6 8 2 2 2 6" xfId="9429"/>
    <cellStyle name="20% - Accent6 8 2 2 3" xfId="1975"/>
    <cellStyle name="20% - Accent6 8 2 2 3 2" xfId="4358"/>
    <cellStyle name="20% - Accent6 8 2 2 3 2 2" xfId="11669"/>
    <cellStyle name="20% - Accent6 8 2 2 3 3" xfId="5714"/>
    <cellStyle name="20% - Accent6 8 2 2 3 3 2" xfId="12966"/>
    <cellStyle name="20% - Accent6 8 2 2 3 4" xfId="6983"/>
    <cellStyle name="20% - Accent6 8 2 2 3 4 2" xfId="14184"/>
    <cellStyle name="20% - Accent6 8 2 2 3 5" xfId="8127"/>
    <cellStyle name="20% - Accent6 8 2 2 3 5 2" xfId="15307"/>
    <cellStyle name="20% - Accent6 8 2 2 3 6" xfId="9635"/>
    <cellStyle name="20% - Accent6 8 2 2 4" xfId="2384"/>
    <cellStyle name="20% - Accent6 8 2 2 4 2" xfId="4746"/>
    <cellStyle name="20% - Accent6 8 2 2 4 2 2" xfId="12041"/>
    <cellStyle name="20% - Accent6 8 2 2 4 3" xfId="6087"/>
    <cellStyle name="20% - Accent6 8 2 2 4 3 2" xfId="13321"/>
    <cellStyle name="20% - Accent6 8 2 2 4 4" xfId="7340"/>
    <cellStyle name="20% - Accent6 8 2 2 4 4 2" xfId="14530"/>
    <cellStyle name="20% - Accent6 8 2 2 4 5" xfId="8447"/>
    <cellStyle name="20% - Accent6 8 2 2 4 5 2" xfId="15623"/>
    <cellStyle name="20% - Accent6 8 2 2 4 6" xfId="9955"/>
    <cellStyle name="20% - Accent6 8 2 2 5" xfId="3323"/>
    <cellStyle name="20% - Accent6 8 2 2 5 2" xfId="10696"/>
    <cellStyle name="20% - Accent6 8 2 2 6" xfId="3199"/>
    <cellStyle name="20% - Accent6 8 2 2 6 2" xfId="10585"/>
    <cellStyle name="20% - Accent6 8 2 2 7" xfId="5825"/>
    <cellStyle name="20% - Accent6 8 2 2 7 2" xfId="13074"/>
    <cellStyle name="20% - Accent6 8 2 2 8" xfId="7091"/>
    <cellStyle name="20% - Accent6 8 2 2 8 2" xfId="14291"/>
    <cellStyle name="20% - Accent6 8 2 2 9" xfId="8931"/>
    <cellStyle name="20% - Accent6 8 2 3" xfId="1579"/>
    <cellStyle name="20% - Accent6 8 2 3 2" xfId="3970"/>
    <cellStyle name="20% - Accent6 8 2 3 2 2" xfId="11287"/>
    <cellStyle name="20% - Accent6 8 2 3 3" xfId="5336"/>
    <cellStyle name="20% - Accent6 8 2 3 3 2" xfId="12594"/>
    <cellStyle name="20% - Accent6 8 2 3 4" xfId="6609"/>
    <cellStyle name="20% - Accent6 8 2 3 4 2" xfId="13814"/>
    <cellStyle name="20% - Accent6 8 2 3 5" xfId="7768"/>
    <cellStyle name="20% - Accent6 8 2 3 5 2" xfId="14948"/>
    <cellStyle name="20% - Accent6 8 2 3 6" xfId="9276"/>
    <cellStyle name="20% - Accent6 8 2 4" xfId="1525"/>
    <cellStyle name="20% - Accent6 8 2 4 2" xfId="3918"/>
    <cellStyle name="20% - Accent6 8 2 4 2 2" xfId="11236"/>
    <cellStyle name="20% - Accent6 8 2 4 3" xfId="5285"/>
    <cellStyle name="20% - Accent6 8 2 4 3 2" xfId="12544"/>
    <cellStyle name="20% - Accent6 8 2 4 4" xfId="6558"/>
    <cellStyle name="20% - Accent6 8 2 4 4 2" xfId="13764"/>
    <cellStyle name="20% - Accent6 8 2 4 5" xfId="7718"/>
    <cellStyle name="20% - Accent6 8 2 4 5 2" xfId="14898"/>
    <cellStyle name="20% - Accent6 8 2 4 6" xfId="9226"/>
    <cellStyle name="20% - Accent6 8 2 5" xfId="2254"/>
    <cellStyle name="20% - Accent6 8 2 5 2" xfId="4616"/>
    <cellStyle name="20% - Accent6 8 2 5 2 2" xfId="11914"/>
    <cellStyle name="20% - Accent6 8 2 5 3" xfId="5957"/>
    <cellStyle name="20% - Accent6 8 2 5 3 2" xfId="13194"/>
    <cellStyle name="20% - Accent6 8 2 5 4" xfId="7210"/>
    <cellStyle name="20% - Accent6 8 2 5 4 2" xfId="14403"/>
    <cellStyle name="20% - Accent6 8 2 5 5" xfId="8320"/>
    <cellStyle name="20% - Accent6 8 2 5 5 2" xfId="15496"/>
    <cellStyle name="20% - Accent6 8 2 5 6" xfId="9828"/>
    <cellStyle name="20% - Accent6 8 2 6" xfId="3107"/>
    <cellStyle name="20% - Accent6 8 2 6 2" xfId="10504"/>
    <cellStyle name="20% - Accent6 8 2 7" xfId="2889"/>
    <cellStyle name="20% - Accent6 8 2 7 2" xfId="10313"/>
    <cellStyle name="20% - Accent6 8 2 8" xfId="3773"/>
    <cellStyle name="20% - Accent6 8 2 8 2" xfId="11096"/>
    <cellStyle name="20% - Accent6 8 2 9" xfId="4501"/>
    <cellStyle name="20% - Accent6 8 2 9 2" xfId="11803"/>
    <cellStyle name="20% - Accent6 8 3" xfId="790"/>
    <cellStyle name="20% - Accent6 8 3 2" xfId="1690"/>
    <cellStyle name="20% - Accent6 8 3 2 2" xfId="4080"/>
    <cellStyle name="20% - Accent6 8 3 2 2 2" xfId="11394"/>
    <cellStyle name="20% - Accent6 8 3 2 3" xfId="5442"/>
    <cellStyle name="20% - Accent6 8 3 2 3 2" xfId="12696"/>
    <cellStyle name="20% - Accent6 8 3 2 4" xfId="6714"/>
    <cellStyle name="20% - Accent6 8 3 2 4 2" xfId="13916"/>
    <cellStyle name="20% - Accent6 8 3 2 5" xfId="7869"/>
    <cellStyle name="20% - Accent6 8 3 2 5 2" xfId="15049"/>
    <cellStyle name="20% - Accent6 8 3 2 6" xfId="9377"/>
    <cellStyle name="20% - Accent6 8 3 3" xfId="1923"/>
    <cellStyle name="20% - Accent6 8 3 3 2" xfId="4306"/>
    <cellStyle name="20% - Accent6 8 3 3 2 2" xfId="11617"/>
    <cellStyle name="20% - Accent6 8 3 3 3" xfId="5662"/>
    <cellStyle name="20% - Accent6 8 3 3 3 2" xfId="12914"/>
    <cellStyle name="20% - Accent6 8 3 3 4" xfId="6931"/>
    <cellStyle name="20% - Accent6 8 3 3 4 2" xfId="14132"/>
    <cellStyle name="20% - Accent6 8 3 3 5" xfId="8075"/>
    <cellStyle name="20% - Accent6 8 3 3 5 2" xfId="15255"/>
    <cellStyle name="20% - Accent6 8 3 3 6" xfId="9583"/>
    <cellStyle name="20% - Accent6 8 3 4" xfId="2332"/>
    <cellStyle name="20% - Accent6 8 3 4 2" xfId="4694"/>
    <cellStyle name="20% - Accent6 8 3 4 2 2" xfId="11989"/>
    <cellStyle name="20% - Accent6 8 3 4 3" xfId="6035"/>
    <cellStyle name="20% - Accent6 8 3 4 3 2" xfId="13269"/>
    <cellStyle name="20% - Accent6 8 3 4 4" xfId="7288"/>
    <cellStyle name="20% - Accent6 8 3 4 4 2" xfId="14478"/>
    <cellStyle name="20% - Accent6 8 3 4 5" xfId="8395"/>
    <cellStyle name="20% - Accent6 8 3 4 5 2" xfId="15571"/>
    <cellStyle name="20% - Accent6 8 3 4 6" xfId="9903"/>
    <cellStyle name="20% - Accent6 8 3 5" xfId="3271"/>
    <cellStyle name="20% - Accent6 8 3 5 2" xfId="10644"/>
    <cellStyle name="20% - Accent6 8 3 6" xfId="2952"/>
    <cellStyle name="20% - Accent6 8 3 6 2" xfId="10370"/>
    <cellStyle name="20% - Accent6 8 3 7" xfId="3555"/>
    <cellStyle name="20% - Accent6 8 3 7 2" xfId="10904"/>
    <cellStyle name="20% - Accent6 8 3 8" xfId="2845"/>
    <cellStyle name="20% - Accent6 8 3 8 2" xfId="10273"/>
    <cellStyle name="20% - Accent6 8 3 9" xfId="8879"/>
    <cellStyle name="20% - Accent6 8 4" xfId="1468"/>
    <cellStyle name="20% - Accent6 8 4 2" xfId="3863"/>
    <cellStyle name="20% - Accent6 8 4 2 2" xfId="11184"/>
    <cellStyle name="20% - Accent6 8 4 3" xfId="5233"/>
    <cellStyle name="20% - Accent6 8 4 3 2" xfId="12493"/>
    <cellStyle name="20% - Accent6 8 4 4" xfId="6507"/>
    <cellStyle name="20% - Accent6 8 4 4 2" xfId="13714"/>
    <cellStyle name="20% - Accent6 8 4 5" xfId="7671"/>
    <cellStyle name="20% - Accent6 8 4 5 2" xfId="14851"/>
    <cellStyle name="20% - Accent6 8 4 6" xfId="9179"/>
    <cellStyle name="20% - Accent6 8 5" xfId="1417"/>
    <cellStyle name="20% - Accent6 8 5 2" xfId="3814"/>
    <cellStyle name="20% - Accent6 8 5 2 2" xfId="11135"/>
    <cellStyle name="20% - Accent6 8 5 3" xfId="5184"/>
    <cellStyle name="20% - Accent6 8 5 3 2" xfId="12446"/>
    <cellStyle name="20% - Accent6 8 5 4" xfId="6460"/>
    <cellStyle name="20% - Accent6 8 5 4 2" xfId="13669"/>
    <cellStyle name="20% - Accent6 8 5 5" xfId="7629"/>
    <cellStyle name="20% - Accent6 8 5 5 2" xfId="14809"/>
    <cellStyle name="20% - Accent6 8 5 6" xfId="9137"/>
    <cellStyle name="20% - Accent6 8 6" xfId="2191"/>
    <cellStyle name="20% - Accent6 8 6 2" xfId="4553"/>
    <cellStyle name="20% - Accent6 8 6 2 2" xfId="11852"/>
    <cellStyle name="20% - Accent6 8 6 3" xfId="5895"/>
    <cellStyle name="20% - Accent6 8 6 3 2" xfId="13132"/>
    <cellStyle name="20% - Accent6 8 6 4" xfId="7148"/>
    <cellStyle name="20% - Accent6 8 6 4 2" xfId="14341"/>
    <cellStyle name="20% - Accent6 8 6 5" xfId="8258"/>
    <cellStyle name="20% - Accent6 8 6 5 2" xfId="15434"/>
    <cellStyle name="20% - Accent6 8 6 6" xfId="9766"/>
    <cellStyle name="20% - Accent6 8 7" xfId="2934"/>
    <cellStyle name="20% - Accent6 8 7 2" xfId="10355"/>
    <cellStyle name="20% - Accent6 8 8" xfId="3573"/>
    <cellStyle name="20% - Accent6 8 8 2" xfId="10921"/>
    <cellStyle name="20% - Accent6 8 9" xfId="6251"/>
    <cellStyle name="20% - Accent6 8 9 2" xfId="13480"/>
    <cellStyle name="20% - Accent6 9" xfId="443"/>
    <cellStyle name="20% - Accent6 9 10" xfId="6356"/>
    <cellStyle name="20% - Accent6 9 10 2" xfId="13572"/>
    <cellStyle name="20% - Accent6 9 11" xfId="8751"/>
    <cellStyle name="20% - Accent6 9 2" xfId="616"/>
    <cellStyle name="20% - Accent6 9 2 10" xfId="8814"/>
    <cellStyle name="20% - Accent6 9 2 2" xfId="855"/>
    <cellStyle name="20% - Accent6 9 2 2 2" xfId="1755"/>
    <cellStyle name="20% - Accent6 9 2 2 2 2" xfId="4145"/>
    <cellStyle name="20% - Accent6 9 2 2 2 2 2" xfId="11459"/>
    <cellStyle name="20% - Accent6 9 2 2 2 3" xfId="5507"/>
    <cellStyle name="20% - Accent6 9 2 2 2 3 2" xfId="12761"/>
    <cellStyle name="20% - Accent6 9 2 2 2 4" xfId="6779"/>
    <cellStyle name="20% - Accent6 9 2 2 2 4 2" xfId="13981"/>
    <cellStyle name="20% - Accent6 9 2 2 2 5" xfId="7934"/>
    <cellStyle name="20% - Accent6 9 2 2 2 5 2" xfId="15114"/>
    <cellStyle name="20% - Accent6 9 2 2 2 6" xfId="9442"/>
    <cellStyle name="20% - Accent6 9 2 2 3" xfId="1988"/>
    <cellStyle name="20% - Accent6 9 2 2 3 2" xfId="4371"/>
    <cellStyle name="20% - Accent6 9 2 2 3 2 2" xfId="11682"/>
    <cellStyle name="20% - Accent6 9 2 2 3 3" xfId="5727"/>
    <cellStyle name="20% - Accent6 9 2 2 3 3 2" xfId="12979"/>
    <cellStyle name="20% - Accent6 9 2 2 3 4" xfId="6996"/>
    <cellStyle name="20% - Accent6 9 2 2 3 4 2" xfId="14197"/>
    <cellStyle name="20% - Accent6 9 2 2 3 5" xfId="8140"/>
    <cellStyle name="20% - Accent6 9 2 2 3 5 2" xfId="15320"/>
    <cellStyle name="20% - Accent6 9 2 2 3 6" xfId="9648"/>
    <cellStyle name="20% - Accent6 9 2 2 4" xfId="2397"/>
    <cellStyle name="20% - Accent6 9 2 2 4 2" xfId="4759"/>
    <cellStyle name="20% - Accent6 9 2 2 4 2 2" xfId="12054"/>
    <cellStyle name="20% - Accent6 9 2 2 4 3" xfId="6100"/>
    <cellStyle name="20% - Accent6 9 2 2 4 3 2" xfId="13334"/>
    <cellStyle name="20% - Accent6 9 2 2 4 4" xfId="7353"/>
    <cellStyle name="20% - Accent6 9 2 2 4 4 2" xfId="14543"/>
    <cellStyle name="20% - Accent6 9 2 2 4 5" xfId="8460"/>
    <cellStyle name="20% - Accent6 9 2 2 4 5 2" xfId="15636"/>
    <cellStyle name="20% - Accent6 9 2 2 4 6" xfId="9968"/>
    <cellStyle name="20% - Accent6 9 2 2 5" xfId="3336"/>
    <cellStyle name="20% - Accent6 9 2 2 5 2" xfId="10709"/>
    <cellStyle name="20% - Accent6 9 2 2 6" xfId="2860"/>
    <cellStyle name="20% - Accent6 9 2 2 6 2" xfId="10287"/>
    <cellStyle name="20% - Accent6 9 2 2 7" xfId="2648"/>
    <cellStyle name="20% - Accent6 9 2 2 7 2" xfId="10149"/>
    <cellStyle name="20% - Accent6 9 2 2 8" xfId="3733"/>
    <cellStyle name="20% - Accent6 9 2 2 8 2" xfId="11066"/>
    <cellStyle name="20% - Accent6 9 2 2 9" xfId="8944"/>
    <cellStyle name="20% - Accent6 9 2 3" xfId="1592"/>
    <cellStyle name="20% - Accent6 9 2 3 2" xfId="3983"/>
    <cellStyle name="20% - Accent6 9 2 3 2 2" xfId="11300"/>
    <cellStyle name="20% - Accent6 9 2 3 3" xfId="5349"/>
    <cellStyle name="20% - Accent6 9 2 3 3 2" xfId="12607"/>
    <cellStyle name="20% - Accent6 9 2 3 4" xfId="6622"/>
    <cellStyle name="20% - Accent6 9 2 3 4 2" xfId="13827"/>
    <cellStyle name="20% - Accent6 9 2 3 5" xfId="7781"/>
    <cellStyle name="20% - Accent6 9 2 3 5 2" xfId="14961"/>
    <cellStyle name="20% - Accent6 9 2 3 6" xfId="9289"/>
    <cellStyle name="20% - Accent6 9 2 4" xfId="1630"/>
    <cellStyle name="20% - Accent6 9 2 4 2" xfId="4020"/>
    <cellStyle name="20% - Accent6 9 2 4 2 2" xfId="11335"/>
    <cellStyle name="20% - Accent6 9 2 4 3" xfId="5385"/>
    <cellStyle name="20% - Accent6 9 2 4 3 2" xfId="12640"/>
    <cellStyle name="20% - Accent6 9 2 4 4" xfId="6657"/>
    <cellStyle name="20% - Accent6 9 2 4 4 2" xfId="13860"/>
    <cellStyle name="20% - Accent6 9 2 4 5" xfId="7813"/>
    <cellStyle name="20% - Accent6 9 2 4 5 2" xfId="14993"/>
    <cellStyle name="20% - Accent6 9 2 4 6" xfId="9321"/>
    <cellStyle name="20% - Accent6 9 2 5" xfId="2267"/>
    <cellStyle name="20% - Accent6 9 2 5 2" xfId="4629"/>
    <cellStyle name="20% - Accent6 9 2 5 2 2" xfId="11927"/>
    <cellStyle name="20% - Accent6 9 2 5 3" xfId="5970"/>
    <cellStyle name="20% - Accent6 9 2 5 3 2" xfId="13207"/>
    <cellStyle name="20% - Accent6 9 2 5 4" xfId="7223"/>
    <cellStyle name="20% - Accent6 9 2 5 4 2" xfId="14416"/>
    <cellStyle name="20% - Accent6 9 2 5 5" xfId="8333"/>
    <cellStyle name="20% - Accent6 9 2 5 5 2" xfId="15509"/>
    <cellStyle name="20% - Accent6 9 2 5 6" xfId="9841"/>
    <cellStyle name="20% - Accent6 9 2 6" xfId="3120"/>
    <cellStyle name="20% - Accent6 9 2 6 2" xfId="10517"/>
    <cellStyle name="20% - Accent6 9 2 7" xfId="3460"/>
    <cellStyle name="20% - Accent6 9 2 7 2" xfId="10821"/>
    <cellStyle name="20% - Accent6 9 2 8" xfId="4970"/>
    <cellStyle name="20% - Accent6 9 2 8 2" xfId="12256"/>
    <cellStyle name="20% - Accent6 9 2 9" xfId="6300"/>
    <cellStyle name="20% - Accent6 9 2 9 2" xfId="13523"/>
    <cellStyle name="20% - Accent6 9 3" xfId="803"/>
    <cellStyle name="20% - Accent6 9 3 2" xfId="1703"/>
    <cellStyle name="20% - Accent6 9 3 2 2" xfId="4093"/>
    <cellStyle name="20% - Accent6 9 3 2 2 2" xfId="11407"/>
    <cellStyle name="20% - Accent6 9 3 2 3" xfId="5455"/>
    <cellStyle name="20% - Accent6 9 3 2 3 2" xfId="12709"/>
    <cellStyle name="20% - Accent6 9 3 2 4" xfId="6727"/>
    <cellStyle name="20% - Accent6 9 3 2 4 2" xfId="13929"/>
    <cellStyle name="20% - Accent6 9 3 2 5" xfId="7882"/>
    <cellStyle name="20% - Accent6 9 3 2 5 2" xfId="15062"/>
    <cellStyle name="20% - Accent6 9 3 2 6" xfId="9390"/>
    <cellStyle name="20% - Accent6 9 3 3" xfId="1936"/>
    <cellStyle name="20% - Accent6 9 3 3 2" xfId="4319"/>
    <cellStyle name="20% - Accent6 9 3 3 2 2" xfId="11630"/>
    <cellStyle name="20% - Accent6 9 3 3 3" xfId="5675"/>
    <cellStyle name="20% - Accent6 9 3 3 3 2" xfId="12927"/>
    <cellStyle name="20% - Accent6 9 3 3 4" xfId="6944"/>
    <cellStyle name="20% - Accent6 9 3 3 4 2" xfId="14145"/>
    <cellStyle name="20% - Accent6 9 3 3 5" xfId="8088"/>
    <cellStyle name="20% - Accent6 9 3 3 5 2" xfId="15268"/>
    <cellStyle name="20% - Accent6 9 3 3 6" xfId="9596"/>
    <cellStyle name="20% - Accent6 9 3 4" xfId="2345"/>
    <cellStyle name="20% - Accent6 9 3 4 2" xfId="4707"/>
    <cellStyle name="20% - Accent6 9 3 4 2 2" xfId="12002"/>
    <cellStyle name="20% - Accent6 9 3 4 3" xfId="6048"/>
    <cellStyle name="20% - Accent6 9 3 4 3 2" xfId="13282"/>
    <cellStyle name="20% - Accent6 9 3 4 4" xfId="7301"/>
    <cellStyle name="20% - Accent6 9 3 4 4 2" xfId="14491"/>
    <cellStyle name="20% - Accent6 9 3 4 5" xfId="8408"/>
    <cellStyle name="20% - Accent6 9 3 4 5 2" xfId="15584"/>
    <cellStyle name="20% - Accent6 9 3 4 6" xfId="9916"/>
    <cellStyle name="20% - Accent6 9 3 5" xfId="3284"/>
    <cellStyle name="20% - Accent6 9 3 5 2" xfId="10657"/>
    <cellStyle name="20% - Accent6 9 3 6" xfId="3516"/>
    <cellStyle name="20% - Accent6 9 3 6 2" xfId="10870"/>
    <cellStyle name="20% - Accent6 9 3 7" xfId="5023"/>
    <cellStyle name="20% - Accent6 9 3 7 2" xfId="12301"/>
    <cellStyle name="20% - Accent6 9 3 8" xfId="6341"/>
    <cellStyle name="20% - Accent6 9 3 8 2" xfId="13558"/>
    <cellStyle name="20% - Accent6 9 3 9" xfId="8892"/>
    <cellStyle name="20% - Accent6 9 4" xfId="1492"/>
    <cellStyle name="20% - Accent6 9 4 2" xfId="3886"/>
    <cellStyle name="20% - Accent6 9 4 2 2" xfId="11206"/>
    <cellStyle name="20% - Accent6 9 4 3" xfId="5255"/>
    <cellStyle name="20% - Accent6 9 4 3 2" xfId="12515"/>
    <cellStyle name="20% - Accent6 9 4 4" xfId="6528"/>
    <cellStyle name="20% - Accent6 9 4 4 2" xfId="13735"/>
    <cellStyle name="20% - Accent6 9 4 5" xfId="7690"/>
    <cellStyle name="20% - Accent6 9 4 5 2" xfId="14870"/>
    <cellStyle name="20% - Accent6 9 4 6" xfId="9198"/>
    <cellStyle name="20% - Accent6 9 5" xfId="1304"/>
    <cellStyle name="20% - Accent6 9 5 2" xfId="3718"/>
    <cellStyle name="20% - Accent6 9 5 2 2" xfId="11052"/>
    <cellStyle name="20% - Accent6 9 5 3" xfId="5106"/>
    <cellStyle name="20% - Accent6 9 5 3 2" xfId="12378"/>
    <cellStyle name="20% - Accent6 9 5 4" xfId="6405"/>
    <cellStyle name="20% - Accent6 9 5 4 2" xfId="13619"/>
    <cellStyle name="20% - Accent6 9 5 5" xfId="7594"/>
    <cellStyle name="20% - Accent6 9 5 5 2" xfId="14778"/>
    <cellStyle name="20% - Accent6 9 5 6" xfId="9102"/>
    <cellStyle name="20% - Accent6 9 6" xfId="2204"/>
    <cellStyle name="20% - Accent6 9 6 2" xfId="4566"/>
    <cellStyle name="20% - Accent6 9 6 2 2" xfId="11865"/>
    <cellStyle name="20% - Accent6 9 6 3" xfId="5908"/>
    <cellStyle name="20% - Accent6 9 6 3 2" xfId="13145"/>
    <cellStyle name="20% - Accent6 9 6 4" xfId="7161"/>
    <cellStyle name="20% - Accent6 9 6 4 2" xfId="14354"/>
    <cellStyle name="20% - Accent6 9 6 5" xfId="8271"/>
    <cellStyle name="20% - Accent6 9 6 5 2" xfId="15447"/>
    <cellStyle name="20% - Accent6 9 6 6" xfId="9779"/>
    <cellStyle name="20% - Accent6 9 7" xfId="2970"/>
    <cellStyle name="20% - Accent6 9 7 2" xfId="10387"/>
    <cellStyle name="20% - Accent6 9 8" xfId="3572"/>
    <cellStyle name="20% - Accent6 9 8 2" xfId="10920"/>
    <cellStyle name="20% - Accent6 9 9" xfId="5040"/>
    <cellStyle name="20% - Accent6 9 9 2" xfId="12317"/>
    <cellStyle name="40% - Accent1" xfId="27" builtinId="31" customBuiltin="1"/>
    <cellStyle name="40% - Accent1 10" xfId="466"/>
    <cellStyle name="40% - Accent1 10 10" xfId="6334"/>
    <cellStyle name="40% - Accent1 10 10 2" xfId="13553"/>
    <cellStyle name="40% - Accent1 10 11" xfId="8756"/>
    <cellStyle name="40% - Accent1 10 2" xfId="620"/>
    <cellStyle name="40% - Accent1 10 2 10" xfId="8818"/>
    <cellStyle name="40% - Accent1 10 2 2" xfId="859"/>
    <cellStyle name="40% - Accent1 10 2 2 2" xfId="1759"/>
    <cellStyle name="40% - Accent1 10 2 2 2 2" xfId="4149"/>
    <cellStyle name="40% - Accent1 10 2 2 2 2 2" xfId="11463"/>
    <cellStyle name="40% - Accent1 10 2 2 2 3" xfId="5511"/>
    <cellStyle name="40% - Accent1 10 2 2 2 3 2" xfId="12765"/>
    <cellStyle name="40% - Accent1 10 2 2 2 4" xfId="6783"/>
    <cellStyle name="40% - Accent1 10 2 2 2 4 2" xfId="13985"/>
    <cellStyle name="40% - Accent1 10 2 2 2 5" xfId="7938"/>
    <cellStyle name="40% - Accent1 10 2 2 2 5 2" xfId="15118"/>
    <cellStyle name="40% - Accent1 10 2 2 2 6" xfId="9446"/>
    <cellStyle name="40% - Accent1 10 2 2 3" xfId="1992"/>
    <cellStyle name="40% - Accent1 10 2 2 3 2" xfId="4375"/>
    <cellStyle name="40% - Accent1 10 2 2 3 2 2" xfId="11686"/>
    <cellStyle name="40% - Accent1 10 2 2 3 3" xfId="5731"/>
    <cellStyle name="40% - Accent1 10 2 2 3 3 2" xfId="12983"/>
    <cellStyle name="40% - Accent1 10 2 2 3 4" xfId="7000"/>
    <cellStyle name="40% - Accent1 10 2 2 3 4 2" xfId="14201"/>
    <cellStyle name="40% - Accent1 10 2 2 3 5" xfId="8144"/>
    <cellStyle name="40% - Accent1 10 2 2 3 5 2" xfId="15324"/>
    <cellStyle name="40% - Accent1 10 2 2 3 6" xfId="9652"/>
    <cellStyle name="40% - Accent1 10 2 2 4" xfId="2401"/>
    <cellStyle name="40% - Accent1 10 2 2 4 2" xfId="4763"/>
    <cellStyle name="40% - Accent1 10 2 2 4 2 2" xfId="12058"/>
    <cellStyle name="40% - Accent1 10 2 2 4 3" xfId="6104"/>
    <cellStyle name="40% - Accent1 10 2 2 4 3 2" xfId="13338"/>
    <cellStyle name="40% - Accent1 10 2 2 4 4" xfId="7357"/>
    <cellStyle name="40% - Accent1 10 2 2 4 4 2" xfId="14547"/>
    <cellStyle name="40% - Accent1 10 2 2 4 5" xfId="8464"/>
    <cellStyle name="40% - Accent1 10 2 2 4 5 2" xfId="15640"/>
    <cellStyle name="40% - Accent1 10 2 2 4 6" xfId="9972"/>
    <cellStyle name="40% - Accent1 10 2 2 5" xfId="3340"/>
    <cellStyle name="40% - Accent1 10 2 2 5 2" xfId="10713"/>
    <cellStyle name="40% - Accent1 10 2 2 6" xfId="3242"/>
    <cellStyle name="40% - Accent1 10 2 2 6 2" xfId="10615"/>
    <cellStyle name="40% - Accent1 10 2 2 7" xfId="5867"/>
    <cellStyle name="40% - Accent1 10 2 2 7 2" xfId="13104"/>
    <cellStyle name="40% - Accent1 10 2 2 8" xfId="7121"/>
    <cellStyle name="40% - Accent1 10 2 2 8 2" xfId="14314"/>
    <cellStyle name="40% - Accent1 10 2 2 9" xfId="8948"/>
    <cellStyle name="40% - Accent1 10 2 3" xfId="1596"/>
    <cellStyle name="40% - Accent1 10 2 3 2" xfId="3987"/>
    <cellStyle name="40% - Accent1 10 2 3 2 2" xfId="11304"/>
    <cellStyle name="40% - Accent1 10 2 3 3" xfId="5353"/>
    <cellStyle name="40% - Accent1 10 2 3 3 2" xfId="12611"/>
    <cellStyle name="40% - Accent1 10 2 3 4" xfId="6626"/>
    <cellStyle name="40% - Accent1 10 2 3 4 2" xfId="13831"/>
    <cellStyle name="40% - Accent1 10 2 3 5" xfId="7785"/>
    <cellStyle name="40% - Accent1 10 2 3 5 2" xfId="14965"/>
    <cellStyle name="40% - Accent1 10 2 3 6" xfId="9293"/>
    <cellStyle name="40% - Accent1 10 2 4" xfId="1660"/>
    <cellStyle name="40% - Accent1 10 2 4 2" xfId="4050"/>
    <cellStyle name="40% - Accent1 10 2 4 2 2" xfId="11364"/>
    <cellStyle name="40% - Accent1 10 2 4 3" xfId="5412"/>
    <cellStyle name="40% - Accent1 10 2 4 3 2" xfId="12666"/>
    <cellStyle name="40% - Accent1 10 2 4 4" xfId="6684"/>
    <cellStyle name="40% - Accent1 10 2 4 4 2" xfId="13886"/>
    <cellStyle name="40% - Accent1 10 2 4 5" xfId="7839"/>
    <cellStyle name="40% - Accent1 10 2 4 5 2" xfId="15019"/>
    <cellStyle name="40% - Accent1 10 2 4 6" xfId="9347"/>
    <cellStyle name="40% - Accent1 10 2 5" xfId="2271"/>
    <cellStyle name="40% - Accent1 10 2 5 2" xfId="4633"/>
    <cellStyle name="40% - Accent1 10 2 5 2 2" xfId="11931"/>
    <cellStyle name="40% - Accent1 10 2 5 3" xfId="5974"/>
    <cellStyle name="40% - Accent1 10 2 5 3 2" xfId="13211"/>
    <cellStyle name="40% - Accent1 10 2 5 4" xfId="7227"/>
    <cellStyle name="40% - Accent1 10 2 5 4 2" xfId="14420"/>
    <cellStyle name="40% - Accent1 10 2 5 5" xfId="8337"/>
    <cellStyle name="40% - Accent1 10 2 5 5 2" xfId="15513"/>
    <cellStyle name="40% - Accent1 10 2 5 6" xfId="9845"/>
    <cellStyle name="40% - Accent1 10 2 6" xfId="3124"/>
    <cellStyle name="40% - Accent1 10 2 6 2" xfId="10521"/>
    <cellStyle name="40% - Accent1 10 2 7" xfId="2998"/>
    <cellStyle name="40% - Accent1 10 2 7 2" xfId="10411"/>
    <cellStyle name="40% - Accent1 10 2 8" xfId="3865"/>
    <cellStyle name="40% - Accent1 10 2 8 2" xfId="11186"/>
    <cellStyle name="40% - Accent1 10 2 9" xfId="4937"/>
    <cellStyle name="40% - Accent1 10 2 9 2" xfId="12226"/>
    <cellStyle name="40% - Accent1 10 3" xfId="807"/>
    <cellStyle name="40% - Accent1 10 3 2" xfId="1707"/>
    <cellStyle name="40% - Accent1 10 3 2 2" xfId="4097"/>
    <cellStyle name="40% - Accent1 10 3 2 2 2" xfId="11411"/>
    <cellStyle name="40% - Accent1 10 3 2 3" xfId="5459"/>
    <cellStyle name="40% - Accent1 10 3 2 3 2" xfId="12713"/>
    <cellStyle name="40% - Accent1 10 3 2 4" xfId="6731"/>
    <cellStyle name="40% - Accent1 10 3 2 4 2" xfId="13933"/>
    <cellStyle name="40% - Accent1 10 3 2 5" xfId="7886"/>
    <cellStyle name="40% - Accent1 10 3 2 5 2" xfId="15066"/>
    <cellStyle name="40% - Accent1 10 3 2 6" xfId="9394"/>
    <cellStyle name="40% - Accent1 10 3 3" xfId="1940"/>
    <cellStyle name="40% - Accent1 10 3 3 2" xfId="4323"/>
    <cellStyle name="40% - Accent1 10 3 3 2 2" xfId="11634"/>
    <cellStyle name="40% - Accent1 10 3 3 3" xfId="5679"/>
    <cellStyle name="40% - Accent1 10 3 3 3 2" xfId="12931"/>
    <cellStyle name="40% - Accent1 10 3 3 4" xfId="6948"/>
    <cellStyle name="40% - Accent1 10 3 3 4 2" xfId="14149"/>
    <cellStyle name="40% - Accent1 10 3 3 5" xfId="8092"/>
    <cellStyle name="40% - Accent1 10 3 3 5 2" xfId="15272"/>
    <cellStyle name="40% - Accent1 10 3 3 6" xfId="9600"/>
    <cellStyle name="40% - Accent1 10 3 4" xfId="2349"/>
    <cellStyle name="40% - Accent1 10 3 4 2" xfId="4711"/>
    <cellStyle name="40% - Accent1 10 3 4 2 2" xfId="12006"/>
    <cellStyle name="40% - Accent1 10 3 4 3" xfId="6052"/>
    <cellStyle name="40% - Accent1 10 3 4 3 2" xfId="13286"/>
    <cellStyle name="40% - Accent1 10 3 4 4" xfId="7305"/>
    <cellStyle name="40% - Accent1 10 3 4 4 2" xfId="14495"/>
    <cellStyle name="40% - Accent1 10 3 4 5" xfId="8412"/>
    <cellStyle name="40% - Accent1 10 3 4 5 2" xfId="15588"/>
    <cellStyle name="40% - Accent1 10 3 4 6" xfId="9920"/>
    <cellStyle name="40% - Accent1 10 3 5" xfId="3288"/>
    <cellStyle name="40% - Accent1 10 3 5 2" xfId="10661"/>
    <cellStyle name="40% - Accent1 10 3 6" xfId="3380"/>
    <cellStyle name="40% - Accent1 10 3 6 2" xfId="10751"/>
    <cellStyle name="40% - Accent1 10 3 7" xfId="2594"/>
    <cellStyle name="40% - Accent1 10 3 7 2" xfId="10128"/>
    <cellStyle name="40% - Accent1 10 3 8" xfId="5077"/>
    <cellStyle name="40% - Accent1 10 3 8 2" xfId="12350"/>
    <cellStyle name="40% - Accent1 10 3 9" xfId="8896"/>
    <cellStyle name="40% - Accent1 10 4" xfId="1505"/>
    <cellStyle name="40% - Accent1 10 4 2" xfId="3898"/>
    <cellStyle name="40% - Accent1 10 4 2 2" xfId="11216"/>
    <cellStyle name="40% - Accent1 10 4 3" xfId="5265"/>
    <cellStyle name="40% - Accent1 10 4 3 2" xfId="12524"/>
    <cellStyle name="40% - Accent1 10 4 4" xfId="6538"/>
    <cellStyle name="40% - Accent1 10 4 4 2" xfId="13744"/>
    <cellStyle name="40% - Accent1 10 4 5" xfId="7698"/>
    <cellStyle name="40% - Accent1 10 4 5 2" xfId="14878"/>
    <cellStyle name="40% - Accent1 10 4 6" xfId="9206"/>
    <cellStyle name="40% - Accent1 10 5" xfId="1302"/>
    <cellStyle name="40% - Accent1 10 5 2" xfId="3716"/>
    <cellStyle name="40% - Accent1 10 5 2 2" xfId="11050"/>
    <cellStyle name="40% - Accent1 10 5 3" xfId="5104"/>
    <cellStyle name="40% - Accent1 10 5 3 2" xfId="12376"/>
    <cellStyle name="40% - Accent1 10 5 4" xfId="6403"/>
    <cellStyle name="40% - Accent1 10 5 4 2" xfId="13617"/>
    <cellStyle name="40% - Accent1 10 5 5" xfId="7592"/>
    <cellStyle name="40% - Accent1 10 5 5 2" xfId="14776"/>
    <cellStyle name="40% - Accent1 10 5 6" xfId="9100"/>
    <cellStyle name="40% - Accent1 10 6" xfId="2209"/>
    <cellStyle name="40% - Accent1 10 6 2" xfId="4571"/>
    <cellStyle name="40% - Accent1 10 6 2 2" xfId="11869"/>
    <cellStyle name="40% - Accent1 10 6 3" xfId="5912"/>
    <cellStyle name="40% - Accent1 10 6 3 2" xfId="13149"/>
    <cellStyle name="40% - Accent1 10 6 4" xfId="7165"/>
    <cellStyle name="40% - Accent1 10 6 4 2" xfId="14358"/>
    <cellStyle name="40% - Accent1 10 6 5" xfId="8275"/>
    <cellStyle name="40% - Accent1 10 6 5 2" xfId="15451"/>
    <cellStyle name="40% - Accent1 10 6 6" xfId="9783"/>
    <cellStyle name="40% - Accent1 10 7" xfId="2989"/>
    <cellStyle name="40% - Accent1 10 7 2" xfId="10402"/>
    <cellStyle name="40% - Accent1 10 8" xfId="3506"/>
    <cellStyle name="40% - Accent1 10 8 2" xfId="10861"/>
    <cellStyle name="40% - Accent1 10 9" xfId="5013"/>
    <cellStyle name="40% - Accent1 10 9 2" xfId="12293"/>
    <cellStyle name="40% - Accent1 11" xfId="650"/>
    <cellStyle name="40% - Accent1 11 10" xfId="8831"/>
    <cellStyle name="40% - Accent1 11 2" xfId="872"/>
    <cellStyle name="40% - Accent1 11 2 2" xfId="1772"/>
    <cellStyle name="40% - Accent1 11 2 2 2" xfId="4162"/>
    <cellStyle name="40% - Accent1 11 2 2 2 2" xfId="11476"/>
    <cellStyle name="40% - Accent1 11 2 2 3" xfId="5524"/>
    <cellStyle name="40% - Accent1 11 2 2 3 2" xfId="12778"/>
    <cellStyle name="40% - Accent1 11 2 2 4" xfId="6796"/>
    <cellStyle name="40% - Accent1 11 2 2 4 2" xfId="13998"/>
    <cellStyle name="40% - Accent1 11 2 2 5" xfId="7951"/>
    <cellStyle name="40% - Accent1 11 2 2 5 2" xfId="15131"/>
    <cellStyle name="40% - Accent1 11 2 2 6" xfId="9459"/>
    <cellStyle name="40% - Accent1 11 2 3" xfId="2005"/>
    <cellStyle name="40% - Accent1 11 2 3 2" xfId="4388"/>
    <cellStyle name="40% - Accent1 11 2 3 2 2" xfId="11699"/>
    <cellStyle name="40% - Accent1 11 2 3 3" xfId="5744"/>
    <cellStyle name="40% - Accent1 11 2 3 3 2" xfId="12996"/>
    <cellStyle name="40% - Accent1 11 2 3 4" xfId="7013"/>
    <cellStyle name="40% - Accent1 11 2 3 4 2" xfId="14214"/>
    <cellStyle name="40% - Accent1 11 2 3 5" xfId="8157"/>
    <cellStyle name="40% - Accent1 11 2 3 5 2" xfId="15337"/>
    <cellStyle name="40% - Accent1 11 2 3 6" xfId="9665"/>
    <cellStyle name="40% - Accent1 11 2 4" xfId="2414"/>
    <cellStyle name="40% - Accent1 11 2 4 2" xfId="4776"/>
    <cellStyle name="40% - Accent1 11 2 4 2 2" xfId="12071"/>
    <cellStyle name="40% - Accent1 11 2 4 3" xfId="6117"/>
    <cellStyle name="40% - Accent1 11 2 4 3 2" xfId="13351"/>
    <cellStyle name="40% - Accent1 11 2 4 4" xfId="7370"/>
    <cellStyle name="40% - Accent1 11 2 4 4 2" xfId="14560"/>
    <cellStyle name="40% - Accent1 11 2 4 5" xfId="8477"/>
    <cellStyle name="40% - Accent1 11 2 4 5 2" xfId="15653"/>
    <cellStyle name="40% - Accent1 11 2 4 6" xfId="9985"/>
    <cellStyle name="40% - Accent1 11 2 5" xfId="3353"/>
    <cellStyle name="40% - Accent1 11 2 5 2" xfId="10726"/>
    <cellStyle name="40% - Accent1 11 2 6" xfId="3678"/>
    <cellStyle name="40% - Accent1 11 2 6 2" xfId="11014"/>
    <cellStyle name="40% - Accent1 11 2 7" xfId="3171"/>
    <cellStyle name="40% - Accent1 11 2 7 2" xfId="10562"/>
    <cellStyle name="40% - Accent1 11 2 8" xfId="2855"/>
    <cellStyle name="40% - Accent1 11 2 8 2" xfId="10282"/>
    <cellStyle name="40% - Accent1 11 2 9" xfId="8961"/>
    <cellStyle name="40% - Accent1 11 3" xfId="1612"/>
    <cellStyle name="40% - Accent1 11 3 2" xfId="4003"/>
    <cellStyle name="40% - Accent1 11 3 2 2" xfId="11320"/>
    <cellStyle name="40% - Accent1 11 3 3" xfId="5367"/>
    <cellStyle name="40% - Accent1 11 3 3 2" xfId="12625"/>
    <cellStyle name="40% - Accent1 11 3 4" xfId="6640"/>
    <cellStyle name="40% - Accent1 11 3 4 2" xfId="13845"/>
    <cellStyle name="40% - Accent1 11 3 5" xfId="7798"/>
    <cellStyle name="40% - Accent1 11 3 5 2" xfId="14978"/>
    <cellStyle name="40% - Accent1 11 3 6" xfId="9306"/>
    <cellStyle name="40% - Accent1 11 4" xfId="1875"/>
    <cellStyle name="40% - Accent1 11 4 2" xfId="4260"/>
    <cellStyle name="40% - Accent1 11 4 2 2" xfId="11572"/>
    <cellStyle name="40% - Accent1 11 4 3" xfId="5616"/>
    <cellStyle name="40% - Accent1 11 4 3 2" xfId="12869"/>
    <cellStyle name="40% - Accent1 11 4 4" xfId="6885"/>
    <cellStyle name="40% - Accent1 11 4 4 2" xfId="14087"/>
    <cellStyle name="40% - Accent1 11 4 5" xfId="8030"/>
    <cellStyle name="40% - Accent1 11 4 5 2" xfId="15210"/>
    <cellStyle name="40% - Accent1 11 4 6" xfId="9538"/>
    <cellStyle name="40% - Accent1 11 5" xfId="2284"/>
    <cellStyle name="40% - Accent1 11 5 2" xfId="4646"/>
    <cellStyle name="40% - Accent1 11 5 2 2" xfId="11944"/>
    <cellStyle name="40% - Accent1 11 5 3" xfId="5987"/>
    <cellStyle name="40% - Accent1 11 5 3 2" xfId="13224"/>
    <cellStyle name="40% - Accent1 11 5 4" xfId="7240"/>
    <cellStyle name="40% - Accent1 11 5 4 2" xfId="14433"/>
    <cellStyle name="40% - Accent1 11 5 5" xfId="8350"/>
    <cellStyle name="40% - Accent1 11 5 5 2" xfId="15526"/>
    <cellStyle name="40% - Accent1 11 5 6" xfId="9858"/>
    <cellStyle name="40% - Accent1 11 6" xfId="3151"/>
    <cellStyle name="40% - Accent1 11 6 2" xfId="10544"/>
    <cellStyle name="40% - Accent1 11 7" xfId="4921"/>
    <cellStyle name="40% - Accent1 11 7 2" xfId="12210"/>
    <cellStyle name="40% - Accent1 11 8" xfId="3754"/>
    <cellStyle name="40% - Accent1 11 8 2" xfId="11083"/>
    <cellStyle name="40% - Accent1 11 9" xfId="3842"/>
    <cellStyle name="40% - Accent1 11 9 2" xfId="11163"/>
    <cellStyle name="40% - Accent1 12" xfId="902"/>
    <cellStyle name="40% - Accent1 12 2" xfId="1792"/>
    <cellStyle name="40% - Accent1 12 2 2" xfId="4181"/>
    <cellStyle name="40% - Accent1 12 2 2 2" xfId="11494"/>
    <cellStyle name="40% - Accent1 12 2 3" xfId="5541"/>
    <cellStyle name="40% - Accent1 12 2 3 2" xfId="12795"/>
    <cellStyle name="40% - Accent1 12 2 4" xfId="6813"/>
    <cellStyle name="40% - Accent1 12 2 4 2" xfId="14015"/>
    <cellStyle name="40% - Accent1 12 2 5" xfId="7964"/>
    <cellStyle name="40% - Accent1 12 2 5 2" xfId="15144"/>
    <cellStyle name="40% - Accent1 12 2 6" xfId="9472"/>
    <cellStyle name="40% - Accent1 12 3" xfId="2018"/>
    <cellStyle name="40% - Accent1 12 3 2" xfId="4401"/>
    <cellStyle name="40% - Accent1 12 3 2 2" xfId="11712"/>
    <cellStyle name="40% - Accent1 12 3 3" xfId="5757"/>
    <cellStyle name="40% - Accent1 12 3 3 2" xfId="13009"/>
    <cellStyle name="40% - Accent1 12 3 4" xfId="7026"/>
    <cellStyle name="40% - Accent1 12 3 4 2" xfId="14227"/>
    <cellStyle name="40% - Accent1 12 3 5" xfId="8170"/>
    <cellStyle name="40% - Accent1 12 3 5 2" xfId="15350"/>
    <cellStyle name="40% - Accent1 12 3 6" xfId="9678"/>
    <cellStyle name="40% - Accent1 12 4" xfId="2427"/>
    <cellStyle name="40% - Accent1 12 4 2" xfId="4789"/>
    <cellStyle name="40% - Accent1 12 4 2 2" xfId="12084"/>
    <cellStyle name="40% - Accent1 12 4 3" xfId="6130"/>
    <cellStyle name="40% - Accent1 12 4 3 2" xfId="13364"/>
    <cellStyle name="40% - Accent1 12 4 4" xfId="7383"/>
    <cellStyle name="40% - Accent1 12 4 4 2" xfId="14573"/>
    <cellStyle name="40% - Accent1 12 4 5" xfId="8490"/>
    <cellStyle name="40% - Accent1 12 4 5 2" xfId="15666"/>
    <cellStyle name="40% - Accent1 12 4 6" xfId="9998"/>
    <cellStyle name="40% - Accent1 12 5" xfId="3379"/>
    <cellStyle name="40% - Accent1 12 5 2" xfId="10750"/>
    <cellStyle name="40% - Accent1 12 6" xfId="3798"/>
    <cellStyle name="40% - Accent1 12 6 2" xfId="11120"/>
    <cellStyle name="40% - Accent1 12 7" xfId="4040"/>
    <cellStyle name="40% - Accent1 12 7 2" xfId="11354"/>
    <cellStyle name="40% - Accent1 12 8" xfId="3615"/>
    <cellStyle name="40% - Accent1 12 8 2" xfId="10958"/>
    <cellStyle name="40% - Accent1 12 9" xfId="8974"/>
    <cellStyle name="40% - Accent1 13" xfId="945"/>
    <cellStyle name="40% - Accent1 13 2" xfId="1818"/>
    <cellStyle name="40% - Accent1 13 2 2" xfId="4204"/>
    <cellStyle name="40% - Accent1 13 2 2 2" xfId="11517"/>
    <cellStyle name="40% - Accent1 13 2 3" xfId="5563"/>
    <cellStyle name="40% - Accent1 13 2 3 2" xfId="12817"/>
    <cellStyle name="40% - Accent1 13 2 4" xfId="6833"/>
    <cellStyle name="40% - Accent1 13 2 4 2" xfId="14035"/>
    <cellStyle name="40% - Accent1 13 2 5" xfId="7983"/>
    <cellStyle name="40% - Accent1 13 2 5 2" xfId="15163"/>
    <cellStyle name="40% - Accent1 13 2 6" xfId="9491"/>
    <cellStyle name="40% - Accent1 13 3" xfId="2033"/>
    <cellStyle name="40% - Accent1 13 3 2" xfId="4415"/>
    <cellStyle name="40% - Accent1 13 3 2 2" xfId="11725"/>
    <cellStyle name="40% - Accent1 13 3 3" xfId="5771"/>
    <cellStyle name="40% - Accent1 13 3 3 2" xfId="13022"/>
    <cellStyle name="40% - Accent1 13 3 4" xfId="7040"/>
    <cellStyle name="40% - Accent1 13 3 4 2" xfId="14240"/>
    <cellStyle name="40% - Accent1 13 3 5" xfId="8183"/>
    <cellStyle name="40% - Accent1 13 3 5 2" xfId="15363"/>
    <cellStyle name="40% - Accent1 13 3 6" xfId="9691"/>
    <cellStyle name="40% - Accent1 13 4" xfId="2442"/>
    <cellStyle name="40% - Accent1 13 4 2" xfId="4804"/>
    <cellStyle name="40% - Accent1 13 4 2 2" xfId="12097"/>
    <cellStyle name="40% - Accent1 13 4 3" xfId="6145"/>
    <cellStyle name="40% - Accent1 13 4 3 2" xfId="13377"/>
    <cellStyle name="40% - Accent1 13 4 4" xfId="7398"/>
    <cellStyle name="40% - Accent1 13 4 4 2" xfId="14586"/>
    <cellStyle name="40% - Accent1 13 4 5" xfId="8503"/>
    <cellStyle name="40% - Accent1 13 4 5 2" xfId="15679"/>
    <cellStyle name="40% - Accent1 13 4 6" xfId="10011"/>
    <cellStyle name="40% - Accent1 13 5" xfId="3416"/>
    <cellStyle name="40% - Accent1 13 5 2" xfId="10780"/>
    <cellStyle name="40% - Accent1 13 6" xfId="4175"/>
    <cellStyle name="40% - Accent1 13 6 2" xfId="11489"/>
    <cellStyle name="40% - Accent1 13 7" xfId="3656"/>
    <cellStyle name="40% - Accent1 13 7 2" xfId="10993"/>
    <cellStyle name="40% - Accent1 13 8" xfId="5049"/>
    <cellStyle name="40% - Accent1 13 8 2" xfId="12324"/>
    <cellStyle name="40% - Accent1 13 9" xfId="8989"/>
    <cellStyle name="40% - Accent1 14" xfId="988"/>
    <cellStyle name="40% - Accent1 14 2" xfId="1842"/>
    <cellStyle name="40% - Accent1 14 2 2" xfId="4227"/>
    <cellStyle name="40% - Accent1 14 2 2 2" xfId="11540"/>
    <cellStyle name="40% - Accent1 14 2 3" xfId="5584"/>
    <cellStyle name="40% - Accent1 14 2 3 2" xfId="12837"/>
    <cellStyle name="40% - Accent1 14 2 4" xfId="6853"/>
    <cellStyle name="40% - Accent1 14 2 4 2" xfId="14055"/>
    <cellStyle name="40% - Accent1 14 2 5" xfId="8001"/>
    <cellStyle name="40% - Accent1 14 2 5 2" xfId="15181"/>
    <cellStyle name="40% - Accent1 14 2 6" xfId="9509"/>
    <cellStyle name="40% - Accent1 14 3" xfId="2047"/>
    <cellStyle name="40% - Accent1 14 3 2" xfId="4429"/>
    <cellStyle name="40% - Accent1 14 3 2 2" xfId="11738"/>
    <cellStyle name="40% - Accent1 14 3 3" xfId="5784"/>
    <cellStyle name="40% - Accent1 14 3 3 2" xfId="13035"/>
    <cellStyle name="40% - Accent1 14 3 4" xfId="7053"/>
    <cellStyle name="40% - Accent1 14 3 4 2" xfId="14253"/>
    <cellStyle name="40% - Accent1 14 3 5" xfId="8196"/>
    <cellStyle name="40% - Accent1 14 3 5 2" xfId="15376"/>
    <cellStyle name="40% - Accent1 14 3 6" xfId="9704"/>
    <cellStyle name="40% - Accent1 14 4" xfId="2456"/>
    <cellStyle name="40% - Accent1 14 4 2" xfId="4817"/>
    <cellStyle name="40% - Accent1 14 4 2 2" xfId="12110"/>
    <cellStyle name="40% - Accent1 14 4 3" xfId="6159"/>
    <cellStyle name="40% - Accent1 14 4 3 2" xfId="13390"/>
    <cellStyle name="40% - Accent1 14 4 4" xfId="7412"/>
    <cellStyle name="40% - Accent1 14 4 4 2" xfId="14599"/>
    <cellStyle name="40% - Accent1 14 4 5" xfId="8516"/>
    <cellStyle name="40% - Accent1 14 4 5 2" xfId="15692"/>
    <cellStyle name="40% - Accent1 14 4 6" xfId="10024"/>
    <cellStyle name="40% - Accent1 14 5" xfId="3450"/>
    <cellStyle name="40% - Accent1 14 5 2" xfId="10811"/>
    <cellStyle name="40% - Accent1 14 6" xfId="4523"/>
    <cellStyle name="40% - Accent1 14 6 2" xfId="11822"/>
    <cellStyle name="40% - Accent1 14 7" xfId="2803"/>
    <cellStyle name="40% - Accent1 14 7 2" xfId="10251"/>
    <cellStyle name="40% - Accent1 14 8" xfId="2836"/>
    <cellStyle name="40% - Accent1 14 8 2" xfId="10265"/>
    <cellStyle name="40% - Accent1 14 9" xfId="9003"/>
    <cellStyle name="40% - Accent1 15" xfId="1029"/>
    <cellStyle name="40% - Accent1 15 2" xfId="1860"/>
    <cellStyle name="40% - Accent1 15 2 2" xfId="4245"/>
    <cellStyle name="40% - Accent1 15 2 2 2" xfId="11557"/>
    <cellStyle name="40% - Accent1 15 2 3" xfId="5601"/>
    <cellStyle name="40% - Accent1 15 2 3 2" xfId="12854"/>
    <cellStyle name="40% - Accent1 15 2 4" xfId="6870"/>
    <cellStyle name="40% - Accent1 15 2 4 2" xfId="14072"/>
    <cellStyle name="40% - Accent1 15 2 5" xfId="8015"/>
    <cellStyle name="40% - Accent1 15 2 5 2" xfId="15195"/>
    <cellStyle name="40% - Accent1 15 2 6" xfId="9523"/>
    <cellStyle name="40% - Accent1 15 3" xfId="2060"/>
    <cellStyle name="40% - Accent1 15 3 2" xfId="4442"/>
    <cellStyle name="40% - Accent1 15 3 2 2" xfId="11751"/>
    <cellStyle name="40% - Accent1 15 3 3" xfId="5797"/>
    <cellStyle name="40% - Accent1 15 3 3 2" xfId="13048"/>
    <cellStyle name="40% - Accent1 15 3 4" xfId="7066"/>
    <cellStyle name="40% - Accent1 15 3 4 2" xfId="14266"/>
    <cellStyle name="40% - Accent1 15 3 5" xfId="8209"/>
    <cellStyle name="40% - Accent1 15 3 5 2" xfId="15389"/>
    <cellStyle name="40% - Accent1 15 3 6" xfId="9717"/>
    <cellStyle name="40% - Accent1 15 4" xfId="2469"/>
    <cellStyle name="40% - Accent1 15 4 2" xfId="4830"/>
    <cellStyle name="40% - Accent1 15 4 2 2" xfId="12123"/>
    <cellStyle name="40% - Accent1 15 4 3" xfId="6172"/>
    <cellStyle name="40% - Accent1 15 4 3 2" xfId="13403"/>
    <cellStyle name="40% - Accent1 15 4 4" xfId="7425"/>
    <cellStyle name="40% - Accent1 15 4 4 2" xfId="14612"/>
    <cellStyle name="40% - Accent1 15 4 5" xfId="8529"/>
    <cellStyle name="40% - Accent1 15 4 5 2" xfId="15705"/>
    <cellStyle name="40% - Accent1 15 4 6" xfId="10037"/>
    <cellStyle name="40% - Accent1 15 5" xfId="3485"/>
    <cellStyle name="40% - Accent1 15 5 2" xfId="10840"/>
    <cellStyle name="40% - Accent1 15 6" xfId="3014"/>
    <cellStyle name="40% - Accent1 15 6 2" xfId="10425"/>
    <cellStyle name="40% - Accent1 15 7" xfId="5261"/>
    <cellStyle name="40% - Accent1 15 7 2" xfId="12520"/>
    <cellStyle name="40% - Accent1 15 8" xfId="6534"/>
    <cellStyle name="40% - Accent1 15 8 2" xfId="13740"/>
    <cellStyle name="40% - Accent1 15 9" xfId="9016"/>
    <cellStyle name="40% - Accent1 16" xfId="1070"/>
    <cellStyle name="40% - Accent1 16 2" xfId="2482"/>
    <cellStyle name="40% - Accent1 16 2 2" xfId="4843"/>
    <cellStyle name="40% - Accent1 16 2 2 2" xfId="12136"/>
    <cellStyle name="40% - Accent1 16 2 3" xfId="6185"/>
    <cellStyle name="40% - Accent1 16 2 3 2" xfId="13416"/>
    <cellStyle name="40% - Accent1 16 2 4" xfId="7438"/>
    <cellStyle name="40% - Accent1 16 2 4 2" xfId="14625"/>
    <cellStyle name="40% - Accent1 16 2 5" xfId="8542"/>
    <cellStyle name="40% - Accent1 16 2 5 2" xfId="15718"/>
    <cellStyle name="40% - Accent1 16 2 6" xfId="10050"/>
    <cellStyle name="40% - Accent1 16 3" xfId="3515"/>
    <cellStyle name="40% - Accent1 16 3 2" xfId="10869"/>
    <cellStyle name="40% - Accent1 16 4" xfId="3788"/>
    <cellStyle name="40% - Accent1 16 4 2" xfId="11111"/>
    <cellStyle name="40% - Accent1 16 5" xfId="3551"/>
    <cellStyle name="40% - Accent1 16 5 2" xfId="10900"/>
    <cellStyle name="40% - Accent1 16 6" xfId="3408"/>
    <cellStyle name="40% - Accent1 16 6 2" xfId="10775"/>
    <cellStyle name="40% - Accent1 16 7" xfId="9029"/>
    <cellStyle name="40% - Accent1 17" xfId="1111"/>
    <cellStyle name="40% - Accent1 17 2" xfId="2495"/>
    <cellStyle name="40% - Accent1 17 2 2" xfId="4856"/>
    <cellStyle name="40% - Accent1 17 2 2 2" xfId="12149"/>
    <cellStyle name="40% - Accent1 17 2 3" xfId="6198"/>
    <cellStyle name="40% - Accent1 17 2 3 2" xfId="13429"/>
    <cellStyle name="40% - Accent1 17 2 4" xfId="7451"/>
    <cellStyle name="40% - Accent1 17 2 4 2" xfId="14638"/>
    <cellStyle name="40% - Accent1 17 2 5" xfId="8555"/>
    <cellStyle name="40% - Accent1 17 2 5 2" xfId="15731"/>
    <cellStyle name="40% - Accent1 17 2 6" xfId="10063"/>
    <cellStyle name="40% - Accent1 17 3" xfId="3553"/>
    <cellStyle name="40% - Accent1 17 3 2" xfId="10902"/>
    <cellStyle name="40% - Accent1 17 4" xfId="4960"/>
    <cellStyle name="40% - Accent1 17 4 2" xfId="12246"/>
    <cellStyle name="40% - Accent1 17 5" xfId="6292"/>
    <cellStyle name="40% - Accent1 17 5 2" xfId="13515"/>
    <cellStyle name="40% - Accent1 17 6" xfId="7534"/>
    <cellStyle name="40% - Accent1 17 6 2" xfId="14718"/>
    <cellStyle name="40% - Accent1 17 7" xfId="9042"/>
    <cellStyle name="40% - Accent1 18" xfId="1152"/>
    <cellStyle name="40% - Accent1 18 2" xfId="2508"/>
    <cellStyle name="40% - Accent1 18 2 2" xfId="4869"/>
    <cellStyle name="40% - Accent1 18 2 2 2" xfId="12162"/>
    <cellStyle name="40% - Accent1 18 2 3" xfId="6211"/>
    <cellStyle name="40% - Accent1 18 2 3 2" xfId="13442"/>
    <cellStyle name="40% - Accent1 18 2 4" xfId="7464"/>
    <cellStyle name="40% - Accent1 18 2 4 2" xfId="14651"/>
    <cellStyle name="40% - Accent1 18 2 5" xfId="8568"/>
    <cellStyle name="40% - Accent1 18 2 5 2" xfId="15744"/>
    <cellStyle name="40% - Accent1 18 2 6" xfId="10076"/>
    <cellStyle name="40% - Accent1 18 3" xfId="3588"/>
    <cellStyle name="40% - Accent1 18 3 2" xfId="10934"/>
    <cellStyle name="40% - Accent1 18 4" xfId="4992"/>
    <cellStyle name="40% - Accent1 18 4 2" xfId="12273"/>
    <cellStyle name="40% - Accent1 18 5" xfId="6315"/>
    <cellStyle name="40% - Accent1 18 5 2" xfId="13535"/>
    <cellStyle name="40% - Accent1 18 6" xfId="7547"/>
    <cellStyle name="40% - Accent1 18 6 2" xfId="14731"/>
    <cellStyle name="40% - Accent1 18 7" xfId="9055"/>
    <cellStyle name="40% - Accent1 19" xfId="1193"/>
    <cellStyle name="40% - Accent1 19 2" xfId="2521"/>
    <cellStyle name="40% - Accent1 19 2 2" xfId="4882"/>
    <cellStyle name="40% - Accent1 19 2 2 2" xfId="12175"/>
    <cellStyle name="40% - Accent1 19 2 3" xfId="6224"/>
    <cellStyle name="40% - Accent1 19 2 3 2" xfId="13455"/>
    <cellStyle name="40% - Accent1 19 2 4" xfId="7477"/>
    <cellStyle name="40% - Accent1 19 2 4 2" xfId="14664"/>
    <cellStyle name="40% - Accent1 19 2 5" xfId="8581"/>
    <cellStyle name="40% - Accent1 19 2 5 2" xfId="15757"/>
    <cellStyle name="40% - Accent1 19 2 6" xfId="10089"/>
    <cellStyle name="40% - Accent1 19 3" xfId="3623"/>
    <cellStyle name="40% - Accent1 19 3 2" xfId="10963"/>
    <cellStyle name="40% - Accent1 19 4" xfId="5022"/>
    <cellStyle name="40% - Accent1 19 4 2" xfId="12300"/>
    <cellStyle name="40% - Accent1 19 5" xfId="6340"/>
    <cellStyle name="40% - Accent1 19 5 2" xfId="13557"/>
    <cellStyle name="40% - Accent1 19 6" xfId="7560"/>
    <cellStyle name="40% - Accent1 19 6 2" xfId="14744"/>
    <cellStyle name="40% - Accent1 19 7" xfId="9068"/>
    <cellStyle name="40% - Accent1 2" xfId="28"/>
    <cellStyle name="40% - Accent1 2 10" xfId="6338"/>
    <cellStyle name="40% - Accent1 2 11" xfId="8636"/>
    <cellStyle name="40% - Accent1 2 2" xfId="506"/>
    <cellStyle name="40% - Accent1 2 3" xfId="693"/>
    <cellStyle name="40% - Accent1 2 4" xfId="1281"/>
    <cellStyle name="40% - Accent1 2 5" xfId="1410"/>
    <cellStyle name="40% - Accent1 2 6" xfId="2089"/>
    <cellStyle name="40% - Accent1 2 7" xfId="2610"/>
    <cellStyle name="40% - Accent1 2 8" xfId="3620"/>
    <cellStyle name="40% - Accent1 2 9" xfId="5019"/>
    <cellStyle name="40% - Accent1 20" xfId="1234"/>
    <cellStyle name="40% - Accent1 20 2" xfId="2534"/>
    <cellStyle name="40% - Accent1 20 2 2" xfId="4895"/>
    <cellStyle name="40% - Accent1 20 2 2 2" xfId="12188"/>
    <cellStyle name="40% - Accent1 20 2 3" xfId="6237"/>
    <cellStyle name="40% - Accent1 20 2 3 2" xfId="13468"/>
    <cellStyle name="40% - Accent1 20 2 4" xfId="7490"/>
    <cellStyle name="40% - Accent1 20 2 4 2" xfId="14677"/>
    <cellStyle name="40% - Accent1 20 2 5" xfId="8594"/>
    <cellStyle name="40% - Accent1 20 2 5 2" xfId="15770"/>
    <cellStyle name="40% - Accent1 20 2 6" xfId="10102"/>
    <cellStyle name="40% - Accent1 20 3" xfId="3659"/>
    <cellStyle name="40% - Accent1 20 3 2" xfId="10995"/>
    <cellStyle name="40% - Accent1 20 4" xfId="5051"/>
    <cellStyle name="40% - Accent1 20 4 2" xfId="12326"/>
    <cellStyle name="40% - Accent1 20 5" xfId="6362"/>
    <cellStyle name="40% - Accent1 20 5 2" xfId="13577"/>
    <cellStyle name="40% - Accent1 20 6" xfId="7573"/>
    <cellStyle name="40% - Accent1 20 6 2" xfId="14757"/>
    <cellStyle name="40% - Accent1 20 7" xfId="9081"/>
    <cellStyle name="40% - Accent1 21" xfId="2564"/>
    <cellStyle name="40% - Accent1 21 2" xfId="4919"/>
    <cellStyle name="40% - Accent1 21 2 2" xfId="12208"/>
    <cellStyle name="40% - Accent1 21 3" xfId="6262"/>
    <cellStyle name="40% - Accent1 21 3 2" xfId="13488"/>
    <cellStyle name="40% - Accent1 21 4" xfId="7509"/>
    <cellStyle name="40% - Accent1 21 4 2" xfId="14693"/>
    <cellStyle name="40% - Accent1 21 5" xfId="8607"/>
    <cellStyle name="40% - Accent1 21 5 2" xfId="15783"/>
    <cellStyle name="40% - Accent1 21 6" xfId="10115"/>
    <cellStyle name="40% - Accent1 3" xfId="29"/>
    <cellStyle name="40% - Accent1 3 10" xfId="6313"/>
    <cellStyle name="40% - Accent1 3 11" xfId="8637"/>
    <cellStyle name="40% - Accent1 3 2" xfId="507"/>
    <cellStyle name="40% - Accent1 3 3" xfId="694"/>
    <cellStyle name="40% - Accent1 3 4" xfId="1282"/>
    <cellStyle name="40% - Accent1 3 5" xfId="1389"/>
    <cellStyle name="40% - Accent1 3 6" xfId="2090"/>
    <cellStyle name="40% - Accent1 3 7" xfId="2611"/>
    <cellStyle name="40% - Accent1 3 8" xfId="3585"/>
    <cellStyle name="40% - Accent1 3 9" xfId="4990"/>
    <cellStyle name="40% - Accent1 4" xfId="30"/>
    <cellStyle name="40% - Accent1 4 10" xfId="6290"/>
    <cellStyle name="40% - Accent1 4 11" xfId="8638"/>
    <cellStyle name="40% - Accent1 4 2" xfId="508"/>
    <cellStyle name="40% - Accent1 4 3" xfId="695"/>
    <cellStyle name="40% - Accent1 4 4" xfId="1283"/>
    <cellStyle name="40% - Accent1 4 5" xfId="1379"/>
    <cellStyle name="40% - Accent1 4 6" xfId="2091"/>
    <cellStyle name="40% - Accent1 4 7" xfId="2612"/>
    <cellStyle name="40% - Accent1 4 8" xfId="3550"/>
    <cellStyle name="40% - Accent1 4 9" xfId="4957"/>
    <cellStyle name="40% - Accent1 5" xfId="256"/>
    <cellStyle name="40% - Accent1 5 10" xfId="3012"/>
    <cellStyle name="40% - Accent1 5 11" xfId="8703"/>
    <cellStyle name="40% - Accent1 5 2" xfId="568"/>
    <cellStyle name="40% - Accent1 5 3" xfId="755"/>
    <cellStyle name="40% - Accent1 5 4" xfId="1396"/>
    <cellStyle name="40% - Accent1 5 5" xfId="1320"/>
    <cellStyle name="40% - Accent1 5 6" xfId="2156"/>
    <cellStyle name="40% - Accent1 5 7" xfId="2810"/>
    <cellStyle name="40% - Accent1 5 8" xfId="4491"/>
    <cellStyle name="40% - Accent1 5 9" xfId="3395"/>
    <cellStyle name="40% - Accent1 6" xfId="301"/>
    <cellStyle name="40% - Accent1 7" xfId="342"/>
    <cellStyle name="40% - Accent1 7 10" xfId="7504"/>
    <cellStyle name="40% - Accent1 7 10 2" xfId="14690"/>
    <cellStyle name="40% - Accent1 7 11" xfId="8716"/>
    <cellStyle name="40% - Accent1 7 2" xfId="581"/>
    <cellStyle name="40% - Accent1 7 2 10" xfId="8779"/>
    <cellStyle name="40% - Accent1 7 2 2" xfId="820"/>
    <cellStyle name="40% - Accent1 7 2 2 2" xfId="1720"/>
    <cellStyle name="40% - Accent1 7 2 2 2 2" xfId="4110"/>
    <cellStyle name="40% - Accent1 7 2 2 2 2 2" xfId="11424"/>
    <cellStyle name="40% - Accent1 7 2 2 2 3" xfId="5472"/>
    <cellStyle name="40% - Accent1 7 2 2 2 3 2" xfId="12726"/>
    <cellStyle name="40% - Accent1 7 2 2 2 4" xfId="6744"/>
    <cellStyle name="40% - Accent1 7 2 2 2 4 2" xfId="13946"/>
    <cellStyle name="40% - Accent1 7 2 2 2 5" xfId="7899"/>
    <cellStyle name="40% - Accent1 7 2 2 2 5 2" xfId="15079"/>
    <cellStyle name="40% - Accent1 7 2 2 2 6" xfId="9407"/>
    <cellStyle name="40% - Accent1 7 2 2 3" xfId="1953"/>
    <cellStyle name="40% - Accent1 7 2 2 3 2" xfId="4336"/>
    <cellStyle name="40% - Accent1 7 2 2 3 2 2" xfId="11647"/>
    <cellStyle name="40% - Accent1 7 2 2 3 3" xfId="5692"/>
    <cellStyle name="40% - Accent1 7 2 2 3 3 2" xfId="12944"/>
    <cellStyle name="40% - Accent1 7 2 2 3 4" xfId="6961"/>
    <cellStyle name="40% - Accent1 7 2 2 3 4 2" xfId="14162"/>
    <cellStyle name="40% - Accent1 7 2 2 3 5" xfId="8105"/>
    <cellStyle name="40% - Accent1 7 2 2 3 5 2" xfId="15285"/>
    <cellStyle name="40% - Accent1 7 2 2 3 6" xfId="9613"/>
    <cellStyle name="40% - Accent1 7 2 2 4" xfId="2362"/>
    <cellStyle name="40% - Accent1 7 2 2 4 2" xfId="4724"/>
    <cellStyle name="40% - Accent1 7 2 2 4 2 2" xfId="12019"/>
    <cellStyle name="40% - Accent1 7 2 2 4 3" xfId="6065"/>
    <cellStyle name="40% - Accent1 7 2 2 4 3 2" xfId="13299"/>
    <cellStyle name="40% - Accent1 7 2 2 4 4" xfId="7318"/>
    <cellStyle name="40% - Accent1 7 2 2 4 4 2" xfId="14508"/>
    <cellStyle name="40% - Accent1 7 2 2 4 5" xfId="8425"/>
    <cellStyle name="40% - Accent1 7 2 2 4 5 2" xfId="15601"/>
    <cellStyle name="40% - Accent1 7 2 2 4 6" xfId="9933"/>
    <cellStyle name="40% - Accent1 7 2 2 5" xfId="3301"/>
    <cellStyle name="40% - Accent1 7 2 2 5 2" xfId="10674"/>
    <cellStyle name="40% - Accent1 7 2 2 6" xfId="3202"/>
    <cellStyle name="40% - Accent1 7 2 2 6 2" xfId="10588"/>
    <cellStyle name="40% - Accent1 7 2 2 7" xfId="5828"/>
    <cellStyle name="40% - Accent1 7 2 2 7 2" xfId="13077"/>
    <cellStyle name="40% - Accent1 7 2 2 8" xfId="7094"/>
    <cellStyle name="40% - Accent1 7 2 2 8 2" xfId="14294"/>
    <cellStyle name="40% - Accent1 7 2 2 9" xfId="8909"/>
    <cellStyle name="40% - Accent1 7 2 3" xfId="1557"/>
    <cellStyle name="40% - Accent1 7 2 3 2" xfId="3948"/>
    <cellStyle name="40% - Accent1 7 2 3 2 2" xfId="11265"/>
    <cellStyle name="40% - Accent1 7 2 3 3" xfId="5314"/>
    <cellStyle name="40% - Accent1 7 2 3 3 2" xfId="12572"/>
    <cellStyle name="40% - Accent1 7 2 3 4" xfId="6587"/>
    <cellStyle name="40% - Accent1 7 2 3 4 2" xfId="13792"/>
    <cellStyle name="40% - Accent1 7 2 3 5" xfId="7746"/>
    <cellStyle name="40% - Accent1 7 2 3 5 2" xfId="14926"/>
    <cellStyle name="40% - Accent1 7 2 3 6" xfId="9254"/>
    <cellStyle name="40% - Accent1 7 2 4" xfId="1554"/>
    <cellStyle name="40% - Accent1 7 2 4 2" xfId="3945"/>
    <cellStyle name="40% - Accent1 7 2 4 2 2" xfId="11262"/>
    <cellStyle name="40% - Accent1 7 2 4 3" xfId="5311"/>
    <cellStyle name="40% - Accent1 7 2 4 3 2" xfId="12569"/>
    <cellStyle name="40% - Accent1 7 2 4 4" xfId="6584"/>
    <cellStyle name="40% - Accent1 7 2 4 4 2" xfId="13789"/>
    <cellStyle name="40% - Accent1 7 2 4 5" xfId="7743"/>
    <cellStyle name="40% - Accent1 7 2 4 5 2" xfId="14923"/>
    <cellStyle name="40% - Accent1 7 2 4 6" xfId="9251"/>
    <cellStyle name="40% - Accent1 7 2 5" xfId="2232"/>
    <cellStyle name="40% - Accent1 7 2 5 2" xfId="4594"/>
    <cellStyle name="40% - Accent1 7 2 5 2 2" xfId="11892"/>
    <cellStyle name="40% - Accent1 7 2 5 3" xfId="5935"/>
    <cellStyle name="40% - Accent1 7 2 5 3 2" xfId="13172"/>
    <cellStyle name="40% - Accent1 7 2 5 4" xfId="7188"/>
    <cellStyle name="40% - Accent1 7 2 5 4 2" xfId="14381"/>
    <cellStyle name="40% - Accent1 7 2 5 5" xfId="8298"/>
    <cellStyle name="40% - Accent1 7 2 5 5 2" xfId="15474"/>
    <cellStyle name="40% - Accent1 7 2 5 6" xfId="9806"/>
    <cellStyle name="40% - Accent1 7 2 6" xfId="3085"/>
    <cellStyle name="40% - Accent1 7 2 6 2" xfId="10482"/>
    <cellStyle name="40% - Accent1 7 2 7" xfId="2929"/>
    <cellStyle name="40% - Accent1 7 2 7 2" xfId="10350"/>
    <cellStyle name="40% - Accent1 7 2 8" xfId="3619"/>
    <cellStyle name="40% - Accent1 7 2 8 2" xfId="10961"/>
    <cellStyle name="40% - Accent1 7 2 9" xfId="6258"/>
    <cellStyle name="40% - Accent1 7 2 9 2" xfId="13486"/>
    <cellStyle name="40% - Accent1 7 3" xfId="768"/>
    <cellStyle name="40% - Accent1 7 3 2" xfId="1668"/>
    <cellStyle name="40% - Accent1 7 3 2 2" xfId="4058"/>
    <cellStyle name="40% - Accent1 7 3 2 2 2" xfId="11372"/>
    <cellStyle name="40% - Accent1 7 3 2 3" xfId="5420"/>
    <cellStyle name="40% - Accent1 7 3 2 3 2" xfId="12674"/>
    <cellStyle name="40% - Accent1 7 3 2 4" xfId="6692"/>
    <cellStyle name="40% - Accent1 7 3 2 4 2" xfId="13894"/>
    <cellStyle name="40% - Accent1 7 3 2 5" xfId="7847"/>
    <cellStyle name="40% - Accent1 7 3 2 5 2" xfId="15027"/>
    <cellStyle name="40% - Accent1 7 3 2 6" xfId="9355"/>
    <cellStyle name="40% - Accent1 7 3 3" xfId="1901"/>
    <cellStyle name="40% - Accent1 7 3 3 2" xfId="4284"/>
    <cellStyle name="40% - Accent1 7 3 3 2 2" xfId="11595"/>
    <cellStyle name="40% - Accent1 7 3 3 3" xfId="5640"/>
    <cellStyle name="40% - Accent1 7 3 3 3 2" xfId="12892"/>
    <cellStyle name="40% - Accent1 7 3 3 4" xfId="6909"/>
    <cellStyle name="40% - Accent1 7 3 3 4 2" xfId="14110"/>
    <cellStyle name="40% - Accent1 7 3 3 5" xfId="8053"/>
    <cellStyle name="40% - Accent1 7 3 3 5 2" xfId="15233"/>
    <cellStyle name="40% - Accent1 7 3 3 6" xfId="9561"/>
    <cellStyle name="40% - Accent1 7 3 4" xfId="2310"/>
    <cellStyle name="40% - Accent1 7 3 4 2" xfId="4672"/>
    <cellStyle name="40% - Accent1 7 3 4 2 2" xfId="11967"/>
    <cellStyle name="40% - Accent1 7 3 4 3" xfId="6013"/>
    <cellStyle name="40% - Accent1 7 3 4 3 2" xfId="13247"/>
    <cellStyle name="40% - Accent1 7 3 4 4" xfId="7266"/>
    <cellStyle name="40% - Accent1 7 3 4 4 2" xfId="14456"/>
    <cellStyle name="40% - Accent1 7 3 4 5" xfId="8373"/>
    <cellStyle name="40% - Accent1 7 3 4 5 2" xfId="15549"/>
    <cellStyle name="40% - Accent1 7 3 4 6" xfId="9881"/>
    <cellStyle name="40% - Accent1 7 3 5" xfId="3249"/>
    <cellStyle name="40% - Accent1 7 3 5 2" xfId="10622"/>
    <cellStyle name="40% - Accent1 7 3 6" xfId="2641"/>
    <cellStyle name="40% - Accent1 7 3 6 2" xfId="10144"/>
    <cellStyle name="40% - Accent1 7 3 7" xfId="4239"/>
    <cellStyle name="40% - Accent1 7 3 7 2" xfId="11552"/>
    <cellStyle name="40% - Accent1 7 3 8" xfId="3535"/>
    <cellStyle name="40% - Accent1 7 3 8 2" xfId="10889"/>
    <cellStyle name="40% - Accent1 7 3 9" xfId="8857"/>
    <cellStyle name="40% - Accent1 7 4" xfId="1434"/>
    <cellStyle name="40% - Accent1 7 4 2" xfId="3831"/>
    <cellStyle name="40% - Accent1 7 4 2 2" xfId="11152"/>
    <cellStyle name="40% - Accent1 7 4 3" xfId="5199"/>
    <cellStyle name="40% - Accent1 7 4 3 2" xfId="12461"/>
    <cellStyle name="40% - Accent1 7 4 4" xfId="6475"/>
    <cellStyle name="40% - Accent1 7 4 4 2" xfId="13684"/>
    <cellStyle name="40% - Accent1 7 4 5" xfId="7643"/>
    <cellStyle name="40% - Accent1 7 4 5 2" xfId="14823"/>
    <cellStyle name="40% - Accent1 7 4 6" xfId="9151"/>
    <cellStyle name="40% - Accent1 7 5" xfId="1426"/>
    <cellStyle name="40% - Accent1 7 5 2" xfId="3823"/>
    <cellStyle name="40% - Accent1 7 5 2 2" xfId="11144"/>
    <cellStyle name="40% - Accent1 7 5 3" xfId="5193"/>
    <cellStyle name="40% - Accent1 7 5 3 2" xfId="12455"/>
    <cellStyle name="40% - Accent1 7 5 4" xfId="6469"/>
    <cellStyle name="40% - Accent1 7 5 4 2" xfId="13678"/>
    <cellStyle name="40% - Accent1 7 5 5" xfId="7638"/>
    <cellStyle name="40% - Accent1 7 5 5 2" xfId="14818"/>
    <cellStyle name="40% - Accent1 7 5 6" xfId="9146"/>
    <cellStyle name="40% - Accent1 7 6" xfId="2169"/>
    <cellStyle name="40% - Accent1 7 6 2" xfId="4531"/>
    <cellStyle name="40% - Accent1 7 6 2 2" xfId="11830"/>
    <cellStyle name="40% - Accent1 7 6 3" xfId="5873"/>
    <cellStyle name="40% - Accent1 7 6 3 2" xfId="13110"/>
    <cellStyle name="40% - Accent1 7 6 4" xfId="7126"/>
    <cellStyle name="40% - Accent1 7 6 4 2" xfId="14319"/>
    <cellStyle name="40% - Accent1 7 6 5" xfId="8236"/>
    <cellStyle name="40% - Accent1 7 6 5 2" xfId="15412"/>
    <cellStyle name="40% - Accent1 7 6 6" xfId="9744"/>
    <cellStyle name="40% - Accent1 7 7" xfId="2879"/>
    <cellStyle name="40% - Accent1 7 7 2" xfId="10303"/>
    <cellStyle name="40% - Accent1 7 8" xfId="3616"/>
    <cellStyle name="40% - Accent1 7 8 2" xfId="10959"/>
    <cellStyle name="40% - Accent1 7 9" xfId="6255"/>
    <cellStyle name="40% - Accent1 7 9 2" xfId="13483"/>
    <cellStyle name="40% - Accent1 8" xfId="383"/>
    <cellStyle name="40% - Accent1 8 10" xfId="7503"/>
    <cellStyle name="40% - Accent1 8 10 2" xfId="14689"/>
    <cellStyle name="40% - Accent1 8 11" xfId="8729"/>
    <cellStyle name="40% - Accent1 8 2" xfId="594"/>
    <cellStyle name="40% - Accent1 8 2 10" xfId="8792"/>
    <cellStyle name="40% - Accent1 8 2 2" xfId="833"/>
    <cellStyle name="40% - Accent1 8 2 2 2" xfId="1733"/>
    <cellStyle name="40% - Accent1 8 2 2 2 2" xfId="4123"/>
    <cellStyle name="40% - Accent1 8 2 2 2 2 2" xfId="11437"/>
    <cellStyle name="40% - Accent1 8 2 2 2 3" xfId="5485"/>
    <cellStyle name="40% - Accent1 8 2 2 2 3 2" xfId="12739"/>
    <cellStyle name="40% - Accent1 8 2 2 2 4" xfId="6757"/>
    <cellStyle name="40% - Accent1 8 2 2 2 4 2" xfId="13959"/>
    <cellStyle name="40% - Accent1 8 2 2 2 5" xfId="7912"/>
    <cellStyle name="40% - Accent1 8 2 2 2 5 2" xfId="15092"/>
    <cellStyle name="40% - Accent1 8 2 2 2 6" xfId="9420"/>
    <cellStyle name="40% - Accent1 8 2 2 3" xfId="1966"/>
    <cellStyle name="40% - Accent1 8 2 2 3 2" xfId="4349"/>
    <cellStyle name="40% - Accent1 8 2 2 3 2 2" xfId="11660"/>
    <cellStyle name="40% - Accent1 8 2 2 3 3" xfId="5705"/>
    <cellStyle name="40% - Accent1 8 2 2 3 3 2" xfId="12957"/>
    <cellStyle name="40% - Accent1 8 2 2 3 4" xfId="6974"/>
    <cellStyle name="40% - Accent1 8 2 2 3 4 2" xfId="14175"/>
    <cellStyle name="40% - Accent1 8 2 2 3 5" xfId="8118"/>
    <cellStyle name="40% - Accent1 8 2 2 3 5 2" xfId="15298"/>
    <cellStyle name="40% - Accent1 8 2 2 3 6" xfId="9626"/>
    <cellStyle name="40% - Accent1 8 2 2 4" xfId="2375"/>
    <cellStyle name="40% - Accent1 8 2 2 4 2" xfId="4737"/>
    <cellStyle name="40% - Accent1 8 2 2 4 2 2" xfId="12032"/>
    <cellStyle name="40% - Accent1 8 2 2 4 3" xfId="6078"/>
    <cellStyle name="40% - Accent1 8 2 2 4 3 2" xfId="13312"/>
    <cellStyle name="40% - Accent1 8 2 2 4 4" xfId="7331"/>
    <cellStyle name="40% - Accent1 8 2 2 4 4 2" xfId="14521"/>
    <cellStyle name="40% - Accent1 8 2 2 4 5" xfId="8438"/>
    <cellStyle name="40% - Accent1 8 2 2 4 5 2" xfId="15614"/>
    <cellStyle name="40% - Accent1 8 2 2 4 6" xfId="9946"/>
    <cellStyle name="40% - Accent1 8 2 2 5" xfId="3314"/>
    <cellStyle name="40% - Accent1 8 2 2 5 2" xfId="10687"/>
    <cellStyle name="40% - Accent1 8 2 2 6" xfId="2863"/>
    <cellStyle name="40% - Accent1 8 2 2 6 2" xfId="10290"/>
    <cellStyle name="40% - Accent1 8 2 2 7" xfId="2895"/>
    <cellStyle name="40% - Accent1 8 2 2 7 2" xfId="10319"/>
    <cellStyle name="40% - Accent1 8 2 2 8" xfId="2776"/>
    <cellStyle name="40% - Accent1 8 2 2 8 2" xfId="10235"/>
    <cellStyle name="40% - Accent1 8 2 2 9" xfId="8922"/>
    <cellStyle name="40% - Accent1 8 2 3" xfId="1570"/>
    <cellStyle name="40% - Accent1 8 2 3 2" xfId="3961"/>
    <cellStyle name="40% - Accent1 8 2 3 2 2" xfId="11278"/>
    <cellStyle name="40% - Accent1 8 2 3 3" xfId="5327"/>
    <cellStyle name="40% - Accent1 8 2 3 3 2" xfId="12585"/>
    <cellStyle name="40% - Accent1 8 2 3 4" xfId="6600"/>
    <cellStyle name="40% - Accent1 8 2 3 4 2" xfId="13805"/>
    <cellStyle name="40% - Accent1 8 2 3 5" xfId="7759"/>
    <cellStyle name="40% - Accent1 8 2 3 5 2" xfId="14939"/>
    <cellStyle name="40% - Accent1 8 2 3 6" xfId="9267"/>
    <cellStyle name="40% - Accent1 8 2 4" xfId="1637"/>
    <cellStyle name="40% - Accent1 8 2 4 2" xfId="4027"/>
    <cellStyle name="40% - Accent1 8 2 4 2 2" xfId="11342"/>
    <cellStyle name="40% - Accent1 8 2 4 3" xfId="5392"/>
    <cellStyle name="40% - Accent1 8 2 4 3 2" xfId="12647"/>
    <cellStyle name="40% - Accent1 8 2 4 4" xfId="6664"/>
    <cellStyle name="40% - Accent1 8 2 4 4 2" xfId="13867"/>
    <cellStyle name="40% - Accent1 8 2 4 5" xfId="7820"/>
    <cellStyle name="40% - Accent1 8 2 4 5 2" xfId="15000"/>
    <cellStyle name="40% - Accent1 8 2 4 6" xfId="9328"/>
    <cellStyle name="40% - Accent1 8 2 5" xfId="2245"/>
    <cellStyle name="40% - Accent1 8 2 5 2" xfId="4607"/>
    <cellStyle name="40% - Accent1 8 2 5 2 2" xfId="11905"/>
    <cellStyle name="40% - Accent1 8 2 5 3" xfId="5948"/>
    <cellStyle name="40% - Accent1 8 2 5 3 2" xfId="13185"/>
    <cellStyle name="40% - Accent1 8 2 5 4" xfId="7201"/>
    <cellStyle name="40% - Accent1 8 2 5 4 2" xfId="14394"/>
    <cellStyle name="40% - Accent1 8 2 5 5" xfId="8311"/>
    <cellStyle name="40% - Accent1 8 2 5 5 2" xfId="15487"/>
    <cellStyle name="40% - Accent1 8 2 5 6" xfId="9819"/>
    <cellStyle name="40% - Accent1 8 2 6" xfId="3098"/>
    <cellStyle name="40% - Accent1 8 2 6 2" xfId="10495"/>
    <cellStyle name="40% - Accent1 8 2 7" xfId="3497"/>
    <cellStyle name="40% - Accent1 8 2 7 2" xfId="10852"/>
    <cellStyle name="40% - Accent1 8 2 8" xfId="5004"/>
    <cellStyle name="40% - Accent1 8 2 8 2" xfId="12285"/>
    <cellStyle name="40% - Accent1 8 2 9" xfId="6326"/>
    <cellStyle name="40% - Accent1 8 2 9 2" xfId="13546"/>
    <cellStyle name="40% - Accent1 8 3" xfId="781"/>
    <cellStyle name="40% - Accent1 8 3 2" xfId="1681"/>
    <cellStyle name="40% - Accent1 8 3 2 2" xfId="4071"/>
    <cellStyle name="40% - Accent1 8 3 2 2 2" xfId="11385"/>
    <cellStyle name="40% - Accent1 8 3 2 3" xfId="5433"/>
    <cellStyle name="40% - Accent1 8 3 2 3 2" xfId="12687"/>
    <cellStyle name="40% - Accent1 8 3 2 4" xfId="6705"/>
    <cellStyle name="40% - Accent1 8 3 2 4 2" xfId="13907"/>
    <cellStyle name="40% - Accent1 8 3 2 5" xfId="7860"/>
    <cellStyle name="40% - Accent1 8 3 2 5 2" xfId="15040"/>
    <cellStyle name="40% - Accent1 8 3 2 6" xfId="9368"/>
    <cellStyle name="40% - Accent1 8 3 3" xfId="1914"/>
    <cellStyle name="40% - Accent1 8 3 3 2" xfId="4297"/>
    <cellStyle name="40% - Accent1 8 3 3 2 2" xfId="11608"/>
    <cellStyle name="40% - Accent1 8 3 3 3" xfId="5653"/>
    <cellStyle name="40% - Accent1 8 3 3 3 2" xfId="12905"/>
    <cellStyle name="40% - Accent1 8 3 3 4" xfId="6922"/>
    <cellStyle name="40% - Accent1 8 3 3 4 2" xfId="14123"/>
    <cellStyle name="40% - Accent1 8 3 3 5" xfId="8066"/>
    <cellStyle name="40% - Accent1 8 3 3 5 2" xfId="15246"/>
    <cellStyle name="40% - Accent1 8 3 3 6" xfId="9574"/>
    <cellStyle name="40% - Accent1 8 3 4" xfId="2323"/>
    <cellStyle name="40% - Accent1 8 3 4 2" xfId="4685"/>
    <cellStyle name="40% - Accent1 8 3 4 2 2" xfId="11980"/>
    <cellStyle name="40% - Accent1 8 3 4 3" xfId="6026"/>
    <cellStyle name="40% - Accent1 8 3 4 3 2" xfId="13260"/>
    <cellStyle name="40% - Accent1 8 3 4 4" xfId="7279"/>
    <cellStyle name="40% - Accent1 8 3 4 4 2" xfId="14469"/>
    <cellStyle name="40% - Accent1 8 3 4 5" xfId="8386"/>
    <cellStyle name="40% - Accent1 8 3 4 5 2" xfId="15562"/>
    <cellStyle name="40% - Accent1 8 3 4 6" xfId="9894"/>
    <cellStyle name="40% - Accent1 8 3 5" xfId="3262"/>
    <cellStyle name="40% - Accent1 8 3 5 2" xfId="10635"/>
    <cellStyle name="40% - Accent1 8 3 6" xfId="3558"/>
    <cellStyle name="40% - Accent1 8 3 6 2" xfId="10907"/>
    <cellStyle name="40% - Accent1 8 3 7" xfId="3135"/>
    <cellStyle name="40% - Accent1 8 3 7 2" xfId="10532"/>
    <cellStyle name="40% - Accent1 8 3 8" xfId="2659"/>
    <cellStyle name="40% - Accent1 8 3 8 2" xfId="10159"/>
    <cellStyle name="40% - Accent1 8 3 9" xfId="8870"/>
    <cellStyle name="40% - Accent1 8 4" xfId="1459"/>
    <cellStyle name="40% - Accent1 8 4 2" xfId="3854"/>
    <cellStyle name="40% - Accent1 8 4 2 2" xfId="11175"/>
    <cellStyle name="40% - Accent1 8 4 3" xfId="5224"/>
    <cellStyle name="40% - Accent1 8 4 3 2" xfId="12484"/>
    <cellStyle name="40% - Accent1 8 4 4" xfId="6498"/>
    <cellStyle name="40% - Accent1 8 4 4 2" xfId="13705"/>
    <cellStyle name="40% - Accent1 8 4 5" xfId="7662"/>
    <cellStyle name="40% - Accent1 8 4 5 2" xfId="14842"/>
    <cellStyle name="40% - Accent1 8 4 6" xfId="9170"/>
    <cellStyle name="40% - Accent1 8 5" xfId="1312"/>
    <cellStyle name="40% - Accent1 8 5 2" xfId="3726"/>
    <cellStyle name="40% - Accent1 8 5 2 2" xfId="11060"/>
    <cellStyle name="40% - Accent1 8 5 3" xfId="5114"/>
    <cellStyle name="40% - Accent1 8 5 3 2" xfId="12386"/>
    <cellStyle name="40% - Accent1 8 5 4" xfId="6413"/>
    <cellStyle name="40% - Accent1 8 5 4 2" xfId="13627"/>
    <cellStyle name="40% - Accent1 8 5 5" xfId="7602"/>
    <cellStyle name="40% - Accent1 8 5 5 2" xfId="14786"/>
    <cellStyle name="40% - Accent1 8 5 6" xfId="9110"/>
    <cellStyle name="40% - Accent1 8 6" xfId="2182"/>
    <cellStyle name="40% - Accent1 8 6 2" xfId="4544"/>
    <cellStyle name="40% - Accent1 8 6 2 2" xfId="11843"/>
    <cellStyle name="40% - Accent1 8 6 3" xfId="5886"/>
    <cellStyle name="40% - Accent1 8 6 3 2" xfId="13123"/>
    <cellStyle name="40% - Accent1 8 6 4" xfId="7139"/>
    <cellStyle name="40% - Accent1 8 6 4 2" xfId="14332"/>
    <cellStyle name="40% - Accent1 8 6 5" xfId="8249"/>
    <cellStyle name="40% - Accent1 8 6 5 2" xfId="15425"/>
    <cellStyle name="40% - Accent1 8 6 6" xfId="9757"/>
    <cellStyle name="40% - Accent1 8 7" xfId="2915"/>
    <cellStyle name="40% - Accent1 8 7 2" xfId="10338"/>
    <cellStyle name="40% - Accent1 8 8" xfId="3611"/>
    <cellStyle name="40% - Accent1 8 8 2" xfId="10955"/>
    <cellStyle name="40% - Accent1 8 9" xfId="6252"/>
    <cellStyle name="40% - Accent1 8 9 2" xfId="13481"/>
    <cellStyle name="40% - Accent1 9" xfId="424"/>
    <cellStyle name="40% - Accent1 9 10" xfId="6332"/>
    <cellStyle name="40% - Accent1 9 10 2" xfId="13551"/>
    <cellStyle name="40% - Accent1 9 11" xfId="8742"/>
    <cellStyle name="40% - Accent1 9 2" xfId="607"/>
    <cellStyle name="40% - Accent1 9 2 10" xfId="8805"/>
    <cellStyle name="40% - Accent1 9 2 2" xfId="846"/>
    <cellStyle name="40% - Accent1 9 2 2 2" xfId="1746"/>
    <cellStyle name="40% - Accent1 9 2 2 2 2" xfId="4136"/>
    <cellStyle name="40% - Accent1 9 2 2 2 2 2" xfId="11450"/>
    <cellStyle name="40% - Accent1 9 2 2 2 3" xfId="5498"/>
    <cellStyle name="40% - Accent1 9 2 2 2 3 2" xfId="12752"/>
    <cellStyle name="40% - Accent1 9 2 2 2 4" xfId="6770"/>
    <cellStyle name="40% - Accent1 9 2 2 2 4 2" xfId="13972"/>
    <cellStyle name="40% - Accent1 9 2 2 2 5" xfId="7925"/>
    <cellStyle name="40% - Accent1 9 2 2 2 5 2" xfId="15105"/>
    <cellStyle name="40% - Accent1 9 2 2 2 6" xfId="9433"/>
    <cellStyle name="40% - Accent1 9 2 2 3" xfId="1979"/>
    <cellStyle name="40% - Accent1 9 2 2 3 2" xfId="4362"/>
    <cellStyle name="40% - Accent1 9 2 2 3 2 2" xfId="11673"/>
    <cellStyle name="40% - Accent1 9 2 2 3 3" xfId="5718"/>
    <cellStyle name="40% - Accent1 9 2 2 3 3 2" xfId="12970"/>
    <cellStyle name="40% - Accent1 9 2 2 3 4" xfId="6987"/>
    <cellStyle name="40% - Accent1 9 2 2 3 4 2" xfId="14188"/>
    <cellStyle name="40% - Accent1 9 2 2 3 5" xfId="8131"/>
    <cellStyle name="40% - Accent1 9 2 2 3 5 2" xfId="15311"/>
    <cellStyle name="40% - Accent1 9 2 2 3 6" xfId="9639"/>
    <cellStyle name="40% - Accent1 9 2 2 4" xfId="2388"/>
    <cellStyle name="40% - Accent1 9 2 2 4 2" xfId="4750"/>
    <cellStyle name="40% - Accent1 9 2 2 4 2 2" xfId="12045"/>
    <cellStyle name="40% - Accent1 9 2 2 4 3" xfId="6091"/>
    <cellStyle name="40% - Accent1 9 2 2 4 3 2" xfId="13325"/>
    <cellStyle name="40% - Accent1 9 2 2 4 4" xfId="7344"/>
    <cellStyle name="40% - Accent1 9 2 2 4 4 2" xfId="14534"/>
    <cellStyle name="40% - Accent1 9 2 2 4 5" xfId="8451"/>
    <cellStyle name="40% - Accent1 9 2 2 4 5 2" xfId="15627"/>
    <cellStyle name="40% - Accent1 9 2 2 4 6" xfId="9959"/>
    <cellStyle name="40% - Accent1 9 2 2 5" xfId="3327"/>
    <cellStyle name="40% - Accent1 9 2 2 5 2" xfId="10700"/>
    <cellStyle name="40% - Accent1 9 2 2 6" xfId="3709"/>
    <cellStyle name="40% - Accent1 9 2 2 6 2" xfId="11043"/>
    <cellStyle name="40% - Accent1 9 2 2 7" xfId="2872"/>
    <cellStyle name="40% - Accent1 9 2 2 7 2" xfId="10297"/>
    <cellStyle name="40% - Accent1 9 2 2 8" xfId="2689"/>
    <cellStyle name="40% - Accent1 9 2 2 8 2" xfId="10184"/>
    <cellStyle name="40% - Accent1 9 2 2 9" xfId="8935"/>
    <cellStyle name="40% - Accent1 9 2 3" xfId="1583"/>
    <cellStyle name="40% - Accent1 9 2 3 2" xfId="3974"/>
    <cellStyle name="40% - Accent1 9 2 3 2 2" xfId="11291"/>
    <cellStyle name="40% - Accent1 9 2 3 3" xfId="5340"/>
    <cellStyle name="40% - Accent1 9 2 3 3 2" xfId="12598"/>
    <cellStyle name="40% - Accent1 9 2 3 4" xfId="6613"/>
    <cellStyle name="40% - Accent1 9 2 3 4 2" xfId="13818"/>
    <cellStyle name="40% - Accent1 9 2 3 5" xfId="7772"/>
    <cellStyle name="40% - Accent1 9 2 3 5 2" xfId="14952"/>
    <cellStyle name="40% - Accent1 9 2 3 6" xfId="9280"/>
    <cellStyle name="40% - Accent1 9 2 4" xfId="1523"/>
    <cellStyle name="40% - Accent1 9 2 4 2" xfId="3916"/>
    <cellStyle name="40% - Accent1 9 2 4 2 2" xfId="11234"/>
    <cellStyle name="40% - Accent1 9 2 4 3" xfId="5283"/>
    <cellStyle name="40% - Accent1 9 2 4 3 2" xfId="12542"/>
    <cellStyle name="40% - Accent1 9 2 4 4" xfId="6556"/>
    <cellStyle name="40% - Accent1 9 2 4 4 2" xfId="13762"/>
    <cellStyle name="40% - Accent1 9 2 4 5" xfId="7716"/>
    <cellStyle name="40% - Accent1 9 2 4 5 2" xfId="14896"/>
    <cellStyle name="40% - Accent1 9 2 4 6" xfId="9224"/>
    <cellStyle name="40% - Accent1 9 2 5" xfId="2258"/>
    <cellStyle name="40% - Accent1 9 2 5 2" xfId="4620"/>
    <cellStyle name="40% - Accent1 9 2 5 2 2" xfId="11918"/>
    <cellStyle name="40% - Accent1 9 2 5 3" xfId="5961"/>
    <cellStyle name="40% - Accent1 9 2 5 3 2" xfId="13198"/>
    <cellStyle name="40% - Accent1 9 2 5 4" xfId="7214"/>
    <cellStyle name="40% - Accent1 9 2 5 4 2" xfId="14407"/>
    <cellStyle name="40% - Accent1 9 2 5 5" xfId="8324"/>
    <cellStyle name="40% - Accent1 9 2 5 5 2" xfId="15500"/>
    <cellStyle name="40% - Accent1 9 2 5 6" xfId="9832"/>
    <cellStyle name="40% - Accent1 9 2 6" xfId="3111"/>
    <cellStyle name="40% - Accent1 9 2 6 2" xfId="10508"/>
    <cellStyle name="40% - Accent1 9 2 7" xfId="2664"/>
    <cellStyle name="40% - Accent1 9 2 7 2" xfId="10164"/>
    <cellStyle name="40% - Accent1 9 2 8" xfId="2942"/>
    <cellStyle name="40% - Accent1 9 2 8 2" xfId="10361"/>
    <cellStyle name="40% - Accent1 9 2 9" xfId="3650"/>
    <cellStyle name="40% - Accent1 9 2 9 2" xfId="10988"/>
    <cellStyle name="40% - Accent1 9 3" xfId="794"/>
    <cellStyle name="40% - Accent1 9 3 2" xfId="1694"/>
    <cellStyle name="40% - Accent1 9 3 2 2" xfId="4084"/>
    <cellStyle name="40% - Accent1 9 3 2 2 2" xfId="11398"/>
    <cellStyle name="40% - Accent1 9 3 2 3" xfId="5446"/>
    <cellStyle name="40% - Accent1 9 3 2 3 2" xfId="12700"/>
    <cellStyle name="40% - Accent1 9 3 2 4" xfId="6718"/>
    <cellStyle name="40% - Accent1 9 3 2 4 2" xfId="13920"/>
    <cellStyle name="40% - Accent1 9 3 2 5" xfId="7873"/>
    <cellStyle name="40% - Accent1 9 3 2 5 2" xfId="15053"/>
    <cellStyle name="40% - Accent1 9 3 2 6" xfId="9381"/>
    <cellStyle name="40% - Accent1 9 3 3" xfId="1927"/>
    <cellStyle name="40% - Accent1 9 3 3 2" xfId="4310"/>
    <cellStyle name="40% - Accent1 9 3 3 2 2" xfId="11621"/>
    <cellStyle name="40% - Accent1 9 3 3 3" xfId="5666"/>
    <cellStyle name="40% - Accent1 9 3 3 3 2" xfId="12918"/>
    <cellStyle name="40% - Accent1 9 3 3 4" xfId="6935"/>
    <cellStyle name="40% - Accent1 9 3 3 4 2" xfId="14136"/>
    <cellStyle name="40% - Accent1 9 3 3 5" xfId="8079"/>
    <cellStyle name="40% - Accent1 9 3 3 5 2" xfId="15259"/>
    <cellStyle name="40% - Accent1 9 3 3 6" xfId="9587"/>
    <cellStyle name="40% - Accent1 9 3 4" xfId="2336"/>
    <cellStyle name="40% - Accent1 9 3 4 2" xfId="4698"/>
    <cellStyle name="40% - Accent1 9 3 4 2 2" xfId="11993"/>
    <cellStyle name="40% - Accent1 9 3 4 3" xfId="6039"/>
    <cellStyle name="40% - Accent1 9 3 4 3 2" xfId="13273"/>
    <cellStyle name="40% - Accent1 9 3 4 4" xfId="7292"/>
    <cellStyle name="40% - Accent1 9 3 4 4 2" xfId="14482"/>
    <cellStyle name="40% - Accent1 9 3 4 5" xfId="8399"/>
    <cellStyle name="40% - Accent1 9 3 4 5 2" xfId="15575"/>
    <cellStyle name="40% - Accent1 9 3 4 6" xfId="9907"/>
    <cellStyle name="40% - Accent1 9 3 5" xfId="3275"/>
    <cellStyle name="40% - Accent1 9 3 5 2" xfId="10648"/>
    <cellStyle name="40% - Accent1 9 3 6" xfId="2811"/>
    <cellStyle name="40% - Accent1 9 3 6 2" xfId="10254"/>
    <cellStyle name="40% - Accent1 9 3 7" xfId="3574"/>
    <cellStyle name="40% - Accent1 9 3 7 2" xfId="10922"/>
    <cellStyle name="40% - Accent1 9 3 8" xfId="5042"/>
    <cellStyle name="40% - Accent1 9 3 8 2" xfId="12319"/>
    <cellStyle name="40% - Accent1 9 3 9" xfId="8883"/>
    <cellStyle name="40% - Accent1 9 4" xfId="1479"/>
    <cellStyle name="40% - Accent1 9 4 2" xfId="3873"/>
    <cellStyle name="40% - Accent1 9 4 2 2" xfId="11193"/>
    <cellStyle name="40% - Accent1 9 4 3" xfId="5242"/>
    <cellStyle name="40% - Accent1 9 4 3 2" xfId="12502"/>
    <cellStyle name="40% - Accent1 9 4 4" xfId="6515"/>
    <cellStyle name="40% - Accent1 9 4 4 2" xfId="13722"/>
    <cellStyle name="40% - Accent1 9 4 5" xfId="7677"/>
    <cellStyle name="40% - Accent1 9 4 5 2" xfId="14857"/>
    <cellStyle name="40% - Accent1 9 4 6" xfId="9185"/>
    <cellStyle name="40% - Accent1 9 5" xfId="1816"/>
    <cellStyle name="40% - Accent1 9 5 2" xfId="4202"/>
    <cellStyle name="40% - Accent1 9 5 2 2" xfId="11515"/>
    <cellStyle name="40% - Accent1 9 5 3" xfId="5561"/>
    <cellStyle name="40% - Accent1 9 5 3 2" xfId="12815"/>
    <cellStyle name="40% - Accent1 9 5 4" xfId="6831"/>
    <cellStyle name="40% - Accent1 9 5 4 2" xfId="14033"/>
    <cellStyle name="40% - Accent1 9 5 5" xfId="7981"/>
    <cellStyle name="40% - Accent1 9 5 5 2" xfId="15161"/>
    <cellStyle name="40% - Accent1 9 5 6" xfId="9489"/>
    <cellStyle name="40% - Accent1 9 6" xfId="2195"/>
    <cellStyle name="40% - Accent1 9 6 2" xfId="4557"/>
    <cellStyle name="40% - Accent1 9 6 2 2" xfId="11856"/>
    <cellStyle name="40% - Accent1 9 6 3" xfId="5899"/>
    <cellStyle name="40% - Accent1 9 6 3 2" xfId="13136"/>
    <cellStyle name="40% - Accent1 9 6 4" xfId="7152"/>
    <cellStyle name="40% - Accent1 9 6 4 2" xfId="14345"/>
    <cellStyle name="40% - Accent1 9 6 5" xfId="8262"/>
    <cellStyle name="40% - Accent1 9 6 5 2" xfId="15438"/>
    <cellStyle name="40% - Accent1 9 6 6" xfId="9770"/>
    <cellStyle name="40% - Accent1 9 7" xfId="2951"/>
    <cellStyle name="40% - Accent1 9 7 2" xfId="10369"/>
    <cellStyle name="40% - Accent1 9 8" xfId="3504"/>
    <cellStyle name="40% - Accent1 9 8 2" xfId="10859"/>
    <cellStyle name="40% - Accent1 9 9" xfId="5011"/>
    <cellStyle name="40% - Accent1 9 9 2" xfId="12291"/>
    <cellStyle name="40% - Accent2" xfId="31" builtinId="35" customBuiltin="1"/>
    <cellStyle name="40% - Accent2 10" xfId="470"/>
    <cellStyle name="40% - Accent2 10 10" xfId="5171"/>
    <cellStyle name="40% - Accent2 10 10 2" xfId="12433"/>
    <cellStyle name="40% - Accent2 10 11" xfId="8758"/>
    <cellStyle name="40% - Accent2 10 2" xfId="622"/>
    <cellStyle name="40% - Accent2 10 2 10" xfId="8820"/>
    <cellStyle name="40% - Accent2 10 2 2" xfId="861"/>
    <cellStyle name="40% - Accent2 10 2 2 2" xfId="1761"/>
    <cellStyle name="40% - Accent2 10 2 2 2 2" xfId="4151"/>
    <cellStyle name="40% - Accent2 10 2 2 2 2 2" xfId="11465"/>
    <cellStyle name="40% - Accent2 10 2 2 2 3" xfId="5513"/>
    <cellStyle name="40% - Accent2 10 2 2 2 3 2" xfId="12767"/>
    <cellStyle name="40% - Accent2 10 2 2 2 4" xfId="6785"/>
    <cellStyle name="40% - Accent2 10 2 2 2 4 2" xfId="13987"/>
    <cellStyle name="40% - Accent2 10 2 2 2 5" xfId="7940"/>
    <cellStyle name="40% - Accent2 10 2 2 2 5 2" xfId="15120"/>
    <cellStyle name="40% - Accent2 10 2 2 2 6" xfId="9448"/>
    <cellStyle name="40% - Accent2 10 2 2 3" xfId="1994"/>
    <cellStyle name="40% - Accent2 10 2 2 3 2" xfId="4377"/>
    <cellStyle name="40% - Accent2 10 2 2 3 2 2" xfId="11688"/>
    <cellStyle name="40% - Accent2 10 2 2 3 3" xfId="5733"/>
    <cellStyle name="40% - Accent2 10 2 2 3 3 2" xfId="12985"/>
    <cellStyle name="40% - Accent2 10 2 2 3 4" xfId="7002"/>
    <cellStyle name="40% - Accent2 10 2 2 3 4 2" xfId="14203"/>
    <cellStyle name="40% - Accent2 10 2 2 3 5" xfId="8146"/>
    <cellStyle name="40% - Accent2 10 2 2 3 5 2" xfId="15326"/>
    <cellStyle name="40% - Accent2 10 2 2 3 6" xfId="9654"/>
    <cellStyle name="40% - Accent2 10 2 2 4" xfId="2403"/>
    <cellStyle name="40% - Accent2 10 2 2 4 2" xfId="4765"/>
    <cellStyle name="40% - Accent2 10 2 2 4 2 2" xfId="12060"/>
    <cellStyle name="40% - Accent2 10 2 2 4 3" xfId="6106"/>
    <cellStyle name="40% - Accent2 10 2 2 4 3 2" xfId="13340"/>
    <cellStyle name="40% - Accent2 10 2 2 4 4" xfId="7359"/>
    <cellStyle name="40% - Accent2 10 2 2 4 4 2" xfId="14549"/>
    <cellStyle name="40% - Accent2 10 2 2 4 5" xfId="8466"/>
    <cellStyle name="40% - Accent2 10 2 2 4 5 2" xfId="15642"/>
    <cellStyle name="40% - Accent2 10 2 2 4 6" xfId="9974"/>
    <cellStyle name="40% - Accent2 10 2 2 5" xfId="3342"/>
    <cellStyle name="40% - Accent2 10 2 2 5 2" xfId="10715"/>
    <cellStyle name="40% - Accent2 10 2 2 6" xfId="4474"/>
    <cellStyle name="40% - Accent2 10 2 2 6 2" xfId="11782"/>
    <cellStyle name="40% - Accent2 10 2 2 7" xfId="5174"/>
    <cellStyle name="40% - Accent2 10 2 2 7 2" xfId="12436"/>
    <cellStyle name="40% - Accent2 10 2 2 8" xfId="6452"/>
    <cellStyle name="40% - Accent2 10 2 2 8 2" xfId="13661"/>
    <cellStyle name="40% - Accent2 10 2 2 9" xfId="8950"/>
    <cellStyle name="40% - Accent2 10 2 3" xfId="1598"/>
    <cellStyle name="40% - Accent2 10 2 3 2" xfId="3989"/>
    <cellStyle name="40% - Accent2 10 2 3 2 2" xfId="11306"/>
    <cellStyle name="40% - Accent2 10 2 3 3" xfId="5355"/>
    <cellStyle name="40% - Accent2 10 2 3 3 2" xfId="12613"/>
    <cellStyle name="40% - Accent2 10 2 3 4" xfId="6628"/>
    <cellStyle name="40% - Accent2 10 2 3 4 2" xfId="13833"/>
    <cellStyle name="40% - Accent2 10 2 3 5" xfId="7787"/>
    <cellStyle name="40% - Accent2 10 2 3 5 2" xfId="14967"/>
    <cellStyle name="40% - Accent2 10 2 3 6" xfId="9295"/>
    <cellStyle name="40% - Accent2 10 2 4" xfId="1629"/>
    <cellStyle name="40% - Accent2 10 2 4 2" xfId="4019"/>
    <cellStyle name="40% - Accent2 10 2 4 2 2" xfId="11334"/>
    <cellStyle name="40% - Accent2 10 2 4 3" xfId="5384"/>
    <cellStyle name="40% - Accent2 10 2 4 3 2" xfId="12639"/>
    <cellStyle name="40% - Accent2 10 2 4 4" xfId="6656"/>
    <cellStyle name="40% - Accent2 10 2 4 4 2" xfId="13859"/>
    <cellStyle name="40% - Accent2 10 2 4 5" xfId="7812"/>
    <cellStyle name="40% - Accent2 10 2 4 5 2" xfId="14992"/>
    <cellStyle name="40% - Accent2 10 2 4 6" xfId="9320"/>
    <cellStyle name="40% - Accent2 10 2 5" xfId="2273"/>
    <cellStyle name="40% - Accent2 10 2 5 2" xfId="4635"/>
    <cellStyle name="40% - Accent2 10 2 5 2 2" xfId="11933"/>
    <cellStyle name="40% - Accent2 10 2 5 3" xfId="5976"/>
    <cellStyle name="40% - Accent2 10 2 5 3 2" xfId="13213"/>
    <cellStyle name="40% - Accent2 10 2 5 4" xfId="7229"/>
    <cellStyle name="40% - Accent2 10 2 5 4 2" xfId="14422"/>
    <cellStyle name="40% - Accent2 10 2 5 5" xfId="8339"/>
    <cellStyle name="40% - Accent2 10 2 5 5 2" xfId="15515"/>
    <cellStyle name="40% - Accent2 10 2 5 6" xfId="9847"/>
    <cellStyle name="40% - Accent2 10 2 6" xfId="3126"/>
    <cellStyle name="40% - Accent2 10 2 6 2" xfId="10523"/>
    <cellStyle name="40% - Accent2 10 2 7" xfId="2957"/>
    <cellStyle name="40% - Accent2 10 2 7 2" xfId="10375"/>
    <cellStyle name="40% - Accent2 10 2 8" xfId="3381"/>
    <cellStyle name="40% - Accent2 10 2 8 2" xfId="10752"/>
    <cellStyle name="40% - Accent2 10 2 9" xfId="2851"/>
    <cellStyle name="40% - Accent2 10 2 9 2" xfId="10278"/>
    <cellStyle name="40% - Accent2 10 3" xfId="809"/>
    <cellStyle name="40% - Accent2 10 3 2" xfId="1709"/>
    <cellStyle name="40% - Accent2 10 3 2 2" xfId="4099"/>
    <cellStyle name="40% - Accent2 10 3 2 2 2" xfId="11413"/>
    <cellStyle name="40% - Accent2 10 3 2 3" xfId="5461"/>
    <cellStyle name="40% - Accent2 10 3 2 3 2" xfId="12715"/>
    <cellStyle name="40% - Accent2 10 3 2 4" xfId="6733"/>
    <cellStyle name="40% - Accent2 10 3 2 4 2" xfId="13935"/>
    <cellStyle name="40% - Accent2 10 3 2 5" xfId="7888"/>
    <cellStyle name="40% - Accent2 10 3 2 5 2" xfId="15068"/>
    <cellStyle name="40% - Accent2 10 3 2 6" xfId="9396"/>
    <cellStyle name="40% - Accent2 10 3 3" xfId="1942"/>
    <cellStyle name="40% - Accent2 10 3 3 2" xfId="4325"/>
    <cellStyle name="40% - Accent2 10 3 3 2 2" xfId="11636"/>
    <cellStyle name="40% - Accent2 10 3 3 3" xfId="5681"/>
    <cellStyle name="40% - Accent2 10 3 3 3 2" xfId="12933"/>
    <cellStyle name="40% - Accent2 10 3 3 4" xfId="6950"/>
    <cellStyle name="40% - Accent2 10 3 3 4 2" xfId="14151"/>
    <cellStyle name="40% - Accent2 10 3 3 5" xfId="8094"/>
    <cellStyle name="40% - Accent2 10 3 3 5 2" xfId="15274"/>
    <cellStyle name="40% - Accent2 10 3 3 6" xfId="9602"/>
    <cellStyle name="40% - Accent2 10 3 4" xfId="2351"/>
    <cellStyle name="40% - Accent2 10 3 4 2" xfId="4713"/>
    <cellStyle name="40% - Accent2 10 3 4 2 2" xfId="12008"/>
    <cellStyle name="40% - Accent2 10 3 4 3" xfId="6054"/>
    <cellStyle name="40% - Accent2 10 3 4 3 2" xfId="13288"/>
    <cellStyle name="40% - Accent2 10 3 4 4" xfId="7307"/>
    <cellStyle name="40% - Accent2 10 3 4 4 2" xfId="14497"/>
    <cellStyle name="40% - Accent2 10 3 4 5" xfId="8414"/>
    <cellStyle name="40% - Accent2 10 3 4 5 2" xfId="15590"/>
    <cellStyle name="40% - Accent2 10 3 4 6" xfId="9922"/>
    <cellStyle name="40% - Accent2 10 3 5" xfId="3290"/>
    <cellStyle name="40% - Accent2 10 3 5 2" xfId="10663"/>
    <cellStyle name="40% - Accent2 10 3 6" xfId="2990"/>
    <cellStyle name="40% - Accent2 10 3 6 2" xfId="10403"/>
    <cellStyle name="40% - Accent2 10 3 7" xfId="3806"/>
    <cellStyle name="40% - Accent2 10 3 7 2" xfId="11128"/>
    <cellStyle name="40% - Accent2 10 3 8" xfId="2714"/>
    <cellStyle name="40% - Accent2 10 3 8 2" xfId="10209"/>
    <cellStyle name="40% - Accent2 10 3 9" xfId="8898"/>
    <cellStyle name="40% - Accent2 10 4" xfId="1507"/>
    <cellStyle name="40% - Accent2 10 4 2" xfId="3900"/>
    <cellStyle name="40% - Accent2 10 4 2 2" xfId="11218"/>
    <cellStyle name="40% - Accent2 10 4 3" xfId="5267"/>
    <cellStyle name="40% - Accent2 10 4 3 2" xfId="12526"/>
    <cellStyle name="40% - Accent2 10 4 4" xfId="6540"/>
    <cellStyle name="40% - Accent2 10 4 4 2" xfId="13746"/>
    <cellStyle name="40% - Accent2 10 4 5" xfId="7700"/>
    <cellStyle name="40% - Accent2 10 4 5 2" xfId="14880"/>
    <cellStyle name="40% - Accent2 10 4 6" xfId="9208"/>
    <cellStyle name="40% - Accent2 10 5" xfId="1801"/>
    <cellStyle name="40% - Accent2 10 5 2" xfId="4190"/>
    <cellStyle name="40% - Accent2 10 5 2 2" xfId="11503"/>
    <cellStyle name="40% - Accent2 10 5 3" xfId="5550"/>
    <cellStyle name="40% - Accent2 10 5 3 2" xfId="12804"/>
    <cellStyle name="40% - Accent2 10 5 4" xfId="6822"/>
    <cellStyle name="40% - Accent2 10 5 4 2" xfId="14024"/>
    <cellStyle name="40% - Accent2 10 5 5" xfId="7973"/>
    <cellStyle name="40% - Accent2 10 5 5 2" xfId="15153"/>
    <cellStyle name="40% - Accent2 10 5 6" xfId="9481"/>
    <cellStyle name="40% - Accent2 10 6" xfId="2211"/>
    <cellStyle name="40% - Accent2 10 6 2" xfId="4573"/>
    <cellStyle name="40% - Accent2 10 6 2 2" xfId="11871"/>
    <cellStyle name="40% - Accent2 10 6 3" xfId="5914"/>
    <cellStyle name="40% - Accent2 10 6 3 2" xfId="13151"/>
    <cellStyle name="40% - Accent2 10 6 4" xfId="7167"/>
    <cellStyle name="40% - Accent2 10 6 4 2" xfId="14360"/>
    <cellStyle name="40% - Accent2 10 6 5" xfId="8277"/>
    <cellStyle name="40% - Accent2 10 6 5 2" xfId="15453"/>
    <cellStyle name="40% - Accent2 10 6 6" xfId="9785"/>
    <cellStyle name="40% - Accent2 10 7" xfId="2993"/>
    <cellStyle name="40% - Accent2 10 7 2" xfId="10406"/>
    <cellStyle name="40% - Accent2 10 8" xfId="3369"/>
    <cellStyle name="40% - Accent2 10 8 2" xfId="10742"/>
    <cellStyle name="40% - Accent2 10 9" xfId="4457"/>
    <cellStyle name="40% - Accent2 10 9 2" xfId="11765"/>
    <cellStyle name="40% - Accent2 11" xfId="654"/>
    <cellStyle name="40% - Accent2 11 10" xfId="8833"/>
    <cellStyle name="40% - Accent2 11 2" xfId="874"/>
    <cellStyle name="40% - Accent2 11 2 2" xfId="1774"/>
    <cellStyle name="40% - Accent2 11 2 2 2" xfId="4164"/>
    <cellStyle name="40% - Accent2 11 2 2 2 2" xfId="11478"/>
    <cellStyle name="40% - Accent2 11 2 2 3" xfId="5526"/>
    <cellStyle name="40% - Accent2 11 2 2 3 2" xfId="12780"/>
    <cellStyle name="40% - Accent2 11 2 2 4" xfId="6798"/>
    <cellStyle name="40% - Accent2 11 2 2 4 2" xfId="14000"/>
    <cellStyle name="40% - Accent2 11 2 2 5" xfId="7953"/>
    <cellStyle name="40% - Accent2 11 2 2 5 2" xfId="15133"/>
    <cellStyle name="40% - Accent2 11 2 2 6" xfId="9461"/>
    <cellStyle name="40% - Accent2 11 2 3" xfId="2007"/>
    <cellStyle name="40% - Accent2 11 2 3 2" xfId="4390"/>
    <cellStyle name="40% - Accent2 11 2 3 2 2" xfId="11701"/>
    <cellStyle name="40% - Accent2 11 2 3 3" xfId="5746"/>
    <cellStyle name="40% - Accent2 11 2 3 3 2" xfId="12998"/>
    <cellStyle name="40% - Accent2 11 2 3 4" xfId="7015"/>
    <cellStyle name="40% - Accent2 11 2 3 4 2" xfId="14216"/>
    <cellStyle name="40% - Accent2 11 2 3 5" xfId="8159"/>
    <cellStyle name="40% - Accent2 11 2 3 5 2" xfId="15339"/>
    <cellStyle name="40% - Accent2 11 2 3 6" xfId="9667"/>
    <cellStyle name="40% - Accent2 11 2 4" xfId="2416"/>
    <cellStyle name="40% - Accent2 11 2 4 2" xfId="4778"/>
    <cellStyle name="40% - Accent2 11 2 4 2 2" xfId="12073"/>
    <cellStyle name="40% - Accent2 11 2 4 3" xfId="6119"/>
    <cellStyle name="40% - Accent2 11 2 4 3 2" xfId="13353"/>
    <cellStyle name="40% - Accent2 11 2 4 4" xfId="7372"/>
    <cellStyle name="40% - Accent2 11 2 4 4 2" xfId="14562"/>
    <cellStyle name="40% - Accent2 11 2 4 5" xfId="8479"/>
    <cellStyle name="40% - Accent2 11 2 4 5 2" xfId="15655"/>
    <cellStyle name="40% - Accent2 11 2 4 6" xfId="9987"/>
    <cellStyle name="40% - Accent2 11 2 5" xfId="3355"/>
    <cellStyle name="40% - Accent2 11 2 5 2" xfId="10728"/>
    <cellStyle name="40% - Accent2 11 2 6" xfId="3194"/>
    <cellStyle name="40% - Accent2 11 2 6 2" xfId="10580"/>
    <cellStyle name="40% - Accent2 11 2 7" xfId="5820"/>
    <cellStyle name="40% - Accent2 11 2 7 2" xfId="13069"/>
    <cellStyle name="40% - Accent2 11 2 8" xfId="7086"/>
    <cellStyle name="40% - Accent2 11 2 8 2" xfId="14286"/>
    <cellStyle name="40% - Accent2 11 2 9" xfId="8963"/>
    <cellStyle name="40% - Accent2 11 3" xfId="1614"/>
    <cellStyle name="40% - Accent2 11 3 2" xfId="4005"/>
    <cellStyle name="40% - Accent2 11 3 2 2" xfId="11322"/>
    <cellStyle name="40% - Accent2 11 3 3" xfId="5369"/>
    <cellStyle name="40% - Accent2 11 3 3 2" xfId="12627"/>
    <cellStyle name="40% - Accent2 11 3 4" xfId="6642"/>
    <cellStyle name="40% - Accent2 11 3 4 2" xfId="13847"/>
    <cellStyle name="40% - Accent2 11 3 5" xfId="7800"/>
    <cellStyle name="40% - Accent2 11 3 5 2" xfId="14980"/>
    <cellStyle name="40% - Accent2 11 3 6" xfId="9308"/>
    <cellStyle name="40% - Accent2 11 4" xfId="1877"/>
    <cellStyle name="40% - Accent2 11 4 2" xfId="4262"/>
    <cellStyle name="40% - Accent2 11 4 2 2" xfId="11574"/>
    <cellStyle name="40% - Accent2 11 4 3" xfId="5618"/>
    <cellStyle name="40% - Accent2 11 4 3 2" xfId="12871"/>
    <cellStyle name="40% - Accent2 11 4 4" xfId="6887"/>
    <cellStyle name="40% - Accent2 11 4 4 2" xfId="14089"/>
    <cellStyle name="40% - Accent2 11 4 5" xfId="8032"/>
    <cellStyle name="40% - Accent2 11 4 5 2" xfId="15212"/>
    <cellStyle name="40% - Accent2 11 4 6" xfId="9540"/>
    <cellStyle name="40% - Accent2 11 5" xfId="2286"/>
    <cellStyle name="40% - Accent2 11 5 2" xfId="4648"/>
    <cellStyle name="40% - Accent2 11 5 2 2" xfId="11946"/>
    <cellStyle name="40% - Accent2 11 5 3" xfId="5989"/>
    <cellStyle name="40% - Accent2 11 5 3 2" xfId="13226"/>
    <cellStyle name="40% - Accent2 11 5 4" xfId="7242"/>
    <cellStyle name="40% - Accent2 11 5 4 2" xfId="14435"/>
    <cellStyle name="40% - Accent2 11 5 5" xfId="8352"/>
    <cellStyle name="40% - Accent2 11 5 5 2" xfId="15528"/>
    <cellStyle name="40% - Accent2 11 5 6" xfId="9860"/>
    <cellStyle name="40% - Accent2 11 6" xfId="3155"/>
    <cellStyle name="40% - Accent2 11 6 2" xfId="10548"/>
    <cellStyle name="40% - Accent2 11 7" xfId="3590"/>
    <cellStyle name="40% - Accent2 11 7 2" xfId="10936"/>
    <cellStyle name="40% - Accent2 11 8" xfId="5053"/>
    <cellStyle name="40% - Accent2 11 8 2" xfId="12328"/>
    <cellStyle name="40% - Accent2 11 9" xfId="6364"/>
    <cellStyle name="40% - Accent2 11 9 2" xfId="13579"/>
    <cellStyle name="40% - Accent2 12" xfId="906"/>
    <cellStyle name="40% - Accent2 12 2" xfId="1794"/>
    <cellStyle name="40% - Accent2 12 2 2" xfId="4183"/>
    <cellStyle name="40% - Accent2 12 2 2 2" xfId="11496"/>
    <cellStyle name="40% - Accent2 12 2 3" xfId="5543"/>
    <cellStyle name="40% - Accent2 12 2 3 2" xfId="12797"/>
    <cellStyle name="40% - Accent2 12 2 4" xfId="6815"/>
    <cellStyle name="40% - Accent2 12 2 4 2" xfId="14017"/>
    <cellStyle name="40% - Accent2 12 2 5" xfId="7966"/>
    <cellStyle name="40% - Accent2 12 2 5 2" xfId="15146"/>
    <cellStyle name="40% - Accent2 12 2 6" xfId="9474"/>
    <cellStyle name="40% - Accent2 12 3" xfId="2020"/>
    <cellStyle name="40% - Accent2 12 3 2" xfId="4403"/>
    <cellStyle name="40% - Accent2 12 3 2 2" xfId="11714"/>
    <cellStyle name="40% - Accent2 12 3 3" xfId="5759"/>
    <cellStyle name="40% - Accent2 12 3 3 2" xfId="13011"/>
    <cellStyle name="40% - Accent2 12 3 4" xfId="7028"/>
    <cellStyle name="40% - Accent2 12 3 4 2" xfId="14229"/>
    <cellStyle name="40% - Accent2 12 3 5" xfId="8172"/>
    <cellStyle name="40% - Accent2 12 3 5 2" xfId="15352"/>
    <cellStyle name="40% - Accent2 12 3 6" xfId="9680"/>
    <cellStyle name="40% - Accent2 12 4" xfId="2429"/>
    <cellStyle name="40% - Accent2 12 4 2" xfId="4791"/>
    <cellStyle name="40% - Accent2 12 4 2 2" xfId="12086"/>
    <cellStyle name="40% - Accent2 12 4 3" xfId="6132"/>
    <cellStyle name="40% - Accent2 12 4 3 2" xfId="13366"/>
    <cellStyle name="40% - Accent2 12 4 4" xfId="7385"/>
    <cellStyle name="40% - Accent2 12 4 4 2" xfId="14575"/>
    <cellStyle name="40% - Accent2 12 4 5" xfId="8492"/>
    <cellStyle name="40% - Accent2 12 4 5 2" xfId="15668"/>
    <cellStyle name="40% - Accent2 12 4 6" xfId="10000"/>
    <cellStyle name="40% - Accent2 12 5" xfId="3383"/>
    <cellStyle name="40% - Accent2 12 5 2" xfId="10754"/>
    <cellStyle name="40% - Accent2 12 6" xfId="4220"/>
    <cellStyle name="40% - Accent2 12 6 2" xfId="11533"/>
    <cellStyle name="40% - Accent2 12 7" xfId="2642"/>
    <cellStyle name="40% - Accent2 12 7 2" xfId="10145"/>
    <cellStyle name="40% - Accent2 12 8" xfId="2906"/>
    <cellStyle name="40% - Accent2 12 8 2" xfId="10330"/>
    <cellStyle name="40% - Accent2 12 9" xfId="8976"/>
    <cellStyle name="40% - Accent2 13" xfId="949"/>
    <cellStyle name="40% - Accent2 13 2" xfId="1820"/>
    <cellStyle name="40% - Accent2 13 2 2" xfId="4206"/>
    <cellStyle name="40% - Accent2 13 2 2 2" xfId="11519"/>
    <cellStyle name="40% - Accent2 13 2 3" xfId="5565"/>
    <cellStyle name="40% - Accent2 13 2 3 2" xfId="12819"/>
    <cellStyle name="40% - Accent2 13 2 4" xfId="6835"/>
    <cellStyle name="40% - Accent2 13 2 4 2" xfId="14037"/>
    <cellStyle name="40% - Accent2 13 2 5" xfId="7985"/>
    <cellStyle name="40% - Accent2 13 2 5 2" xfId="15165"/>
    <cellStyle name="40% - Accent2 13 2 6" xfId="9493"/>
    <cellStyle name="40% - Accent2 13 3" xfId="2035"/>
    <cellStyle name="40% - Accent2 13 3 2" xfId="4417"/>
    <cellStyle name="40% - Accent2 13 3 2 2" xfId="11727"/>
    <cellStyle name="40% - Accent2 13 3 3" xfId="5773"/>
    <cellStyle name="40% - Accent2 13 3 3 2" xfId="13024"/>
    <cellStyle name="40% - Accent2 13 3 4" xfId="7042"/>
    <cellStyle name="40% - Accent2 13 3 4 2" xfId="14242"/>
    <cellStyle name="40% - Accent2 13 3 5" xfId="8185"/>
    <cellStyle name="40% - Accent2 13 3 5 2" xfId="15365"/>
    <cellStyle name="40% - Accent2 13 3 6" xfId="9693"/>
    <cellStyle name="40% - Accent2 13 4" xfId="2444"/>
    <cellStyle name="40% - Accent2 13 4 2" xfId="4806"/>
    <cellStyle name="40% - Accent2 13 4 2 2" xfId="12099"/>
    <cellStyle name="40% - Accent2 13 4 3" xfId="6147"/>
    <cellStyle name="40% - Accent2 13 4 3 2" xfId="13379"/>
    <cellStyle name="40% - Accent2 13 4 4" xfId="7400"/>
    <cellStyle name="40% - Accent2 13 4 4 2" xfId="14588"/>
    <cellStyle name="40% - Accent2 13 4 5" xfId="8505"/>
    <cellStyle name="40% - Accent2 13 4 5 2" xfId="15681"/>
    <cellStyle name="40% - Accent2 13 4 6" xfId="10013"/>
    <cellStyle name="40% - Accent2 13 5" xfId="3420"/>
    <cellStyle name="40% - Accent2 13 5 2" xfId="10784"/>
    <cellStyle name="40% - Accent2 13 6" xfId="4465"/>
    <cellStyle name="40% - Accent2 13 6 2" xfId="11773"/>
    <cellStyle name="40% - Accent2 13 7" xfId="5177"/>
    <cellStyle name="40% - Accent2 13 7 2" xfId="12439"/>
    <cellStyle name="40% - Accent2 13 8" xfId="6455"/>
    <cellStyle name="40% - Accent2 13 8 2" xfId="13664"/>
    <cellStyle name="40% - Accent2 13 9" xfId="8991"/>
    <cellStyle name="40% - Accent2 14" xfId="992"/>
    <cellStyle name="40% - Accent2 14 2" xfId="1844"/>
    <cellStyle name="40% - Accent2 14 2 2" xfId="4229"/>
    <cellStyle name="40% - Accent2 14 2 2 2" xfId="11542"/>
    <cellStyle name="40% - Accent2 14 2 3" xfId="5586"/>
    <cellStyle name="40% - Accent2 14 2 3 2" xfId="12839"/>
    <cellStyle name="40% - Accent2 14 2 4" xfId="6855"/>
    <cellStyle name="40% - Accent2 14 2 4 2" xfId="14057"/>
    <cellStyle name="40% - Accent2 14 2 5" xfId="8003"/>
    <cellStyle name="40% - Accent2 14 2 5 2" xfId="15183"/>
    <cellStyle name="40% - Accent2 14 2 6" xfId="9511"/>
    <cellStyle name="40% - Accent2 14 3" xfId="2049"/>
    <cellStyle name="40% - Accent2 14 3 2" xfId="4431"/>
    <cellStyle name="40% - Accent2 14 3 2 2" xfId="11740"/>
    <cellStyle name="40% - Accent2 14 3 3" xfId="5786"/>
    <cellStyle name="40% - Accent2 14 3 3 2" xfId="13037"/>
    <cellStyle name="40% - Accent2 14 3 4" xfId="7055"/>
    <cellStyle name="40% - Accent2 14 3 4 2" xfId="14255"/>
    <cellStyle name="40% - Accent2 14 3 5" xfId="8198"/>
    <cellStyle name="40% - Accent2 14 3 5 2" xfId="15378"/>
    <cellStyle name="40% - Accent2 14 3 6" xfId="9706"/>
    <cellStyle name="40% - Accent2 14 4" xfId="2458"/>
    <cellStyle name="40% - Accent2 14 4 2" xfId="4819"/>
    <cellStyle name="40% - Accent2 14 4 2 2" xfId="12112"/>
    <cellStyle name="40% - Accent2 14 4 3" xfId="6161"/>
    <cellStyle name="40% - Accent2 14 4 3 2" xfId="13392"/>
    <cellStyle name="40% - Accent2 14 4 4" xfId="7414"/>
    <cellStyle name="40% - Accent2 14 4 4 2" xfId="14601"/>
    <cellStyle name="40% - Accent2 14 4 5" xfId="8518"/>
    <cellStyle name="40% - Accent2 14 4 5 2" xfId="15694"/>
    <cellStyle name="40% - Accent2 14 4 6" xfId="10026"/>
    <cellStyle name="40% - Accent2 14 5" xfId="3454"/>
    <cellStyle name="40% - Accent2 14 5 2" xfId="10815"/>
    <cellStyle name="40% - Accent2 14 6" xfId="3078"/>
    <cellStyle name="40% - Accent2 14 6 2" xfId="10475"/>
    <cellStyle name="40% - Accent2 14 7" xfId="5179"/>
    <cellStyle name="40% - Accent2 14 7 2" xfId="12441"/>
    <cellStyle name="40% - Accent2 14 8" xfId="6457"/>
    <cellStyle name="40% - Accent2 14 8 2" xfId="13666"/>
    <cellStyle name="40% - Accent2 14 9" xfId="9005"/>
    <cellStyle name="40% - Accent2 15" xfId="1033"/>
    <cellStyle name="40% - Accent2 15 2" xfId="1862"/>
    <cellStyle name="40% - Accent2 15 2 2" xfId="4247"/>
    <cellStyle name="40% - Accent2 15 2 2 2" xfId="11559"/>
    <cellStyle name="40% - Accent2 15 2 3" xfId="5603"/>
    <cellStyle name="40% - Accent2 15 2 3 2" xfId="12856"/>
    <cellStyle name="40% - Accent2 15 2 4" xfId="6872"/>
    <cellStyle name="40% - Accent2 15 2 4 2" xfId="14074"/>
    <cellStyle name="40% - Accent2 15 2 5" xfId="8017"/>
    <cellStyle name="40% - Accent2 15 2 5 2" xfId="15197"/>
    <cellStyle name="40% - Accent2 15 2 6" xfId="9525"/>
    <cellStyle name="40% - Accent2 15 3" xfId="2062"/>
    <cellStyle name="40% - Accent2 15 3 2" xfId="4444"/>
    <cellStyle name="40% - Accent2 15 3 2 2" xfId="11753"/>
    <cellStyle name="40% - Accent2 15 3 3" xfId="5799"/>
    <cellStyle name="40% - Accent2 15 3 3 2" xfId="13050"/>
    <cellStyle name="40% - Accent2 15 3 4" xfId="7068"/>
    <cellStyle name="40% - Accent2 15 3 4 2" xfId="14268"/>
    <cellStyle name="40% - Accent2 15 3 5" xfId="8211"/>
    <cellStyle name="40% - Accent2 15 3 5 2" xfId="15391"/>
    <cellStyle name="40% - Accent2 15 3 6" xfId="9719"/>
    <cellStyle name="40% - Accent2 15 4" xfId="2471"/>
    <cellStyle name="40% - Accent2 15 4 2" xfId="4832"/>
    <cellStyle name="40% - Accent2 15 4 2 2" xfId="12125"/>
    <cellStyle name="40% - Accent2 15 4 3" xfId="6174"/>
    <cellStyle name="40% - Accent2 15 4 3 2" xfId="13405"/>
    <cellStyle name="40% - Accent2 15 4 4" xfId="7427"/>
    <cellStyle name="40% - Accent2 15 4 4 2" xfId="14614"/>
    <cellStyle name="40% - Accent2 15 4 5" xfId="8531"/>
    <cellStyle name="40% - Accent2 15 4 5 2" xfId="15707"/>
    <cellStyle name="40% - Accent2 15 4 6" xfId="10039"/>
    <cellStyle name="40% - Accent2 15 5" xfId="3489"/>
    <cellStyle name="40% - Accent2 15 5 2" xfId="10844"/>
    <cellStyle name="40% - Accent2 15 6" xfId="4197"/>
    <cellStyle name="40% - Accent2 15 6 2" xfId="11510"/>
    <cellStyle name="40% - Accent2 15 7" xfId="3582"/>
    <cellStyle name="40% - Accent2 15 7 2" xfId="10929"/>
    <cellStyle name="40% - Accent2 15 8" xfId="4988"/>
    <cellStyle name="40% - Accent2 15 8 2" xfId="12270"/>
    <cellStyle name="40% - Accent2 15 9" xfId="9018"/>
    <cellStyle name="40% - Accent2 16" xfId="1074"/>
    <cellStyle name="40% - Accent2 16 2" xfId="2484"/>
    <cellStyle name="40% - Accent2 16 2 2" xfId="4845"/>
    <cellStyle name="40% - Accent2 16 2 2 2" xfId="12138"/>
    <cellStyle name="40% - Accent2 16 2 3" xfId="6187"/>
    <cellStyle name="40% - Accent2 16 2 3 2" xfId="13418"/>
    <cellStyle name="40% - Accent2 16 2 4" xfId="7440"/>
    <cellStyle name="40% - Accent2 16 2 4 2" xfId="14627"/>
    <cellStyle name="40% - Accent2 16 2 5" xfId="8544"/>
    <cellStyle name="40% - Accent2 16 2 5 2" xfId="15720"/>
    <cellStyle name="40% - Accent2 16 2 6" xfId="10052"/>
    <cellStyle name="40% - Accent2 16 3" xfId="3518"/>
    <cellStyle name="40% - Accent2 16 3 2" xfId="10872"/>
    <cellStyle name="40% - Accent2 16 4" xfId="2587"/>
    <cellStyle name="40% - Accent2 16 4 2" xfId="10127"/>
    <cellStyle name="40% - Accent2 16 5" xfId="5072"/>
    <cellStyle name="40% - Accent2 16 5 2" xfId="12346"/>
    <cellStyle name="40% - Accent2 16 6" xfId="6380"/>
    <cellStyle name="40% - Accent2 16 6 2" xfId="13594"/>
    <cellStyle name="40% - Accent2 16 7" xfId="9031"/>
    <cellStyle name="40% - Accent2 17" xfId="1115"/>
    <cellStyle name="40% - Accent2 17 2" xfId="2497"/>
    <cellStyle name="40% - Accent2 17 2 2" xfId="4858"/>
    <cellStyle name="40% - Accent2 17 2 2 2" xfId="12151"/>
    <cellStyle name="40% - Accent2 17 2 3" xfId="6200"/>
    <cellStyle name="40% - Accent2 17 2 3 2" xfId="13431"/>
    <cellStyle name="40% - Accent2 17 2 4" xfId="7453"/>
    <cellStyle name="40% - Accent2 17 2 4 2" xfId="14640"/>
    <cellStyle name="40% - Accent2 17 2 5" xfId="8557"/>
    <cellStyle name="40% - Accent2 17 2 5 2" xfId="15733"/>
    <cellStyle name="40% - Accent2 17 2 6" xfId="10065"/>
    <cellStyle name="40% - Accent2 17 3" xfId="3557"/>
    <cellStyle name="40% - Accent2 17 3 2" xfId="10906"/>
    <cellStyle name="40% - Accent2 17 4" xfId="4964"/>
    <cellStyle name="40% - Accent2 17 4 2" xfId="12250"/>
    <cellStyle name="40% - Accent2 17 5" xfId="6296"/>
    <cellStyle name="40% - Accent2 17 5 2" xfId="13519"/>
    <cellStyle name="40% - Accent2 17 6" xfId="7536"/>
    <cellStyle name="40% - Accent2 17 6 2" xfId="14720"/>
    <cellStyle name="40% - Accent2 17 7" xfId="9044"/>
    <cellStyle name="40% - Accent2 18" xfId="1156"/>
    <cellStyle name="40% - Accent2 18 2" xfId="2510"/>
    <cellStyle name="40% - Accent2 18 2 2" xfId="4871"/>
    <cellStyle name="40% - Accent2 18 2 2 2" xfId="12164"/>
    <cellStyle name="40% - Accent2 18 2 3" xfId="6213"/>
    <cellStyle name="40% - Accent2 18 2 3 2" xfId="13444"/>
    <cellStyle name="40% - Accent2 18 2 4" xfId="7466"/>
    <cellStyle name="40% - Accent2 18 2 4 2" xfId="14653"/>
    <cellStyle name="40% - Accent2 18 2 5" xfId="8570"/>
    <cellStyle name="40% - Accent2 18 2 5 2" xfId="15746"/>
    <cellStyle name="40% - Accent2 18 2 6" xfId="10078"/>
    <cellStyle name="40% - Accent2 18 3" xfId="3592"/>
    <cellStyle name="40% - Accent2 18 3 2" xfId="10938"/>
    <cellStyle name="40% - Accent2 18 4" xfId="4996"/>
    <cellStyle name="40% - Accent2 18 4 2" xfId="12277"/>
    <cellStyle name="40% - Accent2 18 5" xfId="6319"/>
    <cellStyle name="40% - Accent2 18 5 2" xfId="13539"/>
    <cellStyle name="40% - Accent2 18 6" xfId="7549"/>
    <cellStyle name="40% - Accent2 18 6 2" xfId="14733"/>
    <cellStyle name="40% - Accent2 18 7" xfId="9057"/>
    <cellStyle name="40% - Accent2 19" xfId="1197"/>
    <cellStyle name="40% - Accent2 19 2" xfId="2523"/>
    <cellStyle name="40% - Accent2 19 2 2" xfId="4884"/>
    <cellStyle name="40% - Accent2 19 2 2 2" xfId="12177"/>
    <cellStyle name="40% - Accent2 19 2 3" xfId="6226"/>
    <cellStyle name="40% - Accent2 19 2 3 2" xfId="13457"/>
    <cellStyle name="40% - Accent2 19 2 4" xfId="7479"/>
    <cellStyle name="40% - Accent2 19 2 4 2" xfId="14666"/>
    <cellStyle name="40% - Accent2 19 2 5" xfId="8583"/>
    <cellStyle name="40% - Accent2 19 2 5 2" xfId="15759"/>
    <cellStyle name="40% - Accent2 19 2 6" xfId="10091"/>
    <cellStyle name="40% - Accent2 19 3" xfId="3627"/>
    <cellStyle name="40% - Accent2 19 3 2" xfId="10967"/>
    <cellStyle name="40% - Accent2 19 4" xfId="5025"/>
    <cellStyle name="40% - Accent2 19 4 2" xfId="12303"/>
    <cellStyle name="40% - Accent2 19 5" xfId="6343"/>
    <cellStyle name="40% - Accent2 19 5 2" xfId="13560"/>
    <cellStyle name="40% - Accent2 19 6" xfId="7562"/>
    <cellStyle name="40% - Accent2 19 6 2" xfId="14746"/>
    <cellStyle name="40% - Accent2 19 7" xfId="9070"/>
    <cellStyle name="40% - Accent2 2" xfId="32"/>
    <cellStyle name="40% - Accent2 2 10" xfId="3149"/>
    <cellStyle name="40% - Accent2 2 11" xfId="8639"/>
    <cellStyle name="40% - Accent2 2 2" xfId="509"/>
    <cellStyle name="40% - Accent2 2 3" xfId="696"/>
    <cellStyle name="40% - Accent2 2 4" xfId="1284"/>
    <cellStyle name="40% - Accent2 2 5" xfId="1378"/>
    <cellStyle name="40% - Accent2 2 6" xfId="2092"/>
    <cellStyle name="40% - Accent2 2 7" xfId="2614"/>
    <cellStyle name="40% - Accent2 2 8" xfId="3482"/>
    <cellStyle name="40% - Accent2 2 9" xfId="3893"/>
    <cellStyle name="40% - Accent2 20" xfId="1238"/>
    <cellStyle name="40% - Accent2 20 2" xfId="2536"/>
    <cellStyle name="40% - Accent2 20 2 2" xfId="4897"/>
    <cellStyle name="40% - Accent2 20 2 2 2" xfId="12190"/>
    <cellStyle name="40% - Accent2 20 2 3" xfId="6239"/>
    <cellStyle name="40% - Accent2 20 2 3 2" xfId="13470"/>
    <cellStyle name="40% - Accent2 20 2 4" xfId="7492"/>
    <cellStyle name="40% - Accent2 20 2 4 2" xfId="14679"/>
    <cellStyle name="40% - Accent2 20 2 5" xfId="8596"/>
    <cellStyle name="40% - Accent2 20 2 5 2" xfId="15772"/>
    <cellStyle name="40% - Accent2 20 2 6" xfId="10104"/>
    <cellStyle name="40% - Accent2 20 3" xfId="3663"/>
    <cellStyle name="40% - Accent2 20 3 2" xfId="10999"/>
    <cellStyle name="40% - Accent2 20 4" xfId="5055"/>
    <cellStyle name="40% - Accent2 20 4 2" xfId="12330"/>
    <cellStyle name="40% - Accent2 20 5" xfId="6366"/>
    <cellStyle name="40% - Accent2 20 5 2" xfId="13581"/>
    <cellStyle name="40% - Accent2 20 6" xfId="7575"/>
    <cellStyle name="40% - Accent2 20 6 2" xfId="14759"/>
    <cellStyle name="40% - Accent2 20 7" xfId="9083"/>
    <cellStyle name="40% - Accent2 21" xfId="2568"/>
    <cellStyle name="40% - Accent2 21 2" xfId="4923"/>
    <cellStyle name="40% - Accent2 21 2 2" xfId="12212"/>
    <cellStyle name="40% - Accent2 21 3" xfId="6266"/>
    <cellStyle name="40% - Accent2 21 3 2" xfId="13492"/>
    <cellStyle name="40% - Accent2 21 4" xfId="7513"/>
    <cellStyle name="40% - Accent2 21 4 2" xfId="14697"/>
    <cellStyle name="40% - Accent2 21 5" xfId="8609"/>
    <cellStyle name="40% - Accent2 21 5 2" xfId="15785"/>
    <cellStyle name="40% - Accent2 21 6" xfId="10117"/>
    <cellStyle name="40% - Accent2 3" xfId="33"/>
    <cellStyle name="40% - Accent2 3 10" xfId="5581"/>
    <cellStyle name="40% - Accent2 3 11" xfId="8640"/>
    <cellStyle name="40% - Accent2 3 2" xfId="510"/>
    <cellStyle name="40% - Accent2 3 3" xfId="697"/>
    <cellStyle name="40% - Accent2 3 4" xfId="1285"/>
    <cellStyle name="40% - Accent2 3 5" xfId="1854"/>
    <cellStyle name="40% - Accent2 3 6" xfId="2093"/>
    <cellStyle name="40% - Accent2 3 7" xfId="2615"/>
    <cellStyle name="40% - Accent2 3 8" xfId="3447"/>
    <cellStyle name="40% - Accent2 3 9" xfId="3019"/>
    <cellStyle name="40% - Accent2 4" xfId="34"/>
    <cellStyle name="40% - Accent2 4 10" xfId="5087"/>
    <cellStyle name="40% - Accent2 4 11" xfId="8641"/>
    <cellStyle name="40% - Accent2 4 2" xfId="511"/>
    <cellStyle name="40% - Accent2 4 3" xfId="698"/>
    <cellStyle name="40% - Accent2 4 4" xfId="1286"/>
    <cellStyle name="40% - Accent2 4 5" xfId="1834"/>
    <cellStyle name="40% - Accent2 4 6" xfId="2094"/>
    <cellStyle name="40% - Accent2 4 7" xfId="2616"/>
    <cellStyle name="40% - Accent2 4 8" xfId="3413"/>
    <cellStyle name="40% - Accent2 4 9" xfId="2609"/>
    <cellStyle name="40% - Accent2 5" xfId="260"/>
    <cellStyle name="40% - Accent2 5 10" xfId="6674"/>
    <cellStyle name="40% - Accent2 5 11" xfId="8705"/>
    <cellStyle name="40% - Accent2 5 2" xfId="570"/>
    <cellStyle name="40% - Accent2 5 3" xfId="757"/>
    <cellStyle name="40% - Accent2 5 4" xfId="1399"/>
    <cellStyle name="40% - Accent2 5 5" xfId="1784"/>
    <cellStyle name="40% - Accent2 5 6" xfId="2158"/>
    <cellStyle name="40% - Accent2 5 7" xfId="2814"/>
    <cellStyle name="40% - Accent2 5 8" xfId="3046"/>
    <cellStyle name="40% - Accent2 5 9" xfId="5402"/>
    <cellStyle name="40% - Accent2 6" xfId="305"/>
    <cellStyle name="40% - Accent2 7" xfId="346"/>
    <cellStyle name="40% - Accent2 7 10" xfId="6311"/>
    <cellStyle name="40% - Accent2 7 10 2" xfId="13532"/>
    <cellStyle name="40% - Accent2 7 11" xfId="8718"/>
    <cellStyle name="40% - Accent2 7 2" xfId="583"/>
    <cellStyle name="40% - Accent2 7 2 10" xfId="8781"/>
    <cellStyle name="40% - Accent2 7 2 2" xfId="822"/>
    <cellStyle name="40% - Accent2 7 2 2 2" xfId="1722"/>
    <cellStyle name="40% - Accent2 7 2 2 2 2" xfId="4112"/>
    <cellStyle name="40% - Accent2 7 2 2 2 2 2" xfId="11426"/>
    <cellStyle name="40% - Accent2 7 2 2 2 3" xfId="5474"/>
    <cellStyle name="40% - Accent2 7 2 2 2 3 2" xfId="12728"/>
    <cellStyle name="40% - Accent2 7 2 2 2 4" xfId="6746"/>
    <cellStyle name="40% - Accent2 7 2 2 2 4 2" xfId="13948"/>
    <cellStyle name="40% - Accent2 7 2 2 2 5" xfId="7901"/>
    <cellStyle name="40% - Accent2 7 2 2 2 5 2" xfId="15081"/>
    <cellStyle name="40% - Accent2 7 2 2 2 6" xfId="9409"/>
    <cellStyle name="40% - Accent2 7 2 2 3" xfId="1955"/>
    <cellStyle name="40% - Accent2 7 2 2 3 2" xfId="4338"/>
    <cellStyle name="40% - Accent2 7 2 2 3 2 2" xfId="11649"/>
    <cellStyle name="40% - Accent2 7 2 2 3 3" xfId="5694"/>
    <cellStyle name="40% - Accent2 7 2 2 3 3 2" xfId="12946"/>
    <cellStyle name="40% - Accent2 7 2 2 3 4" xfId="6963"/>
    <cellStyle name="40% - Accent2 7 2 2 3 4 2" xfId="14164"/>
    <cellStyle name="40% - Accent2 7 2 2 3 5" xfId="8107"/>
    <cellStyle name="40% - Accent2 7 2 2 3 5 2" xfId="15287"/>
    <cellStyle name="40% - Accent2 7 2 2 3 6" xfId="9615"/>
    <cellStyle name="40% - Accent2 7 2 2 4" xfId="2364"/>
    <cellStyle name="40% - Accent2 7 2 2 4 2" xfId="4726"/>
    <cellStyle name="40% - Accent2 7 2 2 4 2 2" xfId="12021"/>
    <cellStyle name="40% - Accent2 7 2 2 4 3" xfId="6067"/>
    <cellStyle name="40% - Accent2 7 2 2 4 3 2" xfId="13301"/>
    <cellStyle name="40% - Accent2 7 2 2 4 4" xfId="7320"/>
    <cellStyle name="40% - Accent2 7 2 2 4 4 2" xfId="14510"/>
    <cellStyle name="40% - Accent2 7 2 2 4 5" xfId="8427"/>
    <cellStyle name="40% - Accent2 7 2 2 4 5 2" xfId="15603"/>
    <cellStyle name="40% - Accent2 7 2 2 4 6" xfId="9935"/>
    <cellStyle name="40% - Accent2 7 2 2 5" xfId="3303"/>
    <cellStyle name="40% - Accent2 7 2 2 5 2" xfId="10676"/>
    <cellStyle name="40% - Accent2 7 2 2 6" xfId="4479"/>
    <cellStyle name="40% - Accent2 7 2 2 6 2" xfId="11787"/>
    <cellStyle name="40% - Accent2 7 2 2 7" xfId="5101"/>
    <cellStyle name="40% - Accent2 7 2 2 7 2" xfId="12373"/>
    <cellStyle name="40% - Accent2 7 2 2 8" xfId="6400"/>
    <cellStyle name="40% - Accent2 7 2 2 8 2" xfId="13614"/>
    <cellStyle name="40% - Accent2 7 2 2 9" xfId="8911"/>
    <cellStyle name="40% - Accent2 7 2 3" xfId="1559"/>
    <cellStyle name="40% - Accent2 7 2 3 2" xfId="3950"/>
    <cellStyle name="40% - Accent2 7 2 3 2 2" xfId="11267"/>
    <cellStyle name="40% - Accent2 7 2 3 3" xfId="5316"/>
    <cellStyle name="40% - Accent2 7 2 3 3 2" xfId="12574"/>
    <cellStyle name="40% - Accent2 7 2 3 4" xfId="6589"/>
    <cellStyle name="40% - Accent2 7 2 3 4 2" xfId="13794"/>
    <cellStyle name="40% - Accent2 7 2 3 5" xfId="7748"/>
    <cellStyle name="40% - Accent2 7 2 3 5 2" xfId="14928"/>
    <cellStyle name="40% - Accent2 7 2 3 6" xfId="9256"/>
    <cellStyle name="40% - Accent2 7 2 4" xfId="1531"/>
    <cellStyle name="40% - Accent2 7 2 4 2" xfId="3924"/>
    <cellStyle name="40% - Accent2 7 2 4 2 2" xfId="11242"/>
    <cellStyle name="40% - Accent2 7 2 4 3" xfId="5291"/>
    <cellStyle name="40% - Accent2 7 2 4 3 2" xfId="12550"/>
    <cellStyle name="40% - Accent2 7 2 4 4" xfId="6564"/>
    <cellStyle name="40% - Accent2 7 2 4 4 2" xfId="13770"/>
    <cellStyle name="40% - Accent2 7 2 4 5" xfId="7724"/>
    <cellStyle name="40% - Accent2 7 2 4 5 2" xfId="14904"/>
    <cellStyle name="40% - Accent2 7 2 4 6" xfId="9232"/>
    <cellStyle name="40% - Accent2 7 2 5" xfId="2234"/>
    <cellStyle name="40% - Accent2 7 2 5 2" xfId="4596"/>
    <cellStyle name="40% - Accent2 7 2 5 2 2" xfId="11894"/>
    <cellStyle name="40% - Accent2 7 2 5 3" xfId="5937"/>
    <cellStyle name="40% - Accent2 7 2 5 3 2" xfId="13174"/>
    <cellStyle name="40% - Accent2 7 2 5 4" xfId="7190"/>
    <cellStyle name="40% - Accent2 7 2 5 4 2" xfId="14383"/>
    <cellStyle name="40% - Accent2 7 2 5 5" xfId="8300"/>
    <cellStyle name="40% - Accent2 7 2 5 5 2" xfId="15476"/>
    <cellStyle name="40% - Accent2 7 2 5 6" xfId="9808"/>
    <cellStyle name="40% - Accent2 7 2 6" xfId="3087"/>
    <cellStyle name="40% - Accent2 7 2 6 2" xfId="10484"/>
    <cellStyle name="40% - Accent2 7 2 7" xfId="2861"/>
    <cellStyle name="40% - Accent2 7 2 7 2" xfId="10288"/>
    <cellStyle name="40% - Accent2 7 2 8" xfId="2693"/>
    <cellStyle name="40% - Accent2 7 2 8 2" xfId="10188"/>
    <cellStyle name="40% - Accent2 7 2 9" xfId="3045"/>
    <cellStyle name="40% - Accent2 7 2 9 2" xfId="10453"/>
    <cellStyle name="40% - Accent2 7 3" xfId="770"/>
    <cellStyle name="40% - Accent2 7 3 2" xfId="1670"/>
    <cellStyle name="40% - Accent2 7 3 2 2" xfId="4060"/>
    <cellStyle name="40% - Accent2 7 3 2 2 2" xfId="11374"/>
    <cellStyle name="40% - Accent2 7 3 2 3" xfId="5422"/>
    <cellStyle name="40% - Accent2 7 3 2 3 2" xfId="12676"/>
    <cellStyle name="40% - Accent2 7 3 2 4" xfId="6694"/>
    <cellStyle name="40% - Accent2 7 3 2 4 2" xfId="13896"/>
    <cellStyle name="40% - Accent2 7 3 2 5" xfId="7849"/>
    <cellStyle name="40% - Accent2 7 3 2 5 2" xfId="15029"/>
    <cellStyle name="40% - Accent2 7 3 2 6" xfId="9357"/>
    <cellStyle name="40% - Accent2 7 3 3" xfId="1903"/>
    <cellStyle name="40% - Accent2 7 3 3 2" xfId="4286"/>
    <cellStyle name="40% - Accent2 7 3 3 2 2" xfId="11597"/>
    <cellStyle name="40% - Accent2 7 3 3 3" xfId="5642"/>
    <cellStyle name="40% - Accent2 7 3 3 3 2" xfId="12894"/>
    <cellStyle name="40% - Accent2 7 3 3 4" xfId="6911"/>
    <cellStyle name="40% - Accent2 7 3 3 4 2" xfId="14112"/>
    <cellStyle name="40% - Accent2 7 3 3 5" xfId="8055"/>
    <cellStyle name="40% - Accent2 7 3 3 5 2" xfId="15235"/>
    <cellStyle name="40% - Accent2 7 3 3 6" xfId="9563"/>
    <cellStyle name="40% - Accent2 7 3 4" xfId="2312"/>
    <cellStyle name="40% - Accent2 7 3 4 2" xfId="4674"/>
    <cellStyle name="40% - Accent2 7 3 4 2 2" xfId="11969"/>
    <cellStyle name="40% - Accent2 7 3 4 3" xfId="6015"/>
    <cellStyle name="40% - Accent2 7 3 4 3 2" xfId="13249"/>
    <cellStyle name="40% - Accent2 7 3 4 4" xfId="7268"/>
    <cellStyle name="40% - Accent2 7 3 4 4 2" xfId="14458"/>
    <cellStyle name="40% - Accent2 7 3 4 5" xfId="8375"/>
    <cellStyle name="40% - Accent2 7 3 4 5 2" xfId="15551"/>
    <cellStyle name="40% - Accent2 7 3 4 6" xfId="9883"/>
    <cellStyle name="40% - Accent2 7 3 5" xfId="3251"/>
    <cellStyle name="40% - Accent2 7 3 5 2" xfId="10624"/>
    <cellStyle name="40% - Accent2 7 3 6" xfId="2920"/>
    <cellStyle name="40% - Accent2 7 3 6 2" xfId="10342"/>
    <cellStyle name="40% - Accent2 7 3 7" xfId="2911"/>
    <cellStyle name="40% - Accent2 7 3 7 2" xfId="10335"/>
    <cellStyle name="40% - Accent2 7 3 8" xfId="2691"/>
    <cellStyle name="40% - Accent2 7 3 8 2" xfId="10186"/>
    <cellStyle name="40% - Accent2 7 3 9" xfId="8859"/>
    <cellStyle name="40% - Accent2 7 4" xfId="1436"/>
    <cellStyle name="40% - Accent2 7 4 2" xfId="3833"/>
    <cellStyle name="40% - Accent2 7 4 2 2" xfId="11154"/>
    <cellStyle name="40% - Accent2 7 4 3" xfId="5201"/>
    <cellStyle name="40% - Accent2 7 4 3 2" xfId="12463"/>
    <cellStyle name="40% - Accent2 7 4 4" xfId="6477"/>
    <cellStyle name="40% - Accent2 7 4 4 2" xfId="13686"/>
    <cellStyle name="40% - Accent2 7 4 5" xfId="7645"/>
    <cellStyle name="40% - Accent2 7 4 5 2" xfId="14825"/>
    <cellStyle name="40% - Accent2 7 4 6" xfId="9153"/>
    <cellStyle name="40% - Accent2 7 5" xfId="1315"/>
    <cellStyle name="40% - Accent2 7 5 2" xfId="3729"/>
    <cellStyle name="40% - Accent2 7 5 2 2" xfId="11063"/>
    <cellStyle name="40% - Accent2 7 5 3" xfId="5117"/>
    <cellStyle name="40% - Accent2 7 5 3 2" xfId="12389"/>
    <cellStyle name="40% - Accent2 7 5 4" xfId="6416"/>
    <cellStyle name="40% - Accent2 7 5 4 2" xfId="13630"/>
    <cellStyle name="40% - Accent2 7 5 5" xfId="7605"/>
    <cellStyle name="40% - Accent2 7 5 5 2" xfId="14789"/>
    <cellStyle name="40% - Accent2 7 5 6" xfId="9113"/>
    <cellStyle name="40% - Accent2 7 6" xfId="2171"/>
    <cellStyle name="40% - Accent2 7 6 2" xfId="4533"/>
    <cellStyle name="40% - Accent2 7 6 2 2" xfId="11832"/>
    <cellStyle name="40% - Accent2 7 6 3" xfId="5875"/>
    <cellStyle name="40% - Accent2 7 6 3 2" xfId="13112"/>
    <cellStyle name="40% - Accent2 7 6 4" xfId="7128"/>
    <cellStyle name="40% - Accent2 7 6 4 2" xfId="14321"/>
    <cellStyle name="40% - Accent2 7 6 5" xfId="8238"/>
    <cellStyle name="40% - Accent2 7 6 5 2" xfId="15414"/>
    <cellStyle name="40% - Accent2 7 6 6" xfId="9746"/>
    <cellStyle name="40% - Accent2 7 7" xfId="2883"/>
    <cellStyle name="40% - Accent2 7 7 2" xfId="10307"/>
    <cellStyle name="40% - Accent2 7 8" xfId="3479"/>
    <cellStyle name="40% - Accent2 7 8 2" xfId="10836"/>
    <cellStyle name="40% - Accent2 7 9" xfId="4987"/>
    <cellStyle name="40% - Accent2 7 9 2" xfId="12269"/>
    <cellStyle name="40% - Accent2 8" xfId="387"/>
    <cellStyle name="40% - Accent2 8 10" xfId="6310"/>
    <cellStyle name="40% - Accent2 8 10 2" xfId="13531"/>
    <cellStyle name="40% - Accent2 8 11" xfId="8731"/>
    <cellStyle name="40% - Accent2 8 2" xfId="596"/>
    <cellStyle name="40% - Accent2 8 2 10" xfId="8794"/>
    <cellStyle name="40% - Accent2 8 2 2" xfId="835"/>
    <cellStyle name="40% - Accent2 8 2 2 2" xfId="1735"/>
    <cellStyle name="40% - Accent2 8 2 2 2 2" xfId="4125"/>
    <cellStyle name="40% - Accent2 8 2 2 2 2 2" xfId="11439"/>
    <cellStyle name="40% - Accent2 8 2 2 2 3" xfId="5487"/>
    <cellStyle name="40% - Accent2 8 2 2 2 3 2" xfId="12741"/>
    <cellStyle name="40% - Accent2 8 2 2 2 4" xfId="6759"/>
    <cellStyle name="40% - Accent2 8 2 2 2 4 2" xfId="13961"/>
    <cellStyle name="40% - Accent2 8 2 2 2 5" xfId="7914"/>
    <cellStyle name="40% - Accent2 8 2 2 2 5 2" xfId="15094"/>
    <cellStyle name="40% - Accent2 8 2 2 2 6" xfId="9422"/>
    <cellStyle name="40% - Accent2 8 2 2 3" xfId="1968"/>
    <cellStyle name="40% - Accent2 8 2 2 3 2" xfId="4351"/>
    <cellStyle name="40% - Accent2 8 2 2 3 2 2" xfId="11662"/>
    <cellStyle name="40% - Accent2 8 2 2 3 3" xfId="5707"/>
    <cellStyle name="40% - Accent2 8 2 2 3 3 2" xfId="12959"/>
    <cellStyle name="40% - Accent2 8 2 2 3 4" xfId="6976"/>
    <cellStyle name="40% - Accent2 8 2 2 3 4 2" xfId="14177"/>
    <cellStyle name="40% - Accent2 8 2 2 3 5" xfId="8120"/>
    <cellStyle name="40% - Accent2 8 2 2 3 5 2" xfId="15300"/>
    <cellStyle name="40% - Accent2 8 2 2 3 6" xfId="9628"/>
    <cellStyle name="40% - Accent2 8 2 2 4" xfId="2377"/>
    <cellStyle name="40% - Accent2 8 2 2 4 2" xfId="4739"/>
    <cellStyle name="40% - Accent2 8 2 2 4 2 2" xfId="12034"/>
    <cellStyle name="40% - Accent2 8 2 2 4 3" xfId="6080"/>
    <cellStyle name="40% - Accent2 8 2 2 4 3 2" xfId="13314"/>
    <cellStyle name="40% - Accent2 8 2 2 4 4" xfId="7333"/>
    <cellStyle name="40% - Accent2 8 2 2 4 4 2" xfId="14523"/>
    <cellStyle name="40% - Accent2 8 2 2 4 5" xfId="8440"/>
    <cellStyle name="40% - Accent2 8 2 2 4 5 2" xfId="15616"/>
    <cellStyle name="40% - Accent2 8 2 2 4 6" xfId="9948"/>
    <cellStyle name="40% - Accent2 8 2 2 5" xfId="3316"/>
    <cellStyle name="40% - Accent2 8 2 2 5 2" xfId="10689"/>
    <cellStyle name="40% - Accent2 8 2 2 6" xfId="4240"/>
    <cellStyle name="40% - Accent2 8 2 2 6 2" xfId="11553"/>
    <cellStyle name="40% - Accent2 8 2 2 7" xfId="2778"/>
    <cellStyle name="40% - Accent2 8 2 2 7 2" xfId="10237"/>
    <cellStyle name="40% - Accent2 8 2 2 8" xfId="4499"/>
    <cellStyle name="40% - Accent2 8 2 2 8 2" xfId="11801"/>
    <cellStyle name="40% - Accent2 8 2 2 9" xfId="8924"/>
    <cellStyle name="40% - Accent2 8 2 3" xfId="1572"/>
    <cellStyle name="40% - Accent2 8 2 3 2" xfId="3963"/>
    <cellStyle name="40% - Accent2 8 2 3 2 2" xfId="11280"/>
    <cellStyle name="40% - Accent2 8 2 3 3" xfId="5329"/>
    <cellStyle name="40% - Accent2 8 2 3 3 2" xfId="12587"/>
    <cellStyle name="40% - Accent2 8 2 3 4" xfId="6602"/>
    <cellStyle name="40% - Accent2 8 2 3 4 2" xfId="13807"/>
    <cellStyle name="40% - Accent2 8 2 3 5" xfId="7761"/>
    <cellStyle name="40% - Accent2 8 2 3 5 2" xfId="14941"/>
    <cellStyle name="40% - Accent2 8 2 3 6" xfId="9269"/>
    <cellStyle name="40% - Accent2 8 2 4" xfId="1636"/>
    <cellStyle name="40% - Accent2 8 2 4 2" xfId="4026"/>
    <cellStyle name="40% - Accent2 8 2 4 2 2" xfId="11341"/>
    <cellStyle name="40% - Accent2 8 2 4 3" xfId="5391"/>
    <cellStyle name="40% - Accent2 8 2 4 3 2" xfId="12646"/>
    <cellStyle name="40% - Accent2 8 2 4 4" xfId="6663"/>
    <cellStyle name="40% - Accent2 8 2 4 4 2" xfId="13866"/>
    <cellStyle name="40% - Accent2 8 2 4 5" xfId="7819"/>
    <cellStyle name="40% - Accent2 8 2 4 5 2" xfId="14999"/>
    <cellStyle name="40% - Accent2 8 2 4 6" xfId="9327"/>
    <cellStyle name="40% - Accent2 8 2 5" xfId="2247"/>
    <cellStyle name="40% - Accent2 8 2 5 2" xfId="4609"/>
    <cellStyle name="40% - Accent2 8 2 5 2 2" xfId="11907"/>
    <cellStyle name="40% - Accent2 8 2 5 3" xfId="5950"/>
    <cellStyle name="40% - Accent2 8 2 5 3 2" xfId="13187"/>
    <cellStyle name="40% - Accent2 8 2 5 4" xfId="7203"/>
    <cellStyle name="40% - Accent2 8 2 5 4 2" xfId="14396"/>
    <cellStyle name="40% - Accent2 8 2 5 5" xfId="8313"/>
    <cellStyle name="40% - Accent2 8 2 5 5 2" xfId="15489"/>
    <cellStyle name="40% - Accent2 8 2 5 6" xfId="9821"/>
    <cellStyle name="40% - Accent2 8 2 6" xfId="3100"/>
    <cellStyle name="40% - Accent2 8 2 6 2" xfId="10497"/>
    <cellStyle name="40% - Accent2 8 2 7" xfId="3428"/>
    <cellStyle name="40% - Accent2 8 2 7 2" xfId="10792"/>
    <cellStyle name="40% - Accent2 8 2 8" xfId="4944"/>
    <cellStyle name="40% - Accent2 8 2 8 2" xfId="12233"/>
    <cellStyle name="40% - Accent2 8 2 9" xfId="6282"/>
    <cellStyle name="40% - Accent2 8 2 9 2" xfId="13508"/>
    <cellStyle name="40% - Accent2 8 3" xfId="783"/>
    <cellStyle name="40% - Accent2 8 3 2" xfId="1683"/>
    <cellStyle name="40% - Accent2 8 3 2 2" xfId="4073"/>
    <cellStyle name="40% - Accent2 8 3 2 2 2" xfId="11387"/>
    <cellStyle name="40% - Accent2 8 3 2 3" xfId="5435"/>
    <cellStyle name="40% - Accent2 8 3 2 3 2" xfId="12689"/>
    <cellStyle name="40% - Accent2 8 3 2 4" xfId="6707"/>
    <cellStyle name="40% - Accent2 8 3 2 4 2" xfId="13909"/>
    <cellStyle name="40% - Accent2 8 3 2 5" xfId="7862"/>
    <cellStyle name="40% - Accent2 8 3 2 5 2" xfId="15042"/>
    <cellStyle name="40% - Accent2 8 3 2 6" xfId="9370"/>
    <cellStyle name="40% - Accent2 8 3 3" xfId="1916"/>
    <cellStyle name="40% - Accent2 8 3 3 2" xfId="4299"/>
    <cellStyle name="40% - Accent2 8 3 3 2 2" xfId="11610"/>
    <cellStyle name="40% - Accent2 8 3 3 3" xfId="5655"/>
    <cellStyle name="40% - Accent2 8 3 3 3 2" xfId="12907"/>
    <cellStyle name="40% - Accent2 8 3 3 4" xfId="6924"/>
    <cellStyle name="40% - Accent2 8 3 3 4 2" xfId="14125"/>
    <cellStyle name="40% - Accent2 8 3 3 5" xfId="8068"/>
    <cellStyle name="40% - Accent2 8 3 3 5 2" xfId="15248"/>
    <cellStyle name="40% - Accent2 8 3 3 6" xfId="9576"/>
    <cellStyle name="40% - Accent2 8 3 4" xfId="2325"/>
    <cellStyle name="40% - Accent2 8 3 4 2" xfId="4687"/>
    <cellStyle name="40% - Accent2 8 3 4 2 2" xfId="11982"/>
    <cellStyle name="40% - Accent2 8 3 4 3" xfId="6028"/>
    <cellStyle name="40% - Accent2 8 3 4 3 2" xfId="13262"/>
    <cellStyle name="40% - Accent2 8 3 4 4" xfId="7281"/>
    <cellStyle name="40% - Accent2 8 3 4 4 2" xfId="14471"/>
    <cellStyle name="40% - Accent2 8 3 4 5" xfId="8388"/>
    <cellStyle name="40% - Accent2 8 3 4 5 2" xfId="15564"/>
    <cellStyle name="40% - Accent2 8 3 4 6" xfId="9896"/>
    <cellStyle name="40% - Accent2 8 3 5" xfId="3264"/>
    <cellStyle name="40% - Accent2 8 3 5 2" xfId="10637"/>
    <cellStyle name="40% - Accent2 8 3 6" xfId="3490"/>
    <cellStyle name="40% - Accent2 8 3 6 2" xfId="10845"/>
    <cellStyle name="40% - Accent2 8 3 7" xfId="4997"/>
    <cellStyle name="40% - Accent2 8 3 7 2" xfId="12278"/>
    <cellStyle name="40% - Accent2 8 3 8" xfId="6320"/>
    <cellStyle name="40% - Accent2 8 3 8 2" xfId="13540"/>
    <cellStyle name="40% - Accent2 8 3 9" xfId="8872"/>
    <cellStyle name="40% - Accent2 8 4" xfId="1461"/>
    <cellStyle name="40% - Accent2 8 4 2" xfId="3856"/>
    <cellStyle name="40% - Accent2 8 4 2 2" xfId="11177"/>
    <cellStyle name="40% - Accent2 8 4 3" xfId="5226"/>
    <cellStyle name="40% - Accent2 8 4 3 2" xfId="12486"/>
    <cellStyle name="40% - Accent2 8 4 4" xfId="6500"/>
    <cellStyle name="40% - Accent2 8 4 4 2" xfId="13707"/>
    <cellStyle name="40% - Accent2 8 4 5" xfId="7664"/>
    <cellStyle name="40% - Accent2 8 4 5 2" xfId="14844"/>
    <cellStyle name="40% - Accent2 8 4 6" xfId="9172"/>
    <cellStyle name="40% - Accent2 8 5" xfId="1420"/>
    <cellStyle name="40% - Accent2 8 5 2" xfId="3817"/>
    <cellStyle name="40% - Accent2 8 5 2 2" xfId="11138"/>
    <cellStyle name="40% - Accent2 8 5 3" xfId="5187"/>
    <cellStyle name="40% - Accent2 8 5 3 2" xfId="12449"/>
    <cellStyle name="40% - Accent2 8 5 4" xfId="6463"/>
    <cellStyle name="40% - Accent2 8 5 4 2" xfId="13672"/>
    <cellStyle name="40% - Accent2 8 5 5" xfId="7632"/>
    <cellStyle name="40% - Accent2 8 5 5 2" xfId="14812"/>
    <cellStyle name="40% - Accent2 8 5 6" xfId="9140"/>
    <cellStyle name="40% - Accent2 8 6" xfId="2184"/>
    <cellStyle name="40% - Accent2 8 6 2" xfId="4546"/>
    <cellStyle name="40% - Accent2 8 6 2 2" xfId="11845"/>
    <cellStyle name="40% - Accent2 8 6 3" xfId="5888"/>
    <cellStyle name="40% - Accent2 8 6 3 2" xfId="13125"/>
    <cellStyle name="40% - Accent2 8 6 4" xfId="7141"/>
    <cellStyle name="40% - Accent2 8 6 4 2" xfId="14334"/>
    <cellStyle name="40% - Accent2 8 6 5" xfId="8251"/>
    <cellStyle name="40% - Accent2 8 6 5 2" xfId="15427"/>
    <cellStyle name="40% - Accent2 8 6 6" xfId="9759"/>
    <cellStyle name="40% - Accent2 8 7" xfId="2919"/>
    <cellStyle name="40% - Accent2 8 7 2" xfId="10341"/>
    <cellStyle name="40% - Accent2 8 8" xfId="3474"/>
    <cellStyle name="40% - Accent2 8 8 2" xfId="10832"/>
    <cellStyle name="40% - Accent2 8 9" xfId="4984"/>
    <cellStyle name="40% - Accent2 8 9 2" xfId="12266"/>
    <cellStyle name="40% - Accent2 9" xfId="428"/>
    <cellStyle name="40% - Accent2 9 10" xfId="3042"/>
    <cellStyle name="40% - Accent2 9 10 2" xfId="10450"/>
    <cellStyle name="40% - Accent2 9 11" xfId="8744"/>
    <cellStyle name="40% - Accent2 9 2" xfId="609"/>
    <cellStyle name="40% - Accent2 9 2 10" xfId="8807"/>
    <cellStyle name="40% - Accent2 9 2 2" xfId="848"/>
    <cellStyle name="40% - Accent2 9 2 2 2" xfId="1748"/>
    <cellStyle name="40% - Accent2 9 2 2 2 2" xfId="4138"/>
    <cellStyle name="40% - Accent2 9 2 2 2 2 2" xfId="11452"/>
    <cellStyle name="40% - Accent2 9 2 2 2 3" xfId="5500"/>
    <cellStyle name="40% - Accent2 9 2 2 2 3 2" xfId="12754"/>
    <cellStyle name="40% - Accent2 9 2 2 2 4" xfId="6772"/>
    <cellStyle name="40% - Accent2 9 2 2 2 4 2" xfId="13974"/>
    <cellStyle name="40% - Accent2 9 2 2 2 5" xfId="7927"/>
    <cellStyle name="40% - Accent2 9 2 2 2 5 2" xfId="15107"/>
    <cellStyle name="40% - Accent2 9 2 2 2 6" xfId="9435"/>
    <cellStyle name="40% - Accent2 9 2 2 3" xfId="1981"/>
    <cellStyle name="40% - Accent2 9 2 2 3 2" xfId="4364"/>
    <cellStyle name="40% - Accent2 9 2 2 3 2 2" xfId="11675"/>
    <cellStyle name="40% - Accent2 9 2 2 3 3" xfId="5720"/>
    <cellStyle name="40% - Accent2 9 2 2 3 3 2" xfId="12972"/>
    <cellStyle name="40% - Accent2 9 2 2 3 4" xfId="6989"/>
    <cellStyle name="40% - Accent2 9 2 2 3 4 2" xfId="14190"/>
    <cellStyle name="40% - Accent2 9 2 2 3 5" xfId="8133"/>
    <cellStyle name="40% - Accent2 9 2 2 3 5 2" xfId="15313"/>
    <cellStyle name="40% - Accent2 9 2 2 3 6" xfId="9641"/>
    <cellStyle name="40% - Accent2 9 2 2 4" xfId="2390"/>
    <cellStyle name="40% - Accent2 9 2 2 4 2" xfId="4752"/>
    <cellStyle name="40% - Accent2 9 2 2 4 2 2" xfId="12047"/>
    <cellStyle name="40% - Accent2 9 2 2 4 3" xfId="6093"/>
    <cellStyle name="40% - Accent2 9 2 2 4 3 2" xfId="13327"/>
    <cellStyle name="40% - Accent2 9 2 2 4 4" xfId="7346"/>
    <cellStyle name="40% - Accent2 9 2 2 4 4 2" xfId="14536"/>
    <cellStyle name="40% - Accent2 9 2 2 4 5" xfId="8453"/>
    <cellStyle name="40% - Accent2 9 2 2 4 5 2" xfId="15629"/>
    <cellStyle name="40% - Accent2 9 2 2 4 6" xfId="9961"/>
    <cellStyle name="40% - Accent2 9 2 2 5" xfId="3329"/>
    <cellStyle name="40% - Accent2 9 2 2 5 2" xfId="10702"/>
    <cellStyle name="40% - Accent2 9 2 2 6" xfId="3035"/>
    <cellStyle name="40% - Accent2 9 2 2 6 2" xfId="10443"/>
    <cellStyle name="40% - Accent2 9 2 2 7" xfId="5165"/>
    <cellStyle name="40% - Accent2 9 2 2 7 2" xfId="12427"/>
    <cellStyle name="40% - Accent2 9 2 2 8" xfId="6447"/>
    <cellStyle name="40% - Accent2 9 2 2 8 2" xfId="13656"/>
    <cellStyle name="40% - Accent2 9 2 2 9" xfId="8937"/>
    <cellStyle name="40% - Accent2 9 2 3" xfId="1585"/>
    <cellStyle name="40% - Accent2 9 2 3 2" xfId="3976"/>
    <cellStyle name="40% - Accent2 9 2 3 2 2" xfId="11293"/>
    <cellStyle name="40% - Accent2 9 2 3 3" xfId="5342"/>
    <cellStyle name="40% - Accent2 9 2 3 3 2" xfId="12600"/>
    <cellStyle name="40% - Accent2 9 2 3 4" xfId="6615"/>
    <cellStyle name="40% - Accent2 9 2 3 4 2" xfId="13820"/>
    <cellStyle name="40% - Accent2 9 2 3 5" xfId="7774"/>
    <cellStyle name="40% - Accent2 9 2 3 5 2" xfId="14954"/>
    <cellStyle name="40% - Accent2 9 2 3 6" xfId="9282"/>
    <cellStyle name="40% - Accent2 9 2 4" xfId="1421"/>
    <cellStyle name="40% - Accent2 9 2 4 2" xfId="3818"/>
    <cellStyle name="40% - Accent2 9 2 4 2 2" xfId="11139"/>
    <cellStyle name="40% - Accent2 9 2 4 3" xfId="5188"/>
    <cellStyle name="40% - Accent2 9 2 4 3 2" xfId="12450"/>
    <cellStyle name="40% - Accent2 9 2 4 4" xfId="6464"/>
    <cellStyle name="40% - Accent2 9 2 4 4 2" xfId="13673"/>
    <cellStyle name="40% - Accent2 9 2 4 5" xfId="7633"/>
    <cellStyle name="40% - Accent2 9 2 4 5 2" xfId="14813"/>
    <cellStyle name="40% - Accent2 9 2 4 6" xfId="9141"/>
    <cellStyle name="40% - Accent2 9 2 5" xfId="2260"/>
    <cellStyle name="40% - Accent2 9 2 5 2" xfId="4622"/>
    <cellStyle name="40% - Accent2 9 2 5 2 2" xfId="11920"/>
    <cellStyle name="40% - Accent2 9 2 5 3" xfId="5963"/>
    <cellStyle name="40% - Accent2 9 2 5 3 2" xfId="13200"/>
    <cellStyle name="40% - Accent2 9 2 5 4" xfId="7216"/>
    <cellStyle name="40% - Accent2 9 2 5 4 2" xfId="14409"/>
    <cellStyle name="40% - Accent2 9 2 5 5" xfId="8326"/>
    <cellStyle name="40% - Accent2 9 2 5 5 2" xfId="15502"/>
    <cellStyle name="40% - Accent2 9 2 5 6" xfId="9834"/>
    <cellStyle name="40% - Accent2 9 2 6" xfId="3113"/>
    <cellStyle name="40% - Accent2 9 2 6 2" xfId="10510"/>
    <cellStyle name="40% - Accent2 9 2 7" xfId="3668"/>
    <cellStyle name="40% - Accent2 9 2 7 2" xfId="11004"/>
    <cellStyle name="40% - Accent2 9 2 8" xfId="4198"/>
    <cellStyle name="40% - Accent2 9 2 8 2" xfId="11511"/>
    <cellStyle name="40% - Accent2 9 2 9" xfId="5069"/>
    <cellStyle name="40% - Accent2 9 2 9 2" xfId="12344"/>
    <cellStyle name="40% - Accent2 9 3" xfId="796"/>
    <cellStyle name="40% - Accent2 9 3 2" xfId="1696"/>
    <cellStyle name="40% - Accent2 9 3 2 2" xfId="4086"/>
    <cellStyle name="40% - Accent2 9 3 2 2 2" xfId="11400"/>
    <cellStyle name="40% - Accent2 9 3 2 3" xfId="5448"/>
    <cellStyle name="40% - Accent2 9 3 2 3 2" xfId="12702"/>
    <cellStyle name="40% - Accent2 9 3 2 4" xfId="6720"/>
    <cellStyle name="40% - Accent2 9 3 2 4 2" xfId="13922"/>
    <cellStyle name="40% - Accent2 9 3 2 5" xfId="7875"/>
    <cellStyle name="40% - Accent2 9 3 2 5 2" xfId="15055"/>
    <cellStyle name="40% - Accent2 9 3 2 6" xfId="9383"/>
    <cellStyle name="40% - Accent2 9 3 3" xfId="1929"/>
    <cellStyle name="40% - Accent2 9 3 3 2" xfId="4312"/>
    <cellStyle name="40% - Accent2 9 3 3 2 2" xfId="11623"/>
    <cellStyle name="40% - Accent2 9 3 3 3" xfId="5668"/>
    <cellStyle name="40% - Accent2 9 3 3 3 2" xfId="12920"/>
    <cellStyle name="40% - Accent2 9 3 3 4" xfId="6937"/>
    <cellStyle name="40% - Accent2 9 3 3 4 2" xfId="14138"/>
    <cellStyle name="40% - Accent2 9 3 3 5" xfId="8081"/>
    <cellStyle name="40% - Accent2 9 3 3 5 2" xfId="15261"/>
    <cellStyle name="40% - Accent2 9 3 3 6" xfId="9589"/>
    <cellStyle name="40% - Accent2 9 3 4" xfId="2338"/>
    <cellStyle name="40% - Accent2 9 3 4 2" xfId="4700"/>
    <cellStyle name="40% - Accent2 9 3 4 2 2" xfId="11995"/>
    <cellStyle name="40% - Accent2 9 3 4 3" xfId="6041"/>
    <cellStyle name="40% - Accent2 9 3 4 3 2" xfId="13275"/>
    <cellStyle name="40% - Accent2 9 3 4 4" xfId="7294"/>
    <cellStyle name="40% - Accent2 9 3 4 4 2" xfId="14484"/>
    <cellStyle name="40% - Accent2 9 3 4 5" xfId="8401"/>
    <cellStyle name="40% - Accent2 9 3 4 5 2" xfId="15577"/>
    <cellStyle name="40% - Accent2 9 3 4 6" xfId="9909"/>
    <cellStyle name="40% - Accent2 9 3 5" xfId="3277"/>
    <cellStyle name="40% - Accent2 9 3 5 2" xfId="10650"/>
    <cellStyle name="40% - Accent2 9 3 6" xfId="2635"/>
    <cellStyle name="40% - Accent2 9 3 6 2" xfId="10138"/>
    <cellStyle name="40% - Accent2 9 3 7" xfId="3043"/>
    <cellStyle name="40% - Accent2 9 3 7 2" xfId="10451"/>
    <cellStyle name="40% - Accent2 9 3 8" xfId="5133"/>
    <cellStyle name="40% - Accent2 9 3 8 2" xfId="12402"/>
    <cellStyle name="40% - Accent2 9 3 9" xfId="8885"/>
    <cellStyle name="40% - Accent2 9 4" xfId="1482"/>
    <cellStyle name="40% - Accent2 9 4 2" xfId="3876"/>
    <cellStyle name="40% - Accent2 9 4 2 2" xfId="11196"/>
    <cellStyle name="40% - Accent2 9 4 3" xfId="5245"/>
    <cellStyle name="40% - Accent2 9 4 3 2" xfId="12505"/>
    <cellStyle name="40% - Accent2 9 4 4" xfId="6518"/>
    <cellStyle name="40% - Accent2 9 4 4 2" xfId="13725"/>
    <cellStyle name="40% - Accent2 9 4 5" xfId="7680"/>
    <cellStyle name="40% - Accent2 9 4 5 2" xfId="14860"/>
    <cellStyle name="40% - Accent2 9 4 6" xfId="9188"/>
    <cellStyle name="40% - Accent2 9 5" xfId="1307"/>
    <cellStyle name="40% - Accent2 9 5 2" xfId="3721"/>
    <cellStyle name="40% - Accent2 9 5 2 2" xfId="11055"/>
    <cellStyle name="40% - Accent2 9 5 3" xfId="5109"/>
    <cellStyle name="40% - Accent2 9 5 3 2" xfId="12381"/>
    <cellStyle name="40% - Accent2 9 5 4" xfId="6408"/>
    <cellStyle name="40% - Accent2 9 5 4 2" xfId="13622"/>
    <cellStyle name="40% - Accent2 9 5 5" xfId="7597"/>
    <cellStyle name="40% - Accent2 9 5 5 2" xfId="14781"/>
    <cellStyle name="40% - Accent2 9 5 6" xfId="9105"/>
    <cellStyle name="40% - Accent2 9 6" xfId="2197"/>
    <cellStyle name="40% - Accent2 9 6 2" xfId="4559"/>
    <cellStyle name="40% - Accent2 9 6 2 2" xfId="11858"/>
    <cellStyle name="40% - Accent2 9 6 3" xfId="5901"/>
    <cellStyle name="40% - Accent2 9 6 3 2" xfId="13138"/>
    <cellStyle name="40% - Accent2 9 6 4" xfId="7154"/>
    <cellStyle name="40% - Accent2 9 6 4 2" xfId="14347"/>
    <cellStyle name="40% - Accent2 9 6 5" xfId="8264"/>
    <cellStyle name="40% - Accent2 9 6 5 2" xfId="15440"/>
    <cellStyle name="40% - Accent2 9 6 6" xfId="9772"/>
    <cellStyle name="40% - Accent2 9 7" xfId="2955"/>
    <cellStyle name="40% - Accent2 9 7 2" xfId="10373"/>
    <cellStyle name="40% - Accent2 9 8" xfId="3366"/>
    <cellStyle name="40% - Accent2 9 8 2" xfId="10739"/>
    <cellStyle name="40% - Accent2 9 9" xfId="3799"/>
    <cellStyle name="40% - Accent2 9 9 2" xfId="11121"/>
    <cellStyle name="40% - Accent3" xfId="35" builtinId="39" customBuiltin="1"/>
    <cellStyle name="40% - Accent3 10" xfId="474"/>
    <cellStyle name="40% - Accent3 10 10" xfId="4998"/>
    <cellStyle name="40% - Accent3 10 10 2" xfId="12279"/>
    <cellStyle name="40% - Accent3 10 11" xfId="8760"/>
    <cellStyle name="40% - Accent3 10 2" xfId="624"/>
    <cellStyle name="40% - Accent3 10 2 10" xfId="8822"/>
    <cellStyle name="40% - Accent3 10 2 2" xfId="863"/>
    <cellStyle name="40% - Accent3 10 2 2 2" xfId="1763"/>
    <cellStyle name="40% - Accent3 10 2 2 2 2" xfId="4153"/>
    <cellStyle name="40% - Accent3 10 2 2 2 2 2" xfId="11467"/>
    <cellStyle name="40% - Accent3 10 2 2 2 3" xfId="5515"/>
    <cellStyle name="40% - Accent3 10 2 2 2 3 2" xfId="12769"/>
    <cellStyle name="40% - Accent3 10 2 2 2 4" xfId="6787"/>
    <cellStyle name="40% - Accent3 10 2 2 2 4 2" xfId="13989"/>
    <cellStyle name="40% - Accent3 10 2 2 2 5" xfId="7942"/>
    <cellStyle name="40% - Accent3 10 2 2 2 5 2" xfId="15122"/>
    <cellStyle name="40% - Accent3 10 2 2 2 6" xfId="9450"/>
    <cellStyle name="40% - Accent3 10 2 2 3" xfId="1996"/>
    <cellStyle name="40% - Accent3 10 2 2 3 2" xfId="4379"/>
    <cellStyle name="40% - Accent3 10 2 2 3 2 2" xfId="11690"/>
    <cellStyle name="40% - Accent3 10 2 2 3 3" xfId="5735"/>
    <cellStyle name="40% - Accent3 10 2 2 3 3 2" xfId="12987"/>
    <cellStyle name="40% - Accent3 10 2 2 3 4" xfId="7004"/>
    <cellStyle name="40% - Accent3 10 2 2 3 4 2" xfId="14205"/>
    <cellStyle name="40% - Accent3 10 2 2 3 5" xfId="8148"/>
    <cellStyle name="40% - Accent3 10 2 2 3 5 2" xfId="15328"/>
    <cellStyle name="40% - Accent3 10 2 2 3 6" xfId="9656"/>
    <cellStyle name="40% - Accent3 10 2 2 4" xfId="2405"/>
    <cellStyle name="40% - Accent3 10 2 2 4 2" xfId="4767"/>
    <cellStyle name="40% - Accent3 10 2 2 4 2 2" xfId="12062"/>
    <cellStyle name="40% - Accent3 10 2 2 4 3" xfId="6108"/>
    <cellStyle name="40% - Accent3 10 2 2 4 3 2" xfId="13342"/>
    <cellStyle name="40% - Accent3 10 2 2 4 4" xfId="7361"/>
    <cellStyle name="40% - Accent3 10 2 2 4 4 2" xfId="14551"/>
    <cellStyle name="40% - Accent3 10 2 2 4 5" xfId="8468"/>
    <cellStyle name="40% - Accent3 10 2 2 4 5 2" xfId="15644"/>
    <cellStyle name="40% - Accent3 10 2 2 4 6" xfId="9976"/>
    <cellStyle name="40% - Accent3 10 2 2 5" xfId="3344"/>
    <cellStyle name="40% - Accent3 10 2 2 5 2" xfId="10717"/>
    <cellStyle name="40% - Accent3 10 2 2 6" xfId="3707"/>
    <cellStyle name="40% - Accent3 10 2 2 6 2" xfId="11041"/>
    <cellStyle name="40% - Accent3 10 2 2 7" xfId="3467"/>
    <cellStyle name="40% - Accent3 10 2 2 7 2" xfId="10827"/>
    <cellStyle name="40% - Accent3 10 2 2 8" xfId="4977"/>
    <cellStyle name="40% - Accent3 10 2 2 8 2" xfId="12262"/>
    <cellStyle name="40% - Accent3 10 2 2 9" xfId="8952"/>
    <cellStyle name="40% - Accent3 10 2 3" xfId="1600"/>
    <cellStyle name="40% - Accent3 10 2 3 2" xfId="3991"/>
    <cellStyle name="40% - Accent3 10 2 3 2 2" xfId="11308"/>
    <cellStyle name="40% - Accent3 10 2 3 3" xfId="5357"/>
    <cellStyle name="40% - Accent3 10 2 3 3 2" xfId="12615"/>
    <cellStyle name="40% - Accent3 10 2 3 4" xfId="6630"/>
    <cellStyle name="40% - Accent3 10 2 3 4 2" xfId="13835"/>
    <cellStyle name="40% - Accent3 10 2 3 5" xfId="7789"/>
    <cellStyle name="40% - Accent3 10 2 3 5 2" xfId="14969"/>
    <cellStyle name="40% - Accent3 10 2 3 6" xfId="9297"/>
    <cellStyle name="40% - Accent3 10 2 4" xfId="1628"/>
    <cellStyle name="40% - Accent3 10 2 4 2" xfId="4018"/>
    <cellStyle name="40% - Accent3 10 2 4 2 2" xfId="11333"/>
    <cellStyle name="40% - Accent3 10 2 4 3" xfId="5383"/>
    <cellStyle name="40% - Accent3 10 2 4 3 2" xfId="12638"/>
    <cellStyle name="40% - Accent3 10 2 4 4" xfId="6655"/>
    <cellStyle name="40% - Accent3 10 2 4 4 2" xfId="13858"/>
    <cellStyle name="40% - Accent3 10 2 4 5" xfId="7811"/>
    <cellStyle name="40% - Accent3 10 2 4 5 2" xfId="14991"/>
    <cellStyle name="40% - Accent3 10 2 4 6" xfId="9319"/>
    <cellStyle name="40% - Accent3 10 2 5" xfId="2275"/>
    <cellStyle name="40% - Accent3 10 2 5 2" xfId="4637"/>
    <cellStyle name="40% - Accent3 10 2 5 2 2" xfId="11935"/>
    <cellStyle name="40% - Accent3 10 2 5 3" xfId="5978"/>
    <cellStyle name="40% - Accent3 10 2 5 3 2" xfId="13215"/>
    <cellStyle name="40% - Accent3 10 2 5 4" xfId="7231"/>
    <cellStyle name="40% - Accent3 10 2 5 4 2" xfId="14424"/>
    <cellStyle name="40% - Accent3 10 2 5 5" xfId="8341"/>
    <cellStyle name="40% - Accent3 10 2 5 5 2" xfId="15517"/>
    <cellStyle name="40% - Accent3 10 2 5 6" xfId="9849"/>
    <cellStyle name="40% - Accent3 10 2 6" xfId="3128"/>
    <cellStyle name="40% - Accent3 10 2 6 2" xfId="10525"/>
    <cellStyle name="40% - Accent3 10 2 7" xfId="2885"/>
    <cellStyle name="40% - Accent3 10 2 7 2" xfId="10309"/>
    <cellStyle name="40% - Accent3 10 2 8" xfId="2773"/>
    <cellStyle name="40% - Accent3 10 2 8 2" xfId="10232"/>
    <cellStyle name="40% - Accent3 10 2 9" xfId="2746"/>
    <cellStyle name="40% - Accent3 10 2 9 2" xfId="10221"/>
    <cellStyle name="40% - Accent3 10 3" xfId="811"/>
    <cellStyle name="40% - Accent3 10 3 2" xfId="1711"/>
    <cellStyle name="40% - Accent3 10 3 2 2" xfId="4101"/>
    <cellStyle name="40% - Accent3 10 3 2 2 2" xfId="11415"/>
    <cellStyle name="40% - Accent3 10 3 2 3" xfId="5463"/>
    <cellStyle name="40% - Accent3 10 3 2 3 2" xfId="12717"/>
    <cellStyle name="40% - Accent3 10 3 2 4" xfId="6735"/>
    <cellStyle name="40% - Accent3 10 3 2 4 2" xfId="13937"/>
    <cellStyle name="40% - Accent3 10 3 2 5" xfId="7890"/>
    <cellStyle name="40% - Accent3 10 3 2 5 2" xfId="15070"/>
    <cellStyle name="40% - Accent3 10 3 2 6" xfId="9398"/>
    <cellStyle name="40% - Accent3 10 3 3" xfId="1944"/>
    <cellStyle name="40% - Accent3 10 3 3 2" xfId="4327"/>
    <cellStyle name="40% - Accent3 10 3 3 2 2" xfId="11638"/>
    <cellStyle name="40% - Accent3 10 3 3 3" xfId="5683"/>
    <cellStyle name="40% - Accent3 10 3 3 3 2" xfId="12935"/>
    <cellStyle name="40% - Accent3 10 3 3 4" xfId="6952"/>
    <cellStyle name="40% - Accent3 10 3 3 4 2" xfId="14153"/>
    <cellStyle name="40% - Accent3 10 3 3 5" xfId="8096"/>
    <cellStyle name="40% - Accent3 10 3 3 5 2" xfId="15276"/>
    <cellStyle name="40% - Accent3 10 3 3 6" xfId="9604"/>
    <cellStyle name="40% - Accent3 10 3 4" xfId="2353"/>
    <cellStyle name="40% - Accent3 10 3 4 2" xfId="4715"/>
    <cellStyle name="40% - Accent3 10 3 4 2 2" xfId="12010"/>
    <cellStyle name="40% - Accent3 10 3 4 3" xfId="6056"/>
    <cellStyle name="40% - Accent3 10 3 4 3 2" xfId="13290"/>
    <cellStyle name="40% - Accent3 10 3 4 4" xfId="7309"/>
    <cellStyle name="40% - Accent3 10 3 4 4 2" xfId="14499"/>
    <cellStyle name="40% - Accent3 10 3 4 5" xfId="8416"/>
    <cellStyle name="40% - Accent3 10 3 4 5 2" xfId="15592"/>
    <cellStyle name="40% - Accent3 10 3 4 6" xfId="9924"/>
    <cellStyle name="40% - Accent3 10 3 5" xfId="3292"/>
    <cellStyle name="40% - Accent3 10 3 5 2" xfId="10665"/>
    <cellStyle name="40% - Accent3 10 3 6" xfId="2866"/>
    <cellStyle name="40% - Accent3 10 3 6 2" xfId="10293"/>
    <cellStyle name="40% - Accent3 10 3 7" xfId="3661"/>
    <cellStyle name="40% - Accent3 10 3 7 2" xfId="10997"/>
    <cellStyle name="40% - Accent3 10 3 8" xfId="3826"/>
    <cellStyle name="40% - Accent3 10 3 8 2" xfId="11147"/>
    <cellStyle name="40% - Accent3 10 3 9" xfId="8900"/>
    <cellStyle name="40% - Accent3 10 4" xfId="1509"/>
    <cellStyle name="40% - Accent3 10 4 2" xfId="3902"/>
    <cellStyle name="40% - Accent3 10 4 2 2" xfId="11220"/>
    <cellStyle name="40% - Accent3 10 4 3" xfId="5269"/>
    <cellStyle name="40% - Accent3 10 4 3 2" xfId="12528"/>
    <cellStyle name="40% - Accent3 10 4 4" xfId="6542"/>
    <cellStyle name="40% - Accent3 10 4 4 2" xfId="13748"/>
    <cellStyle name="40% - Accent3 10 4 5" xfId="7702"/>
    <cellStyle name="40% - Accent3 10 4 5 2" xfId="14882"/>
    <cellStyle name="40% - Accent3 10 4 6" xfId="9210"/>
    <cellStyle name="40% - Accent3 10 5" xfId="1485"/>
    <cellStyle name="40% - Accent3 10 5 2" xfId="3879"/>
    <cellStyle name="40% - Accent3 10 5 2 2" xfId="11199"/>
    <cellStyle name="40% - Accent3 10 5 3" xfId="5248"/>
    <cellStyle name="40% - Accent3 10 5 3 2" xfId="12508"/>
    <cellStyle name="40% - Accent3 10 5 4" xfId="6521"/>
    <cellStyle name="40% - Accent3 10 5 4 2" xfId="13728"/>
    <cellStyle name="40% - Accent3 10 5 5" xfId="7683"/>
    <cellStyle name="40% - Accent3 10 5 5 2" xfId="14863"/>
    <cellStyle name="40% - Accent3 10 5 6" xfId="9191"/>
    <cellStyle name="40% - Accent3 10 6" xfId="2213"/>
    <cellStyle name="40% - Accent3 10 6 2" xfId="4575"/>
    <cellStyle name="40% - Accent3 10 6 2 2" xfId="11873"/>
    <cellStyle name="40% - Accent3 10 6 3" xfId="5916"/>
    <cellStyle name="40% - Accent3 10 6 3 2" xfId="13153"/>
    <cellStyle name="40% - Accent3 10 6 4" xfId="7169"/>
    <cellStyle name="40% - Accent3 10 6 4 2" xfId="14362"/>
    <cellStyle name="40% - Accent3 10 6 5" xfId="8279"/>
    <cellStyle name="40% - Accent3 10 6 5 2" xfId="15455"/>
    <cellStyle name="40% - Accent3 10 6 6" xfId="9787"/>
    <cellStyle name="40% - Accent3 10 7" xfId="2996"/>
    <cellStyle name="40% - Accent3 10 7 2" xfId="10409"/>
    <cellStyle name="40% - Accent3 10 8" xfId="2947"/>
    <cellStyle name="40% - Accent3 10 8 2" xfId="10366"/>
    <cellStyle name="40% - Accent3 10 9" xfId="3491"/>
    <cellStyle name="40% - Accent3 10 9 2" xfId="10846"/>
    <cellStyle name="40% - Accent3 11" xfId="658"/>
    <cellStyle name="40% - Accent3 11 10" xfId="8835"/>
    <cellStyle name="40% - Accent3 11 2" xfId="876"/>
    <cellStyle name="40% - Accent3 11 2 2" xfId="1776"/>
    <cellStyle name="40% - Accent3 11 2 2 2" xfId="4166"/>
    <cellStyle name="40% - Accent3 11 2 2 2 2" xfId="11480"/>
    <cellStyle name="40% - Accent3 11 2 2 3" xfId="5528"/>
    <cellStyle name="40% - Accent3 11 2 2 3 2" xfId="12782"/>
    <cellStyle name="40% - Accent3 11 2 2 4" xfId="6800"/>
    <cellStyle name="40% - Accent3 11 2 2 4 2" xfId="14002"/>
    <cellStyle name="40% - Accent3 11 2 2 5" xfId="7955"/>
    <cellStyle name="40% - Accent3 11 2 2 5 2" xfId="15135"/>
    <cellStyle name="40% - Accent3 11 2 2 6" xfId="9463"/>
    <cellStyle name="40% - Accent3 11 2 3" xfId="2009"/>
    <cellStyle name="40% - Accent3 11 2 3 2" xfId="4392"/>
    <cellStyle name="40% - Accent3 11 2 3 2 2" xfId="11703"/>
    <cellStyle name="40% - Accent3 11 2 3 3" xfId="5748"/>
    <cellStyle name="40% - Accent3 11 2 3 3 2" xfId="13000"/>
    <cellStyle name="40% - Accent3 11 2 3 4" xfId="7017"/>
    <cellStyle name="40% - Accent3 11 2 3 4 2" xfId="14218"/>
    <cellStyle name="40% - Accent3 11 2 3 5" xfId="8161"/>
    <cellStyle name="40% - Accent3 11 2 3 5 2" xfId="15341"/>
    <cellStyle name="40% - Accent3 11 2 3 6" xfId="9669"/>
    <cellStyle name="40% - Accent3 11 2 4" xfId="2418"/>
    <cellStyle name="40% - Accent3 11 2 4 2" xfId="4780"/>
    <cellStyle name="40% - Accent3 11 2 4 2 2" xfId="12075"/>
    <cellStyle name="40% - Accent3 11 2 4 3" xfId="6121"/>
    <cellStyle name="40% - Accent3 11 2 4 3 2" xfId="13355"/>
    <cellStyle name="40% - Accent3 11 2 4 4" xfId="7374"/>
    <cellStyle name="40% - Accent3 11 2 4 4 2" xfId="14564"/>
    <cellStyle name="40% - Accent3 11 2 4 5" xfId="8481"/>
    <cellStyle name="40% - Accent3 11 2 4 5 2" xfId="15657"/>
    <cellStyle name="40% - Accent3 11 2 4 6" xfId="9989"/>
    <cellStyle name="40% - Accent3 11 2 5" xfId="3357"/>
    <cellStyle name="40% - Accent3 11 2 5 2" xfId="10730"/>
    <cellStyle name="40% - Accent3 11 2 6" xfId="2621"/>
    <cellStyle name="40% - Accent3 11 2 6 2" xfId="10133"/>
    <cellStyle name="40% - Accent3 11 2 7" xfId="5093"/>
    <cellStyle name="40% - Accent3 11 2 7 2" xfId="12365"/>
    <cellStyle name="40% - Accent3 11 2 8" xfId="6392"/>
    <cellStyle name="40% - Accent3 11 2 8 2" xfId="13606"/>
    <cellStyle name="40% - Accent3 11 2 9" xfId="8965"/>
    <cellStyle name="40% - Accent3 11 3" xfId="1616"/>
    <cellStyle name="40% - Accent3 11 3 2" xfId="4007"/>
    <cellStyle name="40% - Accent3 11 3 2 2" xfId="11324"/>
    <cellStyle name="40% - Accent3 11 3 3" xfId="5371"/>
    <cellStyle name="40% - Accent3 11 3 3 2" xfId="12629"/>
    <cellStyle name="40% - Accent3 11 3 4" xfId="6644"/>
    <cellStyle name="40% - Accent3 11 3 4 2" xfId="13849"/>
    <cellStyle name="40% - Accent3 11 3 5" xfId="7802"/>
    <cellStyle name="40% - Accent3 11 3 5 2" xfId="14982"/>
    <cellStyle name="40% - Accent3 11 3 6" xfId="9310"/>
    <cellStyle name="40% - Accent3 11 4" xfId="1879"/>
    <cellStyle name="40% - Accent3 11 4 2" xfId="4264"/>
    <cellStyle name="40% - Accent3 11 4 2 2" xfId="11576"/>
    <cellStyle name="40% - Accent3 11 4 3" xfId="5620"/>
    <cellStyle name="40% - Accent3 11 4 3 2" xfId="12873"/>
    <cellStyle name="40% - Accent3 11 4 4" xfId="6889"/>
    <cellStyle name="40% - Accent3 11 4 4 2" xfId="14091"/>
    <cellStyle name="40% - Accent3 11 4 5" xfId="8034"/>
    <cellStyle name="40% - Accent3 11 4 5 2" xfId="15214"/>
    <cellStyle name="40% - Accent3 11 4 6" xfId="9542"/>
    <cellStyle name="40% - Accent3 11 5" xfId="2288"/>
    <cellStyle name="40% - Accent3 11 5 2" xfId="4650"/>
    <cellStyle name="40% - Accent3 11 5 2 2" xfId="11948"/>
    <cellStyle name="40% - Accent3 11 5 3" xfId="5991"/>
    <cellStyle name="40% - Accent3 11 5 3 2" xfId="13228"/>
    <cellStyle name="40% - Accent3 11 5 4" xfId="7244"/>
    <cellStyle name="40% - Accent3 11 5 4 2" xfId="14437"/>
    <cellStyle name="40% - Accent3 11 5 5" xfId="8354"/>
    <cellStyle name="40% - Accent3 11 5 5 2" xfId="15530"/>
    <cellStyle name="40% - Accent3 11 5 6" xfId="9862"/>
    <cellStyle name="40% - Accent3 11 6" xfId="3159"/>
    <cellStyle name="40% - Accent3 11 6 2" xfId="10551"/>
    <cellStyle name="40% - Accent3 11 7" xfId="3452"/>
    <cellStyle name="40% - Accent3 11 7 2" xfId="10813"/>
    <cellStyle name="40% - Accent3 11 8" xfId="4962"/>
    <cellStyle name="40% - Accent3 11 8 2" xfId="12248"/>
    <cellStyle name="40% - Accent3 11 9" xfId="6294"/>
    <cellStyle name="40% - Accent3 11 9 2" xfId="13517"/>
    <cellStyle name="40% - Accent3 12" xfId="910"/>
    <cellStyle name="40% - Accent3 12 2" xfId="1797"/>
    <cellStyle name="40% - Accent3 12 2 2" xfId="4186"/>
    <cellStyle name="40% - Accent3 12 2 2 2" xfId="11499"/>
    <cellStyle name="40% - Accent3 12 2 3" xfId="5546"/>
    <cellStyle name="40% - Accent3 12 2 3 2" xfId="12800"/>
    <cellStyle name="40% - Accent3 12 2 4" xfId="6818"/>
    <cellStyle name="40% - Accent3 12 2 4 2" xfId="14020"/>
    <cellStyle name="40% - Accent3 12 2 5" xfId="7969"/>
    <cellStyle name="40% - Accent3 12 2 5 2" xfId="15149"/>
    <cellStyle name="40% - Accent3 12 2 6" xfId="9477"/>
    <cellStyle name="40% - Accent3 12 3" xfId="2022"/>
    <cellStyle name="40% - Accent3 12 3 2" xfId="4405"/>
    <cellStyle name="40% - Accent3 12 3 2 2" xfId="11716"/>
    <cellStyle name="40% - Accent3 12 3 3" xfId="5761"/>
    <cellStyle name="40% - Accent3 12 3 3 2" xfId="13013"/>
    <cellStyle name="40% - Accent3 12 3 4" xfId="7030"/>
    <cellStyle name="40% - Accent3 12 3 4 2" xfId="14231"/>
    <cellStyle name="40% - Accent3 12 3 5" xfId="8174"/>
    <cellStyle name="40% - Accent3 12 3 5 2" xfId="15354"/>
    <cellStyle name="40% - Accent3 12 3 6" xfId="9682"/>
    <cellStyle name="40% - Accent3 12 4" xfId="2431"/>
    <cellStyle name="40% - Accent3 12 4 2" xfId="4793"/>
    <cellStyle name="40% - Accent3 12 4 2 2" xfId="12088"/>
    <cellStyle name="40% - Accent3 12 4 3" xfId="6134"/>
    <cellStyle name="40% - Accent3 12 4 3 2" xfId="13368"/>
    <cellStyle name="40% - Accent3 12 4 4" xfId="7387"/>
    <cellStyle name="40% - Accent3 12 4 4 2" xfId="14577"/>
    <cellStyle name="40% - Accent3 12 4 5" xfId="8494"/>
    <cellStyle name="40% - Accent3 12 4 5 2" xfId="15670"/>
    <cellStyle name="40% - Accent3 12 4 6" xfId="10002"/>
    <cellStyle name="40% - Accent3 12 5" xfId="3386"/>
    <cellStyle name="40% - Accent3 12 5 2" xfId="10757"/>
    <cellStyle name="40% - Accent3 12 6" xfId="4468"/>
    <cellStyle name="40% - Accent3 12 6 2" xfId="11776"/>
    <cellStyle name="40% - Accent3 12 7" xfId="5090"/>
    <cellStyle name="40% - Accent3 12 7 2" xfId="12362"/>
    <cellStyle name="40% - Accent3 12 8" xfId="6390"/>
    <cellStyle name="40% - Accent3 12 8 2" xfId="13604"/>
    <cellStyle name="40% - Accent3 12 9" xfId="8978"/>
    <cellStyle name="40% - Accent3 13" xfId="953"/>
    <cellStyle name="40% - Accent3 13 2" xfId="1823"/>
    <cellStyle name="40% - Accent3 13 2 2" xfId="4209"/>
    <cellStyle name="40% - Accent3 13 2 2 2" xfId="11522"/>
    <cellStyle name="40% - Accent3 13 2 3" xfId="5568"/>
    <cellStyle name="40% - Accent3 13 2 3 2" xfId="12822"/>
    <cellStyle name="40% - Accent3 13 2 4" xfId="6838"/>
    <cellStyle name="40% - Accent3 13 2 4 2" xfId="14040"/>
    <cellStyle name="40% - Accent3 13 2 5" xfId="7988"/>
    <cellStyle name="40% - Accent3 13 2 5 2" xfId="15168"/>
    <cellStyle name="40% - Accent3 13 2 6" xfId="9496"/>
    <cellStyle name="40% - Accent3 13 3" xfId="2037"/>
    <cellStyle name="40% - Accent3 13 3 2" xfId="4419"/>
    <cellStyle name="40% - Accent3 13 3 2 2" xfId="11729"/>
    <cellStyle name="40% - Accent3 13 3 3" xfId="5775"/>
    <cellStyle name="40% - Accent3 13 3 3 2" xfId="13026"/>
    <cellStyle name="40% - Accent3 13 3 4" xfId="7044"/>
    <cellStyle name="40% - Accent3 13 3 4 2" xfId="14244"/>
    <cellStyle name="40% - Accent3 13 3 5" xfId="8187"/>
    <cellStyle name="40% - Accent3 13 3 5 2" xfId="15367"/>
    <cellStyle name="40% - Accent3 13 3 6" xfId="9695"/>
    <cellStyle name="40% - Accent3 13 4" xfId="2446"/>
    <cellStyle name="40% - Accent3 13 4 2" xfId="4808"/>
    <cellStyle name="40% - Accent3 13 4 2 2" xfId="12101"/>
    <cellStyle name="40% - Accent3 13 4 3" xfId="6149"/>
    <cellStyle name="40% - Accent3 13 4 3 2" xfId="13381"/>
    <cellStyle name="40% - Accent3 13 4 4" xfId="7402"/>
    <cellStyle name="40% - Accent3 13 4 4 2" xfId="14590"/>
    <cellStyle name="40% - Accent3 13 4 5" xfId="8507"/>
    <cellStyle name="40% - Accent3 13 4 5 2" xfId="15683"/>
    <cellStyle name="40% - Accent3 13 4 6" xfId="10015"/>
    <cellStyle name="40% - Accent3 13 5" xfId="3423"/>
    <cellStyle name="40% - Accent3 13 5 2" xfId="10787"/>
    <cellStyle name="40% - Accent3 13 6" xfId="3023"/>
    <cellStyle name="40% - Accent3 13 6 2" xfId="10433"/>
    <cellStyle name="40% - Accent3 13 7" xfId="5215"/>
    <cellStyle name="40% - Accent3 13 7 2" xfId="12476"/>
    <cellStyle name="40% - Accent3 13 8" xfId="6491"/>
    <cellStyle name="40% - Accent3 13 8 2" xfId="13699"/>
    <cellStyle name="40% - Accent3 13 9" xfId="8993"/>
    <cellStyle name="40% - Accent3 14" xfId="996"/>
    <cellStyle name="40% - Accent3 14 2" xfId="1846"/>
    <cellStyle name="40% - Accent3 14 2 2" xfId="4231"/>
    <cellStyle name="40% - Accent3 14 2 2 2" xfId="11544"/>
    <cellStyle name="40% - Accent3 14 2 3" xfId="5588"/>
    <cellStyle name="40% - Accent3 14 2 3 2" xfId="12841"/>
    <cellStyle name="40% - Accent3 14 2 4" xfId="6857"/>
    <cellStyle name="40% - Accent3 14 2 4 2" xfId="14059"/>
    <cellStyle name="40% - Accent3 14 2 5" xfId="8005"/>
    <cellStyle name="40% - Accent3 14 2 5 2" xfId="15185"/>
    <cellStyle name="40% - Accent3 14 2 6" xfId="9513"/>
    <cellStyle name="40% - Accent3 14 3" xfId="2051"/>
    <cellStyle name="40% - Accent3 14 3 2" xfId="4433"/>
    <cellStyle name="40% - Accent3 14 3 2 2" xfId="11742"/>
    <cellStyle name="40% - Accent3 14 3 3" xfId="5788"/>
    <cellStyle name="40% - Accent3 14 3 3 2" xfId="13039"/>
    <cellStyle name="40% - Accent3 14 3 4" xfId="7057"/>
    <cellStyle name="40% - Accent3 14 3 4 2" xfId="14257"/>
    <cellStyle name="40% - Accent3 14 3 5" xfId="8200"/>
    <cellStyle name="40% - Accent3 14 3 5 2" xfId="15380"/>
    <cellStyle name="40% - Accent3 14 3 6" xfId="9708"/>
    <cellStyle name="40% - Accent3 14 4" xfId="2460"/>
    <cellStyle name="40% - Accent3 14 4 2" xfId="4821"/>
    <cellStyle name="40% - Accent3 14 4 2 2" xfId="12114"/>
    <cellStyle name="40% - Accent3 14 4 3" xfId="6163"/>
    <cellStyle name="40% - Accent3 14 4 3 2" xfId="13394"/>
    <cellStyle name="40% - Accent3 14 4 4" xfId="7416"/>
    <cellStyle name="40% - Accent3 14 4 4 2" xfId="14603"/>
    <cellStyle name="40% - Accent3 14 4 5" xfId="8520"/>
    <cellStyle name="40% - Accent3 14 4 5 2" xfId="15696"/>
    <cellStyle name="40% - Accent3 14 4 6" xfId="10028"/>
    <cellStyle name="40% - Accent3 14 5" xfId="3458"/>
    <cellStyle name="40% - Accent3 14 5 2" xfId="10819"/>
    <cellStyle name="40% - Accent3 14 6" xfId="3183"/>
    <cellStyle name="40% - Accent3 14 6 2" xfId="10570"/>
    <cellStyle name="40% - Accent3 14 7" xfId="5813"/>
    <cellStyle name="40% - Accent3 14 7 2" xfId="13063"/>
    <cellStyle name="40% - Accent3 14 8" xfId="7080"/>
    <cellStyle name="40% - Accent3 14 8 2" xfId="14280"/>
    <cellStyle name="40% - Accent3 14 9" xfId="9007"/>
    <cellStyle name="40% - Accent3 15" xfId="1037"/>
    <cellStyle name="40% - Accent3 15 2" xfId="1864"/>
    <cellStyle name="40% - Accent3 15 2 2" xfId="4249"/>
    <cellStyle name="40% - Accent3 15 2 2 2" xfId="11561"/>
    <cellStyle name="40% - Accent3 15 2 3" xfId="5605"/>
    <cellStyle name="40% - Accent3 15 2 3 2" xfId="12858"/>
    <cellStyle name="40% - Accent3 15 2 4" xfId="6874"/>
    <cellStyle name="40% - Accent3 15 2 4 2" xfId="14076"/>
    <cellStyle name="40% - Accent3 15 2 5" xfId="8019"/>
    <cellStyle name="40% - Accent3 15 2 5 2" xfId="15199"/>
    <cellStyle name="40% - Accent3 15 2 6" xfId="9527"/>
    <cellStyle name="40% - Accent3 15 3" xfId="2064"/>
    <cellStyle name="40% - Accent3 15 3 2" xfId="4446"/>
    <cellStyle name="40% - Accent3 15 3 2 2" xfId="11755"/>
    <cellStyle name="40% - Accent3 15 3 3" xfId="5801"/>
    <cellStyle name="40% - Accent3 15 3 3 2" xfId="13052"/>
    <cellStyle name="40% - Accent3 15 3 4" xfId="7070"/>
    <cellStyle name="40% - Accent3 15 3 4 2" xfId="14270"/>
    <cellStyle name="40% - Accent3 15 3 5" xfId="8213"/>
    <cellStyle name="40% - Accent3 15 3 5 2" xfId="15393"/>
    <cellStyle name="40% - Accent3 15 3 6" xfId="9721"/>
    <cellStyle name="40% - Accent3 15 4" xfId="2473"/>
    <cellStyle name="40% - Accent3 15 4 2" xfId="4834"/>
    <cellStyle name="40% - Accent3 15 4 2 2" xfId="12127"/>
    <cellStyle name="40% - Accent3 15 4 3" xfId="6176"/>
    <cellStyle name="40% - Accent3 15 4 3 2" xfId="13407"/>
    <cellStyle name="40% - Accent3 15 4 4" xfId="7429"/>
    <cellStyle name="40% - Accent3 15 4 4 2" xfId="14616"/>
    <cellStyle name="40% - Accent3 15 4 5" xfId="8533"/>
    <cellStyle name="40% - Accent3 15 4 5 2" xfId="15709"/>
    <cellStyle name="40% - Accent3 15 4 6" xfId="10041"/>
    <cellStyle name="40% - Accent3 15 5" xfId="3493"/>
    <cellStyle name="40% - Accent3 15 5 2" xfId="10848"/>
    <cellStyle name="40% - Accent3 15 6" xfId="4456"/>
    <cellStyle name="40% - Accent3 15 6 2" xfId="11764"/>
    <cellStyle name="40% - Accent3 15 7" xfId="5169"/>
    <cellStyle name="40% - Accent3 15 7 2" xfId="12431"/>
    <cellStyle name="40% - Accent3 15 8" xfId="6449"/>
    <cellStyle name="40% - Accent3 15 8 2" xfId="13658"/>
    <cellStyle name="40% - Accent3 15 9" xfId="9020"/>
    <cellStyle name="40% - Accent3 16" xfId="1078"/>
    <cellStyle name="40% - Accent3 16 2" xfId="2486"/>
    <cellStyle name="40% - Accent3 16 2 2" xfId="4847"/>
    <cellStyle name="40% - Accent3 16 2 2 2" xfId="12140"/>
    <cellStyle name="40% - Accent3 16 2 3" xfId="6189"/>
    <cellStyle name="40% - Accent3 16 2 3 2" xfId="13420"/>
    <cellStyle name="40% - Accent3 16 2 4" xfId="7442"/>
    <cellStyle name="40% - Accent3 16 2 4 2" xfId="14629"/>
    <cellStyle name="40% - Accent3 16 2 5" xfId="8546"/>
    <cellStyle name="40% - Accent3 16 2 5 2" xfId="15722"/>
    <cellStyle name="40% - Accent3 16 2 6" xfId="10054"/>
    <cellStyle name="40% - Accent3 16 3" xfId="3522"/>
    <cellStyle name="40% - Accent3 16 3 2" xfId="10876"/>
    <cellStyle name="40% - Accent3 16 4" xfId="4940"/>
    <cellStyle name="40% - Accent3 16 4 2" xfId="12229"/>
    <cellStyle name="40% - Accent3 16 5" xfId="6278"/>
    <cellStyle name="40% - Accent3 16 5 2" xfId="13504"/>
    <cellStyle name="40% - Accent3 16 6" xfId="7525"/>
    <cellStyle name="40% - Accent3 16 6 2" xfId="14709"/>
    <cellStyle name="40% - Accent3 16 7" xfId="9033"/>
    <cellStyle name="40% - Accent3 17" xfId="1119"/>
    <cellStyle name="40% - Accent3 17 2" xfId="2499"/>
    <cellStyle name="40% - Accent3 17 2 2" xfId="4860"/>
    <cellStyle name="40% - Accent3 17 2 2 2" xfId="12153"/>
    <cellStyle name="40% - Accent3 17 2 3" xfId="6202"/>
    <cellStyle name="40% - Accent3 17 2 3 2" xfId="13433"/>
    <cellStyle name="40% - Accent3 17 2 4" xfId="7455"/>
    <cellStyle name="40% - Accent3 17 2 4 2" xfId="14642"/>
    <cellStyle name="40% - Accent3 17 2 5" xfId="8559"/>
    <cellStyle name="40% - Accent3 17 2 5 2" xfId="15735"/>
    <cellStyle name="40% - Accent3 17 2 6" xfId="10067"/>
    <cellStyle name="40% - Accent3 17 3" xfId="3560"/>
    <cellStyle name="40% - Accent3 17 3 2" xfId="10909"/>
    <cellStyle name="40% - Accent3 17 4" xfId="4968"/>
    <cellStyle name="40% - Accent3 17 4 2" xfId="12254"/>
    <cellStyle name="40% - Accent3 17 5" xfId="6299"/>
    <cellStyle name="40% - Accent3 17 5 2" xfId="13522"/>
    <cellStyle name="40% - Accent3 17 6" xfId="7538"/>
    <cellStyle name="40% - Accent3 17 6 2" xfId="14722"/>
    <cellStyle name="40% - Accent3 17 7" xfId="9046"/>
    <cellStyle name="40% - Accent3 18" xfId="1160"/>
    <cellStyle name="40% - Accent3 18 2" xfId="2512"/>
    <cellStyle name="40% - Accent3 18 2 2" xfId="4873"/>
    <cellStyle name="40% - Accent3 18 2 2 2" xfId="12166"/>
    <cellStyle name="40% - Accent3 18 2 3" xfId="6215"/>
    <cellStyle name="40% - Accent3 18 2 3 2" xfId="13446"/>
    <cellStyle name="40% - Accent3 18 2 4" xfId="7468"/>
    <cellStyle name="40% - Accent3 18 2 4 2" xfId="14655"/>
    <cellStyle name="40% - Accent3 18 2 5" xfId="8572"/>
    <cellStyle name="40% - Accent3 18 2 5 2" xfId="15748"/>
    <cellStyle name="40% - Accent3 18 2 6" xfId="10080"/>
    <cellStyle name="40% - Accent3 18 3" xfId="3596"/>
    <cellStyle name="40% - Accent3 18 3 2" xfId="10942"/>
    <cellStyle name="40% - Accent3 18 4" xfId="5000"/>
    <cellStyle name="40% - Accent3 18 4 2" xfId="12281"/>
    <cellStyle name="40% - Accent3 18 5" xfId="6322"/>
    <cellStyle name="40% - Accent3 18 5 2" xfId="13542"/>
    <cellStyle name="40% - Accent3 18 6" xfId="7551"/>
    <cellStyle name="40% - Accent3 18 6 2" xfId="14735"/>
    <cellStyle name="40% - Accent3 18 7" xfId="9059"/>
    <cellStyle name="40% - Accent3 19" xfId="1201"/>
    <cellStyle name="40% - Accent3 19 2" xfId="2525"/>
    <cellStyle name="40% - Accent3 19 2 2" xfId="4886"/>
    <cellStyle name="40% - Accent3 19 2 2 2" xfId="12179"/>
    <cellStyle name="40% - Accent3 19 2 3" xfId="6228"/>
    <cellStyle name="40% - Accent3 19 2 3 2" xfId="13459"/>
    <cellStyle name="40% - Accent3 19 2 4" xfId="7481"/>
    <cellStyle name="40% - Accent3 19 2 4 2" xfId="14668"/>
    <cellStyle name="40% - Accent3 19 2 5" xfId="8585"/>
    <cellStyle name="40% - Accent3 19 2 5 2" xfId="15761"/>
    <cellStyle name="40% - Accent3 19 2 6" xfId="10093"/>
    <cellStyle name="40% - Accent3 19 3" xfId="3631"/>
    <cellStyle name="40% - Accent3 19 3 2" xfId="10971"/>
    <cellStyle name="40% - Accent3 19 4" xfId="5029"/>
    <cellStyle name="40% - Accent3 19 4 2" xfId="12307"/>
    <cellStyle name="40% - Accent3 19 5" xfId="6346"/>
    <cellStyle name="40% - Accent3 19 5 2" xfId="13563"/>
    <cellStyle name="40% - Accent3 19 6" xfId="7564"/>
    <cellStyle name="40% - Accent3 19 6 2" xfId="14748"/>
    <cellStyle name="40% - Accent3 19 7" xfId="9072"/>
    <cellStyle name="40% - Accent3 2" xfId="36"/>
    <cellStyle name="40% - Accent3 2 10" xfId="3540"/>
    <cellStyle name="40% - Accent3 2 11" xfId="8642"/>
    <cellStyle name="40% - Accent3 2 2" xfId="512"/>
    <cellStyle name="40% - Accent3 2 3" xfId="699"/>
    <cellStyle name="40% - Accent3 2 4" xfId="1288"/>
    <cellStyle name="40% - Accent3 2 5" xfId="1783"/>
    <cellStyle name="40% - Accent3 2 6" xfId="2095"/>
    <cellStyle name="40% - Accent3 2 7" xfId="2618"/>
    <cellStyle name="40% - Accent3 2 8" xfId="3148"/>
    <cellStyle name="40% - Accent3 2 9" xfId="2812"/>
    <cellStyle name="40% - Accent3 20" xfId="1242"/>
    <cellStyle name="40% - Accent3 20 2" xfId="2538"/>
    <cellStyle name="40% - Accent3 20 2 2" xfId="4899"/>
    <cellStyle name="40% - Accent3 20 2 2 2" xfId="12192"/>
    <cellStyle name="40% - Accent3 20 2 3" xfId="6241"/>
    <cellStyle name="40% - Accent3 20 2 3 2" xfId="13472"/>
    <cellStyle name="40% - Accent3 20 2 4" xfId="7494"/>
    <cellStyle name="40% - Accent3 20 2 4 2" xfId="14681"/>
    <cellStyle name="40% - Accent3 20 2 5" xfId="8598"/>
    <cellStyle name="40% - Accent3 20 2 5 2" xfId="15774"/>
    <cellStyle name="40% - Accent3 20 2 6" xfId="10106"/>
    <cellStyle name="40% - Accent3 20 3" xfId="3667"/>
    <cellStyle name="40% - Accent3 20 3 2" xfId="11003"/>
    <cellStyle name="40% - Accent3 20 4" xfId="5059"/>
    <cellStyle name="40% - Accent3 20 4 2" xfId="12334"/>
    <cellStyle name="40% - Accent3 20 5" xfId="6369"/>
    <cellStyle name="40% - Accent3 20 5 2" xfId="13584"/>
    <cellStyle name="40% - Accent3 20 6" xfId="7577"/>
    <cellStyle name="40% - Accent3 20 6 2" xfId="14761"/>
    <cellStyle name="40% - Accent3 20 7" xfId="9085"/>
    <cellStyle name="40% - Accent3 21" xfId="2572"/>
    <cellStyle name="40% - Accent3 21 2" xfId="4927"/>
    <cellStyle name="40% - Accent3 21 2 2" xfId="12216"/>
    <cellStyle name="40% - Accent3 21 3" xfId="6269"/>
    <cellStyle name="40% - Accent3 21 3 2" xfId="13495"/>
    <cellStyle name="40% - Accent3 21 4" xfId="7516"/>
    <cellStyle name="40% - Accent3 21 4 2" xfId="14700"/>
    <cellStyle name="40% - Accent3 21 5" xfId="8611"/>
    <cellStyle name="40% - Accent3 21 5 2" xfId="15787"/>
    <cellStyle name="40% - Accent3 21 6" xfId="10119"/>
    <cellStyle name="40% - Accent3 3" xfId="37"/>
    <cellStyle name="40% - Accent3 3 10" xfId="6253"/>
    <cellStyle name="40% - Accent3 3 11" xfId="8643"/>
    <cellStyle name="40% - Accent3 3 2" xfId="513"/>
    <cellStyle name="40% - Accent3 3 3" xfId="700"/>
    <cellStyle name="40% - Accent3 3 4" xfId="1289"/>
    <cellStyle name="40% - Accent3 3 5" xfId="1607"/>
    <cellStyle name="40% - Accent3 3 6" xfId="2096"/>
    <cellStyle name="40% - Accent3 3 7" xfId="2619"/>
    <cellStyle name="40% - Accent3 3 8" xfId="2986"/>
    <cellStyle name="40% - Accent3 3 9" xfId="3612"/>
    <cellStyle name="40% - Accent3 4" xfId="38"/>
    <cellStyle name="40% - Accent3 4 10" xfId="4983"/>
    <cellStyle name="40% - Accent3 4 11" xfId="8644"/>
    <cellStyle name="40% - Accent3 4 2" xfId="514"/>
    <cellStyle name="40% - Accent3 4 3" xfId="701"/>
    <cellStyle name="40% - Accent3 4 4" xfId="1290"/>
    <cellStyle name="40% - Accent3 4 5" xfId="1495"/>
    <cellStyle name="40% - Accent3 4 6" xfId="2097"/>
    <cellStyle name="40% - Accent3 4 7" xfId="2620"/>
    <cellStyle name="40% - Accent3 4 8" xfId="2937"/>
    <cellStyle name="40% - Accent3 4 9" xfId="3473"/>
    <cellStyle name="40% - Accent3 5" xfId="264"/>
    <cellStyle name="40% - Accent3 5 10" xfId="7103"/>
    <cellStyle name="40% - Accent3 5 11" xfId="8707"/>
    <cellStyle name="40% - Accent3 5 2" xfId="572"/>
    <cellStyle name="40% - Accent3 5 3" xfId="759"/>
    <cellStyle name="40% - Accent3 5 4" xfId="1401"/>
    <cellStyle name="40% - Accent3 5 5" xfId="1473"/>
    <cellStyle name="40% - Accent3 5 6" xfId="2160"/>
    <cellStyle name="40% - Accent3 5 7" xfId="2818"/>
    <cellStyle name="40% - Accent3 5 8" xfId="3213"/>
    <cellStyle name="40% - Accent3 5 9" xfId="5841"/>
    <cellStyle name="40% - Accent3 6" xfId="309"/>
    <cellStyle name="40% - Accent3 7" xfId="350"/>
    <cellStyle name="40% - Accent3 7 10" xfId="5560"/>
    <cellStyle name="40% - Accent3 7 10 2" xfId="12814"/>
    <cellStyle name="40% - Accent3 7 11" xfId="8720"/>
    <cellStyle name="40% - Accent3 7 2" xfId="585"/>
    <cellStyle name="40% - Accent3 7 2 10" xfId="8783"/>
    <cellStyle name="40% - Accent3 7 2 2" xfId="824"/>
    <cellStyle name="40% - Accent3 7 2 2 2" xfId="1724"/>
    <cellStyle name="40% - Accent3 7 2 2 2 2" xfId="4114"/>
    <cellStyle name="40% - Accent3 7 2 2 2 2 2" xfId="11428"/>
    <cellStyle name="40% - Accent3 7 2 2 2 3" xfId="5476"/>
    <cellStyle name="40% - Accent3 7 2 2 2 3 2" xfId="12730"/>
    <cellStyle name="40% - Accent3 7 2 2 2 4" xfId="6748"/>
    <cellStyle name="40% - Accent3 7 2 2 2 4 2" xfId="13950"/>
    <cellStyle name="40% - Accent3 7 2 2 2 5" xfId="7903"/>
    <cellStyle name="40% - Accent3 7 2 2 2 5 2" xfId="15083"/>
    <cellStyle name="40% - Accent3 7 2 2 2 6" xfId="9411"/>
    <cellStyle name="40% - Accent3 7 2 2 3" xfId="1957"/>
    <cellStyle name="40% - Accent3 7 2 2 3 2" xfId="4340"/>
    <cellStyle name="40% - Accent3 7 2 2 3 2 2" xfId="11651"/>
    <cellStyle name="40% - Accent3 7 2 2 3 3" xfId="5696"/>
    <cellStyle name="40% - Accent3 7 2 2 3 3 2" xfId="12948"/>
    <cellStyle name="40% - Accent3 7 2 2 3 4" xfId="6965"/>
    <cellStyle name="40% - Accent3 7 2 2 3 4 2" xfId="14166"/>
    <cellStyle name="40% - Accent3 7 2 2 3 5" xfId="8109"/>
    <cellStyle name="40% - Accent3 7 2 2 3 5 2" xfId="15289"/>
    <cellStyle name="40% - Accent3 7 2 2 3 6" xfId="9617"/>
    <cellStyle name="40% - Accent3 7 2 2 4" xfId="2366"/>
    <cellStyle name="40% - Accent3 7 2 2 4 2" xfId="4728"/>
    <cellStyle name="40% - Accent3 7 2 2 4 2 2" xfId="12023"/>
    <cellStyle name="40% - Accent3 7 2 2 4 3" xfId="6069"/>
    <cellStyle name="40% - Accent3 7 2 2 4 3 2" xfId="13303"/>
    <cellStyle name="40% - Accent3 7 2 2 4 4" xfId="7322"/>
    <cellStyle name="40% - Accent3 7 2 2 4 4 2" xfId="14512"/>
    <cellStyle name="40% - Accent3 7 2 2 4 5" xfId="8429"/>
    <cellStyle name="40% - Accent3 7 2 2 4 5 2" xfId="15605"/>
    <cellStyle name="40% - Accent3 7 2 2 4 6" xfId="9937"/>
    <cellStyle name="40% - Accent3 7 2 2 5" xfId="3305"/>
    <cellStyle name="40% - Accent3 7 2 2 5 2" xfId="10678"/>
    <cellStyle name="40% - Accent3 7 2 2 6" xfId="3712"/>
    <cellStyle name="40% - Accent3 7 2 2 6 2" xfId="11046"/>
    <cellStyle name="40% - Accent3 7 2 2 7" xfId="2680"/>
    <cellStyle name="40% - Accent3 7 2 2 7 2" xfId="10178"/>
    <cellStyle name="40% - Accent3 7 2 2 8" xfId="2908"/>
    <cellStyle name="40% - Accent3 7 2 2 8 2" xfId="10332"/>
    <cellStyle name="40% - Accent3 7 2 2 9" xfId="8913"/>
    <cellStyle name="40% - Accent3 7 2 3" xfId="1561"/>
    <cellStyle name="40% - Accent3 7 2 3 2" xfId="3952"/>
    <cellStyle name="40% - Accent3 7 2 3 2 2" xfId="11269"/>
    <cellStyle name="40% - Accent3 7 2 3 3" xfId="5318"/>
    <cellStyle name="40% - Accent3 7 2 3 3 2" xfId="12576"/>
    <cellStyle name="40% - Accent3 7 2 3 4" xfId="6591"/>
    <cellStyle name="40% - Accent3 7 2 3 4 2" xfId="13796"/>
    <cellStyle name="40% - Accent3 7 2 3 5" xfId="7750"/>
    <cellStyle name="40% - Accent3 7 2 3 5 2" xfId="14930"/>
    <cellStyle name="40% - Accent3 7 2 3 6" xfId="9258"/>
    <cellStyle name="40% - Accent3 7 2 4" xfId="1530"/>
    <cellStyle name="40% - Accent3 7 2 4 2" xfId="3923"/>
    <cellStyle name="40% - Accent3 7 2 4 2 2" xfId="11241"/>
    <cellStyle name="40% - Accent3 7 2 4 3" xfId="5290"/>
    <cellStyle name="40% - Accent3 7 2 4 3 2" xfId="12549"/>
    <cellStyle name="40% - Accent3 7 2 4 4" xfId="6563"/>
    <cellStyle name="40% - Accent3 7 2 4 4 2" xfId="13769"/>
    <cellStyle name="40% - Accent3 7 2 4 5" xfId="7723"/>
    <cellStyle name="40% - Accent3 7 2 4 5 2" xfId="14903"/>
    <cellStyle name="40% - Accent3 7 2 4 6" xfId="9231"/>
    <cellStyle name="40% - Accent3 7 2 5" xfId="2236"/>
    <cellStyle name="40% - Accent3 7 2 5 2" xfId="4598"/>
    <cellStyle name="40% - Accent3 7 2 5 2 2" xfId="11896"/>
    <cellStyle name="40% - Accent3 7 2 5 3" xfId="5939"/>
    <cellStyle name="40% - Accent3 7 2 5 3 2" xfId="13176"/>
    <cellStyle name="40% - Accent3 7 2 5 4" xfId="7192"/>
    <cellStyle name="40% - Accent3 7 2 5 4 2" xfId="14385"/>
    <cellStyle name="40% - Accent3 7 2 5 5" xfId="8302"/>
    <cellStyle name="40% - Accent3 7 2 5 5 2" xfId="15478"/>
    <cellStyle name="40% - Accent3 7 2 5 6" xfId="9810"/>
    <cellStyle name="40% - Accent3 7 2 6" xfId="3089"/>
    <cellStyle name="40% - Accent3 7 2 6 2" xfId="10486"/>
    <cellStyle name="40% - Accent3 7 2 7" xfId="2669"/>
    <cellStyle name="40% - Accent3 7 2 7 2" xfId="10169"/>
    <cellStyle name="40% - Accent3 7 2 8" xfId="2839"/>
    <cellStyle name="40% - Accent3 7 2 8 2" xfId="10267"/>
    <cellStyle name="40% - Accent3 7 2 9" xfId="2869"/>
    <cellStyle name="40% - Accent3 7 2 9 2" xfId="10295"/>
    <cellStyle name="40% - Accent3 7 3" xfId="772"/>
    <cellStyle name="40% - Accent3 7 3 2" xfId="1672"/>
    <cellStyle name="40% - Accent3 7 3 2 2" xfId="4062"/>
    <cellStyle name="40% - Accent3 7 3 2 2 2" xfId="11376"/>
    <cellStyle name="40% - Accent3 7 3 2 3" xfId="5424"/>
    <cellStyle name="40% - Accent3 7 3 2 3 2" xfId="12678"/>
    <cellStyle name="40% - Accent3 7 3 2 4" xfId="6696"/>
    <cellStyle name="40% - Accent3 7 3 2 4 2" xfId="13898"/>
    <cellStyle name="40% - Accent3 7 3 2 5" xfId="7851"/>
    <cellStyle name="40% - Accent3 7 3 2 5 2" xfId="15031"/>
    <cellStyle name="40% - Accent3 7 3 2 6" xfId="9359"/>
    <cellStyle name="40% - Accent3 7 3 3" xfId="1905"/>
    <cellStyle name="40% - Accent3 7 3 3 2" xfId="4288"/>
    <cellStyle name="40% - Accent3 7 3 3 2 2" xfId="11599"/>
    <cellStyle name="40% - Accent3 7 3 3 3" xfId="5644"/>
    <cellStyle name="40% - Accent3 7 3 3 3 2" xfId="12896"/>
    <cellStyle name="40% - Accent3 7 3 3 4" xfId="6913"/>
    <cellStyle name="40% - Accent3 7 3 3 4 2" xfId="14114"/>
    <cellStyle name="40% - Accent3 7 3 3 5" xfId="8057"/>
    <cellStyle name="40% - Accent3 7 3 3 5 2" xfId="15237"/>
    <cellStyle name="40% - Accent3 7 3 3 6" xfId="9565"/>
    <cellStyle name="40% - Accent3 7 3 4" xfId="2314"/>
    <cellStyle name="40% - Accent3 7 3 4 2" xfId="4676"/>
    <cellStyle name="40% - Accent3 7 3 4 2 2" xfId="11971"/>
    <cellStyle name="40% - Accent3 7 3 4 3" xfId="6017"/>
    <cellStyle name="40% - Accent3 7 3 4 3 2" xfId="13251"/>
    <cellStyle name="40% - Accent3 7 3 4 4" xfId="7270"/>
    <cellStyle name="40% - Accent3 7 3 4 4 2" xfId="14460"/>
    <cellStyle name="40% - Accent3 7 3 4 5" xfId="8377"/>
    <cellStyle name="40% - Accent3 7 3 4 5 2" xfId="15553"/>
    <cellStyle name="40% - Accent3 7 3 4 6" xfId="9885"/>
    <cellStyle name="40% - Accent3 7 3 5" xfId="3253"/>
    <cellStyle name="40% - Accent3 7 3 5 2" xfId="10626"/>
    <cellStyle name="40% - Accent3 7 3 6" xfId="2853"/>
    <cellStyle name="40% - Accent3 7 3 6 2" xfId="10280"/>
    <cellStyle name="40% - Accent3 7 3 7" xfId="3136"/>
    <cellStyle name="40% - Accent3 7 3 7 2" xfId="10533"/>
    <cellStyle name="40% - Accent3 7 3 8" xfId="4462"/>
    <cellStyle name="40% - Accent3 7 3 8 2" xfId="11770"/>
    <cellStyle name="40% - Accent3 7 3 9" xfId="8861"/>
    <cellStyle name="40% - Accent3 7 4" xfId="1439"/>
    <cellStyle name="40% - Accent3 7 4 2" xfId="3836"/>
    <cellStyle name="40% - Accent3 7 4 2 2" xfId="11157"/>
    <cellStyle name="40% - Accent3 7 4 3" xfId="5204"/>
    <cellStyle name="40% - Accent3 7 4 3 2" xfId="12466"/>
    <cellStyle name="40% - Accent3 7 4 4" xfId="6480"/>
    <cellStyle name="40% - Accent3 7 4 4 2" xfId="13689"/>
    <cellStyle name="40% - Accent3 7 4 5" xfId="7648"/>
    <cellStyle name="40% - Accent3 7 4 5 2" xfId="14828"/>
    <cellStyle name="40% - Accent3 7 4 6" xfId="9156"/>
    <cellStyle name="40% - Accent3 7 5" xfId="1804"/>
    <cellStyle name="40% - Accent3 7 5 2" xfId="4193"/>
    <cellStyle name="40% - Accent3 7 5 2 2" xfId="11506"/>
    <cellStyle name="40% - Accent3 7 5 3" xfId="5553"/>
    <cellStyle name="40% - Accent3 7 5 3 2" xfId="12807"/>
    <cellStyle name="40% - Accent3 7 5 4" xfId="6825"/>
    <cellStyle name="40% - Accent3 7 5 4 2" xfId="14027"/>
    <cellStyle name="40% - Accent3 7 5 5" xfId="7976"/>
    <cellStyle name="40% - Accent3 7 5 5 2" xfId="15156"/>
    <cellStyle name="40% - Accent3 7 5 6" xfId="9484"/>
    <cellStyle name="40% - Accent3 7 6" xfId="2173"/>
    <cellStyle name="40% - Accent3 7 6 2" xfId="4535"/>
    <cellStyle name="40% - Accent3 7 6 2 2" xfId="11834"/>
    <cellStyle name="40% - Accent3 7 6 3" xfId="5877"/>
    <cellStyle name="40% - Accent3 7 6 3 2" xfId="13114"/>
    <cellStyle name="40% - Accent3 7 6 4" xfId="7130"/>
    <cellStyle name="40% - Accent3 7 6 4 2" xfId="14323"/>
    <cellStyle name="40% - Accent3 7 6 5" xfId="8240"/>
    <cellStyle name="40% - Accent3 7 6 5 2" xfId="15416"/>
    <cellStyle name="40% - Accent3 7 6 6" xfId="9748"/>
    <cellStyle name="40% - Accent3 7 7" xfId="2887"/>
    <cellStyle name="40% - Accent3 7 7 2" xfId="10311"/>
    <cellStyle name="40% - Accent3 7 8" xfId="3143"/>
    <cellStyle name="40% - Accent3 7 8 2" xfId="10539"/>
    <cellStyle name="40% - Accent3 7 9" xfId="3020"/>
    <cellStyle name="40% - Accent3 7 9 2" xfId="10430"/>
    <cellStyle name="40% - Accent3 8" xfId="391"/>
    <cellStyle name="40% - Accent3 8 10" xfId="3431"/>
    <cellStyle name="40% - Accent3 8 10 2" xfId="10795"/>
    <cellStyle name="40% - Accent3 8 11" xfId="8733"/>
    <cellStyle name="40% - Accent3 8 2" xfId="598"/>
    <cellStyle name="40% - Accent3 8 2 10" xfId="8796"/>
    <cellStyle name="40% - Accent3 8 2 2" xfId="837"/>
    <cellStyle name="40% - Accent3 8 2 2 2" xfId="1737"/>
    <cellStyle name="40% - Accent3 8 2 2 2 2" xfId="4127"/>
    <cellStyle name="40% - Accent3 8 2 2 2 2 2" xfId="11441"/>
    <cellStyle name="40% - Accent3 8 2 2 2 3" xfId="5489"/>
    <cellStyle name="40% - Accent3 8 2 2 2 3 2" xfId="12743"/>
    <cellStyle name="40% - Accent3 8 2 2 2 4" xfId="6761"/>
    <cellStyle name="40% - Accent3 8 2 2 2 4 2" xfId="13963"/>
    <cellStyle name="40% - Accent3 8 2 2 2 5" xfId="7916"/>
    <cellStyle name="40% - Accent3 8 2 2 2 5 2" xfId="15096"/>
    <cellStyle name="40% - Accent3 8 2 2 2 6" xfId="9424"/>
    <cellStyle name="40% - Accent3 8 2 2 3" xfId="1970"/>
    <cellStyle name="40% - Accent3 8 2 2 3 2" xfId="4353"/>
    <cellStyle name="40% - Accent3 8 2 2 3 2 2" xfId="11664"/>
    <cellStyle name="40% - Accent3 8 2 2 3 3" xfId="5709"/>
    <cellStyle name="40% - Accent3 8 2 2 3 3 2" xfId="12961"/>
    <cellStyle name="40% - Accent3 8 2 2 3 4" xfId="6978"/>
    <cellStyle name="40% - Accent3 8 2 2 3 4 2" xfId="14179"/>
    <cellStyle name="40% - Accent3 8 2 2 3 5" xfId="8122"/>
    <cellStyle name="40% - Accent3 8 2 2 3 5 2" xfId="15302"/>
    <cellStyle name="40% - Accent3 8 2 2 3 6" xfId="9630"/>
    <cellStyle name="40% - Accent3 8 2 2 4" xfId="2379"/>
    <cellStyle name="40% - Accent3 8 2 2 4 2" xfId="4741"/>
    <cellStyle name="40% - Accent3 8 2 2 4 2 2" xfId="12036"/>
    <cellStyle name="40% - Accent3 8 2 2 4 3" xfId="6082"/>
    <cellStyle name="40% - Accent3 8 2 2 4 3 2" xfId="13316"/>
    <cellStyle name="40% - Accent3 8 2 2 4 4" xfId="7335"/>
    <cellStyle name="40% - Accent3 8 2 2 4 4 2" xfId="14525"/>
    <cellStyle name="40% - Accent3 8 2 2 4 5" xfId="8442"/>
    <cellStyle name="40% - Accent3 8 2 2 4 5 2" xfId="15618"/>
    <cellStyle name="40% - Accent3 8 2 2 4 6" xfId="9950"/>
    <cellStyle name="40% - Accent3 8 2 2 5" xfId="3318"/>
    <cellStyle name="40% - Accent3 8 2 2 5 2" xfId="10691"/>
    <cellStyle name="40% - Accent3 8 2 2 6" xfId="3244"/>
    <cellStyle name="40% - Accent3 8 2 2 6 2" xfId="10617"/>
    <cellStyle name="40% - Accent3 8 2 2 7" xfId="5868"/>
    <cellStyle name="40% - Accent3 8 2 2 7 2" xfId="13105"/>
    <cellStyle name="40% - Accent3 8 2 2 8" xfId="7122"/>
    <cellStyle name="40% - Accent3 8 2 2 8 2" xfId="14315"/>
    <cellStyle name="40% - Accent3 8 2 2 9" xfId="8926"/>
    <cellStyle name="40% - Accent3 8 2 3" xfId="1574"/>
    <cellStyle name="40% - Accent3 8 2 3 2" xfId="3965"/>
    <cellStyle name="40% - Accent3 8 2 3 2 2" xfId="11282"/>
    <cellStyle name="40% - Accent3 8 2 3 3" xfId="5331"/>
    <cellStyle name="40% - Accent3 8 2 3 3 2" xfId="12589"/>
    <cellStyle name="40% - Accent3 8 2 3 4" xfId="6604"/>
    <cellStyle name="40% - Accent3 8 2 3 4 2" xfId="13809"/>
    <cellStyle name="40% - Accent3 8 2 3 5" xfId="7763"/>
    <cellStyle name="40% - Accent3 8 2 3 5 2" xfId="14943"/>
    <cellStyle name="40% - Accent3 8 2 3 6" xfId="9271"/>
    <cellStyle name="40% - Accent3 8 2 4" xfId="1273"/>
    <cellStyle name="40% - Accent3 8 2 4 2" xfId="3690"/>
    <cellStyle name="40% - Accent3 8 2 4 2 2" xfId="11025"/>
    <cellStyle name="40% - Accent3 8 2 4 3" xfId="5082"/>
    <cellStyle name="40% - Accent3 8 2 4 3 2" xfId="12355"/>
    <cellStyle name="40% - Accent3 8 2 4 4" xfId="6387"/>
    <cellStyle name="40% - Accent3 8 2 4 4 2" xfId="13601"/>
    <cellStyle name="40% - Accent3 8 2 4 5" xfId="7587"/>
    <cellStyle name="40% - Accent3 8 2 4 5 2" xfId="14771"/>
    <cellStyle name="40% - Accent3 8 2 4 6" xfId="9095"/>
    <cellStyle name="40% - Accent3 8 2 5" xfId="2249"/>
    <cellStyle name="40% - Accent3 8 2 5 2" xfId="4611"/>
    <cellStyle name="40% - Accent3 8 2 5 2 2" xfId="11909"/>
    <cellStyle name="40% - Accent3 8 2 5 3" xfId="5952"/>
    <cellStyle name="40% - Accent3 8 2 5 3 2" xfId="13189"/>
    <cellStyle name="40% - Accent3 8 2 5 4" xfId="7205"/>
    <cellStyle name="40% - Accent3 8 2 5 4 2" xfId="14398"/>
    <cellStyle name="40% - Accent3 8 2 5 5" xfId="8315"/>
    <cellStyle name="40% - Accent3 8 2 5 5 2" xfId="15491"/>
    <cellStyle name="40% - Accent3 8 2 5 6" xfId="9823"/>
    <cellStyle name="40% - Accent3 8 2 6" xfId="3102"/>
    <cellStyle name="40% - Accent3 8 2 6 2" xfId="10499"/>
    <cellStyle name="40% - Accent3 8 2 7" xfId="3165"/>
    <cellStyle name="40% - Accent3 8 2 7 2" xfId="10557"/>
    <cellStyle name="40% - Accent3 8 2 8" xfId="3017"/>
    <cellStyle name="40% - Accent3 8 2 8 2" xfId="10428"/>
    <cellStyle name="40% - Accent3 8 2 9" xfId="5182"/>
    <cellStyle name="40% - Accent3 8 2 9 2" xfId="12444"/>
    <cellStyle name="40% - Accent3 8 3" xfId="785"/>
    <cellStyle name="40% - Accent3 8 3 2" xfId="1685"/>
    <cellStyle name="40% - Accent3 8 3 2 2" xfId="4075"/>
    <cellStyle name="40% - Accent3 8 3 2 2 2" xfId="11389"/>
    <cellStyle name="40% - Accent3 8 3 2 3" xfId="5437"/>
    <cellStyle name="40% - Accent3 8 3 2 3 2" xfId="12691"/>
    <cellStyle name="40% - Accent3 8 3 2 4" xfId="6709"/>
    <cellStyle name="40% - Accent3 8 3 2 4 2" xfId="13911"/>
    <cellStyle name="40% - Accent3 8 3 2 5" xfId="7864"/>
    <cellStyle name="40% - Accent3 8 3 2 5 2" xfId="15044"/>
    <cellStyle name="40% - Accent3 8 3 2 6" xfId="9372"/>
    <cellStyle name="40% - Accent3 8 3 3" xfId="1918"/>
    <cellStyle name="40% - Accent3 8 3 3 2" xfId="4301"/>
    <cellStyle name="40% - Accent3 8 3 3 2 2" xfId="11612"/>
    <cellStyle name="40% - Accent3 8 3 3 3" xfId="5657"/>
    <cellStyle name="40% - Accent3 8 3 3 3 2" xfId="12909"/>
    <cellStyle name="40% - Accent3 8 3 3 4" xfId="6926"/>
    <cellStyle name="40% - Accent3 8 3 3 4 2" xfId="14127"/>
    <cellStyle name="40% - Accent3 8 3 3 5" xfId="8070"/>
    <cellStyle name="40% - Accent3 8 3 3 5 2" xfId="15250"/>
    <cellStyle name="40% - Accent3 8 3 3 6" xfId="9578"/>
    <cellStyle name="40% - Accent3 8 3 4" xfId="2327"/>
    <cellStyle name="40% - Accent3 8 3 4 2" xfId="4689"/>
    <cellStyle name="40% - Accent3 8 3 4 2 2" xfId="11984"/>
    <cellStyle name="40% - Accent3 8 3 4 3" xfId="6030"/>
    <cellStyle name="40% - Accent3 8 3 4 3 2" xfId="13264"/>
    <cellStyle name="40% - Accent3 8 3 4 4" xfId="7283"/>
    <cellStyle name="40% - Accent3 8 3 4 4 2" xfId="14473"/>
    <cellStyle name="40% - Accent3 8 3 4 5" xfId="8390"/>
    <cellStyle name="40% - Accent3 8 3 4 5 2" xfId="15566"/>
    <cellStyle name="40% - Accent3 8 3 4 6" xfId="9898"/>
    <cellStyle name="40% - Accent3 8 3 5" xfId="3266"/>
    <cellStyle name="40% - Accent3 8 3 5 2" xfId="10639"/>
    <cellStyle name="40% - Accent3 8 3 6" xfId="3421"/>
    <cellStyle name="40% - Accent3 8 3 6 2" xfId="10785"/>
    <cellStyle name="40% - Accent3 8 3 7" xfId="4938"/>
    <cellStyle name="40% - Accent3 8 3 7 2" xfId="12227"/>
    <cellStyle name="40% - Accent3 8 3 8" xfId="3586"/>
    <cellStyle name="40% - Accent3 8 3 8 2" xfId="10932"/>
    <cellStyle name="40% - Accent3 8 3 9" xfId="8874"/>
    <cellStyle name="40% - Accent3 8 4" xfId="1463"/>
    <cellStyle name="40% - Accent3 8 4 2" xfId="3858"/>
    <cellStyle name="40% - Accent3 8 4 2 2" xfId="11179"/>
    <cellStyle name="40% - Accent3 8 4 3" xfId="5228"/>
    <cellStyle name="40% - Accent3 8 4 3 2" xfId="12488"/>
    <cellStyle name="40% - Accent3 8 4 4" xfId="6502"/>
    <cellStyle name="40% - Accent3 8 4 4 2" xfId="13709"/>
    <cellStyle name="40% - Accent3 8 4 5" xfId="7666"/>
    <cellStyle name="40% - Accent3 8 4 5 2" xfId="14846"/>
    <cellStyle name="40% - Accent3 8 4 6" xfId="9174"/>
    <cellStyle name="40% - Accent3 8 5" xfId="1310"/>
    <cellStyle name="40% - Accent3 8 5 2" xfId="3724"/>
    <cellStyle name="40% - Accent3 8 5 2 2" xfId="11058"/>
    <cellStyle name="40% - Accent3 8 5 3" xfId="5112"/>
    <cellStyle name="40% - Accent3 8 5 3 2" xfId="12384"/>
    <cellStyle name="40% - Accent3 8 5 4" xfId="6411"/>
    <cellStyle name="40% - Accent3 8 5 4 2" xfId="13625"/>
    <cellStyle name="40% - Accent3 8 5 5" xfId="7600"/>
    <cellStyle name="40% - Accent3 8 5 5 2" xfId="14784"/>
    <cellStyle name="40% - Accent3 8 5 6" xfId="9108"/>
    <cellStyle name="40% - Accent3 8 6" xfId="2186"/>
    <cellStyle name="40% - Accent3 8 6 2" xfId="4548"/>
    <cellStyle name="40% - Accent3 8 6 2 2" xfId="11847"/>
    <cellStyle name="40% - Accent3 8 6 3" xfId="5890"/>
    <cellStyle name="40% - Accent3 8 6 3 2" xfId="13127"/>
    <cellStyle name="40% - Accent3 8 6 4" xfId="7143"/>
    <cellStyle name="40% - Accent3 8 6 4 2" xfId="14336"/>
    <cellStyle name="40% - Accent3 8 6 5" xfId="8253"/>
    <cellStyle name="40% - Accent3 8 6 5 2" xfId="15429"/>
    <cellStyle name="40% - Accent3 8 6 6" xfId="9761"/>
    <cellStyle name="40% - Accent3 8 7" xfId="2923"/>
    <cellStyle name="40% - Accent3 8 7 2" xfId="10345"/>
    <cellStyle name="40% - Accent3 8 8" xfId="3137"/>
    <cellStyle name="40% - Accent3 8 8 2" xfId="10534"/>
    <cellStyle name="40% - Accent3 8 9" xfId="3692"/>
    <cellStyle name="40% - Accent3 8 9 2" xfId="11027"/>
    <cellStyle name="40% - Accent3 9" xfId="432"/>
    <cellStyle name="40% - Accent3 9 10" xfId="5057"/>
    <cellStyle name="40% - Accent3 9 10 2" xfId="12332"/>
    <cellStyle name="40% - Accent3 9 11" xfId="8746"/>
    <cellStyle name="40% - Accent3 9 2" xfId="611"/>
    <cellStyle name="40% - Accent3 9 2 10" xfId="8809"/>
    <cellStyle name="40% - Accent3 9 2 2" xfId="850"/>
    <cellStyle name="40% - Accent3 9 2 2 2" xfId="1750"/>
    <cellStyle name="40% - Accent3 9 2 2 2 2" xfId="4140"/>
    <cellStyle name="40% - Accent3 9 2 2 2 2 2" xfId="11454"/>
    <cellStyle name="40% - Accent3 9 2 2 2 3" xfId="5502"/>
    <cellStyle name="40% - Accent3 9 2 2 2 3 2" xfId="12756"/>
    <cellStyle name="40% - Accent3 9 2 2 2 4" xfId="6774"/>
    <cellStyle name="40% - Accent3 9 2 2 2 4 2" xfId="13976"/>
    <cellStyle name="40% - Accent3 9 2 2 2 5" xfId="7929"/>
    <cellStyle name="40% - Accent3 9 2 2 2 5 2" xfId="15109"/>
    <cellStyle name="40% - Accent3 9 2 2 2 6" xfId="9437"/>
    <cellStyle name="40% - Accent3 9 2 2 3" xfId="1983"/>
    <cellStyle name="40% - Accent3 9 2 2 3 2" xfId="4366"/>
    <cellStyle name="40% - Accent3 9 2 2 3 2 2" xfId="11677"/>
    <cellStyle name="40% - Accent3 9 2 2 3 3" xfId="5722"/>
    <cellStyle name="40% - Accent3 9 2 2 3 3 2" xfId="12974"/>
    <cellStyle name="40% - Accent3 9 2 2 3 4" xfId="6991"/>
    <cellStyle name="40% - Accent3 9 2 2 3 4 2" xfId="14192"/>
    <cellStyle name="40% - Accent3 9 2 2 3 5" xfId="8135"/>
    <cellStyle name="40% - Accent3 9 2 2 3 5 2" xfId="15315"/>
    <cellStyle name="40% - Accent3 9 2 2 3 6" xfId="9643"/>
    <cellStyle name="40% - Accent3 9 2 2 4" xfId="2392"/>
    <cellStyle name="40% - Accent3 9 2 2 4 2" xfId="4754"/>
    <cellStyle name="40% - Accent3 9 2 2 4 2 2" xfId="12049"/>
    <cellStyle name="40% - Accent3 9 2 2 4 3" xfId="6095"/>
    <cellStyle name="40% - Accent3 9 2 2 4 3 2" xfId="13329"/>
    <cellStyle name="40% - Accent3 9 2 2 4 4" xfId="7348"/>
    <cellStyle name="40% - Accent3 9 2 2 4 4 2" xfId="14538"/>
    <cellStyle name="40% - Accent3 9 2 2 4 5" xfId="8455"/>
    <cellStyle name="40% - Accent3 9 2 2 4 5 2" xfId="15631"/>
    <cellStyle name="40% - Accent3 9 2 2 4 6" xfId="9963"/>
    <cellStyle name="40% - Accent3 9 2 2 5" xfId="3331"/>
    <cellStyle name="40% - Accent3 9 2 2 5 2" xfId="10704"/>
    <cellStyle name="40% - Accent3 9 2 2 6" xfId="3810"/>
    <cellStyle name="40% - Accent3 9 2 2 6 2" xfId="11132"/>
    <cellStyle name="40% - Accent3 9 2 2 7" xfId="2968"/>
    <cellStyle name="40% - Accent3 9 2 2 7 2" xfId="10385"/>
    <cellStyle name="40% - Accent3 9 2 2 8" xfId="4917"/>
    <cellStyle name="40% - Accent3 9 2 2 8 2" xfId="12206"/>
    <cellStyle name="40% - Accent3 9 2 2 9" xfId="8939"/>
    <cellStyle name="40% - Accent3 9 2 3" xfId="1587"/>
    <cellStyle name="40% - Accent3 9 2 3 2" xfId="3978"/>
    <cellStyle name="40% - Accent3 9 2 3 2 2" xfId="11295"/>
    <cellStyle name="40% - Accent3 9 2 3 3" xfId="5344"/>
    <cellStyle name="40% - Accent3 9 2 3 3 2" xfId="12602"/>
    <cellStyle name="40% - Accent3 9 2 3 4" xfId="6617"/>
    <cellStyle name="40% - Accent3 9 2 3 4 2" xfId="13822"/>
    <cellStyle name="40% - Accent3 9 2 3 5" xfId="7776"/>
    <cellStyle name="40% - Accent3 9 2 3 5 2" xfId="14956"/>
    <cellStyle name="40% - Accent3 9 2 3 6" xfId="9284"/>
    <cellStyle name="40% - Accent3 9 2 4" xfId="1551"/>
    <cellStyle name="40% - Accent3 9 2 4 2" xfId="3942"/>
    <cellStyle name="40% - Accent3 9 2 4 2 2" xfId="11259"/>
    <cellStyle name="40% - Accent3 9 2 4 3" xfId="5308"/>
    <cellStyle name="40% - Accent3 9 2 4 3 2" xfId="12566"/>
    <cellStyle name="40% - Accent3 9 2 4 4" xfId="6581"/>
    <cellStyle name="40% - Accent3 9 2 4 4 2" xfId="13786"/>
    <cellStyle name="40% - Accent3 9 2 4 5" xfId="7740"/>
    <cellStyle name="40% - Accent3 9 2 4 5 2" xfId="14920"/>
    <cellStyle name="40% - Accent3 9 2 4 6" xfId="9248"/>
    <cellStyle name="40% - Accent3 9 2 5" xfId="2262"/>
    <cellStyle name="40% - Accent3 9 2 5 2" xfId="4624"/>
    <cellStyle name="40% - Accent3 9 2 5 2 2" xfId="11922"/>
    <cellStyle name="40% - Accent3 9 2 5 3" xfId="5965"/>
    <cellStyle name="40% - Accent3 9 2 5 3 2" xfId="13202"/>
    <cellStyle name="40% - Accent3 9 2 5 4" xfId="7218"/>
    <cellStyle name="40% - Accent3 9 2 5 4 2" xfId="14411"/>
    <cellStyle name="40% - Accent3 9 2 5 5" xfId="8328"/>
    <cellStyle name="40% - Accent3 9 2 5 5 2" xfId="15504"/>
    <cellStyle name="40% - Accent3 9 2 5 6" xfId="9836"/>
    <cellStyle name="40% - Accent3 9 2 6" xfId="3115"/>
    <cellStyle name="40% - Accent3 9 2 6 2" xfId="10512"/>
    <cellStyle name="40% - Accent3 9 2 7" xfId="3632"/>
    <cellStyle name="40% - Accent3 9 2 7 2" xfId="10972"/>
    <cellStyle name="40% - Accent3 9 2 8" xfId="6270"/>
    <cellStyle name="40% - Accent3 9 2 8 2" xfId="13496"/>
    <cellStyle name="40% - Accent3 9 2 9" xfId="7517"/>
    <cellStyle name="40% - Accent3 9 2 9 2" xfId="14701"/>
    <cellStyle name="40% - Accent3 9 3" xfId="798"/>
    <cellStyle name="40% - Accent3 9 3 2" xfId="1698"/>
    <cellStyle name="40% - Accent3 9 3 2 2" xfId="4088"/>
    <cellStyle name="40% - Accent3 9 3 2 2 2" xfId="11402"/>
    <cellStyle name="40% - Accent3 9 3 2 3" xfId="5450"/>
    <cellStyle name="40% - Accent3 9 3 2 3 2" xfId="12704"/>
    <cellStyle name="40% - Accent3 9 3 2 4" xfId="6722"/>
    <cellStyle name="40% - Accent3 9 3 2 4 2" xfId="13924"/>
    <cellStyle name="40% - Accent3 9 3 2 5" xfId="7877"/>
    <cellStyle name="40% - Accent3 9 3 2 5 2" xfId="15057"/>
    <cellStyle name="40% - Accent3 9 3 2 6" xfId="9385"/>
    <cellStyle name="40% - Accent3 9 3 3" xfId="1931"/>
    <cellStyle name="40% - Accent3 9 3 3 2" xfId="4314"/>
    <cellStyle name="40% - Accent3 9 3 3 2 2" xfId="11625"/>
    <cellStyle name="40% - Accent3 9 3 3 3" xfId="5670"/>
    <cellStyle name="40% - Accent3 9 3 3 3 2" xfId="12922"/>
    <cellStyle name="40% - Accent3 9 3 3 4" xfId="6939"/>
    <cellStyle name="40% - Accent3 9 3 3 4 2" xfId="14140"/>
    <cellStyle name="40% - Accent3 9 3 3 5" xfId="8083"/>
    <cellStyle name="40% - Accent3 9 3 3 5 2" xfId="15263"/>
    <cellStyle name="40% - Accent3 9 3 3 6" xfId="9591"/>
    <cellStyle name="40% - Accent3 9 3 4" xfId="2340"/>
    <cellStyle name="40% - Accent3 9 3 4 2" xfId="4702"/>
    <cellStyle name="40% - Accent3 9 3 4 2 2" xfId="11997"/>
    <cellStyle name="40% - Accent3 9 3 4 3" xfId="6043"/>
    <cellStyle name="40% - Accent3 9 3 4 3 2" xfId="13277"/>
    <cellStyle name="40% - Accent3 9 3 4 4" xfId="7296"/>
    <cellStyle name="40% - Accent3 9 3 4 4 2" xfId="14486"/>
    <cellStyle name="40% - Accent3 9 3 4 5" xfId="8403"/>
    <cellStyle name="40% - Accent3 9 3 4 5 2" xfId="15579"/>
    <cellStyle name="40% - Accent3 9 3 4 6" xfId="9911"/>
    <cellStyle name="40% - Accent3 9 3 5" xfId="3279"/>
    <cellStyle name="40% - Accent3 9 3 5 2" xfId="10652"/>
    <cellStyle name="40% - Accent3 9 3 6" xfId="3660"/>
    <cellStyle name="40% - Accent3 9 3 6 2" xfId="10996"/>
    <cellStyle name="40% - Accent3 9 3 7" xfId="3402"/>
    <cellStyle name="40% - Accent3 9 3 7 2" xfId="10770"/>
    <cellStyle name="40% - Accent3 9 3 8" xfId="3073"/>
    <cellStyle name="40% - Accent3 9 3 8 2" xfId="10470"/>
    <cellStyle name="40% - Accent3 9 3 9" xfId="8887"/>
    <cellStyle name="40% - Accent3 9 4" xfId="1484"/>
    <cellStyle name="40% - Accent3 9 4 2" xfId="3878"/>
    <cellStyle name="40% - Accent3 9 4 2 2" xfId="11198"/>
    <cellStyle name="40% - Accent3 9 4 3" xfId="5247"/>
    <cellStyle name="40% - Accent3 9 4 3 2" xfId="12507"/>
    <cellStyle name="40% - Accent3 9 4 4" xfId="6520"/>
    <cellStyle name="40% - Accent3 9 4 4 2" xfId="13727"/>
    <cellStyle name="40% - Accent3 9 4 5" xfId="7682"/>
    <cellStyle name="40% - Accent3 9 4 5 2" xfId="14862"/>
    <cellStyle name="40% - Accent3 9 4 6" xfId="9190"/>
    <cellStyle name="40% - Accent3 9 5" xfId="1428"/>
    <cellStyle name="40% - Accent3 9 5 2" xfId="3825"/>
    <cellStyle name="40% - Accent3 9 5 2 2" xfId="11146"/>
    <cellStyle name="40% - Accent3 9 5 3" xfId="5195"/>
    <cellStyle name="40% - Accent3 9 5 3 2" xfId="12457"/>
    <cellStyle name="40% - Accent3 9 5 4" xfId="6471"/>
    <cellStyle name="40% - Accent3 9 5 4 2" xfId="13680"/>
    <cellStyle name="40% - Accent3 9 5 5" xfId="7640"/>
    <cellStyle name="40% - Accent3 9 5 5 2" xfId="14820"/>
    <cellStyle name="40% - Accent3 9 5 6" xfId="9148"/>
    <cellStyle name="40% - Accent3 9 6" xfId="2199"/>
    <cellStyle name="40% - Accent3 9 6 2" xfId="4561"/>
    <cellStyle name="40% - Accent3 9 6 2 2" xfId="11860"/>
    <cellStyle name="40% - Accent3 9 6 3" xfId="5903"/>
    <cellStyle name="40% - Accent3 9 6 3 2" xfId="13140"/>
    <cellStyle name="40% - Accent3 9 6 4" xfId="7156"/>
    <cellStyle name="40% - Accent3 9 6 4 2" xfId="14349"/>
    <cellStyle name="40% - Accent3 9 6 5" xfId="8266"/>
    <cellStyle name="40% - Accent3 9 6 5 2" xfId="15442"/>
    <cellStyle name="40% - Accent3 9 6 6" xfId="9774"/>
    <cellStyle name="40% - Accent3 9 7" xfId="2959"/>
    <cellStyle name="40% - Accent3 9 7 2" xfId="10377"/>
    <cellStyle name="40% - Accent3 9 8" xfId="2938"/>
    <cellStyle name="40% - Accent3 9 8 2" xfId="10358"/>
    <cellStyle name="40% - Accent3 9 9" xfId="3594"/>
    <cellStyle name="40% - Accent3 9 9 2" xfId="10940"/>
    <cellStyle name="40% - Accent4" xfId="39" builtinId="43" customBuiltin="1"/>
    <cellStyle name="40% - Accent4 10" xfId="478"/>
    <cellStyle name="40% - Accent4 10 10" xfId="3752"/>
    <cellStyle name="40% - Accent4 10 10 2" xfId="11081"/>
    <cellStyle name="40% - Accent4 10 11" xfId="8762"/>
    <cellStyle name="40% - Accent4 10 2" xfId="626"/>
    <cellStyle name="40% - Accent4 10 2 10" xfId="8824"/>
    <cellStyle name="40% - Accent4 10 2 2" xfId="865"/>
    <cellStyle name="40% - Accent4 10 2 2 2" xfId="1765"/>
    <cellStyle name="40% - Accent4 10 2 2 2 2" xfId="4155"/>
    <cellStyle name="40% - Accent4 10 2 2 2 2 2" xfId="11469"/>
    <cellStyle name="40% - Accent4 10 2 2 2 3" xfId="5517"/>
    <cellStyle name="40% - Accent4 10 2 2 2 3 2" xfId="12771"/>
    <cellStyle name="40% - Accent4 10 2 2 2 4" xfId="6789"/>
    <cellStyle name="40% - Accent4 10 2 2 2 4 2" xfId="13991"/>
    <cellStyle name="40% - Accent4 10 2 2 2 5" xfId="7944"/>
    <cellStyle name="40% - Accent4 10 2 2 2 5 2" xfId="15124"/>
    <cellStyle name="40% - Accent4 10 2 2 2 6" xfId="9452"/>
    <cellStyle name="40% - Accent4 10 2 2 3" xfId="1998"/>
    <cellStyle name="40% - Accent4 10 2 2 3 2" xfId="4381"/>
    <cellStyle name="40% - Accent4 10 2 2 3 2 2" xfId="11692"/>
    <cellStyle name="40% - Accent4 10 2 2 3 3" xfId="5737"/>
    <cellStyle name="40% - Accent4 10 2 2 3 3 2" xfId="12989"/>
    <cellStyle name="40% - Accent4 10 2 2 3 4" xfId="7006"/>
    <cellStyle name="40% - Accent4 10 2 2 3 4 2" xfId="14207"/>
    <cellStyle name="40% - Accent4 10 2 2 3 5" xfId="8150"/>
    <cellStyle name="40% - Accent4 10 2 2 3 5 2" xfId="15330"/>
    <cellStyle name="40% - Accent4 10 2 2 3 6" xfId="9658"/>
    <cellStyle name="40% - Accent4 10 2 2 4" xfId="2407"/>
    <cellStyle name="40% - Accent4 10 2 2 4 2" xfId="4769"/>
    <cellStyle name="40% - Accent4 10 2 2 4 2 2" xfId="12064"/>
    <cellStyle name="40% - Accent4 10 2 2 4 3" xfId="6110"/>
    <cellStyle name="40% - Accent4 10 2 2 4 3 2" xfId="13344"/>
    <cellStyle name="40% - Accent4 10 2 2 4 4" xfId="7363"/>
    <cellStyle name="40% - Accent4 10 2 2 4 4 2" xfId="14553"/>
    <cellStyle name="40% - Accent4 10 2 2 4 5" xfId="8470"/>
    <cellStyle name="40% - Accent4 10 2 2 4 5 2" xfId="15646"/>
    <cellStyle name="40% - Accent4 10 2 2 4 6" xfId="9978"/>
    <cellStyle name="40% - Accent4 10 2 2 5" xfId="3346"/>
    <cellStyle name="40% - Accent4 10 2 2 5 2" xfId="10719"/>
    <cellStyle name="40% - Accent4 10 2 2 6" xfId="3033"/>
    <cellStyle name="40% - Accent4 10 2 2 6 2" xfId="10441"/>
    <cellStyle name="40% - Accent4 10 2 2 7" xfId="5219"/>
    <cellStyle name="40% - Accent4 10 2 2 7 2" xfId="12480"/>
    <cellStyle name="40% - Accent4 10 2 2 8" xfId="6494"/>
    <cellStyle name="40% - Accent4 10 2 2 8 2" xfId="13702"/>
    <cellStyle name="40% - Accent4 10 2 2 9" xfId="8954"/>
    <cellStyle name="40% - Accent4 10 2 3" xfId="1602"/>
    <cellStyle name="40% - Accent4 10 2 3 2" xfId="3993"/>
    <cellStyle name="40% - Accent4 10 2 3 2 2" xfId="11310"/>
    <cellStyle name="40% - Accent4 10 2 3 3" xfId="5359"/>
    <cellStyle name="40% - Accent4 10 2 3 3 2" xfId="12617"/>
    <cellStyle name="40% - Accent4 10 2 3 4" xfId="6632"/>
    <cellStyle name="40% - Accent4 10 2 3 4 2" xfId="13837"/>
    <cellStyle name="40% - Accent4 10 2 3 5" xfId="7791"/>
    <cellStyle name="40% - Accent4 10 2 3 5 2" xfId="14971"/>
    <cellStyle name="40% - Accent4 10 2 3 6" xfId="9299"/>
    <cellStyle name="40% - Accent4 10 2 4" xfId="1627"/>
    <cellStyle name="40% - Accent4 10 2 4 2" xfId="4017"/>
    <cellStyle name="40% - Accent4 10 2 4 2 2" xfId="11332"/>
    <cellStyle name="40% - Accent4 10 2 4 3" xfId="5382"/>
    <cellStyle name="40% - Accent4 10 2 4 3 2" xfId="12637"/>
    <cellStyle name="40% - Accent4 10 2 4 4" xfId="6654"/>
    <cellStyle name="40% - Accent4 10 2 4 4 2" xfId="13857"/>
    <cellStyle name="40% - Accent4 10 2 4 5" xfId="7810"/>
    <cellStyle name="40% - Accent4 10 2 4 5 2" xfId="14990"/>
    <cellStyle name="40% - Accent4 10 2 4 6" xfId="9318"/>
    <cellStyle name="40% - Accent4 10 2 5" xfId="2277"/>
    <cellStyle name="40% - Accent4 10 2 5 2" xfId="4639"/>
    <cellStyle name="40% - Accent4 10 2 5 2 2" xfId="11937"/>
    <cellStyle name="40% - Accent4 10 2 5 3" xfId="5980"/>
    <cellStyle name="40% - Accent4 10 2 5 3 2" xfId="13217"/>
    <cellStyle name="40% - Accent4 10 2 5 4" xfId="7233"/>
    <cellStyle name="40% - Accent4 10 2 5 4 2" xfId="14426"/>
    <cellStyle name="40% - Accent4 10 2 5 5" xfId="8343"/>
    <cellStyle name="40% - Accent4 10 2 5 5 2" xfId="15519"/>
    <cellStyle name="40% - Accent4 10 2 5 6" xfId="9851"/>
    <cellStyle name="40% - Accent4 10 2 6" xfId="3130"/>
    <cellStyle name="40% - Accent4 10 2 6 2" xfId="10527"/>
    <cellStyle name="40% - Accent4 10 2 7" xfId="2816"/>
    <cellStyle name="40% - Accent4 10 2 7 2" xfId="10256"/>
    <cellStyle name="40% - Accent4 10 2 8" xfId="3404"/>
    <cellStyle name="40% - Accent4 10 2 8 2" xfId="10772"/>
    <cellStyle name="40% - Accent4 10 2 9" xfId="3734"/>
    <cellStyle name="40% - Accent4 10 2 9 2" xfId="11067"/>
    <cellStyle name="40% - Accent4 10 3" xfId="813"/>
    <cellStyle name="40% - Accent4 10 3 2" xfId="1713"/>
    <cellStyle name="40% - Accent4 10 3 2 2" xfId="4103"/>
    <cellStyle name="40% - Accent4 10 3 2 2 2" xfId="11417"/>
    <cellStyle name="40% - Accent4 10 3 2 3" xfId="5465"/>
    <cellStyle name="40% - Accent4 10 3 2 3 2" xfId="12719"/>
    <cellStyle name="40% - Accent4 10 3 2 4" xfId="6737"/>
    <cellStyle name="40% - Accent4 10 3 2 4 2" xfId="13939"/>
    <cellStyle name="40% - Accent4 10 3 2 5" xfId="7892"/>
    <cellStyle name="40% - Accent4 10 3 2 5 2" xfId="15072"/>
    <cellStyle name="40% - Accent4 10 3 2 6" xfId="9400"/>
    <cellStyle name="40% - Accent4 10 3 3" xfId="1946"/>
    <cellStyle name="40% - Accent4 10 3 3 2" xfId="4329"/>
    <cellStyle name="40% - Accent4 10 3 3 2 2" xfId="11640"/>
    <cellStyle name="40% - Accent4 10 3 3 3" xfId="5685"/>
    <cellStyle name="40% - Accent4 10 3 3 3 2" xfId="12937"/>
    <cellStyle name="40% - Accent4 10 3 3 4" xfId="6954"/>
    <cellStyle name="40% - Accent4 10 3 3 4 2" xfId="14155"/>
    <cellStyle name="40% - Accent4 10 3 3 5" xfId="8098"/>
    <cellStyle name="40% - Accent4 10 3 3 5 2" xfId="15278"/>
    <cellStyle name="40% - Accent4 10 3 3 6" xfId="9606"/>
    <cellStyle name="40% - Accent4 10 3 4" xfId="2355"/>
    <cellStyle name="40% - Accent4 10 3 4 2" xfId="4717"/>
    <cellStyle name="40% - Accent4 10 3 4 2 2" xfId="12012"/>
    <cellStyle name="40% - Accent4 10 3 4 3" xfId="6058"/>
    <cellStyle name="40% - Accent4 10 3 4 3 2" xfId="13292"/>
    <cellStyle name="40% - Accent4 10 3 4 4" xfId="7311"/>
    <cellStyle name="40% - Accent4 10 3 4 4 2" xfId="14501"/>
    <cellStyle name="40% - Accent4 10 3 4 5" xfId="8418"/>
    <cellStyle name="40% - Accent4 10 3 4 5 2" xfId="15594"/>
    <cellStyle name="40% - Accent4 10 3 4 6" xfId="9926"/>
    <cellStyle name="40% - Accent4 10 3 5" xfId="3294"/>
    <cellStyle name="40% - Accent4 10 3 5 2" xfId="10667"/>
    <cellStyle name="40% - Accent4 10 3 6" xfId="3999"/>
    <cellStyle name="40% - Accent4 10 3 6 2" xfId="11316"/>
    <cellStyle name="40% - Accent4 10 3 7" xfId="3503"/>
    <cellStyle name="40% - Accent4 10 3 7 2" xfId="10858"/>
    <cellStyle name="40% - Accent4 10 3 8" xfId="3011"/>
    <cellStyle name="40% - Accent4 10 3 8 2" xfId="10423"/>
    <cellStyle name="40% - Accent4 10 3 9" xfId="8902"/>
    <cellStyle name="40% - Accent4 10 4" xfId="1512"/>
    <cellStyle name="40% - Accent4 10 4 2" xfId="3905"/>
    <cellStyle name="40% - Accent4 10 4 2 2" xfId="11223"/>
    <cellStyle name="40% - Accent4 10 4 3" xfId="5272"/>
    <cellStyle name="40% - Accent4 10 4 3 2" xfId="12531"/>
    <cellStyle name="40% - Accent4 10 4 4" xfId="6545"/>
    <cellStyle name="40% - Accent4 10 4 4 2" xfId="13751"/>
    <cellStyle name="40% - Accent4 10 4 5" xfId="7705"/>
    <cellStyle name="40% - Accent4 10 4 5 2" xfId="14885"/>
    <cellStyle name="40% - Accent4 10 4 6" xfId="9213"/>
    <cellStyle name="40% - Accent4 10 5" xfId="1402"/>
    <cellStyle name="40% - Accent4 10 5 2" xfId="3801"/>
    <cellStyle name="40% - Accent4 10 5 2 2" xfId="11123"/>
    <cellStyle name="40% - Accent4 10 5 3" xfId="5172"/>
    <cellStyle name="40% - Accent4 10 5 3 2" xfId="12434"/>
    <cellStyle name="40% - Accent4 10 5 4" xfId="6451"/>
    <cellStyle name="40% - Accent4 10 5 4 2" xfId="13660"/>
    <cellStyle name="40% - Accent4 10 5 5" xfId="7626"/>
    <cellStyle name="40% - Accent4 10 5 5 2" xfId="14806"/>
    <cellStyle name="40% - Accent4 10 5 6" xfId="9134"/>
    <cellStyle name="40% - Accent4 10 6" xfId="2215"/>
    <cellStyle name="40% - Accent4 10 6 2" xfId="4577"/>
    <cellStyle name="40% - Accent4 10 6 2 2" xfId="11875"/>
    <cellStyle name="40% - Accent4 10 6 3" xfId="5918"/>
    <cellStyle name="40% - Accent4 10 6 3 2" xfId="13155"/>
    <cellStyle name="40% - Accent4 10 6 4" xfId="7171"/>
    <cellStyle name="40% - Accent4 10 6 4 2" xfId="14364"/>
    <cellStyle name="40% - Accent4 10 6 5" xfId="8281"/>
    <cellStyle name="40% - Accent4 10 6 5 2" xfId="15457"/>
    <cellStyle name="40% - Accent4 10 6 6" xfId="9789"/>
    <cellStyle name="40% - Accent4 10 7" xfId="3000"/>
    <cellStyle name="40% - Accent4 10 7 2" xfId="10413"/>
    <cellStyle name="40% - Accent4 10 8" xfId="2806"/>
    <cellStyle name="40% - Accent4 10 8 2" xfId="10252"/>
    <cellStyle name="40% - Accent4 10 9" xfId="2703"/>
    <cellStyle name="40% - Accent4 10 9 2" xfId="10198"/>
    <cellStyle name="40% - Accent4 11" xfId="662"/>
    <cellStyle name="40% - Accent4 11 10" xfId="8837"/>
    <cellStyle name="40% - Accent4 11 2" xfId="878"/>
    <cellStyle name="40% - Accent4 11 2 2" xfId="1778"/>
    <cellStyle name="40% - Accent4 11 2 2 2" xfId="4168"/>
    <cellStyle name="40% - Accent4 11 2 2 2 2" xfId="11482"/>
    <cellStyle name="40% - Accent4 11 2 2 3" xfId="5530"/>
    <cellStyle name="40% - Accent4 11 2 2 3 2" xfId="12784"/>
    <cellStyle name="40% - Accent4 11 2 2 4" xfId="6802"/>
    <cellStyle name="40% - Accent4 11 2 2 4 2" xfId="14004"/>
    <cellStyle name="40% - Accent4 11 2 2 5" xfId="7957"/>
    <cellStyle name="40% - Accent4 11 2 2 5 2" xfId="15137"/>
    <cellStyle name="40% - Accent4 11 2 2 6" xfId="9465"/>
    <cellStyle name="40% - Accent4 11 2 3" xfId="2011"/>
    <cellStyle name="40% - Accent4 11 2 3 2" xfId="4394"/>
    <cellStyle name="40% - Accent4 11 2 3 2 2" xfId="11705"/>
    <cellStyle name="40% - Accent4 11 2 3 3" xfId="5750"/>
    <cellStyle name="40% - Accent4 11 2 3 3 2" xfId="13002"/>
    <cellStyle name="40% - Accent4 11 2 3 4" xfId="7019"/>
    <cellStyle name="40% - Accent4 11 2 3 4 2" xfId="14220"/>
    <cellStyle name="40% - Accent4 11 2 3 5" xfId="8163"/>
    <cellStyle name="40% - Accent4 11 2 3 5 2" xfId="15343"/>
    <cellStyle name="40% - Accent4 11 2 3 6" xfId="9671"/>
    <cellStyle name="40% - Accent4 11 2 4" xfId="2420"/>
    <cellStyle name="40% - Accent4 11 2 4 2" xfId="4782"/>
    <cellStyle name="40% - Accent4 11 2 4 2 2" xfId="12077"/>
    <cellStyle name="40% - Accent4 11 2 4 3" xfId="6123"/>
    <cellStyle name="40% - Accent4 11 2 4 3 2" xfId="13357"/>
    <cellStyle name="40% - Accent4 11 2 4 4" xfId="7376"/>
    <cellStyle name="40% - Accent4 11 2 4 4 2" xfId="14566"/>
    <cellStyle name="40% - Accent4 11 2 4 5" xfId="8483"/>
    <cellStyle name="40% - Accent4 11 2 4 5 2" xfId="15659"/>
    <cellStyle name="40% - Accent4 11 2 4 6" xfId="9991"/>
    <cellStyle name="40% - Accent4 11 2 5" xfId="3359"/>
    <cellStyle name="40% - Accent4 11 2 5 2" xfId="10732"/>
    <cellStyle name="40% - Accent4 11 2 6" xfId="4522"/>
    <cellStyle name="40% - Accent4 11 2 6 2" xfId="11821"/>
    <cellStyle name="40% - Accent4 11 2 7" xfId="3374"/>
    <cellStyle name="40% - Accent4 11 2 7 2" xfId="10746"/>
    <cellStyle name="40% - Accent4 11 2 8" xfId="3686"/>
    <cellStyle name="40% - Accent4 11 2 8 2" xfId="11021"/>
    <cellStyle name="40% - Accent4 11 2 9" xfId="8967"/>
    <cellStyle name="40% - Accent4 11 3" xfId="1619"/>
    <cellStyle name="40% - Accent4 11 3 2" xfId="4010"/>
    <cellStyle name="40% - Accent4 11 3 2 2" xfId="11327"/>
    <cellStyle name="40% - Accent4 11 3 3" xfId="5374"/>
    <cellStyle name="40% - Accent4 11 3 3 2" xfId="12632"/>
    <cellStyle name="40% - Accent4 11 3 4" xfId="6647"/>
    <cellStyle name="40% - Accent4 11 3 4 2" xfId="13852"/>
    <cellStyle name="40% - Accent4 11 3 5" xfId="7805"/>
    <cellStyle name="40% - Accent4 11 3 5 2" xfId="14985"/>
    <cellStyle name="40% - Accent4 11 3 6" xfId="9313"/>
    <cellStyle name="40% - Accent4 11 4" xfId="1881"/>
    <cellStyle name="40% - Accent4 11 4 2" xfId="4266"/>
    <cellStyle name="40% - Accent4 11 4 2 2" xfId="11578"/>
    <cellStyle name="40% - Accent4 11 4 3" xfId="5622"/>
    <cellStyle name="40% - Accent4 11 4 3 2" xfId="12875"/>
    <cellStyle name="40% - Accent4 11 4 4" xfId="6891"/>
    <cellStyle name="40% - Accent4 11 4 4 2" xfId="14093"/>
    <cellStyle name="40% - Accent4 11 4 5" xfId="8036"/>
    <cellStyle name="40% - Accent4 11 4 5 2" xfId="15216"/>
    <cellStyle name="40% - Accent4 11 4 6" xfId="9544"/>
    <cellStyle name="40% - Accent4 11 5" xfId="2290"/>
    <cellStyle name="40% - Accent4 11 5 2" xfId="4652"/>
    <cellStyle name="40% - Accent4 11 5 2 2" xfId="11950"/>
    <cellStyle name="40% - Accent4 11 5 3" xfId="5993"/>
    <cellStyle name="40% - Accent4 11 5 3 2" xfId="13230"/>
    <cellStyle name="40% - Accent4 11 5 4" xfId="7246"/>
    <cellStyle name="40% - Accent4 11 5 4 2" xfId="14439"/>
    <cellStyle name="40% - Accent4 11 5 5" xfId="8356"/>
    <cellStyle name="40% - Accent4 11 5 5 2" xfId="15532"/>
    <cellStyle name="40% - Accent4 11 5 6" xfId="9864"/>
    <cellStyle name="40% - Accent4 11 6" xfId="3163"/>
    <cellStyle name="40% - Accent4 11 6 2" xfId="10555"/>
    <cellStyle name="40% - Accent4 11 7" xfId="2991"/>
    <cellStyle name="40% - Accent4 11 7 2" xfId="10404"/>
    <cellStyle name="40% - Accent4 11 8" xfId="3245"/>
    <cellStyle name="40% - Accent4 11 8 2" xfId="10618"/>
    <cellStyle name="40% - Accent4 11 9" xfId="5869"/>
    <cellStyle name="40% - Accent4 11 9 2" xfId="13106"/>
    <cellStyle name="40% - Accent4 12" xfId="914"/>
    <cellStyle name="40% - Accent4 12 2" xfId="1800"/>
    <cellStyle name="40% - Accent4 12 2 2" xfId="4189"/>
    <cellStyle name="40% - Accent4 12 2 2 2" xfId="11502"/>
    <cellStyle name="40% - Accent4 12 2 3" xfId="5549"/>
    <cellStyle name="40% - Accent4 12 2 3 2" xfId="12803"/>
    <cellStyle name="40% - Accent4 12 2 4" xfId="6821"/>
    <cellStyle name="40% - Accent4 12 2 4 2" xfId="14023"/>
    <cellStyle name="40% - Accent4 12 2 5" xfId="7972"/>
    <cellStyle name="40% - Accent4 12 2 5 2" xfId="15152"/>
    <cellStyle name="40% - Accent4 12 2 6" xfId="9480"/>
    <cellStyle name="40% - Accent4 12 3" xfId="2024"/>
    <cellStyle name="40% - Accent4 12 3 2" xfId="4407"/>
    <cellStyle name="40% - Accent4 12 3 2 2" xfId="11718"/>
    <cellStyle name="40% - Accent4 12 3 3" xfId="5763"/>
    <cellStyle name="40% - Accent4 12 3 3 2" xfId="13015"/>
    <cellStyle name="40% - Accent4 12 3 4" xfId="7032"/>
    <cellStyle name="40% - Accent4 12 3 4 2" xfId="14233"/>
    <cellStyle name="40% - Accent4 12 3 5" xfId="8176"/>
    <cellStyle name="40% - Accent4 12 3 5 2" xfId="15356"/>
    <cellStyle name="40% - Accent4 12 3 6" xfId="9684"/>
    <cellStyle name="40% - Accent4 12 4" xfId="2433"/>
    <cellStyle name="40% - Accent4 12 4 2" xfId="4795"/>
    <cellStyle name="40% - Accent4 12 4 2 2" xfId="12090"/>
    <cellStyle name="40% - Accent4 12 4 3" xfId="6136"/>
    <cellStyle name="40% - Accent4 12 4 3 2" xfId="13370"/>
    <cellStyle name="40% - Accent4 12 4 4" xfId="7389"/>
    <cellStyle name="40% - Accent4 12 4 4 2" xfId="14579"/>
    <cellStyle name="40% - Accent4 12 4 5" xfId="8496"/>
    <cellStyle name="40% - Accent4 12 4 5 2" xfId="15672"/>
    <cellStyle name="40% - Accent4 12 4 6" xfId="10004"/>
    <cellStyle name="40% - Accent4 12 5" xfId="3390"/>
    <cellStyle name="40% - Accent4 12 5 2" xfId="10761"/>
    <cellStyle name="40% - Accent4 12 6" xfId="3026"/>
    <cellStyle name="40% - Accent4 12 6 2" xfId="10435"/>
    <cellStyle name="40% - Accent4 12 7" xfId="5596"/>
    <cellStyle name="40% - Accent4 12 7 2" xfId="12849"/>
    <cellStyle name="40% - Accent4 12 8" xfId="6865"/>
    <cellStyle name="40% - Accent4 12 8 2" xfId="14067"/>
    <cellStyle name="40% - Accent4 12 9" xfId="8980"/>
    <cellStyle name="40% - Accent4 13" xfId="957"/>
    <cellStyle name="40% - Accent4 13 2" xfId="1825"/>
    <cellStyle name="40% - Accent4 13 2 2" xfId="4211"/>
    <cellStyle name="40% - Accent4 13 2 2 2" xfId="11524"/>
    <cellStyle name="40% - Accent4 13 2 3" xfId="5570"/>
    <cellStyle name="40% - Accent4 13 2 3 2" xfId="12824"/>
    <cellStyle name="40% - Accent4 13 2 4" xfId="6840"/>
    <cellStyle name="40% - Accent4 13 2 4 2" xfId="14042"/>
    <cellStyle name="40% - Accent4 13 2 5" xfId="7990"/>
    <cellStyle name="40% - Accent4 13 2 5 2" xfId="15170"/>
    <cellStyle name="40% - Accent4 13 2 6" xfId="9498"/>
    <cellStyle name="40% - Accent4 13 3" xfId="2039"/>
    <cellStyle name="40% - Accent4 13 3 2" xfId="4421"/>
    <cellStyle name="40% - Accent4 13 3 2 2" xfId="11731"/>
    <cellStyle name="40% - Accent4 13 3 3" xfId="5777"/>
    <cellStyle name="40% - Accent4 13 3 3 2" xfId="13028"/>
    <cellStyle name="40% - Accent4 13 3 4" xfId="7046"/>
    <cellStyle name="40% - Accent4 13 3 4 2" xfId="14246"/>
    <cellStyle name="40% - Accent4 13 3 5" xfId="8189"/>
    <cellStyle name="40% - Accent4 13 3 5 2" xfId="15369"/>
    <cellStyle name="40% - Accent4 13 3 6" xfId="9697"/>
    <cellStyle name="40% - Accent4 13 4" xfId="2448"/>
    <cellStyle name="40% - Accent4 13 4 2" xfId="4810"/>
    <cellStyle name="40% - Accent4 13 4 2 2" xfId="12103"/>
    <cellStyle name="40% - Accent4 13 4 3" xfId="6151"/>
    <cellStyle name="40% - Accent4 13 4 3 2" xfId="13383"/>
    <cellStyle name="40% - Accent4 13 4 4" xfId="7404"/>
    <cellStyle name="40% - Accent4 13 4 4 2" xfId="14592"/>
    <cellStyle name="40% - Accent4 13 4 5" xfId="8509"/>
    <cellStyle name="40% - Accent4 13 4 5 2" xfId="15685"/>
    <cellStyle name="40% - Accent4 13 4 6" xfId="10017"/>
    <cellStyle name="40% - Accent4 13 5" xfId="3427"/>
    <cellStyle name="40% - Accent4 13 5 2" xfId="10791"/>
    <cellStyle name="40% - Accent4 13 6" xfId="3186"/>
    <cellStyle name="40% - Accent4 13 6 2" xfId="10573"/>
    <cellStyle name="40% - Accent4 13 7" xfId="5814"/>
    <cellStyle name="40% - Accent4 13 7 2" xfId="13064"/>
    <cellStyle name="40% - Accent4 13 8" xfId="7081"/>
    <cellStyle name="40% - Accent4 13 8 2" xfId="14281"/>
    <cellStyle name="40% - Accent4 13 9" xfId="8995"/>
    <cellStyle name="40% - Accent4 14" xfId="1000"/>
    <cellStyle name="40% - Accent4 14 2" xfId="1849"/>
    <cellStyle name="40% - Accent4 14 2 2" xfId="4234"/>
    <cellStyle name="40% - Accent4 14 2 2 2" xfId="11547"/>
    <cellStyle name="40% - Accent4 14 2 3" xfId="5591"/>
    <cellStyle name="40% - Accent4 14 2 3 2" xfId="12844"/>
    <cellStyle name="40% - Accent4 14 2 4" xfId="6860"/>
    <cellStyle name="40% - Accent4 14 2 4 2" xfId="14062"/>
    <cellStyle name="40% - Accent4 14 2 5" xfId="8008"/>
    <cellStyle name="40% - Accent4 14 2 5 2" xfId="15188"/>
    <cellStyle name="40% - Accent4 14 2 6" xfId="9516"/>
    <cellStyle name="40% - Accent4 14 3" xfId="2053"/>
    <cellStyle name="40% - Accent4 14 3 2" xfId="4435"/>
    <cellStyle name="40% - Accent4 14 3 2 2" xfId="11744"/>
    <cellStyle name="40% - Accent4 14 3 3" xfId="5790"/>
    <cellStyle name="40% - Accent4 14 3 3 2" xfId="13041"/>
    <cellStyle name="40% - Accent4 14 3 4" xfId="7059"/>
    <cellStyle name="40% - Accent4 14 3 4 2" xfId="14259"/>
    <cellStyle name="40% - Accent4 14 3 5" xfId="8202"/>
    <cellStyle name="40% - Accent4 14 3 5 2" xfId="15382"/>
    <cellStyle name="40% - Accent4 14 3 6" xfId="9710"/>
    <cellStyle name="40% - Accent4 14 4" xfId="2462"/>
    <cellStyle name="40% - Accent4 14 4 2" xfId="4823"/>
    <cellStyle name="40% - Accent4 14 4 2 2" xfId="12116"/>
    <cellStyle name="40% - Accent4 14 4 3" xfId="6165"/>
    <cellStyle name="40% - Accent4 14 4 3 2" xfId="13396"/>
    <cellStyle name="40% - Accent4 14 4 4" xfId="7418"/>
    <cellStyle name="40% - Accent4 14 4 4 2" xfId="14605"/>
    <cellStyle name="40% - Accent4 14 4 5" xfId="8522"/>
    <cellStyle name="40% - Accent4 14 4 5 2" xfId="15698"/>
    <cellStyle name="40% - Accent4 14 4 6" xfId="10030"/>
    <cellStyle name="40% - Accent4 14 5" xfId="3462"/>
    <cellStyle name="40% - Accent4 14 5 2" xfId="10823"/>
    <cellStyle name="40% - Accent4 14 6" xfId="3688"/>
    <cellStyle name="40% - Accent4 14 6 2" xfId="11023"/>
    <cellStyle name="40% - Accent4 14 7" xfId="2843"/>
    <cellStyle name="40% - Accent4 14 7 2" xfId="10271"/>
    <cellStyle name="40% - Accent4 14 8" xfId="2696"/>
    <cellStyle name="40% - Accent4 14 8 2" xfId="10191"/>
    <cellStyle name="40% - Accent4 14 9" xfId="9009"/>
    <cellStyle name="40% - Accent4 15" xfId="1041"/>
    <cellStyle name="40% - Accent4 15 2" xfId="1867"/>
    <cellStyle name="40% - Accent4 15 2 2" xfId="4252"/>
    <cellStyle name="40% - Accent4 15 2 2 2" xfId="11564"/>
    <cellStyle name="40% - Accent4 15 2 3" xfId="5608"/>
    <cellStyle name="40% - Accent4 15 2 3 2" xfId="12861"/>
    <cellStyle name="40% - Accent4 15 2 4" xfId="6877"/>
    <cellStyle name="40% - Accent4 15 2 4 2" xfId="14079"/>
    <cellStyle name="40% - Accent4 15 2 5" xfId="8022"/>
    <cellStyle name="40% - Accent4 15 2 5 2" xfId="15202"/>
    <cellStyle name="40% - Accent4 15 2 6" xfId="9530"/>
    <cellStyle name="40% - Accent4 15 3" xfId="2066"/>
    <cellStyle name="40% - Accent4 15 3 2" xfId="4448"/>
    <cellStyle name="40% - Accent4 15 3 2 2" xfId="11757"/>
    <cellStyle name="40% - Accent4 15 3 3" xfId="5803"/>
    <cellStyle name="40% - Accent4 15 3 3 2" xfId="13054"/>
    <cellStyle name="40% - Accent4 15 3 4" xfId="7072"/>
    <cellStyle name="40% - Accent4 15 3 4 2" xfId="14272"/>
    <cellStyle name="40% - Accent4 15 3 5" xfId="8215"/>
    <cellStyle name="40% - Accent4 15 3 5 2" xfId="15395"/>
    <cellStyle name="40% - Accent4 15 3 6" xfId="9723"/>
    <cellStyle name="40% - Accent4 15 4" xfId="2475"/>
    <cellStyle name="40% - Accent4 15 4 2" xfId="4836"/>
    <cellStyle name="40% - Accent4 15 4 2 2" xfId="12129"/>
    <cellStyle name="40% - Accent4 15 4 3" xfId="6178"/>
    <cellStyle name="40% - Accent4 15 4 3 2" xfId="13409"/>
    <cellStyle name="40% - Accent4 15 4 4" xfId="7431"/>
    <cellStyle name="40% - Accent4 15 4 4 2" xfId="14618"/>
    <cellStyle name="40% - Accent4 15 4 5" xfId="8535"/>
    <cellStyle name="40% - Accent4 15 4 5 2" xfId="15711"/>
    <cellStyle name="40% - Accent4 15 4 6" xfId="10043"/>
    <cellStyle name="40% - Accent4 15 5" xfId="3496"/>
    <cellStyle name="40% - Accent4 15 5 2" xfId="10851"/>
    <cellStyle name="40% - Accent4 15 6" xfId="3013"/>
    <cellStyle name="40% - Accent4 15 6 2" xfId="10424"/>
    <cellStyle name="40% - Accent4 15 7" xfId="5538"/>
    <cellStyle name="40% - Accent4 15 7 2" xfId="12792"/>
    <cellStyle name="40% - Accent4 15 8" xfId="6810"/>
    <cellStyle name="40% - Accent4 15 8 2" xfId="14012"/>
    <cellStyle name="40% - Accent4 15 9" xfId="9022"/>
    <cellStyle name="40% - Accent4 16" xfId="1082"/>
    <cellStyle name="40% - Accent4 16 2" xfId="2488"/>
    <cellStyle name="40% - Accent4 16 2 2" xfId="4849"/>
    <cellStyle name="40% - Accent4 16 2 2 2" xfId="12142"/>
    <cellStyle name="40% - Accent4 16 2 3" xfId="6191"/>
    <cellStyle name="40% - Accent4 16 2 3 2" xfId="13422"/>
    <cellStyle name="40% - Accent4 16 2 4" xfId="7444"/>
    <cellStyle name="40% - Accent4 16 2 4 2" xfId="14631"/>
    <cellStyle name="40% - Accent4 16 2 5" xfId="8548"/>
    <cellStyle name="40% - Accent4 16 2 5 2" xfId="15724"/>
    <cellStyle name="40% - Accent4 16 2 6" xfId="10056"/>
    <cellStyle name="40% - Accent4 16 3" xfId="3526"/>
    <cellStyle name="40% - Accent4 16 3 2" xfId="10880"/>
    <cellStyle name="40% - Accent4 16 4" xfId="4943"/>
    <cellStyle name="40% - Accent4 16 4 2" xfId="12232"/>
    <cellStyle name="40% - Accent4 16 5" xfId="6281"/>
    <cellStyle name="40% - Accent4 16 5 2" xfId="13507"/>
    <cellStyle name="40% - Accent4 16 6" xfId="7527"/>
    <cellStyle name="40% - Accent4 16 6 2" xfId="14711"/>
    <cellStyle name="40% - Accent4 16 7" xfId="9035"/>
    <cellStyle name="40% - Accent4 17" xfId="1123"/>
    <cellStyle name="40% - Accent4 17 2" xfId="2501"/>
    <cellStyle name="40% - Accent4 17 2 2" xfId="4862"/>
    <cellStyle name="40% - Accent4 17 2 2 2" xfId="12155"/>
    <cellStyle name="40% - Accent4 17 2 3" xfId="6204"/>
    <cellStyle name="40% - Accent4 17 2 3 2" xfId="13435"/>
    <cellStyle name="40% - Accent4 17 2 4" xfId="7457"/>
    <cellStyle name="40% - Accent4 17 2 4 2" xfId="14644"/>
    <cellStyle name="40% - Accent4 17 2 5" xfId="8561"/>
    <cellStyle name="40% - Accent4 17 2 5 2" xfId="15737"/>
    <cellStyle name="40% - Accent4 17 2 6" xfId="10069"/>
    <cellStyle name="40% - Accent4 17 3" xfId="3563"/>
    <cellStyle name="40% - Accent4 17 3 2" xfId="10912"/>
    <cellStyle name="40% - Accent4 17 4" xfId="4972"/>
    <cellStyle name="40% - Accent4 17 4 2" xfId="12258"/>
    <cellStyle name="40% - Accent4 17 5" xfId="6302"/>
    <cellStyle name="40% - Accent4 17 5 2" xfId="13525"/>
    <cellStyle name="40% - Accent4 17 6" xfId="7540"/>
    <cellStyle name="40% - Accent4 17 6 2" xfId="14724"/>
    <cellStyle name="40% - Accent4 17 7" xfId="9048"/>
    <cellStyle name="40% - Accent4 18" xfId="1164"/>
    <cellStyle name="40% - Accent4 18 2" xfId="2514"/>
    <cellStyle name="40% - Accent4 18 2 2" xfId="4875"/>
    <cellStyle name="40% - Accent4 18 2 2 2" xfId="12168"/>
    <cellStyle name="40% - Accent4 18 2 3" xfId="6217"/>
    <cellStyle name="40% - Accent4 18 2 3 2" xfId="13448"/>
    <cellStyle name="40% - Accent4 18 2 4" xfId="7470"/>
    <cellStyle name="40% - Accent4 18 2 4 2" xfId="14657"/>
    <cellStyle name="40% - Accent4 18 2 5" xfId="8574"/>
    <cellStyle name="40% - Accent4 18 2 5 2" xfId="15750"/>
    <cellStyle name="40% - Accent4 18 2 6" xfId="10082"/>
    <cellStyle name="40% - Accent4 18 3" xfId="3599"/>
    <cellStyle name="40% - Accent4 18 3 2" xfId="10945"/>
    <cellStyle name="40% - Accent4 18 4" xfId="5003"/>
    <cellStyle name="40% - Accent4 18 4 2" xfId="12284"/>
    <cellStyle name="40% - Accent4 18 5" xfId="6325"/>
    <cellStyle name="40% - Accent4 18 5 2" xfId="13545"/>
    <cellStyle name="40% - Accent4 18 6" xfId="7553"/>
    <cellStyle name="40% - Accent4 18 6 2" xfId="14737"/>
    <cellStyle name="40% - Accent4 18 7" xfId="9061"/>
    <cellStyle name="40% - Accent4 19" xfId="1205"/>
    <cellStyle name="40% - Accent4 19 2" xfId="2527"/>
    <cellStyle name="40% - Accent4 19 2 2" xfId="4888"/>
    <cellStyle name="40% - Accent4 19 2 2 2" xfId="12181"/>
    <cellStyle name="40% - Accent4 19 2 3" xfId="6230"/>
    <cellStyle name="40% - Accent4 19 2 3 2" xfId="13461"/>
    <cellStyle name="40% - Accent4 19 2 4" xfId="7483"/>
    <cellStyle name="40% - Accent4 19 2 4 2" xfId="14670"/>
    <cellStyle name="40% - Accent4 19 2 5" xfId="8587"/>
    <cellStyle name="40% - Accent4 19 2 5 2" xfId="15763"/>
    <cellStyle name="40% - Accent4 19 2 6" xfId="10095"/>
    <cellStyle name="40% - Accent4 19 3" xfId="3634"/>
    <cellStyle name="40% - Accent4 19 3 2" xfId="10974"/>
    <cellStyle name="40% - Accent4 19 4" xfId="5033"/>
    <cellStyle name="40% - Accent4 19 4 2" xfId="12311"/>
    <cellStyle name="40% - Accent4 19 5" xfId="6349"/>
    <cellStyle name="40% - Accent4 19 5 2" xfId="13566"/>
    <cellStyle name="40% - Accent4 19 6" xfId="7566"/>
    <cellStyle name="40% - Accent4 19 6 2" xfId="14750"/>
    <cellStyle name="40% - Accent4 19 7" xfId="9074"/>
    <cellStyle name="40% - Accent4 2" xfId="40"/>
    <cellStyle name="40% - Accent4 2 10" xfId="3057"/>
    <cellStyle name="40% - Accent4 2 11" xfId="8645"/>
    <cellStyle name="40% - Accent4 2 2" xfId="515"/>
    <cellStyle name="40% - Accent4 2 3" xfId="702"/>
    <cellStyle name="40% - Accent4 2 4" xfId="1291"/>
    <cellStyle name="40% - Accent4 2 5" xfId="1257"/>
    <cellStyle name="40% - Accent4 2 6" xfId="2098"/>
    <cellStyle name="40% - Accent4 2 7" xfId="2622"/>
    <cellStyle name="40% - Accent4 2 8" xfId="2867"/>
    <cellStyle name="40% - Accent4 2 9" xfId="3543"/>
    <cellStyle name="40% - Accent4 20" xfId="1246"/>
    <cellStyle name="40% - Accent4 20 2" xfId="2540"/>
    <cellStyle name="40% - Accent4 20 2 2" xfId="4901"/>
    <cellStyle name="40% - Accent4 20 2 2 2" xfId="12194"/>
    <cellStyle name="40% - Accent4 20 2 3" xfId="6243"/>
    <cellStyle name="40% - Accent4 20 2 3 2" xfId="13474"/>
    <cellStyle name="40% - Accent4 20 2 4" xfId="7496"/>
    <cellStyle name="40% - Accent4 20 2 4 2" xfId="14683"/>
    <cellStyle name="40% - Accent4 20 2 5" xfId="8600"/>
    <cellStyle name="40% - Accent4 20 2 5 2" xfId="15776"/>
    <cellStyle name="40% - Accent4 20 2 6" xfId="10108"/>
    <cellStyle name="40% - Accent4 20 3" xfId="3670"/>
    <cellStyle name="40% - Accent4 20 3 2" xfId="11006"/>
    <cellStyle name="40% - Accent4 20 4" xfId="5062"/>
    <cellStyle name="40% - Accent4 20 4 2" xfId="12337"/>
    <cellStyle name="40% - Accent4 20 5" xfId="6372"/>
    <cellStyle name="40% - Accent4 20 5 2" xfId="13587"/>
    <cellStyle name="40% - Accent4 20 6" xfId="7579"/>
    <cellStyle name="40% - Accent4 20 6 2" xfId="14763"/>
    <cellStyle name="40% - Accent4 20 7" xfId="9087"/>
    <cellStyle name="40% - Accent4 21" xfId="2576"/>
    <cellStyle name="40% - Accent4 21 2" xfId="4930"/>
    <cellStyle name="40% - Accent4 21 2 2" xfId="12219"/>
    <cellStyle name="40% - Accent4 21 3" xfId="6272"/>
    <cellStyle name="40% - Accent4 21 3 2" xfId="13498"/>
    <cellStyle name="40% - Accent4 21 4" xfId="7519"/>
    <cellStyle name="40% - Accent4 21 4 2" xfId="14703"/>
    <cellStyle name="40% - Accent4 21 5" xfId="8613"/>
    <cellStyle name="40% - Accent4 21 5 2" xfId="15789"/>
    <cellStyle name="40% - Accent4 21 6" xfId="10121"/>
    <cellStyle name="40% - Accent4 3" xfId="41"/>
    <cellStyle name="40% - Accent4 3 10" xfId="5838"/>
    <cellStyle name="40% - Accent4 3 11" xfId="8646"/>
    <cellStyle name="40% - Accent4 3 2" xfId="516"/>
    <cellStyle name="40% - Accent4 3 3" xfId="703"/>
    <cellStyle name="40% - Accent4 3 4" xfId="1292"/>
    <cellStyle name="40% - Accent4 3 5" xfId="1475"/>
    <cellStyle name="40% - Accent4 3 6" xfId="2099"/>
    <cellStyle name="40% - Accent4 3 7" xfId="2623"/>
    <cellStyle name="40% - Accent4 3 8" xfId="2833"/>
    <cellStyle name="40% - Accent4 3 9" xfId="3210"/>
    <cellStyle name="40% - Accent4 4" xfId="42"/>
    <cellStyle name="40% - Accent4 4 10" xfId="5130"/>
    <cellStyle name="40% - Accent4 4 11" xfId="8647"/>
    <cellStyle name="40% - Accent4 4 2" xfId="517"/>
    <cellStyle name="40% - Accent4 4 3" xfId="704"/>
    <cellStyle name="40% - Accent4 4 4" xfId="1293"/>
    <cellStyle name="40% - Accent4 4 5" xfId="1454"/>
    <cellStyle name="40% - Accent4 4 6" xfId="2100"/>
    <cellStyle name="40% - Accent4 4 7" xfId="2624"/>
    <cellStyle name="40% - Accent4 4 8" xfId="2794"/>
    <cellStyle name="40% - Accent4 4 9" xfId="3049"/>
    <cellStyle name="40% - Accent4 5" xfId="268"/>
    <cellStyle name="40% - Accent4 5 10" xfId="3680"/>
    <cellStyle name="40% - Accent4 5 11" xfId="8709"/>
    <cellStyle name="40% - Accent4 5 2" xfId="574"/>
    <cellStyle name="40% - Accent4 5 3" xfId="761"/>
    <cellStyle name="40% - Accent4 5 4" xfId="1404"/>
    <cellStyle name="40% - Accent4 5 5" xfId="1390"/>
    <cellStyle name="40% - Accent4 5 6" xfId="2162"/>
    <cellStyle name="40% - Accent4 5 7" xfId="2822"/>
    <cellStyle name="40% - Accent4 5 8" xfId="3930"/>
    <cellStyle name="40% - Accent4 5 9" xfId="3409"/>
    <cellStyle name="40% - Accent4 6" xfId="313"/>
    <cellStyle name="40% - Accent4 7" xfId="354"/>
    <cellStyle name="40% - Accent4 7 10" xfId="3371"/>
    <cellStyle name="40% - Accent4 7 10 2" xfId="10744"/>
    <cellStyle name="40% - Accent4 7 11" xfId="8722"/>
    <cellStyle name="40% - Accent4 7 2" xfId="587"/>
    <cellStyle name="40% - Accent4 7 2 10" xfId="8785"/>
    <cellStyle name="40% - Accent4 7 2 2" xfId="826"/>
    <cellStyle name="40% - Accent4 7 2 2 2" xfId="1726"/>
    <cellStyle name="40% - Accent4 7 2 2 2 2" xfId="4116"/>
    <cellStyle name="40% - Accent4 7 2 2 2 2 2" xfId="11430"/>
    <cellStyle name="40% - Accent4 7 2 2 2 3" xfId="5478"/>
    <cellStyle name="40% - Accent4 7 2 2 2 3 2" xfId="12732"/>
    <cellStyle name="40% - Accent4 7 2 2 2 4" xfId="6750"/>
    <cellStyle name="40% - Accent4 7 2 2 2 4 2" xfId="13952"/>
    <cellStyle name="40% - Accent4 7 2 2 2 5" xfId="7905"/>
    <cellStyle name="40% - Accent4 7 2 2 2 5 2" xfId="15085"/>
    <cellStyle name="40% - Accent4 7 2 2 2 6" xfId="9413"/>
    <cellStyle name="40% - Accent4 7 2 2 3" xfId="1959"/>
    <cellStyle name="40% - Accent4 7 2 2 3 2" xfId="4342"/>
    <cellStyle name="40% - Accent4 7 2 2 3 2 2" xfId="11653"/>
    <cellStyle name="40% - Accent4 7 2 2 3 3" xfId="5698"/>
    <cellStyle name="40% - Accent4 7 2 2 3 3 2" xfId="12950"/>
    <cellStyle name="40% - Accent4 7 2 2 3 4" xfId="6967"/>
    <cellStyle name="40% - Accent4 7 2 2 3 4 2" xfId="14168"/>
    <cellStyle name="40% - Accent4 7 2 2 3 5" xfId="8111"/>
    <cellStyle name="40% - Accent4 7 2 2 3 5 2" xfId="15291"/>
    <cellStyle name="40% - Accent4 7 2 2 3 6" xfId="9619"/>
    <cellStyle name="40% - Accent4 7 2 2 4" xfId="2368"/>
    <cellStyle name="40% - Accent4 7 2 2 4 2" xfId="4730"/>
    <cellStyle name="40% - Accent4 7 2 2 4 2 2" xfId="12025"/>
    <cellStyle name="40% - Accent4 7 2 2 4 3" xfId="6071"/>
    <cellStyle name="40% - Accent4 7 2 2 4 3 2" xfId="13305"/>
    <cellStyle name="40% - Accent4 7 2 2 4 4" xfId="7324"/>
    <cellStyle name="40% - Accent4 7 2 2 4 4 2" xfId="14514"/>
    <cellStyle name="40% - Accent4 7 2 2 4 5" xfId="8431"/>
    <cellStyle name="40% - Accent4 7 2 2 4 5 2" xfId="15607"/>
    <cellStyle name="40% - Accent4 7 2 2 4 6" xfId="9939"/>
    <cellStyle name="40% - Accent4 7 2 2 5" xfId="3307"/>
    <cellStyle name="40% - Accent4 7 2 2 5 2" xfId="10680"/>
    <cellStyle name="40% - Accent4 7 2 2 6" xfId="3038"/>
    <cellStyle name="40% - Accent4 7 2 2 6 2" xfId="10446"/>
    <cellStyle name="40% - Accent4 7 2 2 7" xfId="5598"/>
    <cellStyle name="40% - Accent4 7 2 2 7 2" xfId="12851"/>
    <cellStyle name="40% - Accent4 7 2 2 8" xfId="6867"/>
    <cellStyle name="40% - Accent4 7 2 2 8 2" xfId="14069"/>
    <cellStyle name="40% - Accent4 7 2 2 9" xfId="8915"/>
    <cellStyle name="40% - Accent4 7 2 3" xfId="1563"/>
    <cellStyle name="40% - Accent4 7 2 3 2" xfId="3954"/>
    <cellStyle name="40% - Accent4 7 2 3 2 2" xfId="11271"/>
    <cellStyle name="40% - Accent4 7 2 3 3" xfId="5320"/>
    <cellStyle name="40% - Accent4 7 2 3 3 2" xfId="12578"/>
    <cellStyle name="40% - Accent4 7 2 3 4" xfId="6593"/>
    <cellStyle name="40% - Accent4 7 2 3 4 2" xfId="13798"/>
    <cellStyle name="40% - Accent4 7 2 3 5" xfId="7752"/>
    <cellStyle name="40% - Accent4 7 2 3 5 2" xfId="14932"/>
    <cellStyle name="40% - Accent4 7 2 3 6" xfId="9260"/>
    <cellStyle name="40% - Accent4 7 2 4" xfId="1529"/>
    <cellStyle name="40% - Accent4 7 2 4 2" xfId="3922"/>
    <cellStyle name="40% - Accent4 7 2 4 2 2" xfId="11240"/>
    <cellStyle name="40% - Accent4 7 2 4 3" xfId="5289"/>
    <cellStyle name="40% - Accent4 7 2 4 3 2" xfId="12548"/>
    <cellStyle name="40% - Accent4 7 2 4 4" xfId="6562"/>
    <cellStyle name="40% - Accent4 7 2 4 4 2" xfId="13768"/>
    <cellStyle name="40% - Accent4 7 2 4 5" xfId="7722"/>
    <cellStyle name="40% - Accent4 7 2 4 5 2" xfId="14902"/>
    <cellStyle name="40% - Accent4 7 2 4 6" xfId="9230"/>
    <cellStyle name="40% - Accent4 7 2 5" xfId="2238"/>
    <cellStyle name="40% - Accent4 7 2 5 2" xfId="4600"/>
    <cellStyle name="40% - Accent4 7 2 5 2 2" xfId="11898"/>
    <cellStyle name="40% - Accent4 7 2 5 3" xfId="5941"/>
    <cellStyle name="40% - Accent4 7 2 5 3 2" xfId="13178"/>
    <cellStyle name="40% - Accent4 7 2 5 4" xfId="7194"/>
    <cellStyle name="40% - Accent4 7 2 5 4 2" xfId="14387"/>
    <cellStyle name="40% - Accent4 7 2 5 5" xfId="8304"/>
    <cellStyle name="40% - Accent4 7 2 5 5 2" xfId="15480"/>
    <cellStyle name="40% - Accent4 7 2 5 6" xfId="9812"/>
    <cellStyle name="40% - Accent4 7 2 6" xfId="3091"/>
    <cellStyle name="40% - Accent4 7 2 6 2" xfId="10488"/>
    <cellStyle name="40% - Accent4 7 2 7" xfId="4932"/>
    <cellStyle name="40% - Accent4 7 2 7 2" xfId="12221"/>
    <cellStyle name="40% - Accent4 7 2 8" xfId="3212"/>
    <cellStyle name="40% - Accent4 7 2 8 2" xfId="10594"/>
    <cellStyle name="40% - Accent4 7 2 9" xfId="5840"/>
    <cellStyle name="40% - Accent4 7 2 9 2" xfId="13085"/>
    <cellStyle name="40% - Accent4 7 3" xfId="774"/>
    <cellStyle name="40% - Accent4 7 3 2" xfId="1674"/>
    <cellStyle name="40% - Accent4 7 3 2 2" xfId="4064"/>
    <cellStyle name="40% - Accent4 7 3 2 2 2" xfId="11378"/>
    <cellStyle name="40% - Accent4 7 3 2 3" xfId="5426"/>
    <cellStyle name="40% - Accent4 7 3 2 3 2" xfId="12680"/>
    <cellStyle name="40% - Accent4 7 3 2 4" xfId="6698"/>
    <cellStyle name="40% - Accent4 7 3 2 4 2" xfId="13900"/>
    <cellStyle name="40% - Accent4 7 3 2 5" xfId="7853"/>
    <cellStyle name="40% - Accent4 7 3 2 5 2" xfId="15033"/>
    <cellStyle name="40% - Accent4 7 3 2 6" xfId="9361"/>
    <cellStyle name="40% - Accent4 7 3 3" xfId="1907"/>
    <cellStyle name="40% - Accent4 7 3 3 2" xfId="4290"/>
    <cellStyle name="40% - Accent4 7 3 3 2 2" xfId="11601"/>
    <cellStyle name="40% - Accent4 7 3 3 3" xfId="5646"/>
    <cellStyle name="40% - Accent4 7 3 3 3 2" xfId="12898"/>
    <cellStyle name="40% - Accent4 7 3 3 4" xfId="6915"/>
    <cellStyle name="40% - Accent4 7 3 3 4 2" xfId="14116"/>
    <cellStyle name="40% - Accent4 7 3 3 5" xfId="8059"/>
    <cellStyle name="40% - Accent4 7 3 3 5 2" xfId="15239"/>
    <cellStyle name="40% - Accent4 7 3 3 6" xfId="9567"/>
    <cellStyle name="40% - Accent4 7 3 4" xfId="2316"/>
    <cellStyle name="40% - Accent4 7 3 4 2" xfId="4678"/>
    <cellStyle name="40% - Accent4 7 3 4 2 2" xfId="11973"/>
    <cellStyle name="40% - Accent4 7 3 4 3" xfId="6019"/>
    <cellStyle name="40% - Accent4 7 3 4 3 2" xfId="13253"/>
    <cellStyle name="40% - Accent4 7 3 4 4" xfId="7272"/>
    <cellStyle name="40% - Accent4 7 3 4 4 2" xfId="14462"/>
    <cellStyle name="40% - Accent4 7 3 4 5" xfId="8379"/>
    <cellStyle name="40% - Accent4 7 3 4 5 2" xfId="15555"/>
    <cellStyle name="40% - Accent4 7 3 4 6" xfId="9887"/>
    <cellStyle name="40% - Accent4 7 3 5" xfId="3255"/>
    <cellStyle name="40% - Accent4 7 3 5 2" xfId="10628"/>
    <cellStyle name="40% - Accent4 7 3 6" xfId="2640"/>
    <cellStyle name="40% - Accent4 7 3 6 2" xfId="10143"/>
    <cellStyle name="40% - Accent4 7 3 7" xfId="3444"/>
    <cellStyle name="40% - Accent4 7 3 7 2" xfId="10806"/>
    <cellStyle name="40% - Accent4 7 3 8" xfId="4954"/>
    <cellStyle name="40% - Accent4 7 3 8 2" xfId="12242"/>
    <cellStyle name="40% - Accent4 7 3 9" xfId="8863"/>
    <cellStyle name="40% - Accent4 7 4" xfId="1441"/>
    <cellStyle name="40% - Accent4 7 4 2" xfId="3838"/>
    <cellStyle name="40% - Accent4 7 4 2 2" xfId="11159"/>
    <cellStyle name="40% - Accent4 7 4 3" xfId="5206"/>
    <cellStyle name="40% - Accent4 7 4 3 2" xfId="12468"/>
    <cellStyle name="40% - Accent4 7 4 4" xfId="6482"/>
    <cellStyle name="40% - Accent4 7 4 4 2" xfId="13691"/>
    <cellStyle name="40% - Accent4 7 4 5" xfId="7650"/>
    <cellStyle name="40% - Accent4 7 4 5 2" xfId="14830"/>
    <cellStyle name="40% - Accent4 7 4 6" xfId="9158"/>
    <cellStyle name="40% - Accent4 7 5" xfId="1488"/>
    <cellStyle name="40% - Accent4 7 5 2" xfId="3882"/>
    <cellStyle name="40% - Accent4 7 5 2 2" xfId="11202"/>
    <cellStyle name="40% - Accent4 7 5 3" xfId="5251"/>
    <cellStyle name="40% - Accent4 7 5 3 2" xfId="12511"/>
    <cellStyle name="40% - Accent4 7 5 4" xfId="6524"/>
    <cellStyle name="40% - Accent4 7 5 4 2" xfId="13731"/>
    <cellStyle name="40% - Accent4 7 5 5" xfId="7686"/>
    <cellStyle name="40% - Accent4 7 5 5 2" xfId="14866"/>
    <cellStyle name="40% - Accent4 7 5 6" xfId="9194"/>
    <cellStyle name="40% - Accent4 7 6" xfId="2175"/>
    <cellStyle name="40% - Accent4 7 6 2" xfId="4537"/>
    <cellStyle name="40% - Accent4 7 6 2 2" xfId="11836"/>
    <cellStyle name="40% - Accent4 7 6 3" xfId="5879"/>
    <cellStyle name="40% - Accent4 7 6 3 2" xfId="13116"/>
    <cellStyle name="40% - Accent4 7 6 4" xfId="7132"/>
    <cellStyle name="40% - Accent4 7 6 4 2" xfId="14325"/>
    <cellStyle name="40% - Accent4 7 6 5" xfId="8242"/>
    <cellStyle name="40% - Accent4 7 6 5 2" xfId="15418"/>
    <cellStyle name="40% - Accent4 7 6 6" xfId="9750"/>
    <cellStyle name="40% - Accent4 7 7" xfId="2891"/>
    <cellStyle name="40% - Accent4 7 7 2" xfId="10315"/>
    <cellStyle name="40% - Accent4 7 8" xfId="2905"/>
    <cellStyle name="40% - Accent4 7 8 2" xfId="10329"/>
    <cellStyle name="40% - Accent4 7 9" xfId="2690"/>
    <cellStyle name="40% - Accent4 7 9 2" xfId="10185"/>
    <cellStyle name="40% - Accent4 8" xfId="395"/>
    <cellStyle name="40% - Accent4 8 10" xfId="4466"/>
    <cellStyle name="40% - Accent4 8 10 2" xfId="11774"/>
    <cellStyle name="40% - Accent4 8 11" xfId="8735"/>
    <cellStyle name="40% - Accent4 8 2" xfId="600"/>
    <cellStyle name="40% - Accent4 8 2 10" xfId="8798"/>
    <cellStyle name="40% - Accent4 8 2 2" xfId="839"/>
    <cellStyle name="40% - Accent4 8 2 2 2" xfId="1739"/>
    <cellStyle name="40% - Accent4 8 2 2 2 2" xfId="4129"/>
    <cellStyle name="40% - Accent4 8 2 2 2 2 2" xfId="11443"/>
    <cellStyle name="40% - Accent4 8 2 2 2 3" xfId="5491"/>
    <cellStyle name="40% - Accent4 8 2 2 2 3 2" xfId="12745"/>
    <cellStyle name="40% - Accent4 8 2 2 2 4" xfId="6763"/>
    <cellStyle name="40% - Accent4 8 2 2 2 4 2" xfId="13965"/>
    <cellStyle name="40% - Accent4 8 2 2 2 5" xfId="7918"/>
    <cellStyle name="40% - Accent4 8 2 2 2 5 2" xfId="15098"/>
    <cellStyle name="40% - Accent4 8 2 2 2 6" xfId="9426"/>
    <cellStyle name="40% - Accent4 8 2 2 3" xfId="1972"/>
    <cellStyle name="40% - Accent4 8 2 2 3 2" xfId="4355"/>
    <cellStyle name="40% - Accent4 8 2 2 3 2 2" xfId="11666"/>
    <cellStyle name="40% - Accent4 8 2 2 3 3" xfId="5711"/>
    <cellStyle name="40% - Accent4 8 2 2 3 3 2" xfId="12963"/>
    <cellStyle name="40% - Accent4 8 2 2 3 4" xfId="6980"/>
    <cellStyle name="40% - Accent4 8 2 2 3 4 2" xfId="14181"/>
    <cellStyle name="40% - Accent4 8 2 2 3 5" xfId="8124"/>
    <cellStyle name="40% - Accent4 8 2 2 3 5 2" xfId="15304"/>
    <cellStyle name="40% - Accent4 8 2 2 3 6" xfId="9632"/>
    <cellStyle name="40% - Accent4 8 2 2 4" xfId="2381"/>
    <cellStyle name="40% - Accent4 8 2 2 4 2" xfId="4743"/>
    <cellStyle name="40% - Accent4 8 2 2 4 2 2" xfId="12038"/>
    <cellStyle name="40% - Accent4 8 2 2 4 3" xfId="6084"/>
    <cellStyle name="40% - Accent4 8 2 2 4 3 2" xfId="13318"/>
    <cellStyle name="40% - Accent4 8 2 2 4 4" xfId="7337"/>
    <cellStyle name="40% - Accent4 8 2 2 4 4 2" xfId="14527"/>
    <cellStyle name="40% - Accent4 8 2 2 4 5" xfId="8444"/>
    <cellStyle name="40% - Accent4 8 2 2 4 5 2" xfId="15620"/>
    <cellStyle name="40% - Accent4 8 2 2 4 6" xfId="9952"/>
    <cellStyle name="40% - Accent4 8 2 2 5" xfId="3320"/>
    <cellStyle name="40% - Accent4 8 2 2 5 2" xfId="10693"/>
    <cellStyle name="40% - Accent4 8 2 2 6" xfId="4477"/>
    <cellStyle name="40% - Accent4 8 2 2 6 2" xfId="11785"/>
    <cellStyle name="40% - Accent4 8 2 2 7" xfId="5176"/>
    <cellStyle name="40% - Accent4 8 2 2 7 2" xfId="12438"/>
    <cellStyle name="40% - Accent4 8 2 2 8" xfId="6454"/>
    <cellStyle name="40% - Accent4 8 2 2 8 2" xfId="13663"/>
    <cellStyle name="40% - Accent4 8 2 2 9" xfId="8928"/>
    <cellStyle name="40% - Accent4 8 2 3" xfId="1576"/>
    <cellStyle name="40% - Accent4 8 2 3 2" xfId="3967"/>
    <cellStyle name="40% - Accent4 8 2 3 2 2" xfId="11284"/>
    <cellStyle name="40% - Accent4 8 2 3 3" xfId="5333"/>
    <cellStyle name="40% - Accent4 8 2 3 3 2" xfId="12591"/>
    <cellStyle name="40% - Accent4 8 2 3 4" xfId="6606"/>
    <cellStyle name="40% - Accent4 8 2 3 4 2" xfId="13811"/>
    <cellStyle name="40% - Accent4 8 2 3 5" xfId="7765"/>
    <cellStyle name="40% - Accent4 8 2 3 5 2" xfId="14945"/>
    <cellStyle name="40% - Accent4 8 2 3 6" xfId="9273"/>
    <cellStyle name="40% - Accent4 8 2 4" xfId="1663"/>
    <cellStyle name="40% - Accent4 8 2 4 2" xfId="4053"/>
    <cellStyle name="40% - Accent4 8 2 4 2 2" xfId="11367"/>
    <cellStyle name="40% - Accent4 8 2 4 3" xfId="5415"/>
    <cellStyle name="40% - Accent4 8 2 4 3 2" xfId="12669"/>
    <cellStyle name="40% - Accent4 8 2 4 4" xfId="6687"/>
    <cellStyle name="40% - Accent4 8 2 4 4 2" xfId="13889"/>
    <cellStyle name="40% - Accent4 8 2 4 5" xfId="7842"/>
    <cellStyle name="40% - Accent4 8 2 4 5 2" xfId="15022"/>
    <cellStyle name="40% - Accent4 8 2 4 6" xfId="9350"/>
    <cellStyle name="40% - Accent4 8 2 5" xfId="2251"/>
    <cellStyle name="40% - Accent4 8 2 5 2" xfId="4613"/>
    <cellStyle name="40% - Accent4 8 2 5 2 2" xfId="11911"/>
    <cellStyle name="40% - Accent4 8 2 5 3" xfId="5954"/>
    <cellStyle name="40% - Accent4 8 2 5 3 2" xfId="13191"/>
    <cellStyle name="40% - Accent4 8 2 5 4" xfId="7207"/>
    <cellStyle name="40% - Accent4 8 2 5 4 2" xfId="14400"/>
    <cellStyle name="40% - Accent4 8 2 5 5" xfId="8317"/>
    <cellStyle name="40% - Accent4 8 2 5 5 2" xfId="15493"/>
    <cellStyle name="40% - Accent4 8 2 5 6" xfId="9825"/>
    <cellStyle name="40% - Accent4 8 2 6" xfId="3104"/>
    <cellStyle name="40% - Accent4 8 2 6 2" xfId="10501"/>
    <cellStyle name="40% - Accent4 8 2 7" xfId="2666"/>
    <cellStyle name="40% - Accent4 8 2 7 2" xfId="10166"/>
    <cellStyle name="40% - Accent4 8 2 8" xfId="3780"/>
    <cellStyle name="40% - Accent4 8 2 8 2" xfId="11103"/>
    <cellStyle name="40% - Accent4 8 2 9" xfId="3570"/>
    <cellStyle name="40% - Accent4 8 2 9 2" xfId="10919"/>
    <cellStyle name="40% - Accent4 8 3" xfId="787"/>
    <cellStyle name="40% - Accent4 8 3 2" xfId="1687"/>
    <cellStyle name="40% - Accent4 8 3 2 2" xfId="4077"/>
    <cellStyle name="40% - Accent4 8 3 2 2 2" xfId="11391"/>
    <cellStyle name="40% - Accent4 8 3 2 3" xfId="5439"/>
    <cellStyle name="40% - Accent4 8 3 2 3 2" xfId="12693"/>
    <cellStyle name="40% - Accent4 8 3 2 4" xfId="6711"/>
    <cellStyle name="40% - Accent4 8 3 2 4 2" xfId="13913"/>
    <cellStyle name="40% - Accent4 8 3 2 5" xfId="7866"/>
    <cellStyle name="40% - Accent4 8 3 2 5 2" xfId="15046"/>
    <cellStyle name="40% - Accent4 8 3 2 6" xfId="9374"/>
    <cellStyle name="40% - Accent4 8 3 3" xfId="1920"/>
    <cellStyle name="40% - Accent4 8 3 3 2" xfId="4303"/>
    <cellStyle name="40% - Accent4 8 3 3 2 2" xfId="11614"/>
    <cellStyle name="40% - Accent4 8 3 3 3" xfId="5659"/>
    <cellStyle name="40% - Accent4 8 3 3 3 2" xfId="12911"/>
    <cellStyle name="40% - Accent4 8 3 3 4" xfId="6928"/>
    <cellStyle name="40% - Accent4 8 3 3 4 2" xfId="14129"/>
    <cellStyle name="40% - Accent4 8 3 3 5" xfId="8072"/>
    <cellStyle name="40% - Accent4 8 3 3 5 2" xfId="15252"/>
    <cellStyle name="40% - Accent4 8 3 3 6" xfId="9580"/>
    <cellStyle name="40% - Accent4 8 3 4" xfId="2329"/>
    <cellStyle name="40% - Accent4 8 3 4 2" xfId="4691"/>
    <cellStyle name="40% - Accent4 8 3 4 2 2" xfId="11986"/>
    <cellStyle name="40% - Accent4 8 3 4 3" xfId="6032"/>
    <cellStyle name="40% - Accent4 8 3 4 3 2" xfId="13266"/>
    <cellStyle name="40% - Accent4 8 3 4 4" xfId="7285"/>
    <cellStyle name="40% - Accent4 8 3 4 4 2" xfId="14475"/>
    <cellStyle name="40% - Accent4 8 3 4 5" xfId="8392"/>
    <cellStyle name="40% - Accent4 8 3 4 5 2" xfId="15568"/>
    <cellStyle name="40% - Accent4 8 3 4 6" xfId="9900"/>
    <cellStyle name="40% - Accent4 8 3 5" xfId="3268"/>
    <cellStyle name="40% - Accent4 8 3 5 2" xfId="10641"/>
    <cellStyle name="40% - Accent4 8 3 6" xfId="3156"/>
    <cellStyle name="40% - Accent4 8 3 6 2" xfId="10549"/>
    <cellStyle name="40% - Accent4 8 3 7" xfId="4460"/>
    <cellStyle name="40% - Accent4 8 3 7 2" xfId="11768"/>
    <cellStyle name="40% - Accent4 8 3 8" xfId="5173"/>
    <cellStyle name="40% - Accent4 8 3 8 2" xfId="12435"/>
    <cellStyle name="40% - Accent4 8 3 9" xfId="8876"/>
    <cellStyle name="40% - Accent4 8 4" xfId="1465"/>
    <cellStyle name="40% - Accent4 8 4 2" xfId="3860"/>
    <cellStyle name="40% - Accent4 8 4 2 2" xfId="11181"/>
    <cellStyle name="40% - Accent4 8 4 3" xfId="5230"/>
    <cellStyle name="40% - Accent4 8 4 3 2" xfId="12490"/>
    <cellStyle name="40% - Accent4 8 4 4" xfId="6504"/>
    <cellStyle name="40% - Accent4 8 4 4 2" xfId="13711"/>
    <cellStyle name="40% - Accent4 8 4 5" xfId="7668"/>
    <cellStyle name="40% - Accent4 8 4 5 2" xfId="14848"/>
    <cellStyle name="40% - Accent4 8 4 6" xfId="9176"/>
    <cellStyle name="40% - Accent4 8 5" xfId="1795"/>
    <cellStyle name="40% - Accent4 8 5 2" xfId="4184"/>
    <cellStyle name="40% - Accent4 8 5 2 2" xfId="11497"/>
    <cellStyle name="40% - Accent4 8 5 3" xfId="5544"/>
    <cellStyle name="40% - Accent4 8 5 3 2" xfId="12798"/>
    <cellStyle name="40% - Accent4 8 5 4" xfId="6816"/>
    <cellStyle name="40% - Accent4 8 5 4 2" xfId="14018"/>
    <cellStyle name="40% - Accent4 8 5 5" xfId="7967"/>
    <cellStyle name="40% - Accent4 8 5 5 2" xfId="15147"/>
    <cellStyle name="40% - Accent4 8 5 6" xfId="9475"/>
    <cellStyle name="40% - Accent4 8 6" xfId="2188"/>
    <cellStyle name="40% - Accent4 8 6 2" xfId="4550"/>
    <cellStyle name="40% - Accent4 8 6 2 2" xfId="11849"/>
    <cellStyle name="40% - Accent4 8 6 3" xfId="5892"/>
    <cellStyle name="40% - Accent4 8 6 3 2" xfId="13129"/>
    <cellStyle name="40% - Accent4 8 6 4" xfId="7145"/>
    <cellStyle name="40% - Accent4 8 6 4 2" xfId="14338"/>
    <cellStyle name="40% - Accent4 8 6 5" xfId="8255"/>
    <cellStyle name="40% - Accent4 8 6 5 2" xfId="15431"/>
    <cellStyle name="40% - Accent4 8 6 6" xfId="9763"/>
    <cellStyle name="40% - Accent4 8 7" xfId="2927"/>
    <cellStyle name="40% - Accent4 8 7 2" xfId="10349"/>
    <cellStyle name="40% - Accent4 8 8" xfId="2902"/>
    <cellStyle name="40% - Accent4 8 8 2" xfId="10326"/>
    <cellStyle name="40% - Accent4 8 9" xfId="2975"/>
    <cellStyle name="40% - Accent4 8 9 2" xfId="10391"/>
    <cellStyle name="40% - Accent4 9" xfId="436"/>
    <cellStyle name="40% - Accent4 9 10" xfId="5015"/>
    <cellStyle name="40% - Accent4 9 10 2" xfId="12295"/>
    <cellStyle name="40% - Accent4 9 11" xfId="8748"/>
    <cellStyle name="40% - Accent4 9 2" xfId="613"/>
    <cellStyle name="40% - Accent4 9 2 10" xfId="8811"/>
    <cellStyle name="40% - Accent4 9 2 2" xfId="852"/>
    <cellStyle name="40% - Accent4 9 2 2 2" xfId="1752"/>
    <cellStyle name="40% - Accent4 9 2 2 2 2" xfId="4142"/>
    <cellStyle name="40% - Accent4 9 2 2 2 2 2" xfId="11456"/>
    <cellStyle name="40% - Accent4 9 2 2 2 3" xfId="5504"/>
    <cellStyle name="40% - Accent4 9 2 2 2 3 2" xfId="12758"/>
    <cellStyle name="40% - Accent4 9 2 2 2 4" xfId="6776"/>
    <cellStyle name="40% - Accent4 9 2 2 2 4 2" xfId="13978"/>
    <cellStyle name="40% - Accent4 9 2 2 2 5" xfId="7931"/>
    <cellStyle name="40% - Accent4 9 2 2 2 5 2" xfId="15111"/>
    <cellStyle name="40% - Accent4 9 2 2 2 6" xfId="9439"/>
    <cellStyle name="40% - Accent4 9 2 2 3" xfId="1985"/>
    <cellStyle name="40% - Accent4 9 2 2 3 2" xfId="4368"/>
    <cellStyle name="40% - Accent4 9 2 2 3 2 2" xfId="11679"/>
    <cellStyle name="40% - Accent4 9 2 2 3 3" xfId="5724"/>
    <cellStyle name="40% - Accent4 9 2 2 3 3 2" xfId="12976"/>
    <cellStyle name="40% - Accent4 9 2 2 3 4" xfId="6993"/>
    <cellStyle name="40% - Accent4 9 2 2 3 4 2" xfId="14194"/>
    <cellStyle name="40% - Accent4 9 2 2 3 5" xfId="8137"/>
    <cellStyle name="40% - Accent4 9 2 2 3 5 2" xfId="15317"/>
    <cellStyle name="40% - Accent4 9 2 2 3 6" xfId="9645"/>
    <cellStyle name="40% - Accent4 9 2 2 4" xfId="2394"/>
    <cellStyle name="40% - Accent4 9 2 2 4 2" xfId="4756"/>
    <cellStyle name="40% - Accent4 9 2 2 4 2 2" xfId="12051"/>
    <cellStyle name="40% - Accent4 9 2 2 4 3" xfId="6097"/>
    <cellStyle name="40% - Accent4 9 2 2 4 3 2" xfId="13331"/>
    <cellStyle name="40% - Accent4 9 2 2 4 4" xfId="7350"/>
    <cellStyle name="40% - Accent4 9 2 2 4 4 2" xfId="14540"/>
    <cellStyle name="40% - Accent4 9 2 2 4 5" xfId="8457"/>
    <cellStyle name="40% - Accent4 9 2 2 4 5 2" xfId="15633"/>
    <cellStyle name="40% - Accent4 9 2 2 4 6" xfId="9965"/>
    <cellStyle name="40% - Accent4 9 2 2 5" xfId="3333"/>
    <cellStyle name="40% - Accent4 9 2 2 5 2" xfId="10706"/>
    <cellStyle name="40% - Accent4 9 2 2 6" xfId="3197"/>
    <cellStyle name="40% - Accent4 9 2 2 6 2" xfId="10583"/>
    <cellStyle name="40% - Accent4 9 2 2 7" xfId="5823"/>
    <cellStyle name="40% - Accent4 9 2 2 7 2" xfId="13072"/>
    <cellStyle name="40% - Accent4 9 2 2 8" xfId="7089"/>
    <cellStyle name="40% - Accent4 9 2 2 8 2" xfId="14289"/>
    <cellStyle name="40% - Accent4 9 2 2 9" xfId="8941"/>
    <cellStyle name="40% - Accent4 9 2 3" xfId="1589"/>
    <cellStyle name="40% - Accent4 9 2 3 2" xfId="3980"/>
    <cellStyle name="40% - Accent4 9 2 3 2 2" xfId="11297"/>
    <cellStyle name="40% - Accent4 9 2 3 3" xfId="5346"/>
    <cellStyle name="40% - Accent4 9 2 3 3 2" xfId="12604"/>
    <cellStyle name="40% - Accent4 9 2 3 4" xfId="6619"/>
    <cellStyle name="40% - Accent4 9 2 3 4 2" xfId="13824"/>
    <cellStyle name="40% - Accent4 9 2 3 5" xfId="7778"/>
    <cellStyle name="40% - Accent4 9 2 3 5 2" xfId="14958"/>
    <cellStyle name="40% - Accent4 9 2 3 6" xfId="9286"/>
    <cellStyle name="40% - Accent4 9 2 4" xfId="1522"/>
    <cellStyle name="40% - Accent4 9 2 4 2" xfId="3915"/>
    <cellStyle name="40% - Accent4 9 2 4 2 2" xfId="11233"/>
    <cellStyle name="40% - Accent4 9 2 4 3" xfId="5282"/>
    <cellStyle name="40% - Accent4 9 2 4 3 2" xfId="12541"/>
    <cellStyle name="40% - Accent4 9 2 4 4" xfId="6555"/>
    <cellStyle name="40% - Accent4 9 2 4 4 2" xfId="13761"/>
    <cellStyle name="40% - Accent4 9 2 4 5" xfId="7715"/>
    <cellStyle name="40% - Accent4 9 2 4 5 2" xfId="14895"/>
    <cellStyle name="40% - Accent4 9 2 4 6" xfId="9223"/>
    <cellStyle name="40% - Accent4 9 2 5" xfId="2264"/>
    <cellStyle name="40% - Accent4 9 2 5 2" xfId="4626"/>
    <cellStyle name="40% - Accent4 9 2 5 2 2" xfId="11924"/>
    <cellStyle name="40% - Accent4 9 2 5 3" xfId="5967"/>
    <cellStyle name="40% - Accent4 9 2 5 3 2" xfId="13204"/>
    <cellStyle name="40% - Accent4 9 2 5 4" xfId="7220"/>
    <cellStyle name="40% - Accent4 9 2 5 4 2" xfId="14413"/>
    <cellStyle name="40% - Accent4 9 2 5 5" xfId="8330"/>
    <cellStyle name="40% - Accent4 9 2 5 5 2" xfId="15506"/>
    <cellStyle name="40% - Accent4 9 2 5 6" xfId="9838"/>
    <cellStyle name="40% - Accent4 9 2 6" xfId="3117"/>
    <cellStyle name="40% - Accent4 9 2 6 2" xfId="10514"/>
    <cellStyle name="40% - Accent4 9 2 7" xfId="3561"/>
    <cellStyle name="40% - Accent4 9 2 7 2" xfId="10910"/>
    <cellStyle name="40% - Accent4 9 2 8" xfId="2772"/>
    <cellStyle name="40% - Accent4 9 2 8 2" xfId="10231"/>
    <cellStyle name="40% - Accent4 9 2 9" xfId="3052"/>
    <cellStyle name="40% - Accent4 9 2 9 2" xfId="10454"/>
    <cellStyle name="40% - Accent4 9 3" xfId="800"/>
    <cellStyle name="40% - Accent4 9 3 2" xfId="1700"/>
    <cellStyle name="40% - Accent4 9 3 2 2" xfId="4090"/>
    <cellStyle name="40% - Accent4 9 3 2 2 2" xfId="11404"/>
    <cellStyle name="40% - Accent4 9 3 2 3" xfId="5452"/>
    <cellStyle name="40% - Accent4 9 3 2 3 2" xfId="12706"/>
    <cellStyle name="40% - Accent4 9 3 2 4" xfId="6724"/>
    <cellStyle name="40% - Accent4 9 3 2 4 2" xfId="13926"/>
    <cellStyle name="40% - Accent4 9 3 2 5" xfId="7879"/>
    <cellStyle name="40% - Accent4 9 3 2 5 2" xfId="15059"/>
    <cellStyle name="40% - Accent4 9 3 2 6" xfId="9387"/>
    <cellStyle name="40% - Accent4 9 3 3" xfId="1933"/>
    <cellStyle name="40% - Accent4 9 3 3 2" xfId="4316"/>
    <cellStyle name="40% - Accent4 9 3 3 2 2" xfId="11627"/>
    <cellStyle name="40% - Accent4 9 3 3 3" xfId="5672"/>
    <cellStyle name="40% - Accent4 9 3 3 3 2" xfId="12924"/>
    <cellStyle name="40% - Accent4 9 3 3 4" xfId="6941"/>
    <cellStyle name="40% - Accent4 9 3 3 4 2" xfId="14142"/>
    <cellStyle name="40% - Accent4 9 3 3 5" xfId="8085"/>
    <cellStyle name="40% - Accent4 9 3 3 5 2" xfId="15265"/>
    <cellStyle name="40% - Accent4 9 3 3 6" xfId="9593"/>
    <cellStyle name="40% - Accent4 9 3 4" xfId="2342"/>
    <cellStyle name="40% - Accent4 9 3 4 2" xfId="4704"/>
    <cellStyle name="40% - Accent4 9 3 4 2 2" xfId="11999"/>
    <cellStyle name="40% - Accent4 9 3 4 3" xfId="6045"/>
    <cellStyle name="40% - Accent4 9 3 4 3 2" xfId="13279"/>
    <cellStyle name="40% - Accent4 9 3 4 4" xfId="7298"/>
    <cellStyle name="40% - Accent4 9 3 4 4 2" xfId="14488"/>
    <cellStyle name="40% - Accent4 9 3 4 5" xfId="8405"/>
    <cellStyle name="40% - Accent4 9 3 4 5 2" xfId="15581"/>
    <cellStyle name="40% - Accent4 9 3 4 6" xfId="9913"/>
    <cellStyle name="40% - Accent4 9 3 5" xfId="3281"/>
    <cellStyle name="40% - Accent4 9 3 5 2" xfId="10654"/>
    <cellStyle name="40% - Accent4 9 3 6" xfId="3624"/>
    <cellStyle name="40% - Accent4 9 3 6 2" xfId="10964"/>
    <cellStyle name="40% - Accent4 9 3 7" xfId="6263"/>
    <cellStyle name="40% - Accent4 9 3 7 2" xfId="13489"/>
    <cellStyle name="40% - Accent4 9 3 8" xfId="7510"/>
    <cellStyle name="40% - Accent4 9 3 8 2" xfId="14694"/>
    <cellStyle name="40% - Accent4 9 3 9" xfId="8889"/>
    <cellStyle name="40% - Accent4 9 4" xfId="1487"/>
    <cellStyle name="40% - Accent4 9 4 2" xfId="3881"/>
    <cellStyle name="40% - Accent4 9 4 2 2" xfId="11201"/>
    <cellStyle name="40% - Accent4 9 4 3" xfId="5250"/>
    <cellStyle name="40% - Accent4 9 4 3 2" xfId="12510"/>
    <cellStyle name="40% - Accent4 9 4 4" xfId="6523"/>
    <cellStyle name="40% - Accent4 9 4 4 2" xfId="13730"/>
    <cellStyle name="40% - Accent4 9 4 5" xfId="7685"/>
    <cellStyle name="40% - Accent4 9 4 5 2" xfId="14865"/>
    <cellStyle name="40% - Accent4 9 4 6" xfId="9193"/>
    <cellStyle name="40% - Accent4 9 5" xfId="1305"/>
    <cellStyle name="40% - Accent4 9 5 2" xfId="3719"/>
    <cellStyle name="40% - Accent4 9 5 2 2" xfId="11053"/>
    <cellStyle name="40% - Accent4 9 5 3" xfId="5107"/>
    <cellStyle name="40% - Accent4 9 5 3 2" xfId="12379"/>
    <cellStyle name="40% - Accent4 9 5 4" xfId="6406"/>
    <cellStyle name="40% - Accent4 9 5 4 2" xfId="13620"/>
    <cellStyle name="40% - Accent4 9 5 5" xfId="7595"/>
    <cellStyle name="40% - Accent4 9 5 5 2" xfId="14779"/>
    <cellStyle name="40% - Accent4 9 5 6" xfId="9103"/>
    <cellStyle name="40% - Accent4 9 6" xfId="2201"/>
    <cellStyle name="40% - Accent4 9 6 2" xfId="4563"/>
    <cellStyle name="40% - Accent4 9 6 2 2" xfId="11862"/>
    <cellStyle name="40% - Accent4 9 6 3" xfId="5905"/>
    <cellStyle name="40% - Accent4 9 6 3 2" xfId="13142"/>
    <cellStyle name="40% - Accent4 9 6 4" xfId="7158"/>
    <cellStyle name="40% - Accent4 9 6 4 2" xfId="14351"/>
    <cellStyle name="40% - Accent4 9 6 5" xfId="8268"/>
    <cellStyle name="40% - Accent4 9 6 5 2" xfId="15444"/>
    <cellStyle name="40% - Accent4 9 6 6" xfId="9776"/>
    <cellStyle name="40% - Accent4 9 7" xfId="2963"/>
    <cellStyle name="40% - Accent4 9 7 2" xfId="10381"/>
    <cellStyle name="40% - Accent4 9 8" xfId="2795"/>
    <cellStyle name="40% - Accent4 9 8 2" xfId="10244"/>
    <cellStyle name="40% - Accent4 9 9" xfId="3544"/>
    <cellStyle name="40% - Accent4 9 9 2" xfId="10895"/>
    <cellStyle name="40% - Accent5" xfId="43" builtinId="47" customBuiltin="1"/>
    <cellStyle name="40% - Accent5 10" xfId="482"/>
    <cellStyle name="40% - Accent5 10 10" xfId="5852"/>
    <cellStyle name="40% - Accent5 10 10 2" xfId="13090"/>
    <cellStyle name="40% - Accent5 10 11" xfId="8764"/>
    <cellStyle name="40% - Accent5 10 2" xfId="628"/>
    <cellStyle name="40% - Accent5 10 2 10" xfId="8826"/>
    <cellStyle name="40% - Accent5 10 2 2" xfId="867"/>
    <cellStyle name="40% - Accent5 10 2 2 2" xfId="1767"/>
    <cellStyle name="40% - Accent5 10 2 2 2 2" xfId="4157"/>
    <cellStyle name="40% - Accent5 10 2 2 2 2 2" xfId="11471"/>
    <cellStyle name="40% - Accent5 10 2 2 2 3" xfId="5519"/>
    <cellStyle name="40% - Accent5 10 2 2 2 3 2" xfId="12773"/>
    <cellStyle name="40% - Accent5 10 2 2 2 4" xfId="6791"/>
    <cellStyle name="40% - Accent5 10 2 2 2 4 2" xfId="13993"/>
    <cellStyle name="40% - Accent5 10 2 2 2 5" xfId="7946"/>
    <cellStyle name="40% - Accent5 10 2 2 2 5 2" xfId="15126"/>
    <cellStyle name="40% - Accent5 10 2 2 2 6" xfId="9454"/>
    <cellStyle name="40% - Accent5 10 2 2 3" xfId="2000"/>
    <cellStyle name="40% - Accent5 10 2 2 3 2" xfId="4383"/>
    <cellStyle name="40% - Accent5 10 2 2 3 2 2" xfId="11694"/>
    <cellStyle name="40% - Accent5 10 2 2 3 3" xfId="5739"/>
    <cellStyle name="40% - Accent5 10 2 2 3 3 2" xfId="12991"/>
    <cellStyle name="40% - Accent5 10 2 2 3 4" xfId="7008"/>
    <cellStyle name="40% - Accent5 10 2 2 3 4 2" xfId="14209"/>
    <cellStyle name="40% - Accent5 10 2 2 3 5" xfId="8152"/>
    <cellStyle name="40% - Accent5 10 2 2 3 5 2" xfId="15332"/>
    <cellStyle name="40% - Accent5 10 2 2 3 6" xfId="9660"/>
    <cellStyle name="40% - Accent5 10 2 2 4" xfId="2409"/>
    <cellStyle name="40% - Accent5 10 2 2 4 2" xfId="4771"/>
    <cellStyle name="40% - Accent5 10 2 2 4 2 2" xfId="12066"/>
    <cellStyle name="40% - Accent5 10 2 2 4 3" xfId="6112"/>
    <cellStyle name="40% - Accent5 10 2 2 4 3 2" xfId="13346"/>
    <cellStyle name="40% - Accent5 10 2 2 4 4" xfId="7365"/>
    <cellStyle name="40% - Accent5 10 2 2 4 4 2" xfId="14555"/>
    <cellStyle name="40% - Accent5 10 2 2 4 5" xfId="8472"/>
    <cellStyle name="40% - Accent5 10 2 2 4 5 2" xfId="15648"/>
    <cellStyle name="40% - Accent5 10 2 2 4 6" xfId="9980"/>
    <cellStyle name="40% - Accent5 10 2 2 5" xfId="3348"/>
    <cellStyle name="40% - Accent5 10 2 2 5 2" xfId="10721"/>
    <cellStyle name="40% - Accent5 10 2 2 6" xfId="3870"/>
    <cellStyle name="40% - Accent5 10 2 2 6 2" xfId="11190"/>
    <cellStyle name="40% - Accent5 10 2 2 7" xfId="3009"/>
    <cellStyle name="40% - Accent5 10 2 2 7 2" xfId="10421"/>
    <cellStyle name="40% - Accent5 10 2 2 8" xfId="4525"/>
    <cellStyle name="40% - Accent5 10 2 2 8 2" xfId="11824"/>
    <cellStyle name="40% - Accent5 10 2 2 9" xfId="8956"/>
    <cellStyle name="40% - Accent5 10 2 3" xfId="1604"/>
    <cellStyle name="40% - Accent5 10 2 3 2" xfId="3995"/>
    <cellStyle name="40% - Accent5 10 2 3 2 2" xfId="11312"/>
    <cellStyle name="40% - Accent5 10 2 3 3" xfId="5361"/>
    <cellStyle name="40% - Accent5 10 2 3 3 2" xfId="12619"/>
    <cellStyle name="40% - Accent5 10 2 3 4" xfId="6634"/>
    <cellStyle name="40% - Accent5 10 2 3 4 2" xfId="13839"/>
    <cellStyle name="40% - Accent5 10 2 3 5" xfId="7793"/>
    <cellStyle name="40% - Accent5 10 2 3 5 2" xfId="14973"/>
    <cellStyle name="40% - Accent5 10 2 3 6" xfId="9301"/>
    <cellStyle name="40% - Accent5 10 2 4" xfId="1261"/>
    <cellStyle name="40% - Accent5 10 2 4 2" xfId="3681"/>
    <cellStyle name="40% - Accent5 10 2 4 2 2" xfId="11016"/>
    <cellStyle name="40% - Accent5 10 2 4 3" xfId="5075"/>
    <cellStyle name="40% - Accent5 10 2 4 3 2" xfId="12348"/>
    <cellStyle name="40% - Accent5 10 2 4 4" xfId="6382"/>
    <cellStyle name="40% - Accent5 10 2 4 4 2" xfId="13596"/>
    <cellStyle name="40% - Accent5 10 2 4 5" xfId="7584"/>
    <cellStyle name="40% - Accent5 10 2 4 5 2" xfId="14768"/>
    <cellStyle name="40% - Accent5 10 2 4 6" xfId="9092"/>
    <cellStyle name="40% - Accent5 10 2 5" xfId="2279"/>
    <cellStyle name="40% - Accent5 10 2 5 2" xfId="4641"/>
    <cellStyle name="40% - Accent5 10 2 5 2 2" xfId="11939"/>
    <cellStyle name="40% - Accent5 10 2 5 3" xfId="5982"/>
    <cellStyle name="40% - Accent5 10 2 5 3 2" xfId="13219"/>
    <cellStyle name="40% - Accent5 10 2 5 4" xfId="7235"/>
    <cellStyle name="40% - Accent5 10 2 5 4 2" xfId="14428"/>
    <cellStyle name="40% - Accent5 10 2 5 5" xfId="8345"/>
    <cellStyle name="40% - Accent5 10 2 5 5 2" xfId="15521"/>
    <cellStyle name="40% - Accent5 10 2 5 6" xfId="9853"/>
    <cellStyle name="40% - Accent5 10 2 6" xfId="3132"/>
    <cellStyle name="40% - Accent5 10 2 6 2" xfId="10529"/>
    <cellStyle name="40% - Accent5 10 2 7" xfId="2660"/>
    <cellStyle name="40% - Accent5 10 2 7 2" xfId="10160"/>
    <cellStyle name="40% - Accent5 10 2 8" xfId="3205"/>
    <cellStyle name="40% - Accent5 10 2 8 2" xfId="10591"/>
    <cellStyle name="40% - Accent5 10 2 9" xfId="5835"/>
    <cellStyle name="40% - Accent5 10 2 9 2" xfId="13084"/>
    <cellStyle name="40% - Accent5 10 3" xfId="815"/>
    <cellStyle name="40% - Accent5 10 3 2" xfId="1715"/>
    <cellStyle name="40% - Accent5 10 3 2 2" xfId="4105"/>
    <cellStyle name="40% - Accent5 10 3 2 2 2" xfId="11419"/>
    <cellStyle name="40% - Accent5 10 3 2 3" xfId="5467"/>
    <cellStyle name="40% - Accent5 10 3 2 3 2" xfId="12721"/>
    <cellStyle name="40% - Accent5 10 3 2 4" xfId="6739"/>
    <cellStyle name="40% - Accent5 10 3 2 4 2" xfId="13941"/>
    <cellStyle name="40% - Accent5 10 3 2 5" xfId="7894"/>
    <cellStyle name="40% - Accent5 10 3 2 5 2" xfId="15074"/>
    <cellStyle name="40% - Accent5 10 3 2 6" xfId="9402"/>
    <cellStyle name="40% - Accent5 10 3 3" xfId="1948"/>
    <cellStyle name="40% - Accent5 10 3 3 2" xfId="4331"/>
    <cellStyle name="40% - Accent5 10 3 3 2 2" xfId="11642"/>
    <cellStyle name="40% - Accent5 10 3 3 3" xfId="5687"/>
    <cellStyle name="40% - Accent5 10 3 3 3 2" xfId="12939"/>
    <cellStyle name="40% - Accent5 10 3 3 4" xfId="6956"/>
    <cellStyle name="40% - Accent5 10 3 3 4 2" xfId="14157"/>
    <cellStyle name="40% - Accent5 10 3 3 5" xfId="8100"/>
    <cellStyle name="40% - Accent5 10 3 3 5 2" xfId="15280"/>
    <cellStyle name="40% - Accent5 10 3 3 6" xfId="9608"/>
    <cellStyle name="40% - Accent5 10 3 4" xfId="2357"/>
    <cellStyle name="40% - Accent5 10 3 4 2" xfId="4719"/>
    <cellStyle name="40% - Accent5 10 3 4 2 2" xfId="12014"/>
    <cellStyle name="40% - Accent5 10 3 4 3" xfId="6060"/>
    <cellStyle name="40% - Accent5 10 3 4 3 2" xfId="13294"/>
    <cellStyle name="40% - Accent5 10 3 4 4" xfId="7313"/>
    <cellStyle name="40% - Accent5 10 3 4 4 2" xfId="14503"/>
    <cellStyle name="40% - Accent5 10 3 4 5" xfId="8420"/>
    <cellStyle name="40% - Accent5 10 3 4 5 2" xfId="15596"/>
    <cellStyle name="40% - Accent5 10 3 4 6" xfId="9928"/>
    <cellStyle name="40% - Accent5 10 3 5" xfId="3296"/>
    <cellStyle name="40% - Accent5 10 3 5 2" xfId="10669"/>
    <cellStyle name="40% - Accent5 10 3 6" xfId="3246"/>
    <cellStyle name="40% - Accent5 10 3 6 2" xfId="10619"/>
    <cellStyle name="40% - Accent5 10 3 7" xfId="5870"/>
    <cellStyle name="40% - Accent5 10 3 7 2" xfId="13107"/>
    <cellStyle name="40% - Accent5 10 3 8" xfId="7123"/>
    <cellStyle name="40% - Accent5 10 3 8 2" xfId="14316"/>
    <cellStyle name="40% - Accent5 10 3 9" xfId="8904"/>
    <cellStyle name="40% - Accent5 10 4" xfId="1514"/>
    <cellStyle name="40% - Accent5 10 4 2" xfId="3907"/>
    <cellStyle name="40% - Accent5 10 4 2 2" xfId="11225"/>
    <cellStyle name="40% - Accent5 10 4 3" xfId="5274"/>
    <cellStyle name="40% - Accent5 10 4 3 2" xfId="12533"/>
    <cellStyle name="40% - Accent5 10 4 4" xfId="6547"/>
    <cellStyle name="40% - Accent5 10 4 4 2" xfId="13753"/>
    <cellStyle name="40% - Accent5 10 4 5" xfId="7707"/>
    <cellStyle name="40% - Accent5 10 4 5 2" xfId="14887"/>
    <cellStyle name="40% - Accent5 10 4 6" xfId="9215"/>
    <cellStyle name="40% - Accent5 10 5" xfId="1865"/>
    <cellStyle name="40% - Accent5 10 5 2" xfId="4250"/>
    <cellStyle name="40% - Accent5 10 5 2 2" xfId="11562"/>
    <cellStyle name="40% - Accent5 10 5 3" xfId="5606"/>
    <cellStyle name="40% - Accent5 10 5 3 2" xfId="12859"/>
    <cellStyle name="40% - Accent5 10 5 4" xfId="6875"/>
    <cellStyle name="40% - Accent5 10 5 4 2" xfId="14077"/>
    <cellStyle name="40% - Accent5 10 5 5" xfId="8020"/>
    <cellStyle name="40% - Accent5 10 5 5 2" xfId="15200"/>
    <cellStyle name="40% - Accent5 10 5 6" xfId="9528"/>
    <cellStyle name="40% - Accent5 10 6" xfId="2217"/>
    <cellStyle name="40% - Accent5 10 6 2" xfId="4579"/>
    <cellStyle name="40% - Accent5 10 6 2 2" xfId="11877"/>
    <cellStyle name="40% - Accent5 10 6 3" xfId="5920"/>
    <cellStyle name="40% - Accent5 10 6 3 2" xfId="13157"/>
    <cellStyle name="40% - Accent5 10 6 4" xfId="7173"/>
    <cellStyle name="40% - Accent5 10 6 4 2" xfId="14366"/>
    <cellStyle name="40% - Accent5 10 6 5" xfId="8283"/>
    <cellStyle name="40% - Accent5 10 6 5 2" xfId="15459"/>
    <cellStyle name="40% - Accent5 10 6 6" xfId="9791"/>
    <cellStyle name="40% - Accent5 10 7" xfId="3004"/>
    <cellStyle name="40% - Accent5 10 7 2" xfId="10417"/>
    <cellStyle name="40% - Accent5 10 8" xfId="3655"/>
    <cellStyle name="40% - Accent5 10 8 2" xfId="10992"/>
    <cellStyle name="40% - Accent5 10 9" xfId="3224"/>
    <cellStyle name="40% - Accent5 10 9 2" xfId="10599"/>
    <cellStyle name="40% - Accent5 11" xfId="666"/>
    <cellStyle name="40% - Accent5 11 10" xfId="8839"/>
    <cellStyle name="40% - Accent5 11 2" xfId="880"/>
    <cellStyle name="40% - Accent5 11 2 2" xfId="1780"/>
    <cellStyle name="40% - Accent5 11 2 2 2" xfId="4170"/>
    <cellStyle name="40% - Accent5 11 2 2 2 2" xfId="11484"/>
    <cellStyle name="40% - Accent5 11 2 2 3" xfId="5532"/>
    <cellStyle name="40% - Accent5 11 2 2 3 2" xfId="12786"/>
    <cellStyle name="40% - Accent5 11 2 2 4" xfId="6804"/>
    <cellStyle name="40% - Accent5 11 2 2 4 2" xfId="14006"/>
    <cellStyle name="40% - Accent5 11 2 2 5" xfId="7959"/>
    <cellStyle name="40% - Accent5 11 2 2 5 2" xfId="15139"/>
    <cellStyle name="40% - Accent5 11 2 2 6" xfId="9467"/>
    <cellStyle name="40% - Accent5 11 2 3" xfId="2013"/>
    <cellStyle name="40% - Accent5 11 2 3 2" xfId="4396"/>
    <cellStyle name="40% - Accent5 11 2 3 2 2" xfId="11707"/>
    <cellStyle name="40% - Accent5 11 2 3 3" xfId="5752"/>
    <cellStyle name="40% - Accent5 11 2 3 3 2" xfId="13004"/>
    <cellStyle name="40% - Accent5 11 2 3 4" xfId="7021"/>
    <cellStyle name="40% - Accent5 11 2 3 4 2" xfId="14222"/>
    <cellStyle name="40% - Accent5 11 2 3 5" xfId="8165"/>
    <cellStyle name="40% - Accent5 11 2 3 5 2" xfId="15345"/>
    <cellStyle name="40% - Accent5 11 2 3 6" xfId="9673"/>
    <cellStyle name="40% - Accent5 11 2 4" xfId="2422"/>
    <cellStyle name="40% - Accent5 11 2 4 2" xfId="4784"/>
    <cellStyle name="40% - Accent5 11 2 4 2 2" xfId="12079"/>
    <cellStyle name="40% - Accent5 11 2 4 3" xfId="6125"/>
    <cellStyle name="40% - Accent5 11 2 4 3 2" xfId="13359"/>
    <cellStyle name="40% - Accent5 11 2 4 4" xfId="7378"/>
    <cellStyle name="40% - Accent5 11 2 4 4 2" xfId="14568"/>
    <cellStyle name="40% - Accent5 11 2 4 5" xfId="8485"/>
    <cellStyle name="40% - Accent5 11 2 4 5 2" xfId="15661"/>
    <cellStyle name="40% - Accent5 11 2 4 6" xfId="9993"/>
    <cellStyle name="40% - Accent5 11 2 5" xfId="3361"/>
    <cellStyle name="40% - Accent5 11 2 5 2" xfId="10734"/>
    <cellStyle name="40% - Accent5 11 2 6" xfId="3800"/>
    <cellStyle name="40% - Accent5 11 2 6 2" xfId="11122"/>
    <cellStyle name="40% - Accent5 11 2 7" xfId="2717"/>
    <cellStyle name="40% - Accent5 11 2 7 2" xfId="10211"/>
    <cellStyle name="40% - Accent5 11 2 8" xfId="5131"/>
    <cellStyle name="40% - Accent5 11 2 8 2" xfId="12400"/>
    <cellStyle name="40% - Accent5 11 2 9" xfId="8969"/>
    <cellStyle name="40% - Accent5 11 3" xfId="1621"/>
    <cellStyle name="40% - Accent5 11 3 2" xfId="4012"/>
    <cellStyle name="40% - Accent5 11 3 2 2" xfId="11329"/>
    <cellStyle name="40% - Accent5 11 3 3" xfId="5376"/>
    <cellStyle name="40% - Accent5 11 3 3 2" xfId="12634"/>
    <cellStyle name="40% - Accent5 11 3 4" xfId="6649"/>
    <cellStyle name="40% - Accent5 11 3 4 2" xfId="13854"/>
    <cellStyle name="40% - Accent5 11 3 5" xfId="7807"/>
    <cellStyle name="40% - Accent5 11 3 5 2" xfId="14987"/>
    <cellStyle name="40% - Accent5 11 3 6" xfId="9315"/>
    <cellStyle name="40% - Accent5 11 4" xfId="1883"/>
    <cellStyle name="40% - Accent5 11 4 2" xfId="4268"/>
    <cellStyle name="40% - Accent5 11 4 2 2" xfId="11580"/>
    <cellStyle name="40% - Accent5 11 4 3" xfId="5624"/>
    <cellStyle name="40% - Accent5 11 4 3 2" xfId="12877"/>
    <cellStyle name="40% - Accent5 11 4 4" xfId="6893"/>
    <cellStyle name="40% - Accent5 11 4 4 2" xfId="14095"/>
    <cellStyle name="40% - Accent5 11 4 5" xfId="8038"/>
    <cellStyle name="40% - Accent5 11 4 5 2" xfId="15218"/>
    <cellStyle name="40% - Accent5 11 4 6" xfId="9546"/>
    <cellStyle name="40% - Accent5 11 5" xfId="2292"/>
    <cellStyle name="40% - Accent5 11 5 2" xfId="4654"/>
    <cellStyle name="40% - Accent5 11 5 2 2" xfId="11952"/>
    <cellStyle name="40% - Accent5 11 5 3" xfId="5995"/>
    <cellStyle name="40% - Accent5 11 5 3 2" xfId="13232"/>
    <cellStyle name="40% - Accent5 11 5 4" xfId="7248"/>
    <cellStyle name="40% - Accent5 11 5 4 2" xfId="14441"/>
    <cellStyle name="40% - Accent5 11 5 5" xfId="8358"/>
    <cellStyle name="40% - Accent5 11 5 5 2" xfId="15534"/>
    <cellStyle name="40% - Accent5 11 5 6" xfId="9866"/>
    <cellStyle name="40% - Accent5 11 6" xfId="3167"/>
    <cellStyle name="40% - Accent5 11 6 2" xfId="10559"/>
    <cellStyle name="40% - Accent5 11 7" xfId="2877"/>
    <cellStyle name="40% - Accent5 11 7 2" xfId="10301"/>
    <cellStyle name="40% - Accent5 11 8" xfId="2980"/>
    <cellStyle name="40% - Accent5 11 8 2" xfId="10395"/>
    <cellStyle name="40% - Accent5 11 9" xfId="2837"/>
    <cellStyle name="40% - Accent5 11 9 2" xfId="10266"/>
    <cellStyle name="40% - Accent5 12" xfId="918"/>
    <cellStyle name="40% - Accent5 12 2" xfId="1803"/>
    <cellStyle name="40% - Accent5 12 2 2" xfId="4192"/>
    <cellStyle name="40% - Accent5 12 2 2 2" xfId="11505"/>
    <cellStyle name="40% - Accent5 12 2 3" xfId="5552"/>
    <cellStyle name="40% - Accent5 12 2 3 2" xfId="12806"/>
    <cellStyle name="40% - Accent5 12 2 4" xfId="6824"/>
    <cellStyle name="40% - Accent5 12 2 4 2" xfId="14026"/>
    <cellStyle name="40% - Accent5 12 2 5" xfId="7975"/>
    <cellStyle name="40% - Accent5 12 2 5 2" xfId="15155"/>
    <cellStyle name="40% - Accent5 12 2 6" xfId="9483"/>
    <cellStyle name="40% - Accent5 12 3" xfId="2026"/>
    <cellStyle name="40% - Accent5 12 3 2" xfId="4409"/>
    <cellStyle name="40% - Accent5 12 3 2 2" xfId="11720"/>
    <cellStyle name="40% - Accent5 12 3 3" xfId="5765"/>
    <cellStyle name="40% - Accent5 12 3 3 2" xfId="13017"/>
    <cellStyle name="40% - Accent5 12 3 4" xfId="7034"/>
    <cellStyle name="40% - Accent5 12 3 4 2" xfId="14235"/>
    <cellStyle name="40% - Accent5 12 3 5" xfId="8178"/>
    <cellStyle name="40% - Accent5 12 3 5 2" xfId="15358"/>
    <cellStyle name="40% - Accent5 12 3 6" xfId="9686"/>
    <cellStyle name="40% - Accent5 12 4" xfId="2435"/>
    <cellStyle name="40% - Accent5 12 4 2" xfId="4797"/>
    <cellStyle name="40% - Accent5 12 4 2 2" xfId="12092"/>
    <cellStyle name="40% - Accent5 12 4 3" xfId="6138"/>
    <cellStyle name="40% - Accent5 12 4 3 2" xfId="13372"/>
    <cellStyle name="40% - Accent5 12 4 4" xfId="7391"/>
    <cellStyle name="40% - Accent5 12 4 4 2" xfId="14581"/>
    <cellStyle name="40% - Accent5 12 4 5" xfId="8498"/>
    <cellStyle name="40% - Accent5 12 4 5 2" xfId="15674"/>
    <cellStyle name="40% - Accent5 12 4 6" xfId="10006"/>
    <cellStyle name="40% - Accent5 12 5" xfId="3394"/>
    <cellStyle name="40% - Accent5 12 5 2" xfId="10765"/>
    <cellStyle name="40% - Accent5 12 6" xfId="3190"/>
    <cellStyle name="40% - Accent5 12 6 2" xfId="10577"/>
    <cellStyle name="40% - Accent5 12 7" xfId="5817"/>
    <cellStyle name="40% - Accent5 12 7 2" xfId="13067"/>
    <cellStyle name="40% - Accent5 12 8" xfId="7084"/>
    <cellStyle name="40% - Accent5 12 8 2" xfId="14284"/>
    <cellStyle name="40% - Accent5 12 9" xfId="8982"/>
    <cellStyle name="40% - Accent5 13" xfId="961"/>
    <cellStyle name="40% - Accent5 13 2" xfId="1828"/>
    <cellStyle name="40% - Accent5 13 2 2" xfId="4214"/>
    <cellStyle name="40% - Accent5 13 2 2 2" xfId="11527"/>
    <cellStyle name="40% - Accent5 13 2 3" xfId="5573"/>
    <cellStyle name="40% - Accent5 13 2 3 2" xfId="12827"/>
    <cellStyle name="40% - Accent5 13 2 4" xfId="6843"/>
    <cellStyle name="40% - Accent5 13 2 4 2" xfId="14045"/>
    <cellStyle name="40% - Accent5 13 2 5" xfId="7993"/>
    <cellStyle name="40% - Accent5 13 2 5 2" xfId="15173"/>
    <cellStyle name="40% - Accent5 13 2 6" xfId="9501"/>
    <cellStyle name="40% - Accent5 13 3" xfId="2041"/>
    <cellStyle name="40% - Accent5 13 3 2" xfId="4423"/>
    <cellStyle name="40% - Accent5 13 3 2 2" xfId="11733"/>
    <cellStyle name="40% - Accent5 13 3 3" xfId="5779"/>
    <cellStyle name="40% - Accent5 13 3 3 2" xfId="13030"/>
    <cellStyle name="40% - Accent5 13 3 4" xfId="7048"/>
    <cellStyle name="40% - Accent5 13 3 4 2" xfId="14248"/>
    <cellStyle name="40% - Accent5 13 3 5" xfId="8191"/>
    <cellStyle name="40% - Accent5 13 3 5 2" xfId="15371"/>
    <cellStyle name="40% - Accent5 13 3 6" xfId="9699"/>
    <cellStyle name="40% - Accent5 13 4" xfId="2450"/>
    <cellStyle name="40% - Accent5 13 4 2" xfId="4812"/>
    <cellStyle name="40% - Accent5 13 4 2 2" xfId="12105"/>
    <cellStyle name="40% - Accent5 13 4 3" xfId="6153"/>
    <cellStyle name="40% - Accent5 13 4 3 2" xfId="13385"/>
    <cellStyle name="40% - Accent5 13 4 4" xfId="7406"/>
    <cellStyle name="40% - Accent5 13 4 4 2" xfId="14594"/>
    <cellStyle name="40% - Accent5 13 4 5" xfId="8511"/>
    <cellStyle name="40% - Accent5 13 4 5 2" xfId="15687"/>
    <cellStyle name="40% - Accent5 13 4 6" xfId="10019"/>
    <cellStyle name="40% - Accent5 13 5" xfId="3430"/>
    <cellStyle name="40% - Accent5 13 5 2" xfId="10794"/>
    <cellStyle name="40% - Accent5 13 6" xfId="3694"/>
    <cellStyle name="40% - Accent5 13 6 2" xfId="11029"/>
    <cellStyle name="40% - Accent5 13 7" xfId="4482"/>
    <cellStyle name="40% - Accent5 13 7 2" xfId="11790"/>
    <cellStyle name="40% - Accent5 13 8" xfId="2765"/>
    <cellStyle name="40% - Accent5 13 8 2" xfId="10226"/>
    <cellStyle name="40% - Accent5 13 9" xfId="8997"/>
    <cellStyle name="40% - Accent5 14" xfId="1004"/>
    <cellStyle name="40% - Accent5 14 2" xfId="1851"/>
    <cellStyle name="40% - Accent5 14 2 2" xfId="4236"/>
    <cellStyle name="40% - Accent5 14 2 2 2" xfId="11549"/>
    <cellStyle name="40% - Accent5 14 2 3" xfId="5593"/>
    <cellStyle name="40% - Accent5 14 2 3 2" xfId="12846"/>
    <cellStyle name="40% - Accent5 14 2 4" xfId="6862"/>
    <cellStyle name="40% - Accent5 14 2 4 2" xfId="14064"/>
    <cellStyle name="40% - Accent5 14 2 5" xfId="8010"/>
    <cellStyle name="40% - Accent5 14 2 5 2" xfId="15190"/>
    <cellStyle name="40% - Accent5 14 2 6" xfId="9518"/>
    <cellStyle name="40% - Accent5 14 3" xfId="2055"/>
    <cellStyle name="40% - Accent5 14 3 2" xfId="4437"/>
    <cellStyle name="40% - Accent5 14 3 2 2" xfId="11746"/>
    <cellStyle name="40% - Accent5 14 3 3" xfId="5792"/>
    <cellStyle name="40% - Accent5 14 3 3 2" xfId="13043"/>
    <cellStyle name="40% - Accent5 14 3 4" xfId="7061"/>
    <cellStyle name="40% - Accent5 14 3 4 2" xfId="14261"/>
    <cellStyle name="40% - Accent5 14 3 5" xfId="8204"/>
    <cellStyle name="40% - Accent5 14 3 5 2" xfId="15384"/>
    <cellStyle name="40% - Accent5 14 3 6" xfId="9712"/>
    <cellStyle name="40% - Accent5 14 4" xfId="2464"/>
    <cellStyle name="40% - Accent5 14 4 2" xfId="4825"/>
    <cellStyle name="40% - Accent5 14 4 2 2" xfId="12118"/>
    <cellStyle name="40% - Accent5 14 4 3" xfId="6167"/>
    <cellStyle name="40% - Accent5 14 4 3 2" xfId="13398"/>
    <cellStyle name="40% - Accent5 14 4 4" xfId="7420"/>
    <cellStyle name="40% - Accent5 14 4 4 2" xfId="14607"/>
    <cellStyle name="40% - Accent5 14 4 5" xfId="8524"/>
    <cellStyle name="40% - Accent5 14 4 5 2" xfId="15700"/>
    <cellStyle name="40% - Accent5 14 4 6" xfId="10032"/>
    <cellStyle name="40% - Accent5 14 5" xfId="3465"/>
    <cellStyle name="40% - Accent5 14 5 2" xfId="10826"/>
    <cellStyle name="40% - Accent5 14 6" xfId="3829"/>
    <cellStyle name="40% - Accent5 14 6 2" xfId="11150"/>
    <cellStyle name="40% - Accent5 14 7" xfId="2972"/>
    <cellStyle name="40% - Accent5 14 7 2" xfId="10389"/>
    <cellStyle name="40% - Accent5 14 8" xfId="2657"/>
    <cellStyle name="40% - Accent5 14 8 2" xfId="10157"/>
    <cellStyle name="40% - Accent5 14 9" xfId="9011"/>
    <cellStyle name="40% - Accent5 15" xfId="1045"/>
    <cellStyle name="40% - Accent5 15 2" xfId="1870"/>
    <cellStyle name="40% - Accent5 15 2 2" xfId="4255"/>
    <cellStyle name="40% - Accent5 15 2 2 2" xfId="11567"/>
    <cellStyle name="40% - Accent5 15 2 3" xfId="5611"/>
    <cellStyle name="40% - Accent5 15 2 3 2" xfId="12864"/>
    <cellStyle name="40% - Accent5 15 2 4" xfId="6880"/>
    <cellStyle name="40% - Accent5 15 2 4 2" xfId="14082"/>
    <cellStyle name="40% - Accent5 15 2 5" xfId="8025"/>
    <cellStyle name="40% - Accent5 15 2 5 2" xfId="15205"/>
    <cellStyle name="40% - Accent5 15 2 6" xfId="9533"/>
    <cellStyle name="40% - Accent5 15 3" xfId="2068"/>
    <cellStyle name="40% - Accent5 15 3 2" xfId="4450"/>
    <cellStyle name="40% - Accent5 15 3 2 2" xfId="11759"/>
    <cellStyle name="40% - Accent5 15 3 3" xfId="5805"/>
    <cellStyle name="40% - Accent5 15 3 3 2" xfId="13056"/>
    <cellStyle name="40% - Accent5 15 3 4" xfId="7074"/>
    <cellStyle name="40% - Accent5 15 3 4 2" xfId="14274"/>
    <cellStyle name="40% - Accent5 15 3 5" xfId="8217"/>
    <cellStyle name="40% - Accent5 15 3 5 2" xfId="15397"/>
    <cellStyle name="40% - Accent5 15 3 6" xfId="9725"/>
    <cellStyle name="40% - Accent5 15 4" xfId="2477"/>
    <cellStyle name="40% - Accent5 15 4 2" xfId="4838"/>
    <cellStyle name="40% - Accent5 15 4 2 2" xfId="12131"/>
    <cellStyle name="40% - Accent5 15 4 3" xfId="6180"/>
    <cellStyle name="40% - Accent5 15 4 3 2" xfId="13411"/>
    <cellStyle name="40% - Accent5 15 4 4" xfId="7433"/>
    <cellStyle name="40% - Accent5 15 4 4 2" xfId="14620"/>
    <cellStyle name="40% - Accent5 15 4 5" xfId="8537"/>
    <cellStyle name="40% - Accent5 15 4 5 2" xfId="15713"/>
    <cellStyle name="40% - Accent5 15 4 6" xfId="10045"/>
    <cellStyle name="40% - Accent5 15 5" xfId="3499"/>
    <cellStyle name="40% - Accent5 15 5 2" xfId="10854"/>
    <cellStyle name="40% - Accent5 15 6" xfId="3178"/>
    <cellStyle name="40% - Accent5 15 6 2" xfId="10566"/>
    <cellStyle name="40% - Accent5 15 7" xfId="5808"/>
    <cellStyle name="40% - Accent5 15 7 2" xfId="13059"/>
    <cellStyle name="40% - Accent5 15 8" xfId="7077"/>
    <cellStyle name="40% - Accent5 15 8 2" xfId="14277"/>
    <cellStyle name="40% - Accent5 15 9" xfId="9024"/>
    <cellStyle name="40% - Accent5 16" xfId="1086"/>
    <cellStyle name="40% - Accent5 16 2" xfId="2490"/>
    <cellStyle name="40% - Accent5 16 2 2" xfId="4851"/>
    <cellStyle name="40% - Accent5 16 2 2 2" xfId="12144"/>
    <cellStyle name="40% - Accent5 16 2 3" xfId="6193"/>
    <cellStyle name="40% - Accent5 16 2 3 2" xfId="13424"/>
    <cellStyle name="40% - Accent5 16 2 4" xfId="7446"/>
    <cellStyle name="40% - Accent5 16 2 4 2" xfId="14633"/>
    <cellStyle name="40% - Accent5 16 2 5" xfId="8550"/>
    <cellStyle name="40% - Accent5 16 2 5 2" xfId="15726"/>
    <cellStyle name="40% - Accent5 16 2 6" xfId="10058"/>
    <cellStyle name="40% - Accent5 16 3" xfId="3530"/>
    <cellStyle name="40% - Accent5 16 3 2" xfId="10884"/>
    <cellStyle name="40% - Accent5 16 4" xfId="4946"/>
    <cellStyle name="40% - Accent5 16 4 2" xfId="12235"/>
    <cellStyle name="40% - Accent5 16 5" xfId="6284"/>
    <cellStyle name="40% - Accent5 16 5 2" xfId="13510"/>
    <cellStyle name="40% - Accent5 16 6" xfId="7529"/>
    <cellStyle name="40% - Accent5 16 6 2" xfId="14713"/>
    <cellStyle name="40% - Accent5 16 7" xfId="9037"/>
    <cellStyle name="40% - Accent5 17" xfId="1127"/>
    <cellStyle name="40% - Accent5 17 2" xfId="2503"/>
    <cellStyle name="40% - Accent5 17 2 2" xfId="4864"/>
    <cellStyle name="40% - Accent5 17 2 2 2" xfId="12157"/>
    <cellStyle name="40% - Accent5 17 2 3" xfId="6206"/>
    <cellStyle name="40% - Accent5 17 2 3 2" xfId="13437"/>
    <cellStyle name="40% - Accent5 17 2 4" xfId="7459"/>
    <cellStyle name="40% - Accent5 17 2 4 2" xfId="14646"/>
    <cellStyle name="40% - Accent5 17 2 5" xfId="8563"/>
    <cellStyle name="40% - Accent5 17 2 5 2" xfId="15739"/>
    <cellStyle name="40% - Accent5 17 2 6" xfId="10071"/>
    <cellStyle name="40% - Accent5 17 3" xfId="3567"/>
    <cellStyle name="40% - Accent5 17 3 2" xfId="10916"/>
    <cellStyle name="40% - Accent5 17 4" xfId="4975"/>
    <cellStyle name="40% - Accent5 17 4 2" xfId="12261"/>
    <cellStyle name="40% - Accent5 17 5" xfId="6305"/>
    <cellStyle name="40% - Accent5 17 5 2" xfId="13528"/>
    <cellStyle name="40% - Accent5 17 6" xfId="7542"/>
    <cellStyle name="40% - Accent5 17 6 2" xfId="14726"/>
    <cellStyle name="40% - Accent5 17 7" xfId="9050"/>
    <cellStyle name="40% - Accent5 18" xfId="1168"/>
    <cellStyle name="40% - Accent5 18 2" xfId="2516"/>
    <cellStyle name="40% - Accent5 18 2 2" xfId="4877"/>
    <cellStyle name="40% - Accent5 18 2 2 2" xfId="12170"/>
    <cellStyle name="40% - Accent5 18 2 3" xfId="6219"/>
    <cellStyle name="40% - Accent5 18 2 3 2" xfId="13450"/>
    <cellStyle name="40% - Accent5 18 2 4" xfId="7472"/>
    <cellStyle name="40% - Accent5 18 2 4 2" xfId="14659"/>
    <cellStyle name="40% - Accent5 18 2 5" xfId="8576"/>
    <cellStyle name="40% - Accent5 18 2 5 2" xfId="15752"/>
    <cellStyle name="40% - Accent5 18 2 6" xfId="10084"/>
    <cellStyle name="40% - Accent5 18 3" xfId="3602"/>
    <cellStyle name="40% - Accent5 18 3 2" xfId="10948"/>
    <cellStyle name="40% - Accent5 18 4" xfId="5006"/>
    <cellStyle name="40% - Accent5 18 4 2" xfId="12287"/>
    <cellStyle name="40% - Accent5 18 5" xfId="6328"/>
    <cellStyle name="40% - Accent5 18 5 2" xfId="13548"/>
    <cellStyle name="40% - Accent5 18 6" xfId="7555"/>
    <cellStyle name="40% - Accent5 18 6 2" xfId="14739"/>
    <cellStyle name="40% - Accent5 18 7" xfId="9063"/>
    <cellStyle name="40% - Accent5 19" xfId="1209"/>
    <cellStyle name="40% - Accent5 19 2" xfId="2529"/>
    <cellStyle name="40% - Accent5 19 2 2" xfId="4890"/>
    <cellStyle name="40% - Accent5 19 2 2 2" xfId="12183"/>
    <cellStyle name="40% - Accent5 19 2 3" xfId="6232"/>
    <cellStyle name="40% - Accent5 19 2 3 2" xfId="13463"/>
    <cellStyle name="40% - Accent5 19 2 4" xfId="7485"/>
    <cellStyle name="40% - Accent5 19 2 4 2" xfId="14672"/>
    <cellStyle name="40% - Accent5 19 2 5" xfId="8589"/>
    <cellStyle name="40% - Accent5 19 2 5 2" xfId="15765"/>
    <cellStyle name="40% - Accent5 19 2 6" xfId="10097"/>
    <cellStyle name="40% - Accent5 19 3" xfId="3637"/>
    <cellStyle name="40% - Accent5 19 3 2" xfId="10977"/>
    <cellStyle name="40% - Accent5 19 4" xfId="5036"/>
    <cellStyle name="40% - Accent5 19 4 2" xfId="12314"/>
    <cellStyle name="40% - Accent5 19 5" xfId="6352"/>
    <cellStyle name="40% - Accent5 19 5 2" xfId="13569"/>
    <cellStyle name="40% - Accent5 19 6" xfId="7568"/>
    <cellStyle name="40% - Accent5 19 6 2" xfId="14752"/>
    <cellStyle name="40% - Accent5 19 7" xfId="9076"/>
    <cellStyle name="40% - Accent5 2" xfId="44"/>
    <cellStyle name="40% - Accent5 2 10" xfId="2798"/>
    <cellStyle name="40% - Accent5 2 11" xfId="8648"/>
    <cellStyle name="40% - Accent5 2 2" xfId="518"/>
    <cellStyle name="40% - Accent5 2 3" xfId="705"/>
    <cellStyle name="40% - Accent5 2 4" xfId="1294"/>
    <cellStyle name="40% - Accent5 2 5" xfId="1413"/>
    <cellStyle name="40% - Accent5 2 6" xfId="2101"/>
    <cellStyle name="40% - Accent5 2 7" xfId="2626"/>
    <cellStyle name="40% - Accent5 2 8" xfId="2779"/>
    <cellStyle name="40% - Accent5 2 9" xfId="4176"/>
    <cellStyle name="40% - Accent5 20" xfId="1250"/>
    <cellStyle name="40% - Accent5 20 2" xfId="2542"/>
    <cellStyle name="40% - Accent5 20 2 2" xfId="4903"/>
    <cellStyle name="40% - Accent5 20 2 2 2" xfId="12196"/>
    <cellStyle name="40% - Accent5 20 2 3" xfId="6245"/>
    <cellStyle name="40% - Accent5 20 2 3 2" xfId="13476"/>
    <cellStyle name="40% - Accent5 20 2 4" xfId="7498"/>
    <cellStyle name="40% - Accent5 20 2 4 2" xfId="14685"/>
    <cellStyle name="40% - Accent5 20 2 5" xfId="8602"/>
    <cellStyle name="40% - Accent5 20 2 5 2" xfId="15778"/>
    <cellStyle name="40% - Accent5 20 2 6" xfId="10110"/>
    <cellStyle name="40% - Accent5 20 3" xfId="3674"/>
    <cellStyle name="40% - Accent5 20 3 2" xfId="11010"/>
    <cellStyle name="40% - Accent5 20 4" xfId="5065"/>
    <cellStyle name="40% - Accent5 20 4 2" xfId="12340"/>
    <cellStyle name="40% - Accent5 20 5" xfId="6375"/>
    <cellStyle name="40% - Accent5 20 5 2" xfId="13590"/>
    <cellStyle name="40% - Accent5 20 6" xfId="7581"/>
    <cellStyle name="40% - Accent5 20 6 2" xfId="14765"/>
    <cellStyle name="40% - Accent5 20 7" xfId="9089"/>
    <cellStyle name="40% - Accent5 21" xfId="2580"/>
    <cellStyle name="40% - Accent5 21 2" xfId="4934"/>
    <cellStyle name="40% - Accent5 21 2 2" xfId="12223"/>
    <cellStyle name="40% - Accent5 21 3" xfId="6275"/>
    <cellStyle name="40% - Accent5 21 3 2" xfId="13501"/>
    <cellStyle name="40% - Accent5 21 4" xfId="7522"/>
    <cellStyle name="40% - Accent5 21 4 2" xfId="14706"/>
    <cellStyle name="40% - Accent5 21 5" xfId="8615"/>
    <cellStyle name="40% - Accent5 21 5 2" xfId="15791"/>
    <cellStyle name="40% - Accent5 21 6" xfId="10123"/>
    <cellStyle name="40% - Accent5 3" xfId="45"/>
    <cellStyle name="40% - Accent5 3 10" xfId="7501"/>
    <cellStyle name="40% - Accent5 3 11" xfId="8649"/>
    <cellStyle name="40% - Accent5 3 2" xfId="519"/>
    <cellStyle name="40% - Accent5 3 3" xfId="706"/>
    <cellStyle name="40% - Accent5 3 4" xfId="1295"/>
    <cellStyle name="40% - Accent5 3 5" xfId="1392"/>
    <cellStyle name="40% - Accent5 3 6" xfId="2102"/>
    <cellStyle name="40% - Accent5 3 7" xfId="2627"/>
    <cellStyle name="40% - Accent5 3 8" xfId="4906"/>
    <cellStyle name="40% - Accent5 3 9" xfId="6248"/>
    <cellStyle name="40% - Accent5 4" xfId="46"/>
    <cellStyle name="40% - Accent5 4 10" xfId="6355"/>
    <cellStyle name="40% - Accent5 4 11" xfId="8650"/>
    <cellStyle name="40% - Accent5 4 2" xfId="520"/>
    <cellStyle name="40% - Accent5 4 3" xfId="707"/>
    <cellStyle name="40% - Accent5 4 4" xfId="1296"/>
    <cellStyle name="40% - Accent5 4 5" xfId="1377"/>
    <cellStyle name="40% - Accent5 4 6" xfId="2103"/>
    <cellStyle name="40% - Accent5 4 7" xfId="2628"/>
    <cellStyle name="40% - Accent5 4 8" xfId="3641"/>
    <cellStyle name="40% - Accent5 4 9" xfId="5039"/>
    <cellStyle name="40% - Accent5 5" xfId="272"/>
    <cellStyle name="40% - Accent5 5 10" xfId="6427"/>
    <cellStyle name="40% - Accent5 5 11" xfId="8711"/>
    <cellStyle name="40% - Accent5 5 2" xfId="576"/>
    <cellStyle name="40% - Accent5 5 3" xfId="763"/>
    <cellStyle name="40% - Accent5 5 4" xfId="1407"/>
    <cellStyle name="40% - Accent5 5 5" xfId="1855"/>
    <cellStyle name="40% - Accent5 5 6" xfId="2164"/>
    <cellStyle name="40% - Accent5 5 7" xfId="2825"/>
    <cellStyle name="40% - Accent5 5 8" xfId="2729"/>
    <cellStyle name="40% - Accent5 5 9" xfId="5135"/>
    <cellStyle name="40% - Accent5 6" xfId="317"/>
    <cellStyle name="40% - Accent5 7" xfId="358"/>
    <cellStyle name="40% - Accent5 7 10" xfId="3703"/>
    <cellStyle name="40% - Accent5 7 10 2" xfId="11037"/>
    <cellStyle name="40% - Accent5 7 11" xfId="8724"/>
    <cellStyle name="40% - Accent5 7 2" xfId="589"/>
    <cellStyle name="40% - Accent5 7 2 10" xfId="8787"/>
    <cellStyle name="40% - Accent5 7 2 2" xfId="828"/>
    <cellStyle name="40% - Accent5 7 2 2 2" xfId="1728"/>
    <cellStyle name="40% - Accent5 7 2 2 2 2" xfId="4118"/>
    <cellStyle name="40% - Accent5 7 2 2 2 2 2" xfId="11432"/>
    <cellStyle name="40% - Accent5 7 2 2 2 3" xfId="5480"/>
    <cellStyle name="40% - Accent5 7 2 2 2 3 2" xfId="12734"/>
    <cellStyle name="40% - Accent5 7 2 2 2 4" xfId="6752"/>
    <cellStyle name="40% - Accent5 7 2 2 2 4 2" xfId="13954"/>
    <cellStyle name="40% - Accent5 7 2 2 2 5" xfId="7907"/>
    <cellStyle name="40% - Accent5 7 2 2 2 5 2" xfId="15087"/>
    <cellStyle name="40% - Accent5 7 2 2 2 6" xfId="9415"/>
    <cellStyle name="40% - Accent5 7 2 2 3" xfId="1961"/>
    <cellStyle name="40% - Accent5 7 2 2 3 2" xfId="4344"/>
    <cellStyle name="40% - Accent5 7 2 2 3 2 2" xfId="11655"/>
    <cellStyle name="40% - Accent5 7 2 2 3 3" xfId="5700"/>
    <cellStyle name="40% - Accent5 7 2 2 3 3 2" xfId="12952"/>
    <cellStyle name="40% - Accent5 7 2 2 3 4" xfId="6969"/>
    <cellStyle name="40% - Accent5 7 2 2 3 4 2" xfId="14170"/>
    <cellStyle name="40% - Accent5 7 2 2 3 5" xfId="8113"/>
    <cellStyle name="40% - Accent5 7 2 2 3 5 2" xfId="15293"/>
    <cellStyle name="40% - Accent5 7 2 2 3 6" xfId="9621"/>
    <cellStyle name="40% - Accent5 7 2 2 4" xfId="2370"/>
    <cellStyle name="40% - Accent5 7 2 2 4 2" xfId="4732"/>
    <cellStyle name="40% - Accent5 7 2 2 4 2 2" xfId="12027"/>
    <cellStyle name="40% - Accent5 7 2 2 4 3" xfId="6073"/>
    <cellStyle name="40% - Accent5 7 2 2 4 3 2" xfId="13307"/>
    <cellStyle name="40% - Accent5 7 2 2 4 4" xfId="7326"/>
    <cellStyle name="40% - Accent5 7 2 2 4 4 2" xfId="14516"/>
    <cellStyle name="40% - Accent5 7 2 2 4 5" xfId="8433"/>
    <cellStyle name="40% - Accent5 7 2 2 4 5 2" xfId="15609"/>
    <cellStyle name="40% - Accent5 7 2 2 4 6" xfId="9941"/>
    <cellStyle name="40% - Accent5 7 2 2 5" xfId="3309"/>
    <cellStyle name="40% - Accent5 7 2 2 5 2" xfId="10682"/>
    <cellStyle name="40% - Accent5 7 2 2 6" xfId="3778"/>
    <cellStyle name="40% - Accent5 7 2 2 6 2" xfId="11101"/>
    <cellStyle name="40% - Accent5 7 2 2 7" xfId="2864"/>
    <cellStyle name="40% - Accent5 7 2 2 7 2" xfId="10291"/>
    <cellStyle name="40% - Accent5 7 2 2 8" xfId="2692"/>
    <cellStyle name="40% - Accent5 7 2 2 8 2" xfId="10187"/>
    <cellStyle name="40% - Accent5 7 2 2 9" xfId="8917"/>
    <cellStyle name="40% - Accent5 7 2 3" xfId="1565"/>
    <cellStyle name="40% - Accent5 7 2 3 2" xfId="3956"/>
    <cellStyle name="40% - Accent5 7 2 3 2 2" xfId="11273"/>
    <cellStyle name="40% - Accent5 7 2 3 3" xfId="5322"/>
    <cellStyle name="40% - Accent5 7 2 3 3 2" xfId="12580"/>
    <cellStyle name="40% - Accent5 7 2 3 4" xfId="6595"/>
    <cellStyle name="40% - Accent5 7 2 3 4 2" xfId="13800"/>
    <cellStyle name="40% - Accent5 7 2 3 5" xfId="7754"/>
    <cellStyle name="40% - Accent5 7 2 3 5 2" xfId="14934"/>
    <cellStyle name="40% - Accent5 7 2 3 6" xfId="9262"/>
    <cellStyle name="40% - Accent5 7 2 4" xfId="1425"/>
    <cellStyle name="40% - Accent5 7 2 4 2" xfId="3822"/>
    <cellStyle name="40% - Accent5 7 2 4 2 2" xfId="11143"/>
    <cellStyle name="40% - Accent5 7 2 4 3" xfId="5192"/>
    <cellStyle name="40% - Accent5 7 2 4 3 2" xfId="12454"/>
    <cellStyle name="40% - Accent5 7 2 4 4" xfId="6468"/>
    <cellStyle name="40% - Accent5 7 2 4 4 2" xfId="13677"/>
    <cellStyle name="40% - Accent5 7 2 4 5" xfId="7637"/>
    <cellStyle name="40% - Accent5 7 2 4 5 2" xfId="14817"/>
    <cellStyle name="40% - Accent5 7 2 4 6" xfId="9145"/>
    <cellStyle name="40% - Accent5 7 2 5" xfId="2240"/>
    <cellStyle name="40% - Accent5 7 2 5 2" xfId="4602"/>
    <cellStyle name="40% - Accent5 7 2 5 2 2" xfId="11900"/>
    <cellStyle name="40% - Accent5 7 2 5 3" xfId="5943"/>
    <cellStyle name="40% - Accent5 7 2 5 3 2" xfId="13180"/>
    <cellStyle name="40% - Accent5 7 2 5 4" xfId="7196"/>
    <cellStyle name="40% - Accent5 7 2 5 4 2" xfId="14389"/>
    <cellStyle name="40% - Accent5 7 2 5 5" xfId="8306"/>
    <cellStyle name="40% - Accent5 7 2 5 5 2" xfId="15482"/>
    <cellStyle name="40% - Accent5 7 2 5 6" xfId="9814"/>
    <cellStyle name="40% - Accent5 7 2 6" xfId="3093"/>
    <cellStyle name="40% - Accent5 7 2 6 2" xfId="10490"/>
    <cellStyle name="40% - Accent5 7 2 7" xfId="2667"/>
    <cellStyle name="40% - Accent5 7 2 7 2" xfId="10167"/>
    <cellStyle name="40% - Accent5 7 2 8" xfId="3063"/>
    <cellStyle name="40% - Accent5 7 2 8 2" xfId="10460"/>
    <cellStyle name="40% - Accent5 7 2 9" xfId="5558"/>
    <cellStyle name="40% - Accent5 7 2 9 2" xfId="12812"/>
    <cellStyle name="40% - Accent5 7 3" xfId="776"/>
    <cellStyle name="40% - Accent5 7 3 2" xfId="1676"/>
    <cellStyle name="40% - Accent5 7 3 2 2" xfId="4066"/>
    <cellStyle name="40% - Accent5 7 3 2 2 2" xfId="11380"/>
    <cellStyle name="40% - Accent5 7 3 2 3" xfId="5428"/>
    <cellStyle name="40% - Accent5 7 3 2 3 2" xfId="12682"/>
    <cellStyle name="40% - Accent5 7 3 2 4" xfId="6700"/>
    <cellStyle name="40% - Accent5 7 3 2 4 2" xfId="13902"/>
    <cellStyle name="40% - Accent5 7 3 2 5" xfId="7855"/>
    <cellStyle name="40% - Accent5 7 3 2 5 2" xfId="15035"/>
    <cellStyle name="40% - Accent5 7 3 2 6" xfId="9363"/>
    <cellStyle name="40% - Accent5 7 3 3" xfId="1909"/>
    <cellStyle name="40% - Accent5 7 3 3 2" xfId="4292"/>
    <cellStyle name="40% - Accent5 7 3 3 2 2" xfId="11603"/>
    <cellStyle name="40% - Accent5 7 3 3 3" xfId="5648"/>
    <cellStyle name="40% - Accent5 7 3 3 3 2" xfId="12900"/>
    <cellStyle name="40% - Accent5 7 3 3 4" xfId="6917"/>
    <cellStyle name="40% - Accent5 7 3 3 4 2" xfId="14118"/>
    <cellStyle name="40% - Accent5 7 3 3 5" xfId="8061"/>
    <cellStyle name="40% - Accent5 7 3 3 5 2" xfId="15241"/>
    <cellStyle name="40% - Accent5 7 3 3 6" xfId="9569"/>
    <cellStyle name="40% - Accent5 7 3 4" xfId="2318"/>
    <cellStyle name="40% - Accent5 7 3 4 2" xfId="4680"/>
    <cellStyle name="40% - Accent5 7 3 4 2 2" xfId="11975"/>
    <cellStyle name="40% - Accent5 7 3 4 3" xfId="6021"/>
    <cellStyle name="40% - Accent5 7 3 4 3 2" xfId="13255"/>
    <cellStyle name="40% - Accent5 7 3 4 4" xfId="7274"/>
    <cellStyle name="40% - Accent5 7 3 4 4 2" xfId="14464"/>
    <cellStyle name="40% - Accent5 7 3 4 5" xfId="8381"/>
    <cellStyle name="40% - Accent5 7 3 4 5 2" xfId="15557"/>
    <cellStyle name="40% - Accent5 7 3 4 6" xfId="9889"/>
    <cellStyle name="40% - Accent5 7 3 5" xfId="3257"/>
    <cellStyle name="40% - Accent5 7 3 5 2" xfId="10630"/>
    <cellStyle name="40% - Accent5 7 3 6" xfId="4924"/>
    <cellStyle name="40% - Accent5 7 3 6 2" xfId="12213"/>
    <cellStyle name="40% - Accent5 7 3 7" xfId="4493"/>
    <cellStyle name="40% - Accent5 7 3 7 2" xfId="11798"/>
    <cellStyle name="40% - Accent5 7 3 8" xfId="5134"/>
    <cellStyle name="40% - Accent5 7 3 8 2" xfId="12403"/>
    <cellStyle name="40% - Accent5 7 3 9" xfId="8865"/>
    <cellStyle name="40% - Accent5 7 4" xfId="1444"/>
    <cellStyle name="40% - Accent5 7 4 2" xfId="3841"/>
    <cellStyle name="40% - Accent5 7 4 2 2" xfId="11162"/>
    <cellStyle name="40% - Accent5 7 4 3" xfId="5209"/>
    <cellStyle name="40% - Accent5 7 4 3 2" xfId="12471"/>
    <cellStyle name="40% - Accent5 7 4 4" xfId="6485"/>
    <cellStyle name="40% - Accent5 7 4 4 2" xfId="13694"/>
    <cellStyle name="40% - Accent5 7 4 5" xfId="7653"/>
    <cellStyle name="40% - Accent5 7 4 5 2" xfId="14833"/>
    <cellStyle name="40% - Accent5 7 4 6" xfId="9161"/>
    <cellStyle name="40% - Accent5 7 5" xfId="1405"/>
    <cellStyle name="40% - Accent5 7 5 2" xfId="3804"/>
    <cellStyle name="40% - Accent5 7 5 2 2" xfId="11126"/>
    <cellStyle name="40% - Accent5 7 5 3" xfId="5175"/>
    <cellStyle name="40% - Accent5 7 5 3 2" xfId="12437"/>
    <cellStyle name="40% - Accent5 7 5 4" xfId="6453"/>
    <cellStyle name="40% - Accent5 7 5 4 2" xfId="13662"/>
    <cellStyle name="40% - Accent5 7 5 5" xfId="7627"/>
    <cellStyle name="40% - Accent5 7 5 5 2" xfId="14807"/>
    <cellStyle name="40% - Accent5 7 5 6" xfId="9135"/>
    <cellStyle name="40% - Accent5 7 6" xfId="2177"/>
    <cellStyle name="40% - Accent5 7 6 2" xfId="4539"/>
    <cellStyle name="40% - Accent5 7 6 2 2" xfId="11838"/>
    <cellStyle name="40% - Accent5 7 6 3" xfId="5881"/>
    <cellStyle name="40% - Accent5 7 6 3 2" xfId="13118"/>
    <cellStyle name="40% - Accent5 7 6 4" xfId="7134"/>
    <cellStyle name="40% - Accent5 7 6 4 2" xfId="14327"/>
    <cellStyle name="40% - Accent5 7 6 5" xfId="8244"/>
    <cellStyle name="40% - Accent5 7 6 5 2" xfId="15420"/>
    <cellStyle name="40% - Accent5 7 6 6" xfId="9752"/>
    <cellStyle name="40% - Accent5 7 7" xfId="2894"/>
    <cellStyle name="40% - Accent5 7 7 2" xfId="10318"/>
    <cellStyle name="40% - Accent5 7 8" xfId="2708"/>
    <cellStyle name="40% - Accent5 7 8 2" xfId="10203"/>
    <cellStyle name="40% - Accent5 7 9" xfId="2713"/>
    <cellStyle name="40% - Accent5 7 9 2" xfId="10208"/>
    <cellStyle name="40% - Accent5 8" xfId="399"/>
    <cellStyle name="40% - Accent5 8 10" xfId="4953"/>
    <cellStyle name="40% - Accent5 8 10 2" xfId="12241"/>
    <cellStyle name="40% - Accent5 8 11" xfId="8737"/>
    <cellStyle name="40% - Accent5 8 2" xfId="602"/>
    <cellStyle name="40% - Accent5 8 2 10" xfId="8800"/>
    <cellStyle name="40% - Accent5 8 2 2" xfId="841"/>
    <cellStyle name="40% - Accent5 8 2 2 2" xfId="1741"/>
    <cellStyle name="40% - Accent5 8 2 2 2 2" xfId="4131"/>
    <cellStyle name="40% - Accent5 8 2 2 2 2 2" xfId="11445"/>
    <cellStyle name="40% - Accent5 8 2 2 2 3" xfId="5493"/>
    <cellStyle name="40% - Accent5 8 2 2 2 3 2" xfId="12747"/>
    <cellStyle name="40% - Accent5 8 2 2 2 4" xfId="6765"/>
    <cellStyle name="40% - Accent5 8 2 2 2 4 2" xfId="13967"/>
    <cellStyle name="40% - Accent5 8 2 2 2 5" xfId="7920"/>
    <cellStyle name="40% - Accent5 8 2 2 2 5 2" xfId="15100"/>
    <cellStyle name="40% - Accent5 8 2 2 2 6" xfId="9428"/>
    <cellStyle name="40% - Accent5 8 2 2 3" xfId="1974"/>
    <cellStyle name="40% - Accent5 8 2 2 3 2" xfId="4357"/>
    <cellStyle name="40% - Accent5 8 2 2 3 2 2" xfId="11668"/>
    <cellStyle name="40% - Accent5 8 2 2 3 3" xfId="5713"/>
    <cellStyle name="40% - Accent5 8 2 2 3 3 2" xfId="12965"/>
    <cellStyle name="40% - Accent5 8 2 2 3 4" xfId="6982"/>
    <cellStyle name="40% - Accent5 8 2 2 3 4 2" xfId="14183"/>
    <cellStyle name="40% - Accent5 8 2 2 3 5" xfId="8126"/>
    <cellStyle name="40% - Accent5 8 2 2 3 5 2" xfId="15306"/>
    <cellStyle name="40% - Accent5 8 2 2 3 6" xfId="9634"/>
    <cellStyle name="40% - Accent5 8 2 2 4" xfId="2383"/>
    <cellStyle name="40% - Accent5 8 2 2 4 2" xfId="4745"/>
    <cellStyle name="40% - Accent5 8 2 2 4 2 2" xfId="12040"/>
    <cellStyle name="40% - Accent5 8 2 2 4 3" xfId="6086"/>
    <cellStyle name="40% - Accent5 8 2 2 4 3 2" xfId="13320"/>
    <cellStyle name="40% - Accent5 8 2 2 4 4" xfId="7339"/>
    <cellStyle name="40% - Accent5 8 2 2 4 4 2" xfId="14529"/>
    <cellStyle name="40% - Accent5 8 2 2 4 5" xfId="8446"/>
    <cellStyle name="40% - Accent5 8 2 2 4 5 2" xfId="15622"/>
    <cellStyle name="40% - Accent5 8 2 2 4 6" xfId="9954"/>
    <cellStyle name="40% - Accent5 8 2 2 5" xfId="3322"/>
    <cellStyle name="40% - Accent5 8 2 2 5 2" xfId="10695"/>
    <cellStyle name="40% - Accent5 8 2 2 6" xfId="3710"/>
    <cellStyle name="40% - Accent5 8 2 2 6 2" xfId="11044"/>
    <cellStyle name="40% - Accent5 8 2 2 7" xfId="3396"/>
    <cellStyle name="40% - Accent5 8 2 2 7 2" xfId="10766"/>
    <cellStyle name="40% - Accent5 8 2 2 8" xfId="4455"/>
    <cellStyle name="40% - Accent5 8 2 2 8 2" xfId="11763"/>
    <cellStyle name="40% - Accent5 8 2 2 9" xfId="8930"/>
    <cellStyle name="40% - Accent5 8 2 3" xfId="1578"/>
    <cellStyle name="40% - Accent5 8 2 3 2" xfId="3969"/>
    <cellStyle name="40% - Accent5 8 2 3 2 2" xfId="11286"/>
    <cellStyle name="40% - Accent5 8 2 3 3" xfId="5335"/>
    <cellStyle name="40% - Accent5 8 2 3 3 2" xfId="12593"/>
    <cellStyle name="40% - Accent5 8 2 3 4" xfId="6608"/>
    <cellStyle name="40% - Accent5 8 2 3 4 2" xfId="13813"/>
    <cellStyle name="40% - Accent5 8 2 3 5" xfId="7767"/>
    <cellStyle name="40% - Accent5 8 2 3 5 2" xfId="14947"/>
    <cellStyle name="40% - Accent5 8 2 3 6" xfId="9275"/>
    <cellStyle name="40% - Accent5 8 2 4" xfId="1635"/>
    <cellStyle name="40% - Accent5 8 2 4 2" xfId="4025"/>
    <cellStyle name="40% - Accent5 8 2 4 2 2" xfId="11340"/>
    <cellStyle name="40% - Accent5 8 2 4 3" xfId="5390"/>
    <cellStyle name="40% - Accent5 8 2 4 3 2" xfId="12645"/>
    <cellStyle name="40% - Accent5 8 2 4 4" xfId="6662"/>
    <cellStyle name="40% - Accent5 8 2 4 4 2" xfId="13865"/>
    <cellStyle name="40% - Accent5 8 2 4 5" xfId="7818"/>
    <cellStyle name="40% - Accent5 8 2 4 5 2" xfId="14998"/>
    <cellStyle name="40% - Accent5 8 2 4 6" xfId="9326"/>
    <cellStyle name="40% - Accent5 8 2 5" xfId="2253"/>
    <cellStyle name="40% - Accent5 8 2 5 2" xfId="4615"/>
    <cellStyle name="40% - Accent5 8 2 5 2 2" xfId="11913"/>
    <cellStyle name="40% - Accent5 8 2 5 3" xfId="5956"/>
    <cellStyle name="40% - Accent5 8 2 5 3 2" xfId="13193"/>
    <cellStyle name="40% - Accent5 8 2 5 4" xfId="7209"/>
    <cellStyle name="40% - Accent5 8 2 5 4 2" xfId="14402"/>
    <cellStyle name="40% - Accent5 8 2 5 5" xfId="8319"/>
    <cellStyle name="40% - Accent5 8 2 5 5 2" xfId="15495"/>
    <cellStyle name="40% - Accent5 8 2 5 6" xfId="9827"/>
    <cellStyle name="40% - Accent5 8 2 6" xfId="3106"/>
    <cellStyle name="40% - Accent5 8 2 6 2" xfId="10503"/>
    <cellStyle name="40% - Accent5 8 2 7" xfId="2925"/>
    <cellStyle name="40% - Accent5 8 2 7 2" xfId="10347"/>
    <cellStyle name="40% - Accent5 8 2 8" xfId="2686"/>
    <cellStyle name="40% - Accent5 8 2 8 2" xfId="10181"/>
    <cellStyle name="40% - Accent5 8 2 9" xfId="2721"/>
    <cellStyle name="40% - Accent5 8 2 9 2" xfId="10213"/>
    <cellStyle name="40% - Accent5 8 3" xfId="789"/>
    <cellStyle name="40% - Accent5 8 3 2" xfId="1689"/>
    <cellStyle name="40% - Accent5 8 3 2 2" xfId="4079"/>
    <cellStyle name="40% - Accent5 8 3 2 2 2" xfId="11393"/>
    <cellStyle name="40% - Accent5 8 3 2 3" xfId="5441"/>
    <cellStyle name="40% - Accent5 8 3 2 3 2" xfId="12695"/>
    <cellStyle name="40% - Accent5 8 3 2 4" xfId="6713"/>
    <cellStyle name="40% - Accent5 8 3 2 4 2" xfId="13915"/>
    <cellStyle name="40% - Accent5 8 3 2 5" xfId="7868"/>
    <cellStyle name="40% - Accent5 8 3 2 5 2" xfId="15048"/>
    <cellStyle name="40% - Accent5 8 3 2 6" xfId="9376"/>
    <cellStyle name="40% - Accent5 8 3 3" xfId="1922"/>
    <cellStyle name="40% - Accent5 8 3 3 2" xfId="4305"/>
    <cellStyle name="40% - Accent5 8 3 3 2 2" xfId="11616"/>
    <cellStyle name="40% - Accent5 8 3 3 3" xfId="5661"/>
    <cellStyle name="40% - Accent5 8 3 3 3 2" xfId="12913"/>
    <cellStyle name="40% - Accent5 8 3 3 4" xfId="6930"/>
    <cellStyle name="40% - Accent5 8 3 3 4 2" xfId="14131"/>
    <cellStyle name="40% - Accent5 8 3 3 5" xfId="8074"/>
    <cellStyle name="40% - Accent5 8 3 3 5 2" xfId="15254"/>
    <cellStyle name="40% - Accent5 8 3 3 6" xfId="9582"/>
    <cellStyle name="40% - Accent5 8 3 4" xfId="2331"/>
    <cellStyle name="40% - Accent5 8 3 4 2" xfId="4693"/>
    <cellStyle name="40% - Accent5 8 3 4 2 2" xfId="11988"/>
    <cellStyle name="40% - Accent5 8 3 4 3" xfId="6034"/>
    <cellStyle name="40% - Accent5 8 3 4 3 2" xfId="13268"/>
    <cellStyle name="40% - Accent5 8 3 4 4" xfId="7287"/>
    <cellStyle name="40% - Accent5 8 3 4 4 2" xfId="14477"/>
    <cellStyle name="40% - Accent5 8 3 4 5" xfId="8394"/>
    <cellStyle name="40% - Accent5 8 3 4 5 2" xfId="15570"/>
    <cellStyle name="40% - Accent5 8 3 4 6" xfId="9902"/>
    <cellStyle name="40% - Accent5 8 3 5" xfId="3270"/>
    <cellStyle name="40% - Accent5 8 3 5 2" xfId="10643"/>
    <cellStyle name="40% - Accent5 8 3 6" xfId="2637"/>
    <cellStyle name="40% - Accent5 8 3 6 2" xfId="10140"/>
    <cellStyle name="40% - Accent5 8 3 7" xfId="3700"/>
    <cellStyle name="40% - Accent5 8 3 7 2" xfId="11034"/>
    <cellStyle name="40% - Accent5 8 3 8" xfId="3603"/>
    <cellStyle name="40% - Accent5 8 3 8 2" xfId="10949"/>
    <cellStyle name="40% - Accent5 8 3 9" xfId="8878"/>
    <cellStyle name="40% - Accent5 8 4" xfId="1467"/>
    <cellStyle name="40% - Accent5 8 4 2" xfId="3862"/>
    <cellStyle name="40% - Accent5 8 4 2 2" xfId="11183"/>
    <cellStyle name="40% - Accent5 8 4 3" xfId="5232"/>
    <cellStyle name="40% - Accent5 8 4 3 2" xfId="12492"/>
    <cellStyle name="40% - Accent5 8 4 4" xfId="6506"/>
    <cellStyle name="40% - Accent5 8 4 4 2" xfId="13713"/>
    <cellStyle name="40% - Accent5 8 4 5" xfId="7670"/>
    <cellStyle name="40% - Accent5 8 4 5 2" xfId="14850"/>
    <cellStyle name="40% - Accent5 8 4 6" xfId="9178"/>
    <cellStyle name="40% - Accent5 8 5" xfId="1480"/>
    <cellStyle name="40% - Accent5 8 5 2" xfId="3874"/>
    <cellStyle name="40% - Accent5 8 5 2 2" xfId="11194"/>
    <cellStyle name="40% - Accent5 8 5 3" xfId="5243"/>
    <cellStyle name="40% - Accent5 8 5 3 2" xfId="12503"/>
    <cellStyle name="40% - Accent5 8 5 4" xfId="6516"/>
    <cellStyle name="40% - Accent5 8 5 4 2" xfId="13723"/>
    <cellStyle name="40% - Accent5 8 5 5" xfId="7678"/>
    <cellStyle name="40% - Accent5 8 5 5 2" xfId="14858"/>
    <cellStyle name="40% - Accent5 8 5 6" xfId="9186"/>
    <cellStyle name="40% - Accent5 8 6" xfId="2190"/>
    <cellStyle name="40% - Accent5 8 6 2" xfId="4552"/>
    <cellStyle name="40% - Accent5 8 6 2 2" xfId="11851"/>
    <cellStyle name="40% - Accent5 8 6 3" xfId="5894"/>
    <cellStyle name="40% - Accent5 8 6 3 2" xfId="13131"/>
    <cellStyle name="40% - Accent5 8 6 4" xfId="7147"/>
    <cellStyle name="40% - Accent5 8 6 4 2" xfId="14340"/>
    <cellStyle name="40% - Accent5 8 6 5" xfId="8257"/>
    <cellStyle name="40% - Accent5 8 6 5 2" xfId="15433"/>
    <cellStyle name="40% - Accent5 8 6 6" xfId="9765"/>
    <cellStyle name="40% - Accent5 8 7" xfId="2931"/>
    <cellStyle name="40% - Accent5 8 7 2" xfId="10352"/>
    <cellStyle name="40% - Accent5 8 8" xfId="4908"/>
    <cellStyle name="40% - Accent5 8 8 2" xfId="12200"/>
    <cellStyle name="40% - Accent5 8 9" xfId="3442"/>
    <cellStyle name="40% - Accent5 8 9 2" xfId="10804"/>
    <cellStyle name="40% - Accent5 9" xfId="440"/>
    <cellStyle name="40% - Accent5 9 10" xfId="3527"/>
    <cellStyle name="40% - Accent5 9 10 2" xfId="10881"/>
    <cellStyle name="40% - Accent5 9 11" xfId="8750"/>
    <cellStyle name="40% - Accent5 9 2" xfId="615"/>
    <cellStyle name="40% - Accent5 9 2 10" xfId="8813"/>
    <cellStyle name="40% - Accent5 9 2 2" xfId="854"/>
    <cellStyle name="40% - Accent5 9 2 2 2" xfId="1754"/>
    <cellStyle name="40% - Accent5 9 2 2 2 2" xfId="4144"/>
    <cellStyle name="40% - Accent5 9 2 2 2 2 2" xfId="11458"/>
    <cellStyle name="40% - Accent5 9 2 2 2 3" xfId="5506"/>
    <cellStyle name="40% - Accent5 9 2 2 2 3 2" xfId="12760"/>
    <cellStyle name="40% - Accent5 9 2 2 2 4" xfId="6778"/>
    <cellStyle name="40% - Accent5 9 2 2 2 4 2" xfId="13980"/>
    <cellStyle name="40% - Accent5 9 2 2 2 5" xfId="7933"/>
    <cellStyle name="40% - Accent5 9 2 2 2 5 2" xfId="15113"/>
    <cellStyle name="40% - Accent5 9 2 2 2 6" xfId="9441"/>
    <cellStyle name="40% - Accent5 9 2 2 3" xfId="1987"/>
    <cellStyle name="40% - Accent5 9 2 2 3 2" xfId="4370"/>
    <cellStyle name="40% - Accent5 9 2 2 3 2 2" xfId="11681"/>
    <cellStyle name="40% - Accent5 9 2 2 3 3" xfId="5726"/>
    <cellStyle name="40% - Accent5 9 2 2 3 3 2" xfId="12978"/>
    <cellStyle name="40% - Accent5 9 2 2 3 4" xfId="6995"/>
    <cellStyle name="40% - Accent5 9 2 2 3 4 2" xfId="14196"/>
    <cellStyle name="40% - Accent5 9 2 2 3 5" xfId="8139"/>
    <cellStyle name="40% - Accent5 9 2 2 3 5 2" xfId="15319"/>
    <cellStyle name="40% - Accent5 9 2 2 3 6" xfId="9647"/>
    <cellStyle name="40% - Accent5 9 2 2 4" xfId="2396"/>
    <cellStyle name="40% - Accent5 9 2 2 4 2" xfId="4758"/>
    <cellStyle name="40% - Accent5 9 2 2 4 2 2" xfId="12053"/>
    <cellStyle name="40% - Accent5 9 2 2 4 3" xfId="6099"/>
    <cellStyle name="40% - Accent5 9 2 2 4 3 2" xfId="13333"/>
    <cellStyle name="40% - Accent5 9 2 2 4 4" xfId="7352"/>
    <cellStyle name="40% - Accent5 9 2 2 4 4 2" xfId="14542"/>
    <cellStyle name="40% - Accent5 9 2 2 4 5" xfId="8459"/>
    <cellStyle name="40% - Accent5 9 2 2 4 5 2" xfId="15635"/>
    <cellStyle name="40% - Accent5 9 2 2 4 6" xfId="9967"/>
    <cellStyle name="40% - Accent5 9 2 2 5" xfId="3335"/>
    <cellStyle name="40% - Accent5 9 2 2 5 2" xfId="10708"/>
    <cellStyle name="40% - Accent5 9 2 2 6" xfId="2625"/>
    <cellStyle name="40% - Accent5 9 2 2 6 2" xfId="10134"/>
    <cellStyle name="40% - Accent5 9 2 2 7" xfId="5096"/>
    <cellStyle name="40% - Accent5 9 2 2 7 2" xfId="12368"/>
    <cellStyle name="40% - Accent5 9 2 2 8" xfId="6395"/>
    <cellStyle name="40% - Accent5 9 2 2 8 2" xfId="13609"/>
    <cellStyle name="40% - Accent5 9 2 2 9" xfId="8943"/>
    <cellStyle name="40% - Accent5 9 2 3" xfId="1591"/>
    <cellStyle name="40% - Accent5 9 2 3 2" xfId="3982"/>
    <cellStyle name="40% - Accent5 9 2 3 2 2" xfId="11299"/>
    <cellStyle name="40% - Accent5 9 2 3 3" xfId="5348"/>
    <cellStyle name="40% - Accent5 9 2 3 3 2" xfId="12606"/>
    <cellStyle name="40% - Accent5 9 2 3 4" xfId="6621"/>
    <cellStyle name="40% - Accent5 9 2 3 4 2" xfId="13826"/>
    <cellStyle name="40% - Accent5 9 2 3 5" xfId="7780"/>
    <cellStyle name="40% - Accent5 9 2 3 5 2" xfId="14960"/>
    <cellStyle name="40% - Accent5 9 2 3 6" xfId="9288"/>
    <cellStyle name="40% - Accent5 9 2 4" xfId="1521"/>
    <cellStyle name="40% - Accent5 9 2 4 2" xfId="3914"/>
    <cellStyle name="40% - Accent5 9 2 4 2 2" xfId="11232"/>
    <cellStyle name="40% - Accent5 9 2 4 3" xfId="5281"/>
    <cellStyle name="40% - Accent5 9 2 4 3 2" xfId="12540"/>
    <cellStyle name="40% - Accent5 9 2 4 4" xfId="6554"/>
    <cellStyle name="40% - Accent5 9 2 4 4 2" xfId="13760"/>
    <cellStyle name="40% - Accent5 9 2 4 5" xfId="7714"/>
    <cellStyle name="40% - Accent5 9 2 4 5 2" xfId="14894"/>
    <cellStyle name="40% - Accent5 9 2 4 6" xfId="9222"/>
    <cellStyle name="40% - Accent5 9 2 5" xfId="2266"/>
    <cellStyle name="40% - Accent5 9 2 5 2" xfId="4628"/>
    <cellStyle name="40% - Accent5 9 2 5 2 2" xfId="11926"/>
    <cellStyle name="40% - Accent5 9 2 5 3" xfId="5969"/>
    <cellStyle name="40% - Accent5 9 2 5 3 2" xfId="13206"/>
    <cellStyle name="40% - Accent5 9 2 5 4" xfId="7222"/>
    <cellStyle name="40% - Accent5 9 2 5 4 2" xfId="14415"/>
    <cellStyle name="40% - Accent5 9 2 5 5" xfId="8332"/>
    <cellStyle name="40% - Accent5 9 2 5 5 2" xfId="15508"/>
    <cellStyle name="40% - Accent5 9 2 5 6" xfId="9840"/>
    <cellStyle name="40% - Accent5 9 2 6" xfId="3119"/>
    <cellStyle name="40% - Accent5 9 2 6 2" xfId="10516"/>
    <cellStyle name="40% - Accent5 9 2 7" xfId="3494"/>
    <cellStyle name="40% - Accent5 9 2 7 2" xfId="10849"/>
    <cellStyle name="40% - Accent5 9 2 8" xfId="5001"/>
    <cellStyle name="40% - Accent5 9 2 8 2" xfId="12282"/>
    <cellStyle name="40% - Accent5 9 2 9" xfId="6323"/>
    <cellStyle name="40% - Accent5 9 2 9 2" xfId="13543"/>
    <cellStyle name="40% - Accent5 9 3" xfId="802"/>
    <cellStyle name="40% - Accent5 9 3 2" xfId="1702"/>
    <cellStyle name="40% - Accent5 9 3 2 2" xfId="4092"/>
    <cellStyle name="40% - Accent5 9 3 2 2 2" xfId="11406"/>
    <cellStyle name="40% - Accent5 9 3 2 3" xfId="5454"/>
    <cellStyle name="40% - Accent5 9 3 2 3 2" xfId="12708"/>
    <cellStyle name="40% - Accent5 9 3 2 4" xfId="6726"/>
    <cellStyle name="40% - Accent5 9 3 2 4 2" xfId="13928"/>
    <cellStyle name="40% - Accent5 9 3 2 5" xfId="7881"/>
    <cellStyle name="40% - Accent5 9 3 2 5 2" xfId="15061"/>
    <cellStyle name="40% - Accent5 9 3 2 6" xfId="9389"/>
    <cellStyle name="40% - Accent5 9 3 3" xfId="1935"/>
    <cellStyle name="40% - Accent5 9 3 3 2" xfId="4318"/>
    <cellStyle name="40% - Accent5 9 3 3 2 2" xfId="11629"/>
    <cellStyle name="40% - Accent5 9 3 3 3" xfId="5674"/>
    <cellStyle name="40% - Accent5 9 3 3 3 2" xfId="12926"/>
    <cellStyle name="40% - Accent5 9 3 3 4" xfId="6943"/>
    <cellStyle name="40% - Accent5 9 3 3 4 2" xfId="14144"/>
    <cellStyle name="40% - Accent5 9 3 3 5" xfId="8087"/>
    <cellStyle name="40% - Accent5 9 3 3 5 2" xfId="15267"/>
    <cellStyle name="40% - Accent5 9 3 3 6" xfId="9595"/>
    <cellStyle name="40% - Accent5 9 3 4" xfId="2344"/>
    <cellStyle name="40% - Accent5 9 3 4 2" xfId="4706"/>
    <cellStyle name="40% - Accent5 9 3 4 2 2" xfId="12001"/>
    <cellStyle name="40% - Accent5 9 3 4 3" xfId="6047"/>
    <cellStyle name="40% - Accent5 9 3 4 3 2" xfId="13281"/>
    <cellStyle name="40% - Accent5 9 3 4 4" xfId="7300"/>
    <cellStyle name="40% - Accent5 9 3 4 4 2" xfId="14490"/>
    <cellStyle name="40% - Accent5 9 3 4 5" xfId="8407"/>
    <cellStyle name="40% - Accent5 9 3 4 5 2" xfId="15583"/>
    <cellStyle name="40% - Accent5 9 3 4 6" xfId="9915"/>
    <cellStyle name="40% - Accent5 9 3 5" xfId="3283"/>
    <cellStyle name="40% - Accent5 9 3 5 2" xfId="10656"/>
    <cellStyle name="40% - Accent5 9 3 6" xfId="3554"/>
    <cellStyle name="40% - Accent5 9 3 6 2" xfId="10903"/>
    <cellStyle name="40% - Accent5 9 3 7" xfId="3470"/>
    <cellStyle name="40% - Accent5 9 3 7 2" xfId="10830"/>
    <cellStyle name="40% - Accent5 9 3 8" xfId="4521"/>
    <cellStyle name="40% - Accent5 9 3 8 2" xfId="11820"/>
    <cellStyle name="40% - Accent5 9 3 9" xfId="8891"/>
    <cellStyle name="40% - Accent5 9 4" xfId="1490"/>
    <cellStyle name="40% - Accent5 9 4 2" xfId="3884"/>
    <cellStyle name="40% - Accent5 9 4 2 2" xfId="11204"/>
    <cellStyle name="40% - Accent5 9 4 3" xfId="5253"/>
    <cellStyle name="40% - Accent5 9 4 3 2" xfId="12513"/>
    <cellStyle name="40% - Accent5 9 4 4" xfId="6526"/>
    <cellStyle name="40% - Accent5 9 4 4 2" xfId="13733"/>
    <cellStyle name="40% - Accent5 9 4 5" xfId="7688"/>
    <cellStyle name="40% - Accent5 9 4 5 2" xfId="14868"/>
    <cellStyle name="40% - Accent5 9 4 6" xfId="9196"/>
    <cellStyle name="40% - Accent5 9 5" xfId="1807"/>
    <cellStyle name="40% - Accent5 9 5 2" xfId="4196"/>
    <cellStyle name="40% - Accent5 9 5 2 2" xfId="11509"/>
    <cellStyle name="40% - Accent5 9 5 3" xfId="5556"/>
    <cellStyle name="40% - Accent5 9 5 3 2" xfId="12810"/>
    <cellStyle name="40% - Accent5 9 5 4" xfId="6828"/>
    <cellStyle name="40% - Accent5 9 5 4 2" xfId="14030"/>
    <cellStyle name="40% - Accent5 9 5 5" xfId="7979"/>
    <cellStyle name="40% - Accent5 9 5 5 2" xfId="15159"/>
    <cellStyle name="40% - Accent5 9 5 6" xfId="9487"/>
    <cellStyle name="40% - Accent5 9 6" xfId="2203"/>
    <cellStyle name="40% - Accent5 9 6 2" xfId="4565"/>
    <cellStyle name="40% - Accent5 9 6 2 2" xfId="11864"/>
    <cellStyle name="40% - Accent5 9 6 3" xfId="5907"/>
    <cellStyle name="40% - Accent5 9 6 3 2" xfId="13144"/>
    <cellStyle name="40% - Accent5 9 6 4" xfId="7160"/>
    <cellStyle name="40% - Accent5 9 6 4 2" xfId="14353"/>
    <cellStyle name="40% - Accent5 9 6 5" xfId="8270"/>
    <cellStyle name="40% - Accent5 9 6 5 2" xfId="15446"/>
    <cellStyle name="40% - Accent5 9 6 6" xfId="9778"/>
    <cellStyle name="40% - Accent5 9 7" xfId="2967"/>
    <cellStyle name="40% - Accent5 9 7 2" xfId="10384"/>
    <cellStyle name="40% - Accent5 9 8" xfId="3642"/>
    <cellStyle name="40% - Accent5 9 8 2" xfId="10981"/>
    <cellStyle name="40% - Accent5 9 9" xfId="4507"/>
    <cellStyle name="40% - Accent5 9 9 2" xfId="11806"/>
    <cellStyle name="40% - Accent6" xfId="47" builtinId="51" customBuiltin="1"/>
    <cellStyle name="40% - Accent6 10" xfId="486"/>
    <cellStyle name="40% - Accent6 10 10" xfId="3370"/>
    <cellStyle name="40% - Accent6 10 10 2" xfId="10743"/>
    <cellStyle name="40% - Accent6 10 11" xfId="8766"/>
    <cellStyle name="40% - Accent6 10 2" xfId="630"/>
    <cellStyle name="40% - Accent6 10 2 10" xfId="8828"/>
    <cellStyle name="40% - Accent6 10 2 2" xfId="869"/>
    <cellStyle name="40% - Accent6 10 2 2 2" xfId="1769"/>
    <cellStyle name="40% - Accent6 10 2 2 2 2" xfId="4159"/>
    <cellStyle name="40% - Accent6 10 2 2 2 2 2" xfId="11473"/>
    <cellStyle name="40% - Accent6 10 2 2 2 3" xfId="5521"/>
    <cellStyle name="40% - Accent6 10 2 2 2 3 2" xfId="12775"/>
    <cellStyle name="40% - Accent6 10 2 2 2 4" xfId="6793"/>
    <cellStyle name="40% - Accent6 10 2 2 2 4 2" xfId="13995"/>
    <cellStyle name="40% - Accent6 10 2 2 2 5" xfId="7948"/>
    <cellStyle name="40% - Accent6 10 2 2 2 5 2" xfId="15128"/>
    <cellStyle name="40% - Accent6 10 2 2 2 6" xfId="9456"/>
    <cellStyle name="40% - Accent6 10 2 2 3" xfId="2002"/>
    <cellStyle name="40% - Accent6 10 2 2 3 2" xfId="4385"/>
    <cellStyle name="40% - Accent6 10 2 2 3 2 2" xfId="11696"/>
    <cellStyle name="40% - Accent6 10 2 2 3 3" xfId="5741"/>
    <cellStyle name="40% - Accent6 10 2 2 3 3 2" xfId="12993"/>
    <cellStyle name="40% - Accent6 10 2 2 3 4" xfId="7010"/>
    <cellStyle name="40% - Accent6 10 2 2 3 4 2" xfId="14211"/>
    <cellStyle name="40% - Accent6 10 2 2 3 5" xfId="8154"/>
    <cellStyle name="40% - Accent6 10 2 2 3 5 2" xfId="15334"/>
    <cellStyle name="40% - Accent6 10 2 2 3 6" xfId="9662"/>
    <cellStyle name="40% - Accent6 10 2 2 4" xfId="2411"/>
    <cellStyle name="40% - Accent6 10 2 2 4 2" xfId="4773"/>
    <cellStyle name="40% - Accent6 10 2 2 4 2 2" xfId="12068"/>
    <cellStyle name="40% - Accent6 10 2 2 4 3" xfId="6114"/>
    <cellStyle name="40% - Accent6 10 2 2 4 3 2" xfId="13348"/>
    <cellStyle name="40% - Accent6 10 2 2 4 4" xfId="7367"/>
    <cellStyle name="40% - Accent6 10 2 2 4 4 2" xfId="14557"/>
    <cellStyle name="40% - Accent6 10 2 2 4 5" xfId="8474"/>
    <cellStyle name="40% - Accent6 10 2 2 4 5 2" xfId="15650"/>
    <cellStyle name="40% - Accent6 10 2 2 4 6" xfId="9982"/>
    <cellStyle name="40% - Accent6 10 2 2 5" xfId="3350"/>
    <cellStyle name="40% - Accent6 10 2 2 5 2" xfId="10723"/>
    <cellStyle name="40% - Accent6 10 2 2 6" xfId="3195"/>
    <cellStyle name="40% - Accent6 10 2 2 6 2" xfId="10581"/>
    <cellStyle name="40% - Accent6 10 2 2 7" xfId="5821"/>
    <cellStyle name="40% - Accent6 10 2 2 7 2" xfId="13070"/>
    <cellStyle name="40% - Accent6 10 2 2 8" xfId="7087"/>
    <cellStyle name="40% - Accent6 10 2 2 8 2" xfId="14287"/>
    <cellStyle name="40% - Accent6 10 2 2 9" xfId="8958"/>
    <cellStyle name="40% - Accent6 10 2 3" xfId="1606"/>
    <cellStyle name="40% - Accent6 10 2 3 2" xfId="3997"/>
    <cellStyle name="40% - Accent6 10 2 3 2 2" xfId="11314"/>
    <cellStyle name="40% - Accent6 10 2 3 3" xfId="5363"/>
    <cellStyle name="40% - Accent6 10 2 3 3 2" xfId="12621"/>
    <cellStyle name="40% - Accent6 10 2 3 4" xfId="6636"/>
    <cellStyle name="40% - Accent6 10 2 3 4 2" xfId="13841"/>
    <cellStyle name="40% - Accent6 10 2 3 5" xfId="7795"/>
    <cellStyle name="40% - Accent6 10 2 3 5 2" xfId="14975"/>
    <cellStyle name="40% - Accent6 10 2 3 6" xfId="9303"/>
    <cellStyle name="40% - Accent6 10 2 4" xfId="1659"/>
    <cellStyle name="40% - Accent6 10 2 4 2" xfId="4049"/>
    <cellStyle name="40% - Accent6 10 2 4 2 2" xfId="11363"/>
    <cellStyle name="40% - Accent6 10 2 4 3" xfId="5411"/>
    <cellStyle name="40% - Accent6 10 2 4 3 2" xfId="12665"/>
    <cellStyle name="40% - Accent6 10 2 4 4" xfId="6683"/>
    <cellStyle name="40% - Accent6 10 2 4 4 2" xfId="13885"/>
    <cellStyle name="40% - Accent6 10 2 4 5" xfId="7838"/>
    <cellStyle name="40% - Accent6 10 2 4 5 2" xfId="15018"/>
    <cellStyle name="40% - Accent6 10 2 4 6" xfId="9346"/>
    <cellStyle name="40% - Accent6 10 2 5" xfId="2281"/>
    <cellStyle name="40% - Accent6 10 2 5 2" xfId="4643"/>
    <cellStyle name="40% - Accent6 10 2 5 2 2" xfId="11941"/>
    <cellStyle name="40% - Accent6 10 2 5 3" xfId="5984"/>
    <cellStyle name="40% - Accent6 10 2 5 3 2" xfId="13221"/>
    <cellStyle name="40% - Accent6 10 2 5 4" xfId="7237"/>
    <cellStyle name="40% - Accent6 10 2 5 4 2" xfId="14430"/>
    <cellStyle name="40% - Accent6 10 2 5 5" xfId="8347"/>
    <cellStyle name="40% - Accent6 10 2 5 5 2" xfId="15523"/>
    <cellStyle name="40% - Accent6 10 2 5 6" xfId="9855"/>
    <cellStyle name="40% - Accent6 10 2 6" xfId="3134"/>
    <cellStyle name="40% - Accent6 10 2 6 2" xfId="10531"/>
    <cellStyle name="40% - Accent6 10 2 7" xfId="3665"/>
    <cellStyle name="40% - Accent6 10 2 7 2" xfId="11001"/>
    <cellStyle name="40% - Accent6 10 2 8" xfId="2774"/>
    <cellStyle name="40% - Accent6 10 2 8 2" xfId="10233"/>
    <cellStyle name="40% - Accent6 10 2 9" xfId="4500"/>
    <cellStyle name="40% - Accent6 10 2 9 2" xfId="11802"/>
    <cellStyle name="40% - Accent6 10 3" xfId="817"/>
    <cellStyle name="40% - Accent6 10 3 2" xfId="1717"/>
    <cellStyle name="40% - Accent6 10 3 2 2" xfId="4107"/>
    <cellStyle name="40% - Accent6 10 3 2 2 2" xfId="11421"/>
    <cellStyle name="40% - Accent6 10 3 2 3" xfId="5469"/>
    <cellStyle name="40% - Accent6 10 3 2 3 2" xfId="12723"/>
    <cellStyle name="40% - Accent6 10 3 2 4" xfId="6741"/>
    <cellStyle name="40% - Accent6 10 3 2 4 2" xfId="13943"/>
    <cellStyle name="40% - Accent6 10 3 2 5" xfId="7896"/>
    <cellStyle name="40% - Accent6 10 3 2 5 2" xfId="15076"/>
    <cellStyle name="40% - Accent6 10 3 2 6" xfId="9404"/>
    <cellStyle name="40% - Accent6 10 3 3" xfId="1950"/>
    <cellStyle name="40% - Accent6 10 3 3 2" xfId="4333"/>
    <cellStyle name="40% - Accent6 10 3 3 2 2" xfId="11644"/>
    <cellStyle name="40% - Accent6 10 3 3 3" xfId="5689"/>
    <cellStyle name="40% - Accent6 10 3 3 3 2" xfId="12941"/>
    <cellStyle name="40% - Accent6 10 3 3 4" xfId="6958"/>
    <cellStyle name="40% - Accent6 10 3 3 4 2" xfId="14159"/>
    <cellStyle name="40% - Accent6 10 3 3 5" xfId="8102"/>
    <cellStyle name="40% - Accent6 10 3 3 5 2" xfId="15282"/>
    <cellStyle name="40% - Accent6 10 3 3 6" xfId="9610"/>
    <cellStyle name="40% - Accent6 10 3 4" xfId="2359"/>
    <cellStyle name="40% - Accent6 10 3 4 2" xfId="4721"/>
    <cellStyle name="40% - Accent6 10 3 4 2 2" xfId="12016"/>
    <cellStyle name="40% - Accent6 10 3 4 3" xfId="6062"/>
    <cellStyle name="40% - Accent6 10 3 4 3 2" xfId="13296"/>
    <cellStyle name="40% - Accent6 10 3 4 4" xfId="7315"/>
    <cellStyle name="40% - Accent6 10 3 4 4 2" xfId="14505"/>
    <cellStyle name="40% - Accent6 10 3 4 5" xfId="8422"/>
    <cellStyle name="40% - Accent6 10 3 4 5 2" xfId="15598"/>
    <cellStyle name="40% - Accent6 10 3 4 6" xfId="9930"/>
    <cellStyle name="40% - Accent6 10 3 5" xfId="3298"/>
    <cellStyle name="40% - Accent6 10 3 5 2" xfId="10671"/>
    <cellStyle name="40% - Accent6 10 3 6" xfId="4480"/>
    <cellStyle name="40% - Accent6 10 3 6 2" xfId="11788"/>
    <cellStyle name="40% - Accent6 10 3 7" xfId="5178"/>
    <cellStyle name="40% - Accent6 10 3 7 2" xfId="12440"/>
    <cellStyle name="40% - Accent6 10 3 8" xfId="6456"/>
    <cellStyle name="40% - Accent6 10 3 8 2" xfId="13665"/>
    <cellStyle name="40% - Accent6 10 3 9" xfId="8906"/>
    <cellStyle name="40% - Accent6 10 4" xfId="1516"/>
    <cellStyle name="40% - Accent6 10 4 2" xfId="3909"/>
    <cellStyle name="40% - Accent6 10 4 2 2" xfId="11227"/>
    <cellStyle name="40% - Accent6 10 4 3" xfId="5276"/>
    <cellStyle name="40% - Accent6 10 4 3 2" xfId="12535"/>
    <cellStyle name="40% - Accent6 10 4 4" xfId="6549"/>
    <cellStyle name="40% - Accent6 10 4 4 2" xfId="13755"/>
    <cellStyle name="40% - Accent6 10 4 5" xfId="7709"/>
    <cellStyle name="40% - Accent6 10 4 5 2" xfId="14889"/>
    <cellStyle name="40% - Accent6 10 4 6" xfId="9217"/>
    <cellStyle name="40% - Accent6 10 5" xfId="1617"/>
    <cellStyle name="40% - Accent6 10 5 2" xfId="4008"/>
    <cellStyle name="40% - Accent6 10 5 2 2" xfId="11325"/>
    <cellStyle name="40% - Accent6 10 5 3" xfId="5372"/>
    <cellStyle name="40% - Accent6 10 5 3 2" xfId="12630"/>
    <cellStyle name="40% - Accent6 10 5 4" xfId="6645"/>
    <cellStyle name="40% - Accent6 10 5 4 2" xfId="13850"/>
    <cellStyle name="40% - Accent6 10 5 5" xfId="7803"/>
    <cellStyle name="40% - Accent6 10 5 5 2" xfId="14983"/>
    <cellStyle name="40% - Accent6 10 5 6" xfId="9311"/>
    <cellStyle name="40% - Accent6 10 6" xfId="2219"/>
    <cellStyle name="40% - Accent6 10 6 2" xfId="4581"/>
    <cellStyle name="40% - Accent6 10 6 2 2" xfId="11879"/>
    <cellStyle name="40% - Accent6 10 6 3" xfId="5922"/>
    <cellStyle name="40% - Accent6 10 6 3 2" xfId="13159"/>
    <cellStyle name="40% - Accent6 10 6 4" xfId="7175"/>
    <cellStyle name="40% - Accent6 10 6 4 2" xfId="14368"/>
    <cellStyle name="40% - Accent6 10 6 5" xfId="8285"/>
    <cellStyle name="40% - Accent6 10 6 5 2" xfId="15461"/>
    <cellStyle name="40% - Accent6 10 6 6" xfId="9793"/>
    <cellStyle name="40% - Accent6 10 7" xfId="3008"/>
    <cellStyle name="40% - Accent6 10 7 2" xfId="10420"/>
    <cellStyle name="40% - Accent6 10 8" xfId="3549"/>
    <cellStyle name="40% - Accent6 10 8 2" xfId="10899"/>
    <cellStyle name="40% - Accent6 10 9" xfId="3892"/>
    <cellStyle name="40% - Accent6 10 9 2" xfId="11211"/>
    <cellStyle name="40% - Accent6 11" xfId="670"/>
    <cellStyle name="40% - Accent6 11 10" xfId="8841"/>
    <cellStyle name="40% - Accent6 11 2" xfId="882"/>
    <cellStyle name="40% - Accent6 11 2 2" xfId="1782"/>
    <cellStyle name="40% - Accent6 11 2 2 2" xfId="4172"/>
    <cellStyle name="40% - Accent6 11 2 2 2 2" xfId="11486"/>
    <cellStyle name="40% - Accent6 11 2 2 3" xfId="5534"/>
    <cellStyle name="40% - Accent6 11 2 2 3 2" xfId="12788"/>
    <cellStyle name="40% - Accent6 11 2 2 4" xfId="6806"/>
    <cellStyle name="40% - Accent6 11 2 2 4 2" xfId="14008"/>
    <cellStyle name="40% - Accent6 11 2 2 5" xfId="7961"/>
    <cellStyle name="40% - Accent6 11 2 2 5 2" xfId="15141"/>
    <cellStyle name="40% - Accent6 11 2 2 6" xfId="9469"/>
    <cellStyle name="40% - Accent6 11 2 3" xfId="2015"/>
    <cellStyle name="40% - Accent6 11 2 3 2" xfId="4398"/>
    <cellStyle name="40% - Accent6 11 2 3 2 2" xfId="11709"/>
    <cellStyle name="40% - Accent6 11 2 3 3" xfId="5754"/>
    <cellStyle name="40% - Accent6 11 2 3 3 2" xfId="13006"/>
    <cellStyle name="40% - Accent6 11 2 3 4" xfId="7023"/>
    <cellStyle name="40% - Accent6 11 2 3 4 2" xfId="14224"/>
    <cellStyle name="40% - Accent6 11 2 3 5" xfId="8167"/>
    <cellStyle name="40% - Accent6 11 2 3 5 2" xfId="15347"/>
    <cellStyle name="40% - Accent6 11 2 3 6" xfId="9675"/>
    <cellStyle name="40% - Accent6 11 2 4" xfId="2424"/>
    <cellStyle name="40% - Accent6 11 2 4 2" xfId="4786"/>
    <cellStyle name="40% - Accent6 11 2 4 2 2" xfId="12081"/>
    <cellStyle name="40% - Accent6 11 2 4 3" xfId="6127"/>
    <cellStyle name="40% - Accent6 11 2 4 3 2" xfId="13361"/>
    <cellStyle name="40% - Accent6 11 2 4 4" xfId="7380"/>
    <cellStyle name="40% - Accent6 11 2 4 4 2" xfId="14570"/>
    <cellStyle name="40% - Accent6 11 2 4 5" xfId="8487"/>
    <cellStyle name="40% - Accent6 11 2 4 5 2" xfId="15663"/>
    <cellStyle name="40% - Accent6 11 2 4 6" xfId="9995"/>
    <cellStyle name="40% - Accent6 11 2 5" xfId="3363"/>
    <cellStyle name="40% - Accent6 11 2 5 2" xfId="10736"/>
    <cellStyle name="40% - Accent6 11 2 6" xfId="3077"/>
    <cellStyle name="40% - Accent6 11 2 6 2" xfId="10474"/>
    <cellStyle name="40% - Accent6 11 2 7" xfId="5238"/>
    <cellStyle name="40% - Accent6 11 2 7 2" xfId="12498"/>
    <cellStyle name="40% - Accent6 11 2 8" xfId="6511"/>
    <cellStyle name="40% - Accent6 11 2 8 2" xfId="13718"/>
    <cellStyle name="40% - Accent6 11 2 9" xfId="8971"/>
    <cellStyle name="40% - Accent6 11 3" xfId="1623"/>
    <cellStyle name="40% - Accent6 11 3 2" xfId="4014"/>
    <cellStyle name="40% - Accent6 11 3 2 2" xfId="11331"/>
    <cellStyle name="40% - Accent6 11 3 3" xfId="5378"/>
    <cellStyle name="40% - Accent6 11 3 3 2" xfId="12636"/>
    <cellStyle name="40% - Accent6 11 3 4" xfId="6651"/>
    <cellStyle name="40% - Accent6 11 3 4 2" xfId="13856"/>
    <cellStyle name="40% - Accent6 11 3 5" xfId="7809"/>
    <cellStyle name="40% - Accent6 11 3 5 2" xfId="14989"/>
    <cellStyle name="40% - Accent6 11 3 6" xfId="9317"/>
    <cellStyle name="40% - Accent6 11 4" xfId="1885"/>
    <cellStyle name="40% - Accent6 11 4 2" xfId="4270"/>
    <cellStyle name="40% - Accent6 11 4 2 2" xfId="11582"/>
    <cellStyle name="40% - Accent6 11 4 3" xfId="5626"/>
    <cellStyle name="40% - Accent6 11 4 3 2" xfId="12879"/>
    <cellStyle name="40% - Accent6 11 4 4" xfId="6895"/>
    <cellStyle name="40% - Accent6 11 4 4 2" xfId="14097"/>
    <cellStyle name="40% - Accent6 11 4 5" xfId="8040"/>
    <cellStyle name="40% - Accent6 11 4 5 2" xfId="15220"/>
    <cellStyle name="40% - Accent6 11 4 6" xfId="9548"/>
    <cellStyle name="40% - Accent6 11 5" xfId="2294"/>
    <cellStyle name="40% - Accent6 11 5 2" xfId="4656"/>
    <cellStyle name="40% - Accent6 11 5 2 2" xfId="11954"/>
    <cellStyle name="40% - Accent6 11 5 3" xfId="5997"/>
    <cellStyle name="40% - Accent6 11 5 3 2" xfId="13234"/>
    <cellStyle name="40% - Accent6 11 5 4" xfId="7250"/>
    <cellStyle name="40% - Accent6 11 5 4 2" xfId="14443"/>
    <cellStyle name="40% - Accent6 11 5 5" xfId="8360"/>
    <cellStyle name="40% - Accent6 11 5 5 2" xfId="15536"/>
    <cellStyle name="40% - Accent6 11 5 6" xfId="9868"/>
    <cellStyle name="40% - Accent6 11 6" xfId="3170"/>
    <cellStyle name="40% - Accent6 11 6 2" xfId="10561"/>
    <cellStyle name="40% - Accent6 11 7" xfId="2652"/>
    <cellStyle name="40% - Accent6 11 7 2" xfId="10152"/>
    <cellStyle name="40% - Accent6 11 8" xfId="3753"/>
    <cellStyle name="40% - Accent6 11 8 2" xfId="11082"/>
    <cellStyle name="40% - Accent6 11 9" xfId="3579"/>
    <cellStyle name="40% - Accent6 11 9 2" xfId="10926"/>
    <cellStyle name="40% - Accent6 12" xfId="922"/>
    <cellStyle name="40% - Accent6 12 2" xfId="1806"/>
    <cellStyle name="40% - Accent6 12 2 2" xfId="4195"/>
    <cellStyle name="40% - Accent6 12 2 2 2" xfId="11508"/>
    <cellStyle name="40% - Accent6 12 2 3" xfId="5555"/>
    <cellStyle name="40% - Accent6 12 2 3 2" xfId="12809"/>
    <cellStyle name="40% - Accent6 12 2 4" xfId="6827"/>
    <cellStyle name="40% - Accent6 12 2 4 2" xfId="14029"/>
    <cellStyle name="40% - Accent6 12 2 5" xfId="7978"/>
    <cellStyle name="40% - Accent6 12 2 5 2" xfId="15158"/>
    <cellStyle name="40% - Accent6 12 2 6" xfId="9486"/>
    <cellStyle name="40% - Accent6 12 3" xfId="2028"/>
    <cellStyle name="40% - Accent6 12 3 2" xfId="4411"/>
    <cellStyle name="40% - Accent6 12 3 2 2" xfId="11722"/>
    <cellStyle name="40% - Accent6 12 3 3" xfId="5767"/>
    <cellStyle name="40% - Accent6 12 3 3 2" xfId="13019"/>
    <cellStyle name="40% - Accent6 12 3 4" xfId="7036"/>
    <cellStyle name="40% - Accent6 12 3 4 2" xfId="14237"/>
    <cellStyle name="40% - Accent6 12 3 5" xfId="8180"/>
    <cellStyle name="40% - Accent6 12 3 5 2" xfId="15360"/>
    <cellStyle name="40% - Accent6 12 3 6" xfId="9688"/>
    <cellStyle name="40% - Accent6 12 4" xfId="2437"/>
    <cellStyle name="40% - Accent6 12 4 2" xfId="4799"/>
    <cellStyle name="40% - Accent6 12 4 2 2" xfId="12094"/>
    <cellStyle name="40% - Accent6 12 4 3" xfId="6140"/>
    <cellStyle name="40% - Accent6 12 4 3 2" xfId="13374"/>
    <cellStyle name="40% - Accent6 12 4 4" xfId="7393"/>
    <cellStyle name="40% - Accent6 12 4 4 2" xfId="14583"/>
    <cellStyle name="40% - Accent6 12 4 5" xfId="8500"/>
    <cellStyle name="40% - Accent6 12 4 5 2" xfId="15676"/>
    <cellStyle name="40% - Accent6 12 4 6" xfId="10008"/>
    <cellStyle name="40% - Accent6 12 5" xfId="3398"/>
    <cellStyle name="40% - Accent6 12 5 2" xfId="10768"/>
    <cellStyle name="40% - Accent6 12 6" xfId="4519"/>
    <cellStyle name="40% - Accent6 12 6 2" xfId="11818"/>
    <cellStyle name="40% - Accent6 12 7" xfId="3581"/>
    <cellStyle name="40% - Accent6 12 7 2" xfId="10928"/>
    <cellStyle name="40% - Accent6 12 8" xfId="5045"/>
    <cellStyle name="40% - Accent6 12 8 2" xfId="12321"/>
    <cellStyle name="40% - Accent6 12 9" xfId="8984"/>
    <cellStyle name="40% - Accent6 13" xfId="965"/>
    <cellStyle name="40% - Accent6 13 2" xfId="1831"/>
    <cellStyle name="40% - Accent6 13 2 2" xfId="4217"/>
    <cellStyle name="40% - Accent6 13 2 2 2" xfId="11530"/>
    <cellStyle name="40% - Accent6 13 2 3" xfId="5576"/>
    <cellStyle name="40% - Accent6 13 2 3 2" xfId="12830"/>
    <cellStyle name="40% - Accent6 13 2 4" xfId="6846"/>
    <cellStyle name="40% - Accent6 13 2 4 2" xfId="14048"/>
    <cellStyle name="40% - Accent6 13 2 5" xfId="7996"/>
    <cellStyle name="40% - Accent6 13 2 5 2" xfId="15176"/>
    <cellStyle name="40% - Accent6 13 2 6" xfId="9504"/>
    <cellStyle name="40% - Accent6 13 3" xfId="2043"/>
    <cellStyle name="40% - Accent6 13 3 2" xfId="4425"/>
    <cellStyle name="40% - Accent6 13 3 2 2" xfId="11735"/>
    <cellStyle name="40% - Accent6 13 3 3" xfId="5781"/>
    <cellStyle name="40% - Accent6 13 3 3 2" xfId="13032"/>
    <cellStyle name="40% - Accent6 13 3 4" xfId="7050"/>
    <cellStyle name="40% - Accent6 13 3 4 2" xfId="14250"/>
    <cellStyle name="40% - Accent6 13 3 5" xfId="8193"/>
    <cellStyle name="40% - Accent6 13 3 5 2" xfId="15373"/>
    <cellStyle name="40% - Accent6 13 3 6" xfId="9701"/>
    <cellStyle name="40% - Accent6 13 4" xfId="2452"/>
    <cellStyle name="40% - Accent6 13 4 2" xfId="4814"/>
    <cellStyle name="40% - Accent6 13 4 2 2" xfId="12107"/>
    <cellStyle name="40% - Accent6 13 4 3" xfId="6155"/>
    <cellStyle name="40% - Accent6 13 4 3 2" xfId="13387"/>
    <cellStyle name="40% - Accent6 13 4 4" xfId="7408"/>
    <cellStyle name="40% - Accent6 13 4 4 2" xfId="14596"/>
    <cellStyle name="40% - Accent6 13 4 5" xfId="8513"/>
    <cellStyle name="40% - Accent6 13 4 5 2" xfId="15689"/>
    <cellStyle name="40% - Accent6 13 4 6" xfId="10021"/>
    <cellStyle name="40% - Accent6 13 5" xfId="3433"/>
    <cellStyle name="40% - Accent6 13 5 2" xfId="10797"/>
    <cellStyle name="40% - Accent6 13 6" xfId="2862"/>
    <cellStyle name="40% - Accent6 13 6 2" xfId="10289"/>
    <cellStyle name="40% - Accent6 13 7" xfId="2650"/>
    <cellStyle name="40% - Accent6 13 7 2" xfId="10151"/>
    <cellStyle name="40% - Accent6 13 8" xfId="3578"/>
    <cellStyle name="40% - Accent6 13 8 2" xfId="10925"/>
    <cellStyle name="40% - Accent6 13 9" xfId="8999"/>
    <cellStyle name="40% - Accent6 14" xfId="1008"/>
    <cellStyle name="40% - Accent6 14 2" xfId="1853"/>
    <cellStyle name="40% - Accent6 14 2 2" xfId="4238"/>
    <cellStyle name="40% - Accent6 14 2 2 2" xfId="11551"/>
    <cellStyle name="40% - Accent6 14 2 3" xfId="5595"/>
    <cellStyle name="40% - Accent6 14 2 3 2" xfId="12848"/>
    <cellStyle name="40% - Accent6 14 2 4" xfId="6864"/>
    <cellStyle name="40% - Accent6 14 2 4 2" xfId="14066"/>
    <cellStyle name="40% - Accent6 14 2 5" xfId="8012"/>
    <cellStyle name="40% - Accent6 14 2 5 2" xfId="15192"/>
    <cellStyle name="40% - Accent6 14 2 6" xfId="9520"/>
    <cellStyle name="40% - Accent6 14 3" xfId="2057"/>
    <cellStyle name="40% - Accent6 14 3 2" xfId="4439"/>
    <cellStyle name="40% - Accent6 14 3 2 2" xfId="11748"/>
    <cellStyle name="40% - Accent6 14 3 3" xfId="5794"/>
    <cellStyle name="40% - Accent6 14 3 3 2" xfId="13045"/>
    <cellStyle name="40% - Accent6 14 3 4" xfId="7063"/>
    <cellStyle name="40% - Accent6 14 3 4 2" xfId="14263"/>
    <cellStyle name="40% - Accent6 14 3 5" xfId="8206"/>
    <cellStyle name="40% - Accent6 14 3 5 2" xfId="15386"/>
    <cellStyle name="40% - Accent6 14 3 6" xfId="9714"/>
    <cellStyle name="40% - Accent6 14 4" xfId="2466"/>
    <cellStyle name="40% - Accent6 14 4 2" xfId="4827"/>
    <cellStyle name="40% - Accent6 14 4 2 2" xfId="12120"/>
    <cellStyle name="40% - Accent6 14 4 3" xfId="6169"/>
    <cellStyle name="40% - Accent6 14 4 3 2" xfId="13400"/>
    <cellStyle name="40% - Accent6 14 4 4" xfId="7422"/>
    <cellStyle name="40% - Accent6 14 4 4 2" xfId="14609"/>
    <cellStyle name="40% - Accent6 14 4 5" xfId="8526"/>
    <cellStyle name="40% - Accent6 14 4 5 2" xfId="15702"/>
    <cellStyle name="40% - Accent6 14 4 6" xfId="10034"/>
    <cellStyle name="40% - Accent6 14 5" xfId="3469"/>
    <cellStyle name="40% - Accent6 14 5 2" xfId="10829"/>
    <cellStyle name="40% - Accent6 14 6" xfId="2598"/>
    <cellStyle name="40% - Accent6 14 6 2" xfId="10129"/>
    <cellStyle name="40% - Accent6 14 7" xfId="5079"/>
    <cellStyle name="40% - Accent6 14 7 2" xfId="12352"/>
    <cellStyle name="40% - Accent6 14 8" xfId="6385"/>
    <cellStyle name="40% - Accent6 14 8 2" xfId="13599"/>
    <cellStyle name="40% - Accent6 14 9" xfId="9013"/>
    <cellStyle name="40% - Accent6 15" xfId="1049"/>
    <cellStyle name="40% - Accent6 15 2" xfId="1872"/>
    <cellStyle name="40% - Accent6 15 2 2" xfId="4257"/>
    <cellStyle name="40% - Accent6 15 2 2 2" xfId="11569"/>
    <cellStyle name="40% - Accent6 15 2 3" xfId="5613"/>
    <cellStyle name="40% - Accent6 15 2 3 2" xfId="12866"/>
    <cellStyle name="40% - Accent6 15 2 4" xfId="6882"/>
    <cellStyle name="40% - Accent6 15 2 4 2" xfId="14084"/>
    <cellStyle name="40% - Accent6 15 2 5" xfId="8027"/>
    <cellStyle name="40% - Accent6 15 2 5 2" xfId="15207"/>
    <cellStyle name="40% - Accent6 15 2 6" xfId="9535"/>
    <cellStyle name="40% - Accent6 15 3" xfId="2070"/>
    <cellStyle name="40% - Accent6 15 3 2" xfId="4452"/>
    <cellStyle name="40% - Accent6 15 3 2 2" xfId="11761"/>
    <cellStyle name="40% - Accent6 15 3 3" xfId="5807"/>
    <cellStyle name="40% - Accent6 15 3 3 2" xfId="13058"/>
    <cellStyle name="40% - Accent6 15 3 4" xfId="7076"/>
    <cellStyle name="40% - Accent6 15 3 4 2" xfId="14276"/>
    <cellStyle name="40% - Accent6 15 3 5" xfId="8219"/>
    <cellStyle name="40% - Accent6 15 3 5 2" xfId="15399"/>
    <cellStyle name="40% - Accent6 15 3 6" xfId="9727"/>
    <cellStyle name="40% - Accent6 15 4" xfId="2479"/>
    <cellStyle name="40% - Accent6 15 4 2" xfId="4840"/>
    <cellStyle name="40% - Accent6 15 4 2 2" xfId="12133"/>
    <cellStyle name="40% - Accent6 15 4 3" xfId="6182"/>
    <cellStyle name="40% - Accent6 15 4 3 2" xfId="13413"/>
    <cellStyle name="40% - Accent6 15 4 4" xfId="7435"/>
    <cellStyle name="40% - Accent6 15 4 4 2" xfId="14622"/>
    <cellStyle name="40% - Accent6 15 4 5" xfId="8539"/>
    <cellStyle name="40% - Accent6 15 4 5 2" xfId="15715"/>
    <cellStyle name="40% - Accent6 15 4 6" xfId="10047"/>
    <cellStyle name="40% - Accent6 15 5" xfId="3502"/>
    <cellStyle name="40% - Accent6 15 5 2" xfId="10857"/>
    <cellStyle name="40% - Accent6 15 6" xfId="3682"/>
    <cellStyle name="40% - Accent6 15 6 2" xfId="11017"/>
    <cellStyle name="40% - Accent6 15 7" xfId="3147"/>
    <cellStyle name="40% - Accent6 15 7 2" xfId="10542"/>
    <cellStyle name="40% - Accent6 15 8" xfId="3184"/>
    <cellStyle name="40% - Accent6 15 8 2" xfId="10571"/>
    <cellStyle name="40% - Accent6 15 9" xfId="9026"/>
    <cellStyle name="40% - Accent6 16" xfId="1090"/>
    <cellStyle name="40% - Accent6 16 2" xfId="2492"/>
    <cellStyle name="40% - Accent6 16 2 2" xfId="4853"/>
    <cellStyle name="40% - Accent6 16 2 2 2" xfId="12146"/>
    <cellStyle name="40% - Accent6 16 2 3" xfId="6195"/>
    <cellStyle name="40% - Accent6 16 2 3 2" xfId="13426"/>
    <cellStyle name="40% - Accent6 16 2 4" xfId="7448"/>
    <cellStyle name="40% - Accent6 16 2 4 2" xfId="14635"/>
    <cellStyle name="40% - Accent6 16 2 5" xfId="8552"/>
    <cellStyle name="40% - Accent6 16 2 5 2" xfId="15728"/>
    <cellStyle name="40% - Accent6 16 2 6" xfId="10060"/>
    <cellStyle name="40% - Accent6 16 3" xfId="3534"/>
    <cellStyle name="40% - Accent6 16 3 2" xfId="10888"/>
    <cellStyle name="40% - Accent6 16 4" xfId="4948"/>
    <cellStyle name="40% - Accent6 16 4 2" xfId="12237"/>
    <cellStyle name="40% - Accent6 16 5" xfId="6286"/>
    <cellStyle name="40% - Accent6 16 5 2" xfId="13512"/>
    <cellStyle name="40% - Accent6 16 6" xfId="7531"/>
    <cellStyle name="40% - Accent6 16 6 2" xfId="14715"/>
    <cellStyle name="40% - Accent6 16 7" xfId="9039"/>
    <cellStyle name="40% - Accent6 17" xfId="1131"/>
    <cellStyle name="40% - Accent6 17 2" xfId="2505"/>
    <cellStyle name="40% - Accent6 17 2 2" xfId="4866"/>
    <cellStyle name="40% - Accent6 17 2 2 2" xfId="12159"/>
    <cellStyle name="40% - Accent6 17 2 3" xfId="6208"/>
    <cellStyle name="40% - Accent6 17 2 3 2" xfId="13439"/>
    <cellStyle name="40% - Accent6 17 2 4" xfId="7461"/>
    <cellStyle name="40% - Accent6 17 2 4 2" xfId="14648"/>
    <cellStyle name="40% - Accent6 17 2 5" xfId="8565"/>
    <cellStyle name="40% - Accent6 17 2 5 2" xfId="15741"/>
    <cellStyle name="40% - Accent6 17 2 6" xfId="10073"/>
    <cellStyle name="40% - Accent6 17 3" xfId="3569"/>
    <cellStyle name="40% - Accent6 17 3 2" xfId="10918"/>
    <cellStyle name="40% - Accent6 17 4" xfId="4979"/>
    <cellStyle name="40% - Accent6 17 4 2" xfId="12264"/>
    <cellStyle name="40% - Accent6 17 5" xfId="6307"/>
    <cellStyle name="40% - Accent6 17 5 2" xfId="13530"/>
    <cellStyle name="40% - Accent6 17 6" xfId="7544"/>
    <cellStyle name="40% - Accent6 17 6 2" xfId="14728"/>
    <cellStyle name="40% - Accent6 17 7" xfId="9052"/>
    <cellStyle name="40% - Accent6 18" xfId="1172"/>
    <cellStyle name="40% - Accent6 18 2" xfId="2518"/>
    <cellStyle name="40% - Accent6 18 2 2" xfId="4879"/>
    <cellStyle name="40% - Accent6 18 2 2 2" xfId="12172"/>
    <cellStyle name="40% - Accent6 18 2 3" xfId="6221"/>
    <cellStyle name="40% - Accent6 18 2 3 2" xfId="13452"/>
    <cellStyle name="40% - Accent6 18 2 4" xfId="7474"/>
    <cellStyle name="40% - Accent6 18 2 4 2" xfId="14661"/>
    <cellStyle name="40% - Accent6 18 2 5" xfId="8578"/>
    <cellStyle name="40% - Accent6 18 2 5 2" xfId="15754"/>
    <cellStyle name="40% - Accent6 18 2 6" xfId="10086"/>
    <cellStyle name="40% - Accent6 18 3" xfId="3605"/>
    <cellStyle name="40% - Accent6 18 3 2" xfId="10951"/>
    <cellStyle name="40% - Accent6 18 4" xfId="5009"/>
    <cellStyle name="40% - Accent6 18 4 2" xfId="12290"/>
    <cellStyle name="40% - Accent6 18 5" xfId="6330"/>
    <cellStyle name="40% - Accent6 18 5 2" xfId="13550"/>
    <cellStyle name="40% - Accent6 18 6" xfId="7557"/>
    <cellStyle name="40% - Accent6 18 6 2" xfId="14741"/>
    <cellStyle name="40% - Accent6 18 7" xfId="9065"/>
    <cellStyle name="40% - Accent6 19" xfId="1213"/>
    <cellStyle name="40% - Accent6 19 2" xfId="2531"/>
    <cellStyle name="40% - Accent6 19 2 2" xfId="4892"/>
    <cellStyle name="40% - Accent6 19 2 2 2" xfId="12185"/>
    <cellStyle name="40% - Accent6 19 2 3" xfId="6234"/>
    <cellStyle name="40% - Accent6 19 2 3 2" xfId="13465"/>
    <cellStyle name="40% - Accent6 19 2 4" xfId="7487"/>
    <cellStyle name="40% - Accent6 19 2 4 2" xfId="14674"/>
    <cellStyle name="40% - Accent6 19 2 5" xfId="8591"/>
    <cellStyle name="40% - Accent6 19 2 5 2" xfId="15767"/>
    <cellStyle name="40% - Accent6 19 2 6" xfId="10099"/>
    <cellStyle name="40% - Accent6 19 3" xfId="3640"/>
    <cellStyle name="40% - Accent6 19 3 2" xfId="10980"/>
    <cellStyle name="40% - Accent6 19 4" xfId="5038"/>
    <cellStyle name="40% - Accent6 19 4 2" xfId="12316"/>
    <cellStyle name="40% - Accent6 19 5" xfId="6354"/>
    <cellStyle name="40% - Accent6 19 5 2" xfId="13571"/>
    <cellStyle name="40% - Accent6 19 6" xfId="7570"/>
    <cellStyle name="40% - Accent6 19 6 2" xfId="14754"/>
    <cellStyle name="40% - Accent6 19 7" xfId="9078"/>
    <cellStyle name="40% - Accent6 2" xfId="48"/>
    <cellStyle name="40% - Accent6 2 10" xfId="6331"/>
    <cellStyle name="40% - Accent6 2 11" xfId="8651"/>
    <cellStyle name="40% - Accent6 2 2" xfId="521"/>
    <cellStyle name="40% - Accent6 2 3" xfId="708"/>
    <cellStyle name="40% - Accent6 2 4" xfId="1297"/>
    <cellStyle name="40% - Accent6 2 5" xfId="1376"/>
    <cellStyle name="40% - Accent6 2 6" xfId="2104"/>
    <cellStyle name="40% - Accent6 2 7" xfId="2630"/>
    <cellStyle name="40% - Accent6 2 8" xfId="3607"/>
    <cellStyle name="40% - Accent6 2 9" xfId="5010"/>
    <cellStyle name="40% - Accent6 20" xfId="1254"/>
    <cellStyle name="40% - Accent6 20 2" xfId="2544"/>
    <cellStyle name="40% - Accent6 20 2 2" xfId="4905"/>
    <cellStyle name="40% - Accent6 20 2 2 2" xfId="12198"/>
    <cellStyle name="40% - Accent6 20 2 3" xfId="6247"/>
    <cellStyle name="40% - Accent6 20 2 3 2" xfId="13478"/>
    <cellStyle name="40% - Accent6 20 2 4" xfId="7500"/>
    <cellStyle name="40% - Accent6 20 2 4 2" xfId="14687"/>
    <cellStyle name="40% - Accent6 20 2 5" xfId="8604"/>
    <cellStyle name="40% - Accent6 20 2 5 2" xfId="15780"/>
    <cellStyle name="40% - Accent6 20 2 6" xfId="10112"/>
    <cellStyle name="40% - Accent6 20 3" xfId="3676"/>
    <cellStyle name="40% - Accent6 20 3 2" xfId="11012"/>
    <cellStyle name="40% - Accent6 20 4" xfId="5067"/>
    <cellStyle name="40% - Accent6 20 4 2" xfId="12342"/>
    <cellStyle name="40% - Accent6 20 5" xfId="6377"/>
    <cellStyle name="40% - Accent6 20 5 2" xfId="13592"/>
    <cellStyle name="40% - Accent6 20 6" xfId="7583"/>
    <cellStyle name="40% - Accent6 20 6 2" xfId="14767"/>
    <cellStyle name="40% - Accent6 20 7" xfId="9091"/>
    <cellStyle name="40% - Accent6 21" xfId="2584"/>
    <cellStyle name="40% - Accent6 21 2" xfId="4936"/>
    <cellStyle name="40% - Accent6 21 2 2" xfId="12225"/>
    <cellStyle name="40% - Accent6 21 3" xfId="6277"/>
    <cellStyle name="40% - Accent6 21 3 2" xfId="13503"/>
    <cellStyle name="40% - Accent6 21 4" xfId="7524"/>
    <cellStyle name="40% - Accent6 21 4 2" xfId="14708"/>
    <cellStyle name="40% - Accent6 21 5" xfId="8617"/>
    <cellStyle name="40% - Accent6 21 5 2" xfId="15793"/>
    <cellStyle name="40% - Accent6 21 6" xfId="10125"/>
    <cellStyle name="40% - Accent6 3" xfId="49"/>
    <cellStyle name="40% - Accent6 3 10" xfId="6308"/>
    <cellStyle name="40% - Accent6 3 11" xfId="8652"/>
    <cellStyle name="40% - Accent6 3 2" xfId="522"/>
    <cellStyle name="40% - Accent6 3 3" xfId="709"/>
    <cellStyle name="40% - Accent6 3 4" xfId="1298"/>
    <cellStyle name="40% - Accent6 3 5" xfId="1856"/>
    <cellStyle name="40% - Accent6 3 6" xfId="2105"/>
    <cellStyle name="40% - Accent6 3 7" xfId="2631"/>
    <cellStyle name="40% - Accent6 3 8" xfId="3571"/>
    <cellStyle name="40% - Accent6 3 9" xfId="4980"/>
    <cellStyle name="40% - Accent6 4" xfId="50"/>
    <cellStyle name="40% - Accent6 4 10" xfId="6287"/>
    <cellStyle name="40% - Accent6 4 11" xfId="8653"/>
    <cellStyle name="40% - Accent6 4 2" xfId="523"/>
    <cellStyle name="40% - Accent6 4 3" xfId="710"/>
    <cellStyle name="40% - Accent6 4 4" xfId="1299"/>
    <cellStyle name="40% - Accent6 4 5" xfId="1836"/>
    <cellStyle name="40% - Accent6 4 6" xfId="2106"/>
    <cellStyle name="40% - Accent6 4 7" xfId="2632"/>
    <cellStyle name="40% - Accent6 4 8" xfId="3536"/>
    <cellStyle name="40% - Accent6 4 9" xfId="4949"/>
    <cellStyle name="40% - Accent6 5" xfId="276"/>
    <cellStyle name="40% - Accent6 5 10" xfId="7101"/>
    <cellStyle name="40% - Accent6 5 11" xfId="8713"/>
    <cellStyle name="40% - Accent6 5 2" xfId="578"/>
    <cellStyle name="40% - Accent6 5 3" xfId="765"/>
    <cellStyle name="40% - Accent6 5 4" xfId="1409"/>
    <cellStyle name="40% - Accent6 5 5" xfId="1608"/>
    <cellStyle name="40% - Accent6 5 6" xfId="2166"/>
    <cellStyle name="40% - Accent6 5 7" xfId="2829"/>
    <cellStyle name="40% - Accent6 5 8" xfId="3208"/>
    <cellStyle name="40% - Accent6 5 9" xfId="5837"/>
    <cellStyle name="40% - Accent6 6" xfId="321"/>
    <cellStyle name="40% - Accent6 7" xfId="362"/>
    <cellStyle name="40% - Accent6 7 10" xfId="5221"/>
    <cellStyle name="40% - Accent6 7 10 2" xfId="12481"/>
    <cellStyle name="40% - Accent6 7 11" xfId="8726"/>
    <cellStyle name="40% - Accent6 7 2" xfId="591"/>
    <cellStyle name="40% - Accent6 7 2 10" xfId="8789"/>
    <cellStyle name="40% - Accent6 7 2 2" xfId="830"/>
    <cellStyle name="40% - Accent6 7 2 2 2" xfId="1730"/>
    <cellStyle name="40% - Accent6 7 2 2 2 2" xfId="4120"/>
    <cellStyle name="40% - Accent6 7 2 2 2 2 2" xfId="11434"/>
    <cellStyle name="40% - Accent6 7 2 2 2 3" xfId="5482"/>
    <cellStyle name="40% - Accent6 7 2 2 2 3 2" xfId="12736"/>
    <cellStyle name="40% - Accent6 7 2 2 2 4" xfId="6754"/>
    <cellStyle name="40% - Accent6 7 2 2 2 4 2" xfId="13956"/>
    <cellStyle name="40% - Accent6 7 2 2 2 5" xfId="7909"/>
    <cellStyle name="40% - Accent6 7 2 2 2 5 2" xfId="15089"/>
    <cellStyle name="40% - Accent6 7 2 2 2 6" xfId="9417"/>
    <cellStyle name="40% - Accent6 7 2 2 3" xfId="1963"/>
    <cellStyle name="40% - Accent6 7 2 2 3 2" xfId="4346"/>
    <cellStyle name="40% - Accent6 7 2 2 3 2 2" xfId="11657"/>
    <cellStyle name="40% - Accent6 7 2 2 3 3" xfId="5702"/>
    <cellStyle name="40% - Accent6 7 2 2 3 3 2" xfId="12954"/>
    <cellStyle name="40% - Accent6 7 2 2 3 4" xfId="6971"/>
    <cellStyle name="40% - Accent6 7 2 2 3 4 2" xfId="14172"/>
    <cellStyle name="40% - Accent6 7 2 2 3 5" xfId="8115"/>
    <cellStyle name="40% - Accent6 7 2 2 3 5 2" xfId="15295"/>
    <cellStyle name="40% - Accent6 7 2 2 3 6" xfId="9623"/>
    <cellStyle name="40% - Accent6 7 2 2 4" xfId="2372"/>
    <cellStyle name="40% - Accent6 7 2 2 4 2" xfId="4734"/>
    <cellStyle name="40% - Accent6 7 2 2 4 2 2" xfId="12029"/>
    <cellStyle name="40% - Accent6 7 2 2 4 3" xfId="6075"/>
    <cellStyle name="40% - Accent6 7 2 2 4 3 2" xfId="13309"/>
    <cellStyle name="40% - Accent6 7 2 2 4 4" xfId="7328"/>
    <cellStyle name="40% - Accent6 7 2 2 4 4 2" xfId="14518"/>
    <cellStyle name="40% - Accent6 7 2 2 4 5" xfId="8435"/>
    <cellStyle name="40% - Accent6 7 2 2 4 5 2" xfId="15611"/>
    <cellStyle name="40% - Accent6 7 2 2 4 6" xfId="9943"/>
    <cellStyle name="40% - Accent6 7 2 2 5" xfId="3311"/>
    <cellStyle name="40% - Accent6 7 2 2 5 2" xfId="10684"/>
    <cellStyle name="40% - Accent6 7 2 2 6" xfId="3200"/>
    <cellStyle name="40% - Accent6 7 2 2 6 2" xfId="10586"/>
    <cellStyle name="40% - Accent6 7 2 2 7" xfId="5826"/>
    <cellStyle name="40% - Accent6 7 2 2 7 2" xfId="13075"/>
    <cellStyle name="40% - Accent6 7 2 2 8" xfId="7092"/>
    <cellStyle name="40% - Accent6 7 2 2 8 2" xfId="14292"/>
    <cellStyle name="40% - Accent6 7 2 2 9" xfId="8919"/>
    <cellStyle name="40% - Accent6 7 2 3" xfId="1567"/>
    <cellStyle name="40% - Accent6 7 2 3 2" xfId="3958"/>
    <cellStyle name="40% - Accent6 7 2 3 2 2" xfId="11275"/>
    <cellStyle name="40% - Accent6 7 2 3 3" xfId="5324"/>
    <cellStyle name="40% - Accent6 7 2 3 3 2" xfId="12582"/>
    <cellStyle name="40% - Accent6 7 2 3 4" xfId="6597"/>
    <cellStyle name="40% - Accent6 7 2 3 4 2" xfId="13802"/>
    <cellStyle name="40% - Accent6 7 2 3 5" xfId="7756"/>
    <cellStyle name="40% - Accent6 7 2 3 5 2" xfId="14936"/>
    <cellStyle name="40% - Accent6 7 2 3 6" xfId="9264"/>
    <cellStyle name="40% - Accent6 7 2 4" xfId="1553"/>
    <cellStyle name="40% - Accent6 7 2 4 2" xfId="3944"/>
    <cellStyle name="40% - Accent6 7 2 4 2 2" xfId="11261"/>
    <cellStyle name="40% - Accent6 7 2 4 3" xfId="5310"/>
    <cellStyle name="40% - Accent6 7 2 4 3 2" xfId="12568"/>
    <cellStyle name="40% - Accent6 7 2 4 4" xfId="6583"/>
    <cellStyle name="40% - Accent6 7 2 4 4 2" xfId="13788"/>
    <cellStyle name="40% - Accent6 7 2 4 5" xfId="7742"/>
    <cellStyle name="40% - Accent6 7 2 4 5 2" xfId="14922"/>
    <cellStyle name="40% - Accent6 7 2 4 6" xfId="9250"/>
    <cellStyle name="40% - Accent6 7 2 5" xfId="2242"/>
    <cellStyle name="40% - Accent6 7 2 5 2" xfId="4604"/>
    <cellStyle name="40% - Accent6 7 2 5 2 2" xfId="11902"/>
    <cellStyle name="40% - Accent6 7 2 5 3" xfId="5945"/>
    <cellStyle name="40% - Accent6 7 2 5 3 2" xfId="13182"/>
    <cellStyle name="40% - Accent6 7 2 5 4" xfId="7198"/>
    <cellStyle name="40% - Accent6 7 2 5 4 2" xfId="14391"/>
    <cellStyle name="40% - Accent6 7 2 5 5" xfId="8308"/>
    <cellStyle name="40% - Accent6 7 2 5 5 2" xfId="15484"/>
    <cellStyle name="40% - Accent6 7 2 5 6" xfId="9816"/>
    <cellStyle name="40% - Accent6 7 2 6" xfId="3095"/>
    <cellStyle name="40% - Accent6 7 2 6 2" xfId="10492"/>
    <cellStyle name="40% - Accent6 7 2 7" xfId="3600"/>
    <cellStyle name="40% - Accent6 7 2 7 2" xfId="10946"/>
    <cellStyle name="40% - Accent6 7 2 8" xfId="5063"/>
    <cellStyle name="40% - Accent6 7 2 8 2" xfId="12338"/>
    <cellStyle name="40% - Accent6 7 2 9" xfId="6373"/>
    <cellStyle name="40% - Accent6 7 2 9 2" xfId="13588"/>
    <cellStyle name="40% - Accent6 7 3" xfId="778"/>
    <cellStyle name="40% - Accent6 7 3 2" xfId="1678"/>
    <cellStyle name="40% - Accent6 7 3 2 2" xfId="4068"/>
    <cellStyle name="40% - Accent6 7 3 2 2 2" xfId="11382"/>
    <cellStyle name="40% - Accent6 7 3 2 3" xfId="5430"/>
    <cellStyle name="40% - Accent6 7 3 2 3 2" xfId="12684"/>
    <cellStyle name="40% - Accent6 7 3 2 4" xfId="6702"/>
    <cellStyle name="40% - Accent6 7 3 2 4 2" xfId="13904"/>
    <cellStyle name="40% - Accent6 7 3 2 5" xfId="7857"/>
    <cellStyle name="40% - Accent6 7 3 2 5 2" xfId="15037"/>
    <cellStyle name="40% - Accent6 7 3 2 6" xfId="9365"/>
    <cellStyle name="40% - Accent6 7 3 3" xfId="1911"/>
    <cellStyle name="40% - Accent6 7 3 3 2" xfId="4294"/>
    <cellStyle name="40% - Accent6 7 3 3 2 2" xfId="11605"/>
    <cellStyle name="40% - Accent6 7 3 3 3" xfId="5650"/>
    <cellStyle name="40% - Accent6 7 3 3 3 2" xfId="12902"/>
    <cellStyle name="40% - Accent6 7 3 3 4" xfId="6919"/>
    <cellStyle name="40% - Accent6 7 3 3 4 2" xfId="14120"/>
    <cellStyle name="40% - Accent6 7 3 3 5" xfId="8063"/>
    <cellStyle name="40% - Accent6 7 3 3 5 2" xfId="15243"/>
    <cellStyle name="40% - Accent6 7 3 3 6" xfId="9571"/>
    <cellStyle name="40% - Accent6 7 3 4" xfId="2320"/>
    <cellStyle name="40% - Accent6 7 3 4 2" xfId="4682"/>
    <cellStyle name="40% - Accent6 7 3 4 2 2" xfId="11977"/>
    <cellStyle name="40% - Accent6 7 3 4 3" xfId="6023"/>
    <cellStyle name="40% - Accent6 7 3 4 3 2" xfId="13257"/>
    <cellStyle name="40% - Accent6 7 3 4 4" xfId="7276"/>
    <cellStyle name="40% - Accent6 7 3 4 4 2" xfId="14466"/>
    <cellStyle name="40% - Accent6 7 3 4 5" xfId="8383"/>
    <cellStyle name="40% - Accent6 7 3 4 5 2" xfId="15559"/>
    <cellStyle name="40% - Accent6 7 3 4 6" xfId="9891"/>
    <cellStyle name="40% - Accent6 7 3 5" xfId="3259"/>
    <cellStyle name="40% - Accent6 7 3 5 2" xfId="10632"/>
    <cellStyle name="40% - Accent6 7 3 6" xfId="2638"/>
    <cellStyle name="40% - Accent6 7 3 6 2" xfId="10141"/>
    <cellStyle name="40% - Accent6 7 3 7" xfId="2974"/>
    <cellStyle name="40% - Accent6 7 3 7 2" xfId="10390"/>
    <cellStyle name="40% - Accent6 7 3 8" xfId="3438"/>
    <cellStyle name="40% - Accent6 7 3 8 2" xfId="10800"/>
    <cellStyle name="40% - Accent6 7 3 9" xfId="8867"/>
    <cellStyle name="40% - Accent6 7 4" xfId="1448"/>
    <cellStyle name="40% - Accent6 7 4 2" xfId="3845"/>
    <cellStyle name="40% - Accent6 7 4 2 2" xfId="11166"/>
    <cellStyle name="40% - Accent6 7 4 3" xfId="5213"/>
    <cellStyle name="40% - Accent6 7 4 3 2" xfId="12474"/>
    <cellStyle name="40% - Accent6 7 4 4" xfId="6489"/>
    <cellStyle name="40% - Accent6 7 4 4 2" xfId="13697"/>
    <cellStyle name="40% - Accent6 7 4 5" xfId="7656"/>
    <cellStyle name="40% - Accent6 7 4 5 2" xfId="14836"/>
    <cellStyle name="40% - Accent6 7 4 6" xfId="9164"/>
    <cellStyle name="40% - Accent6 7 5" xfId="1868"/>
    <cellStyle name="40% - Accent6 7 5 2" xfId="4253"/>
    <cellStyle name="40% - Accent6 7 5 2 2" xfId="11565"/>
    <cellStyle name="40% - Accent6 7 5 3" xfId="5609"/>
    <cellStyle name="40% - Accent6 7 5 3 2" xfId="12862"/>
    <cellStyle name="40% - Accent6 7 5 4" xfId="6878"/>
    <cellStyle name="40% - Accent6 7 5 4 2" xfId="14080"/>
    <cellStyle name="40% - Accent6 7 5 5" xfId="8023"/>
    <cellStyle name="40% - Accent6 7 5 5 2" xfId="15203"/>
    <cellStyle name="40% - Accent6 7 5 6" xfId="9531"/>
    <cellStyle name="40% - Accent6 7 6" xfId="2179"/>
    <cellStyle name="40% - Accent6 7 6 2" xfId="4541"/>
    <cellStyle name="40% - Accent6 7 6 2 2" xfId="11840"/>
    <cellStyle name="40% - Accent6 7 6 3" xfId="5883"/>
    <cellStyle name="40% - Accent6 7 6 3 2" xfId="13120"/>
    <cellStyle name="40% - Accent6 7 6 4" xfId="7136"/>
    <cellStyle name="40% - Accent6 7 6 4 2" xfId="14329"/>
    <cellStyle name="40% - Accent6 7 6 5" xfId="8246"/>
    <cellStyle name="40% - Accent6 7 6 5 2" xfId="15422"/>
    <cellStyle name="40% - Accent6 7 6 6" xfId="9754"/>
    <cellStyle name="40% - Accent6 7 7" xfId="2898"/>
    <cellStyle name="40% - Accent6 7 7 2" xfId="10322"/>
    <cellStyle name="40% - Accent6 7 8" xfId="3614"/>
    <cellStyle name="40% - Accent6 7 8 2" xfId="10957"/>
    <cellStyle name="40% - Accent6 7 9" xfId="3766"/>
    <cellStyle name="40% - Accent6 7 9 2" xfId="11091"/>
    <cellStyle name="40% - Accent6 8" xfId="403"/>
    <cellStyle name="40% - Accent6 8 10" xfId="6357"/>
    <cellStyle name="40% - Accent6 8 10 2" xfId="13573"/>
    <cellStyle name="40% - Accent6 8 11" xfId="8739"/>
    <cellStyle name="40% - Accent6 8 2" xfId="604"/>
    <cellStyle name="40% - Accent6 8 2 10" xfId="8802"/>
    <cellStyle name="40% - Accent6 8 2 2" xfId="843"/>
    <cellStyle name="40% - Accent6 8 2 2 2" xfId="1743"/>
    <cellStyle name="40% - Accent6 8 2 2 2 2" xfId="4133"/>
    <cellStyle name="40% - Accent6 8 2 2 2 2 2" xfId="11447"/>
    <cellStyle name="40% - Accent6 8 2 2 2 3" xfId="5495"/>
    <cellStyle name="40% - Accent6 8 2 2 2 3 2" xfId="12749"/>
    <cellStyle name="40% - Accent6 8 2 2 2 4" xfId="6767"/>
    <cellStyle name="40% - Accent6 8 2 2 2 4 2" xfId="13969"/>
    <cellStyle name="40% - Accent6 8 2 2 2 5" xfId="7922"/>
    <cellStyle name="40% - Accent6 8 2 2 2 5 2" xfId="15102"/>
    <cellStyle name="40% - Accent6 8 2 2 2 6" xfId="9430"/>
    <cellStyle name="40% - Accent6 8 2 2 3" xfId="1976"/>
    <cellStyle name="40% - Accent6 8 2 2 3 2" xfId="4359"/>
    <cellStyle name="40% - Accent6 8 2 2 3 2 2" xfId="11670"/>
    <cellStyle name="40% - Accent6 8 2 2 3 3" xfId="5715"/>
    <cellStyle name="40% - Accent6 8 2 2 3 3 2" xfId="12967"/>
    <cellStyle name="40% - Accent6 8 2 2 3 4" xfId="6984"/>
    <cellStyle name="40% - Accent6 8 2 2 3 4 2" xfId="14185"/>
    <cellStyle name="40% - Accent6 8 2 2 3 5" xfId="8128"/>
    <cellStyle name="40% - Accent6 8 2 2 3 5 2" xfId="15308"/>
    <cellStyle name="40% - Accent6 8 2 2 3 6" xfId="9636"/>
    <cellStyle name="40% - Accent6 8 2 2 4" xfId="2385"/>
    <cellStyle name="40% - Accent6 8 2 2 4 2" xfId="4747"/>
    <cellStyle name="40% - Accent6 8 2 2 4 2 2" xfId="12042"/>
    <cellStyle name="40% - Accent6 8 2 2 4 3" xfId="6088"/>
    <cellStyle name="40% - Accent6 8 2 2 4 3 2" xfId="13322"/>
    <cellStyle name="40% - Accent6 8 2 2 4 4" xfId="7341"/>
    <cellStyle name="40% - Accent6 8 2 2 4 4 2" xfId="14531"/>
    <cellStyle name="40% - Accent6 8 2 2 4 5" xfId="8448"/>
    <cellStyle name="40% - Accent6 8 2 2 4 5 2" xfId="15624"/>
    <cellStyle name="40% - Accent6 8 2 2 4 6" xfId="9956"/>
    <cellStyle name="40% - Accent6 8 2 2 5" xfId="3324"/>
    <cellStyle name="40% - Accent6 8 2 2 5 2" xfId="10697"/>
    <cellStyle name="40% - Accent6 8 2 2 6" xfId="3036"/>
    <cellStyle name="40% - Accent6 8 2 2 6 2" xfId="10444"/>
    <cellStyle name="40% - Accent6 8 2 2 7" xfId="5155"/>
    <cellStyle name="40% - Accent6 8 2 2 7 2" xfId="12418"/>
    <cellStyle name="40% - Accent6 8 2 2 8" xfId="6438"/>
    <cellStyle name="40% - Accent6 8 2 2 8 2" xfId="13647"/>
    <cellStyle name="40% - Accent6 8 2 2 9" xfId="8932"/>
    <cellStyle name="40% - Accent6 8 2 3" xfId="1580"/>
    <cellStyle name="40% - Accent6 8 2 3 2" xfId="3971"/>
    <cellStyle name="40% - Accent6 8 2 3 2 2" xfId="11288"/>
    <cellStyle name="40% - Accent6 8 2 3 3" xfId="5337"/>
    <cellStyle name="40% - Accent6 8 2 3 3 2" xfId="12595"/>
    <cellStyle name="40% - Accent6 8 2 3 4" xfId="6610"/>
    <cellStyle name="40% - Accent6 8 2 3 4 2" xfId="13815"/>
    <cellStyle name="40% - Accent6 8 2 3 5" xfId="7769"/>
    <cellStyle name="40% - Accent6 8 2 3 5 2" xfId="14949"/>
    <cellStyle name="40% - Accent6 8 2 3 6" xfId="9277"/>
    <cellStyle name="40% - Accent6 8 2 4" xfId="1634"/>
    <cellStyle name="40% - Accent6 8 2 4 2" xfId="4024"/>
    <cellStyle name="40% - Accent6 8 2 4 2 2" xfId="11339"/>
    <cellStyle name="40% - Accent6 8 2 4 3" xfId="5389"/>
    <cellStyle name="40% - Accent6 8 2 4 3 2" xfId="12644"/>
    <cellStyle name="40% - Accent6 8 2 4 4" xfId="6661"/>
    <cellStyle name="40% - Accent6 8 2 4 4 2" xfId="13864"/>
    <cellStyle name="40% - Accent6 8 2 4 5" xfId="7817"/>
    <cellStyle name="40% - Accent6 8 2 4 5 2" xfId="14997"/>
    <cellStyle name="40% - Accent6 8 2 4 6" xfId="9325"/>
    <cellStyle name="40% - Accent6 8 2 5" xfId="2255"/>
    <cellStyle name="40% - Accent6 8 2 5 2" xfId="4617"/>
    <cellStyle name="40% - Accent6 8 2 5 2 2" xfId="11915"/>
    <cellStyle name="40% - Accent6 8 2 5 3" xfId="5958"/>
    <cellStyle name="40% - Accent6 8 2 5 3 2" xfId="13195"/>
    <cellStyle name="40% - Accent6 8 2 5 4" xfId="7211"/>
    <cellStyle name="40% - Accent6 8 2 5 4 2" xfId="14404"/>
    <cellStyle name="40% - Accent6 8 2 5 5" xfId="8321"/>
    <cellStyle name="40% - Accent6 8 2 5 5 2" xfId="15497"/>
    <cellStyle name="40% - Accent6 8 2 5 6" xfId="9829"/>
    <cellStyle name="40% - Accent6 8 2 6" xfId="3108"/>
    <cellStyle name="40% - Accent6 8 2 6 2" xfId="10505"/>
    <cellStyle name="40% - Accent6 8 2 7" xfId="2858"/>
    <cellStyle name="40% - Accent6 8 2 7 2" xfId="10285"/>
    <cellStyle name="40% - Accent6 8 2 8" xfId="2868"/>
    <cellStyle name="40% - Accent6 8 2 8 2" xfId="10294"/>
    <cellStyle name="40% - Accent6 8 2 9" xfId="3850"/>
    <cellStyle name="40% - Accent6 8 2 9 2" xfId="11171"/>
    <cellStyle name="40% - Accent6 8 3" xfId="791"/>
    <cellStyle name="40% - Accent6 8 3 2" xfId="1691"/>
    <cellStyle name="40% - Accent6 8 3 2 2" xfId="4081"/>
    <cellStyle name="40% - Accent6 8 3 2 2 2" xfId="11395"/>
    <cellStyle name="40% - Accent6 8 3 2 3" xfId="5443"/>
    <cellStyle name="40% - Accent6 8 3 2 3 2" xfId="12697"/>
    <cellStyle name="40% - Accent6 8 3 2 4" xfId="6715"/>
    <cellStyle name="40% - Accent6 8 3 2 4 2" xfId="13917"/>
    <cellStyle name="40% - Accent6 8 3 2 5" xfId="7870"/>
    <cellStyle name="40% - Accent6 8 3 2 5 2" xfId="15050"/>
    <cellStyle name="40% - Accent6 8 3 2 6" xfId="9378"/>
    <cellStyle name="40% - Accent6 8 3 3" xfId="1924"/>
    <cellStyle name="40% - Accent6 8 3 3 2" xfId="4307"/>
    <cellStyle name="40% - Accent6 8 3 3 2 2" xfId="11618"/>
    <cellStyle name="40% - Accent6 8 3 3 3" xfId="5663"/>
    <cellStyle name="40% - Accent6 8 3 3 3 2" xfId="12915"/>
    <cellStyle name="40% - Accent6 8 3 3 4" xfId="6932"/>
    <cellStyle name="40% - Accent6 8 3 3 4 2" xfId="14133"/>
    <cellStyle name="40% - Accent6 8 3 3 5" xfId="8076"/>
    <cellStyle name="40% - Accent6 8 3 3 5 2" xfId="15256"/>
    <cellStyle name="40% - Accent6 8 3 3 6" xfId="9584"/>
    <cellStyle name="40% - Accent6 8 3 4" xfId="2333"/>
    <cellStyle name="40% - Accent6 8 3 4 2" xfId="4695"/>
    <cellStyle name="40% - Accent6 8 3 4 2 2" xfId="11990"/>
    <cellStyle name="40% - Accent6 8 3 4 3" xfId="6036"/>
    <cellStyle name="40% - Accent6 8 3 4 3 2" xfId="13270"/>
    <cellStyle name="40% - Accent6 8 3 4 4" xfId="7289"/>
    <cellStyle name="40% - Accent6 8 3 4 4 2" xfId="14479"/>
    <cellStyle name="40% - Accent6 8 3 4 5" xfId="8396"/>
    <cellStyle name="40% - Accent6 8 3 4 5 2" xfId="15572"/>
    <cellStyle name="40% - Accent6 8 3 4 6" xfId="9904"/>
    <cellStyle name="40% - Accent6 8 3 5" xfId="3272"/>
    <cellStyle name="40% - Accent6 8 3 5 2" xfId="10645"/>
    <cellStyle name="40% - Accent6 8 3 6" xfId="2916"/>
    <cellStyle name="40% - Accent6 8 3 6 2" xfId="10339"/>
    <cellStyle name="40% - Accent6 8 3 7" xfId="3138"/>
    <cellStyle name="40% - Accent6 8 3 7 2" xfId="10535"/>
    <cellStyle name="40% - Accent6 8 3 8" xfId="3185"/>
    <cellStyle name="40% - Accent6 8 3 8 2" xfId="10572"/>
    <cellStyle name="40% - Accent6 8 3 9" xfId="8880"/>
    <cellStyle name="40% - Accent6 8 4" xfId="1469"/>
    <cellStyle name="40% - Accent6 8 4 2" xfId="3864"/>
    <cellStyle name="40% - Accent6 8 4 2 2" xfId="11185"/>
    <cellStyle name="40% - Accent6 8 4 3" xfId="5234"/>
    <cellStyle name="40% - Accent6 8 4 3 2" xfId="12494"/>
    <cellStyle name="40% - Accent6 8 4 4" xfId="6508"/>
    <cellStyle name="40% - Accent6 8 4 4 2" xfId="13715"/>
    <cellStyle name="40% - Accent6 8 4 5" xfId="7672"/>
    <cellStyle name="40% - Accent6 8 4 5 2" xfId="14852"/>
    <cellStyle name="40% - Accent6 8 4 6" xfId="9180"/>
    <cellStyle name="40% - Accent6 8 5" xfId="1397"/>
    <cellStyle name="40% - Accent6 8 5 2" xfId="3796"/>
    <cellStyle name="40% - Accent6 8 5 2 2" xfId="11118"/>
    <cellStyle name="40% - Accent6 8 5 3" xfId="5168"/>
    <cellStyle name="40% - Accent6 8 5 3 2" xfId="12430"/>
    <cellStyle name="40% - Accent6 8 5 4" xfId="6448"/>
    <cellStyle name="40% - Accent6 8 5 4 2" xfId="13657"/>
    <cellStyle name="40% - Accent6 8 5 5" xfId="7625"/>
    <cellStyle name="40% - Accent6 8 5 5 2" xfId="14805"/>
    <cellStyle name="40% - Accent6 8 5 6" xfId="9133"/>
    <cellStyle name="40% - Accent6 8 6" xfId="2192"/>
    <cellStyle name="40% - Accent6 8 6 2" xfId="4554"/>
    <cellStyle name="40% - Accent6 8 6 2 2" xfId="11853"/>
    <cellStyle name="40% - Accent6 8 6 3" xfId="5896"/>
    <cellStyle name="40% - Accent6 8 6 3 2" xfId="13133"/>
    <cellStyle name="40% - Accent6 8 6 4" xfId="7149"/>
    <cellStyle name="40% - Accent6 8 6 4 2" xfId="14342"/>
    <cellStyle name="40% - Accent6 8 6 5" xfId="8259"/>
    <cellStyle name="40% - Accent6 8 6 5 2" xfId="15435"/>
    <cellStyle name="40% - Accent6 8 6 6" xfId="9767"/>
    <cellStyle name="40% - Accent6 8 7" xfId="2935"/>
    <cellStyle name="40% - Accent6 8 7 2" xfId="10356"/>
    <cellStyle name="40% - Accent6 8 8" xfId="3539"/>
    <cellStyle name="40% - Accent6 8 8 2" xfId="10892"/>
    <cellStyle name="40% - Accent6 8 9" xfId="5041"/>
    <cellStyle name="40% - Accent6 8 9 2" xfId="12318"/>
    <cellStyle name="40% - Accent6 9" xfId="444"/>
    <cellStyle name="40% - Accent6 9 10" xfId="5180"/>
    <cellStyle name="40% - Accent6 9 10 2" xfId="12442"/>
    <cellStyle name="40% - Accent6 9 11" xfId="8752"/>
    <cellStyle name="40% - Accent6 9 2" xfId="617"/>
    <cellStyle name="40% - Accent6 9 2 10" xfId="8815"/>
    <cellStyle name="40% - Accent6 9 2 2" xfId="856"/>
    <cellStyle name="40% - Accent6 9 2 2 2" xfId="1756"/>
    <cellStyle name="40% - Accent6 9 2 2 2 2" xfId="4146"/>
    <cellStyle name="40% - Accent6 9 2 2 2 2 2" xfId="11460"/>
    <cellStyle name="40% - Accent6 9 2 2 2 3" xfId="5508"/>
    <cellStyle name="40% - Accent6 9 2 2 2 3 2" xfId="12762"/>
    <cellStyle name="40% - Accent6 9 2 2 2 4" xfId="6780"/>
    <cellStyle name="40% - Accent6 9 2 2 2 4 2" xfId="13982"/>
    <cellStyle name="40% - Accent6 9 2 2 2 5" xfId="7935"/>
    <cellStyle name="40% - Accent6 9 2 2 2 5 2" xfId="15115"/>
    <cellStyle name="40% - Accent6 9 2 2 2 6" xfId="9443"/>
    <cellStyle name="40% - Accent6 9 2 2 3" xfId="1989"/>
    <cellStyle name="40% - Accent6 9 2 2 3 2" xfId="4372"/>
    <cellStyle name="40% - Accent6 9 2 2 3 2 2" xfId="11683"/>
    <cellStyle name="40% - Accent6 9 2 2 3 3" xfId="5728"/>
    <cellStyle name="40% - Accent6 9 2 2 3 3 2" xfId="12980"/>
    <cellStyle name="40% - Accent6 9 2 2 3 4" xfId="6997"/>
    <cellStyle name="40% - Accent6 9 2 2 3 4 2" xfId="14198"/>
    <cellStyle name="40% - Accent6 9 2 2 3 5" xfId="8141"/>
    <cellStyle name="40% - Accent6 9 2 2 3 5 2" xfId="15321"/>
    <cellStyle name="40% - Accent6 9 2 2 3 6" xfId="9649"/>
    <cellStyle name="40% - Accent6 9 2 2 4" xfId="2398"/>
    <cellStyle name="40% - Accent6 9 2 2 4 2" xfId="4760"/>
    <cellStyle name="40% - Accent6 9 2 2 4 2 2" xfId="12055"/>
    <cellStyle name="40% - Accent6 9 2 2 4 3" xfId="6101"/>
    <cellStyle name="40% - Accent6 9 2 2 4 3 2" xfId="13335"/>
    <cellStyle name="40% - Accent6 9 2 2 4 4" xfId="7354"/>
    <cellStyle name="40% - Accent6 9 2 2 4 4 2" xfId="14544"/>
    <cellStyle name="40% - Accent6 9 2 2 4 5" xfId="8461"/>
    <cellStyle name="40% - Accent6 9 2 2 4 5 2" xfId="15637"/>
    <cellStyle name="40% - Accent6 9 2 2 4 6" xfId="9969"/>
    <cellStyle name="40% - Accent6 9 2 2 5" xfId="3337"/>
    <cellStyle name="40% - Accent6 9 2 2 5 2" xfId="10710"/>
    <cellStyle name="40% - Accent6 9 2 2 6" xfId="4524"/>
    <cellStyle name="40% - Accent6 9 2 2 6 2" xfId="11823"/>
    <cellStyle name="40% - Accent6 9 2 2 7" xfId="2944"/>
    <cellStyle name="40% - Accent6 9 2 2 7 2" xfId="10363"/>
    <cellStyle name="40% - Accent6 9 2 2 8" xfId="3702"/>
    <cellStyle name="40% - Accent6 9 2 2 8 2" xfId="11036"/>
    <cellStyle name="40% - Accent6 9 2 2 9" xfId="8945"/>
    <cellStyle name="40% - Accent6 9 2 3" xfId="1593"/>
    <cellStyle name="40% - Accent6 9 2 3 2" xfId="3984"/>
    <cellStyle name="40% - Accent6 9 2 3 2 2" xfId="11301"/>
    <cellStyle name="40% - Accent6 9 2 3 3" xfId="5350"/>
    <cellStyle name="40% - Accent6 9 2 3 3 2" xfId="12608"/>
    <cellStyle name="40% - Accent6 9 2 3 4" xfId="6623"/>
    <cellStyle name="40% - Accent6 9 2 3 4 2" xfId="13828"/>
    <cellStyle name="40% - Accent6 9 2 3 5" xfId="7782"/>
    <cellStyle name="40% - Accent6 9 2 3 5 2" xfId="14962"/>
    <cellStyle name="40% - Accent6 9 2 3 6" xfId="9290"/>
    <cellStyle name="40% - Accent6 9 2 4" xfId="1520"/>
    <cellStyle name="40% - Accent6 9 2 4 2" xfId="3913"/>
    <cellStyle name="40% - Accent6 9 2 4 2 2" xfId="11231"/>
    <cellStyle name="40% - Accent6 9 2 4 3" xfId="5280"/>
    <cellStyle name="40% - Accent6 9 2 4 3 2" xfId="12539"/>
    <cellStyle name="40% - Accent6 9 2 4 4" xfId="6553"/>
    <cellStyle name="40% - Accent6 9 2 4 4 2" xfId="13759"/>
    <cellStyle name="40% - Accent6 9 2 4 5" xfId="7713"/>
    <cellStyle name="40% - Accent6 9 2 4 5 2" xfId="14893"/>
    <cellStyle name="40% - Accent6 9 2 4 6" xfId="9221"/>
    <cellStyle name="40% - Accent6 9 2 5" xfId="2268"/>
    <cellStyle name="40% - Accent6 9 2 5 2" xfId="4630"/>
    <cellStyle name="40% - Accent6 9 2 5 2 2" xfId="11928"/>
    <cellStyle name="40% - Accent6 9 2 5 3" xfId="5971"/>
    <cellStyle name="40% - Accent6 9 2 5 3 2" xfId="13208"/>
    <cellStyle name="40% - Accent6 9 2 5 4" xfId="7224"/>
    <cellStyle name="40% - Accent6 9 2 5 4 2" xfId="14417"/>
    <cellStyle name="40% - Accent6 9 2 5 5" xfId="8334"/>
    <cellStyle name="40% - Accent6 9 2 5 5 2" xfId="15510"/>
    <cellStyle name="40% - Accent6 9 2 5 6" xfId="9842"/>
    <cellStyle name="40% - Accent6 9 2 6" xfId="3121"/>
    <cellStyle name="40% - Accent6 9 2 6 2" xfId="10518"/>
    <cellStyle name="40% - Accent6 9 2 7" xfId="3425"/>
    <cellStyle name="40% - Accent6 9 2 7 2" xfId="10789"/>
    <cellStyle name="40% - Accent6 9 2 8" xfId="4941"/>
    <cellStyle name="40% - Accent6 9 2 8 2" xfId="12230"/>
    <cellStyle name="40% - Accent6 9 2 9" xfId="6279"/>
    <cellStyle name="40% - Accent6 9 2 9 2" xfId="13505"/>
    <cellStyle name="40% - Accent6 9 3" xfId="804"/>
    <cellStyle name="40% - Accent6 9 3 2" xfId="1704"/>
    <cellStyle name="40% - Accent6 9 3 2 2" xfId="4094"/>
    <cellStyle name="40% - Accent6 9 3 2 2 2" xfId="11408"/>
    <cellStyle name="40% - Accent6 9 3 2 3" xfId="5456"/>
    <cellStyle name="40% - Accent6 9 3 2 3 2" xfId="12710"/>
    <cellStyle name="40% - Accent6 9 3 2 4" xfId="6728"/>
    <cellStyle name="40% - Accent6 9 3 2 4 2" xfId="13930"/>
    <cellStyle name="40% - Accent6 9 3 2 5" xfId="7883"/>
    <cellStyle name="40% - Accent6 9 3 2 5 2" xfId="15063"/>
    <cellStyle name="40% - Accent6 9 3 2 6" xfId="9391"/>
    <cellStyle name="40% - Accent6 9 3 3" xfId="1937"/>
    <cellStyle name="40% - Accent6 9 3 3 2" xfId="4320"/>
    <cellStyle name="40% - Accent6 9 3 3 2 2" xfId="11631"/>
    <cellStyle name="40% - Accent6 9 3 3 3" xfId="5676"/>
    <cellStyle name="40% - Accent6 9 3 3 3 2" xfId="12928"/>
    <cellStyle name="40% - Accent6 9 3 3 4" xfId="6945"/>
    <cellStyle name="40% - Accent6 9 3 3 4 2" xfId="14146"/>
    <cellStyle name="40% - Accent6 9 3 3 5" xfId="8089"/>
    <cellStyle name="40% - Accent6 9 3 3 5 2" xfId="15269"/>
    <cellStyle name="40% - Accent6 9 3 3 6" xfId="9597"/>
    <cellStyle name="40% - Accent6 9 3 4" xfId="2346"/>
    <cellStyle name="40% - Accent6 9 3 4 2" xfId="4708"/>
    <cellStyle name="40% - Accent6 9 3 4 2 2" xfId="12003"/>
    <cellStyle name="40% - Accent6 9 3 4 3" xfId="6049"/>
    <cellStyle name="40% - Accent6 9 3 4 3 2" xfId="13283"/>
    <cellStyle name="40% - Accent6 9 3 4 4" xfId="7302"/>
    <cellStyle name="40% - Accent6 9 3 4 4 2" xfId="14492"/>
    <cellStyle name="40% - Accent6 9 3 4 5" xfId="8409"/>
    <cellStyle name="40% - Accent6 9 3 4 5 2" xfId="15585"/>
    <cellStyle name="40% - Accent6 9 3 4 6" xfId="9917"/>
    <cellStyle name="40% - Accent6 9 3 5" xfId="3285"/>
    <cellStyle name="40% - Accent6 9 3 5 2" xfId="10658"/>
    <cellStyle name="40% - Accent6 9 3 6" xfId="3486"/>
    <cellStyle name="40% - Accent6 9 3 6 2" xfId="10841"/>
    <cellStyle name="40% - Accent6 9 3 7" xfId="4993"/>
    <cellStyle name="40% - Accent6 9 3 7 2" xfId="12274"/>
    <cellStyle name="40% - Accent6 9 3 8" xfId="6316"/>
    <cellStyle name="40% - Accent6 9 3 8 2" xfId="13536"/>
    <cellStyle name="40% - Accent6 9 3 9" xfId="8893"/>
    <cellStyle name="40% - Accent6 9 4" xfId="1493"/>
    <cellStyle name="40% - Accent6 9 4 2" xfId="3887"/>
    <cellStyle name="40% - Accent6 9 4 2 2" xfId="11207"/>
    <cellStyle name="40% - Accent6 9 4 3" xfId="5256"/>
    <cellStyle name="40% - Accent6 9 4 3 2" xfId="12516"/>
    <cellStyle name="40% - Accent6 9 4 4" xfId="6529"/>
    <cellStyle name="40% - Accent6 9 4 4 2" xfId="13736"/>
    <cellStyle name="40% - Accent6 9 4 5" xfId="7691"/>
    <cellStyle name="40% - Accent6 9 4 5 2" xfId="14871"/>
    <cellStyle name="40% - Accent6 9 4 6" xfId="9199"/>
    <cellStyle name="40% - Accent6 9 5" xfId="1491"/>
    <cellStyle name="40% - Accent6 9 5 2" xfId="3885"/>
    <cellStyle name="40% - Accent6 9 5 2 2" xfId="11205"/>
    <cellStyle name="40% - Accent6 9 5 3" xfId="5254"/>
    <cellStyle name="40% - Accent6 9 5 3 2" xfId="12514"/>
    <cellStyle name="40% - Accent6 9 5 4" xfId="6527"/>
    <cellStyle name="40% - Accent6 9 5 4 2" xfId="13734"/>
    <cellStyle name="40% - Accent6 9 5 5" xfId="7689"/>
    <cellStyle name="40% - Accent6 9 5 5 2" xfId="14869"/>
    <cellStyle name="40% - Accent6 9 5 6" xfId="9197"/>
    <cellStyle name="40% - Accent6 9 6" xfId="2205"/>
    <cellStyle name="40% - Accent6 9 6 2" xfId="4567"/>
    <cellStyle name="40% - Accent6 9 6 2 2" xfId="11866"/>
    <cellStyle name="40% - Accent6 9 6 3" xfId="5909"/>
    <cellStyle name="40% - Accent6 9 6 3 2" xfId="13146"/>
    <cellStyle name="40% - Accent6 9 6 4" xfId="7162"/>
    <cellStyle name="40% - Accent6 9 6 4 2" xfId="14355"/>
    <cellStyle name="40% - Accent6 9 6 5" xfId="8272"/>
    <cellStyle name="40% - Accent6 9 6 5 2" xfId="15448"/>
    <cellStyle name="40% - Accent6 9 6 6" xfId="9780"/>
    <cellStyle name="40% - Accent6 9 7" xfId="2971"/>
    <cellStyle name="40% - Accent6 9 7 2" xfId="10388"/>
    <cellStyle name="40% - Accent6 9 8" xfId="3537"/>
    <cellStyle name="40% - Accent6 9 8 2" xfId="10890"/>
    <cellStyle name="40% - Accent6 9 9" xfId="3060"/>
    <cellStyle name="40% - Accent6 9 9 2" xfId="10458"/>
    <cellStyle name="60% - Accent1" xfId="51" builtinId="32" customBuiltin="1"/>
    <cellStyle name="60% - Accent1 10" xfId="467"/>
    <cellStyle name="60% - Accent1 11" xfId="651"/>
    <cellStyle name="60% - Accent1 12" xfId="903"/>
    <cellStyle name="60% - Accent1 13" xfId="946"/>
    <cellStyle name="60% - Accent1 14" xfId="989"/>
    <cellStyle name="60% - Accent1 15" xfId="1030"/>
    <cellStyle name="60% - Accent1 16" xfId="1071"/>
    <cellStyle name="60% - Accent1 17" xfId="1112"/>
    <cellStyle name="60% - Accent1 18" xfId="1153"/>
    <cellStyle name="60% - Accent1 19" xfId="1194"/>
    <cellStyle name="60% - Accent1 2" xfId="52"/>
    <cellStyle name="60% - Accent1 20" xfId="1235"/>
    <cellStyle name="60% - Accent1 21" xfId="2565"/>
    <cellStyle name="60% - Accent1 3" xfId="53"/>
    <cellStyle name="60% - Accent1 4" xfId="54"/>
    <cellStyle name="60% - Accent1 5" xfId="257"/>
    <cellStyle name="60% - Accent1 6" xfId="302"/>
    <cellStyle name="60% - Accent1 7" xfId="343"/>
    <cellStyle name="60% - Accent1 8" xfId="384"/>
    <cellStyle name="60% - Accent1 9" xfId="425"/>
    <cellStyle name="60% - Accent2" xfId="55" builtinId="36" customBuiltin="1"/>
    <cellStyle name="60% - Accent2 10" xfId="471"/>
    <cellStyle name="60% - Accent2 11" xfId="655"/>
    <cellStyle name="60% - Accent2 12" xfId="907"/>
    <cellStyle name="60% - Accent2 13" xfId="950"/>
    <cellStyle name="60% - Accent2 14" xfId="993"/>
    <cellStyle name="60% - Accent2 15" xfId="1034"/>
    <cellStyle name="60% - Accent2 16" xfId="1075"/>
    <cellStyle name="60% - Accent2 17" xfId="1116"/>
    <cellStyle name="60% - Accent2 18" xfId="1157"/>
    <cellStyle name="60% - Accent2 19" xfId="1198"/>
    <cellStyle name="60% - Accent2 2" xfId="56"/>
    <cellStyle name="60% - Accent2 20" xfId="1239"/>
    <cellStyle name="60% - Accent2 21" xfId="2569"/>
    <cellStyle name="60% - Accent2 3" xfId="57"/>
    <cellStyle name="60% - Accent2 4" xfId="58"/>
    <cellStyle name="60% - Accent2 5" xfId="261"/>
    <cellStyle name="60% - Accent2 6" xfId="306"/>
    <cellStyle name="60% - Accent2 7" xfId="347"/>
    <cellStyle name="60% - Accent2 8" xfId="388"/>
    <cellStyle name="60% - Accent2 9" xfId="429"/>
    <cellStyle name="60% - Accent3" xfId="59" builtinId="40" customBuiltin="1"/>
    <cellStyle name="60% - Accent3 10" xfId="475"/>
    <cellStyle name="60% - Accent3 11" xfId="659"/>
    <cellStyle name="60% - Accent3 12" xfId="911"/>
    <cellStyle name="60% - Accent3 13" xfId="954"/>
    <cellStyle name="60% - Accent3 14" xfId="997"/>
    <cellStyle name="60% - Accent3 15" xfId="1038"/>
    <cellStyle name="60% - Accent3 16" xfId="1079"/>
    <cellStyle name="60% - Accent3 17" xfId="1120"/>
    <cellStyle name="60% - Accent3 18" xfId="1161"/>
    <cellStyle name="60% - Accent3 19" xfId="1202"/>
    <cellStyle name="60% - Accent3 2" xfId="60"/>
    <cellStyle name="60% - Accent3 20" xfId="1243"/>
    <cellStyle name="60% - Accent3 21" xfId="2573"/>
    <cellStyle name="60% - Accent3 3" xfId="61"/>
    <cellStyle name="60% - Accent3 4" xfId="62"/>
    <cellStyle name="60% - Accent3 5" xfId="265"/>
    <cellStyle name="60% - Accent3 6" xfId="310"/>
    <cellStyle name="60% - Accent3 7" xfId="351"/>
    <cellStyle name="60% - Accent3 8" xfId="392"/>
    <cellStyle name="60% - Accent3 9" xfId="433"/>
    <cellStyle name="60% - Accent4" xfId="63" builtinId="44" customBuiltin="1"/>
    <cellStyle name="60% - Accent4 10" xfId="479"/>
    <cellStyle name="60% - Accent4 11" xfId="663"/>
    <cellStyle name="60% - Accent4 12" xfId="915"/>
    <cellStyle name="60% - Accent4 13" xfId="958"/>
    <cellStyle name="60% - Accent4 14" xfId="1001"/>
    <cellStyle name="60% - Accent4 15" xfId="1042"/>
    <cellStyle name="60% - Accent4 16" xfId="1083"/>
    <cellStyle name="60% - Accent4 17" xfId="1124"/>
    <cellStyle name="60% - Accent4 18" xfId="1165"/>
    <cellStyle name="60% - Accent4 19" xfId="1206"/>
    <cellStyle name="60% - Accent4 2" xfId="64"/>
    <cellStyle name="60% - Accent4 20" xfId="1247"/>
    <cellStyle name="60% - Accent4 21" xfId="2577"/>
    <cellStyle name="60% - Accent4 3" xfId="65"/>
    <cellStyle name="60% - Accent4 4" xfId="66"/>
    <cellStyle name="60% - Accent4 5" xfId="269"/>
    <cellStyle name="60% - Accent4 6" xfId="314"/>
    <cellStyle name="60% - Accent4 7" xfId="355"/>
    <cellStyle name="60% - Accent4 8" xfId="396"/>
    <cellStyle name="60% - Accent4 9" xfId="437"/>
    <cellStyle name="60% - Accent5" xfId="67" builtinId="48" customBuiltin="1"/>
    <cellStyle name="60% - Accent5 10" xfId="483"/>
    <cellStyle name="60% - Accent5 11" xfId="667"/>
    <cellStyle name="60% - Accent5 12" xfId="919"/>
    <cellStyle name="60% - Accent5 13" xfId="962"/>
    <cellStyle name="60% - Accent5 14" xfId="1005"/>
    <cellStyle name="60% - Accent5 15" xfId="1046"/>
    <cellStyle name="60% - Accent5 16" xfId="1087"/>
    <cellStyle name="60% - Accent5 17" xfId="1128"/>
    <cellStyle name="60% - Accent5 18" xfId="1169"/>
    <cellStyle name="60% - Accent5 19" xfId="1210"/>
    <cellStyle name="60% - Accent5 2" xfId="68"/>
    <cellStyle name="60% - Accent5 20" xfId="1251"/>
    <cellStyle name="60% - Accent5 21" xfId="2581"/>
    <cellStyle name="60% - Accent5 3" xfId="69"/>
    <cellStyle name="60% - Accent5 4" xfId="70"/>
    <cellStyle name="60% - Accent5 5" xfId="273"/>
    <cellStyle name="60% - Accent5 6" xfId="318"/>
    <cellStyle name="60% - Accent5 7" xfId="359"/>
    <cellStyle name="60% - Accent5 8" xfId="400"/>
    <cellStyle name="60% - Accent5 9" xfId="441"/>
    <cellStyle name="60% - Accent6" xfId="71" builtinId="52" customBuiltin="1"/>
    <cellStyle name="60% - Accent6 10" xfId="487"/>
    <cellStyle name="60% - Accent6 11" xfId="671"/>
    <cellStyle name="60% - Accent6 12" xfId="923"/>
    <cellStyle name="60% - Accent6 13" xfId="966"/>
    <cellStyle name="60% - Accent6 14" xfId="1009"/>
    <cellStyle name="60% - Accent6 15" xfId="1050"/>
    <cellStyle name="60% - Accent6 16" xfId="1091"/>
    <cellStyle name="60% - Accent6 17" xfId="1132"/>
    <cellStyle name="60% - Accent6 18" xfId="1173"/>
    <cellStyle name="60% - Accent6 19" xfId="1214"/>
    <cellStyle name="60% - Accent6 2" xfId="72"/>
    <cellStyle name="60% - Accent6 20" xfId="1255"/>
    <cellStyle name="60% - Accent6 21" xfId="2585"/>
    <cellStyle name="60% - Accent6 3" xfId="73"/>
    <cellStyle name="60% - Accent6 4" xfId="74"/>
    <cellStyle name="60% - Accent6 5" xfId="277"/>
    <cellStyle name="60% - Accent6 6" xfId="322"/>
    <cellStyle name="60% - Accent6 7" xfId="363"/>
    <cellStyle name="60% - Accent6 8" xfId="404"/>
    <cellStyle name="60% - Accent6 9" xfId="445"/>
    <cellStyle name="Accent1" xfId="75" builtinId="29" customBuiltin="1"/>
    <cellStyle name="Accent1 10" xfId="464"/>
    <cellStyle name="Accent1 11" xfId="648"/>
    <cellStyle name="Accent1 12" xfId="900"/>
    <cellStyle name="Accent1 13" xfId="943"/>
    <cellStyle name="Accent1 14" xfId="986"/>
    <cellStyle name="Accent1 15" xfId="1027"/>
    <cellStyle name="Accent1 16" xfId="1068"/>
    <cellStyle name="Accent1 17" xfId="1109"/>
    <cellStyle name="Accent1 18" xfId="1150"/>
    <cellStyle name="Accent1 19" xfId="1191"/>
    <cellStyle name="Accent1 2" xfId="76"/>
    <cellStyle name="Accent1 20" xfId="1232"/>
    <cellStyle name="Accent1 21" xfId="2562"/>
    <cellStyle name="Accent1 3" xfId="77"/>
    <cellStyle name="Accent1 4" xfId="78"/>
    <cellStyle name="Accent1 5" xfId="254"/>
    <cellStyle name="Accent1 6" xfId="299"/>
    <cellStyle name="Accent1 7" xfId="340"/>
    <cellStyle name="Accent1 8" xfId="381"/>
    <cellStyle name="Accent1 9" xfId="422"/>
    <cellStyle name="Accent2" xfId="79" builtinId="33" customBuiltin="1"/>
    <cellStyle name="Accent2 10" xfId="468"/>
    <cellStyle name="Accent2 11" xfId="652"/>
    <cellStyle name="Accent2 12" xfId="904"/>
    <cellStyle name="Accent2 13" xfId="947"/>
    <cellStyle name="Accent2 14" xfId="990"/>
    <cellStyle name="Accent2 15" xfId="1031"/>
    <cellStyle name="Accent2 16" xfId="1072"/>
    <cellStyle name="Accent2 17" xfId="1113"/>
    <cellStyle name="Accent2 18" xfId="1154"/>
    <cellStyle name="Accent2 19" xfId="1195"/>
    <cellStyle name="Accent2 2" xfId="80"/>
    <cellStyle name="Accent2 20" xfId="1236"/>
    <cellStyle name="Accent2 21" xfId="2566"/>
    <cellStyle name="Accent2 3" xfId="81"/>
    <cellStyle name="Accent2 4" xfId="82"/>
    <cellStyle name="Accent2 5" xfId="258"/>
    <cellStyle name="Accent2 6" xfId="303"/>
    <cellStyle name="Accent2 7" xfId="344"/>
    <cellStyle name="Accent2 8" xfId="385"/>
    <cellStyle name="Accent2 9" xfId="426"/>
    <cellStyle name="Accent3" xfId="83" builtinId="37" customBuiltin="1"/>
    <cellStyle name="Accent3 10" xfId="472"/>
    <cellStyle name="Accent3 11" xfId="656"/>
    <cellStyle name="Accent3 12" xfId="908"/>
    <cellStyle name="Accent3 13" xfId="951"/>
    <cellStyle name="Accent3 14" xfId="994"/>
    <cellStyle name="Accent3 15" xfId="1035"/>
    <cellStyle name="Accent3 16" xfId="1076"/>
    <cellStyle name="Accent3 17" xfId="1117"/>
    <cellStyle name="Accent3 18" xfId="1158"/>
    <cellStyle name="Accent3 19" xfId="1199"/>
    <cellStyle name="Accent3 2" xfId="84"/>
    <cellStyle name="Accent3 20" xfId="1240"/>
    <cellStyle name="Accent3 21" xfId="2570"/>
    <cellStyle name="Accent3 3" xfId="85"/>
    <cellStyle name="Accent3 4" xfId="86"/>
    <cellStyle name="Accent3 5" xfId="262"/>
    <cellStyle name="Accent3 6" xfId="307"/>
    <cellStyle name="Accent3 7" xfId="348"/>
    <cellStyle name="Accent3 8" xfId="389"/>
    <cellStyle name="Accent3 9" xfId="430"/>
    <cellStyle name="Accent4" xfId="87" builtinId="41" customBuiltin="1"/>
    <cellStyle name="Accent4 10" xfId="476"/>
    <cellStyle name="Accent4 11" xfId="660"/>
    <cellStyle name="Accent4 12" xfId="912"/>
    <cellStyle name="Accent4 13" xfId="955"/>
    <cellStyle name="Accent4 14" xfId="998"/>
    <cellStyle name="Accent4 15" xfId="1039"/>
    <cellStyle name="Accent4 16" xfId="1080"/>
    <cellStyle name="Accent4 17" xfId="1121"/>
    <cellStyle name="Accent4 18" xfId="1162"/>
    <cellStyle name="Accent4 19" xfId="1203"/>
    <cellStyle name="Accent4 2" xfId="88"/>
    <cellStyle name="Accent4 20" xfId="1244"/>
    <cellStyle name="Accent4 21" xfId="2574"/>
    <cellStyle name="Accent4 3" xfId="89"/>
    <cellStyle name="Accent4 4" xfId="90"/>
    <cellStyle name="Accent4 5" xfId="266"/>
    <cellStyle name="Accent4 6" xfId="311"/>
    <cellStyle name="Accent4 7" xfId="352"/>
    <cellStyle name="Accent4 8" xfId="393"/>
    <cellStyle name="Accent4 9" xfId="434"/>
    <cellStyle name="Accent5" xfId="91" builtinId="45" customBuiltin="1"/>
    <cellStyle name="Accent5 10" xfId="480"/>
    <cellStyle name="Accent5 11" xfId="664"/>
    <cellStyle name="Accent5 12" xfId="916"/>
    <cellStyle name="Accent5 13" xfId="959"/>
    <cellStyle name="Accent5 14" xfId="1002"/>
    <cellStyle name="Accent5 15" xfId="1043"/>
    <cellStyle name="Accent5 16" xfId="1084"/>
    <cellStyle name="Accent5 17" xfId="1125"/>
    <cellStyle name="Accent5 18" xfId="1166"/>
    <cellStyle name="Accent5 19" xfId="1207"/>
    <cellStyle name="Accent5 2" xfId="92"/>
    <cellStyle name="Accent5 20" xfId="1248"/>
    <cellStyle name="Accent5 21" xfId="2578"/>
    <cellStyle name="Accent5 3" xfId="93"/>
    <cellStyle name="Accent5 4" xfId="94"/>
    <cellStyle name="Accent5 5" xfId="270"/>
    <cellStyle name="Accent5 6" xfId="315"/>
    <cellStyle name="Accent5 7" xfId="356"/>
    <cellStyle name="Accent5 8" xfId="397"/>
    <cellStyle name="Accent5 9" xfId="438"/>
    <cellStyle name="Accent6" xfId="95" builtinId="49" customBuiltin="1"/>
    <cellStyle name="Accent6 10" xfId="484"/>
    <cellStyle name="Accent6 11" xfId="668"/>
    <cellStyle name="Accent6 12" xfId="920"/>
    <cellStyle name="Accent6 13" xfId="963"/>
    <cellStyle name="Accent6 14" xfId="1006"/>
    <cellStyle name="Accent6 15" xfId="1047"/>
    <cellStyle name="Accent6 16" xfId="1088"/>
    <cellStyle name="Accent6 17" xfId="1129"/>
    <cellStyle name="Accent6 18" xfId="1170"/>
    <cellStyle name="Accent6 19" xfId="1211"/>
    <cellStyle name="Accent6 2" xfId="96"/>
    <cellStyle name="Accent6 20" xfId="1252"/>
    <cellStyle name="Accent6 21" xfId="2582"/>
    <cellStyle name="Accent6 3" xfId="97"/>
    <cellStyle name="Accent6 4" xfId="98"/>
    <cellStyle name="Accent6 5" xfId="274"/>
    <cellStyle name="Accent6 6" xfId="319"/>
    <cellStyle name="Accent6 7" xfId="360"/>
    <cellStyle name="Accent6 8" xfId="401"/>
    <cellStyle name="Accent6 9" xfId="442"/>
    <cellStyle name="Bad" xfId="99" builtinId="27" customBuiltin="1"/>
    <cellStyle name="Bad 10" xfId="453"/>
    <cellStyle name="Bad 11" xfId="637"/>
    <cellStyle name="Bad 12" xfId="889"/>
    <cellStyle name="Bad 13" xfId="932"/>
    <cellStyle name="Bad 14" xfId="975"/>
    <cellStyle name="Bad 15" xfId="1016"/>
    <cellStyle name="Bad 16" xfId="1057"/>
    <cellStyle name="Bad 17" xfId="1098"/>
    <cellStyle name="Bad 18" xfId="1139"/>
    <cellStyle name="Bad 19" xfId="1180"/>
    <cellStyle name="Bad 2" xfId="100"/>
    <cellStyle name="Bad 20" xfId="1221"/>
    <cellStyle name="Bad 21" xfId="2551"/>
    <cellStyle name="Bad 3" xfId="101"/>
    <cellStyle name="Bad 4" xfId="102"/>
    <cellStyle name="Bad 5" xfId="243"/>
    <cellStyle name="Bad 6" xfId="288"/>
    <cellStyle name="Bad 7" xfId="329"/>
    <cellStyle name="Bad 8" xfId="370"/>
    <cellStyle name="Bad 9" xfId="411"/>
    <cellStyle name="Calculation" xfId="103" builtinId="22" customBuiltin="1"/>
    <cellStyle name="Calculation 10" xfId="457"/>
    <cellStyle name="Calculation 11" xfId="524"/>
    <cellStyle name="Calculation 11 2" xfId="1535"/>
    <cellStyle name="Calculation 11 2 2" xfId="3928"/>
    <cellStyle name="Calculation 11 2 2 2" xfId="11246"/>
    <cellStyle name="Calculation 11 2 3" xfId="5295"/>
    <cellStyle name="Calculation 11 2 3 2" xfId="12554"/>
    <cellStyle name="Calculation 11 2 4" xfId="6568"/>
    <cellStyle name="Calculation 11 2 4 2" xfId="13774"/>
    <cellStyle name="Calculation 11 2 5" xfId="7728"/>
    <cellStyle name="Calculation 11 2 5 2" xfId="14908"/>
    <cellStyle name="Calculation 11 2 6" xfId="9236"/>
    <cellStyle name="Calculation 11 3" xfId="1644"/>
    <cellStyle name="Calculation 11 3 2" xfId="4034"/>
    <cellStyle name="Calculation 11 3 2 2" xfId="11349"/>
    <cellStyle name="Calculation 11 3 3" xfId="5399"/>
    <cellStyle name="Calculation 11 3 3 2" xfId="12654"/>
    <cellStyle name="Calculation 11 3 4" xfId="6671"/>
    <cellStyle name="Calculation 11 3 4 2" xfId="13874"/>
    <cellStyle name="Calculation 11 3 5" xfId="7827"/>
    <cellStyle name="Calculation 11 3 5 2" xfId="15007"/>
    <cellStyle name="Calculation 11 3 6" xfId="9335"/>
    <cellStyle name="Calculation 11 4" xfId="2220"/>
    <cellStyle name="Calculation 11 4 2" xfId="4582"/>
    <cellStyle name="Calculation 11 4 2 2" xfId="11880"/>
    <cellStyle name="Calculation 11 4 3" xfId="5923"/>
    <cellStyle name="Calculation 11 4 3 2" xfId="13160"/>
    <cellStyle name="Calculation 11 4 4" xfId="7176"/>
    <cellStyle name="Calculation 11 4 4 2" xfId="14369"/>
    <cellStyle name="Calculation 11 4 5" xfId="8286"/>
    <cellStyle name="Calculation 11 4 5 2" xfId="15462"/>
    <cellStyle name="Calculation 11 4 6" xfId="9794"/>
    <cellStyle name="Calculation 11 5" xfId="3040"/>
    <cellStyle name="Calculation 11 5 2" xfId="10448"/>
    <cellStyle name="Calculation 11 6" xfId="2679"/>
    <cellStyle name="Calculation 11 6 2" xfId="10177"/>
    <cellStyle name="Calculation 11 7" xfId="4490"/>
    <cellStyle name="Calculation 11 7 2" xfId="11797"/>
    <cellStyle name="Calculation 11 8" xfId="3545"/>
    <cellStyle name="Calculation 11 8 2" xfId="10896"/>
    <cellStyle name="Calculation 11 9" xfId="8767"/>
    <cellStyle name="Calculation 12" xfId="641"/>
    <cellStyle name="Calculation 13" xfId="711"/>
    <cellStyle name="Calculation 13 2" xfId="1645"/>
    <cellStyle name="Calculation 13 2 2" xfId="4035"/>
    <cellStyle name="Calculation 13 2 2 2" xfId="11350"/>
    <cellStyle name="Calculation 13 2 3" xfId="5400"/>
    <cellStyle name="Calculation 13 2 3 2" xfId="12655"/>
    <cellStyle name="Calculation 13 2 4" xfId="6672"/>
    <cellStyle name="Calculation 13 2 4 2" xfId="13875"/>
    <cellStyle name="Calculation 13 2 5" xfId="7828"/>
    <cellStyle name="Calculation 13 2 5 2" xfId="15008"/>
    <cellStyle name="Calculation 13 2 6" xfId="9336"/>
    <cellStyle name="Calculation 13 3" xfId="1889"/>
    <cellStyle name="Calculation 13 3 2" xfId="4272"/>
    <cellStyle name="Calculation 13 3 2 2" xfId="11583"/>
    <cellStyle name="Calculation 13 3 3" xfId="5628"/>
    <cellStyle name="Calculation 13 3 3 2" xfId="12880"/>
    <cellStyle name="Calculation 13 3 4" xfId="6897"/>
    <cellStyle name="Calculation 13 3 4 2" xfId="14098"/>
    <cellStyle name="Calculation 13 3 5" xfId="8041"/>
    <cellStyle name="Calculation 13 3 5 2" xfId="15221"/>
    <cellStyle name="Calculation 13 3 6" xfId="9549"/>
    <cellStyle name="Calculation 13 4" xfId="2298"/>
    <cellStyle name="Calculation 13 4 2" xfId="4660"/>
    <cellStyle name="Calculation 13 4 2 2" xfId="11955"/>
    <cellStyle name="Calculation 13 4 3" xfId="6001"/>
    <cellStyle name="Calculation 13 4 3 2" xfId="13235"/>
    <cellStyle name="Calculation 13 4 4" xfId="7254"/>
    <cellStyle name="Calculation 13 4 4 2" xfId="14444"/>
    <cellStyle name="Calculation 13 4 5" xfId="8361"/>
    <cellStyle name="Calculation 13 4 5 2" xfId="15537"/>
    <cellStyle name="Calculation 13 4 6" xfId="9869"/>
    <cellStyle name="Calculation 13 5" xfId="3203"/>
    <cellStyle name="Calculation 13 5 2" xfId="10589"/>
    <cellStyle name="Calculation 13 6" xfId="2647"/>
    <cellStyle name="Calculation 13 6 2" xfId="10148"/>
    <cellStyle name="Calculation 13 7" xfId="2707"/>
    <cellStyle name="Calculation 13 7 2" xfId="10202"/>
    <cellStyle name="Calculation 13 8" xfId="2725"/>
    <cellStyle name="Calculation 13 8 2" xfId="10215"/>
    <cellStyle name="Calculation 13 9" xfId="8845"/>
    <cellStyle name="Calculation 14" xfId="893"/>
    <cellStyle name="Calculation 15" xfId="936"/>
    <cellStyle name="Calculation 16" xfId="979"/>
    <cellStyle name="Calculation 17" xfId="1020"/>
    <cellStyle name="Calculation 18" xfId="1061"/>
    <cellStyle name="Calculation 19" xfId="1102"/>
    <cellStyle name="Calculation 2" xfId="104"/>
    <cellStyle name="Calculation 20" xfId="1143"/>
    <cellStyle name="Calculation 21" xfId="1184"/>
    <cellStyle name="Calculation 22" xfId="1225"/>
    <cellStyle name="Calculation 23" xfId="1317"/>
    <cellStyle name="Calculation 23 2" xfId="3731"/>
    <cellStyle name="Calculation 23 2 2" xfId="11065"/>
    <cellStyle name="Calculation 23 3" xfId="5119"/>
    <cellStyle name="Calculation 23 3 2" xfId="12391"/>
    <cellStyle name="Calculation 23 4" xfId="6418"/>
    <cellStyle name="Calculation 23 4 2" xfId="13632"/>
    <cellStyle name="Calculation 23 5" xfId="7607"/>
    <cellStyle name="Calculation 23 5 2" xfId="14791"/>
    <cellStyle name="Calculation 23 6" xfId="9115"/>
    <cellStyle name="Calculation 24" xfId="1388"/>
    <cellStyle name="Calculation 24 2" xfId="3789"/>
    <cellStyle name="Calculation 24 2 2" xfId="11112"/>
    <cellStyle name="Calculation 24 3" xfId="5162"/>
    <cellStyle name="Calculation 24 3 2" xfId="12425"/>
    <cellStyle name="Calculation 24 4" xfId="6445"/>
    <cellStyle name="Calculation 24 4 2" xfId="13654"/>
    <cellStyle name="Calculation 24 5" xfId="7624"/>
    <cellStyle name="Calculation 24 5 2" xfId="14804"/>
    <cellStyle name="Calculation 24 6" xfId="9132"/>
    <cellStyle name="Calculation 25" xfId="2107"/>
    <cellStyle name="Calculation 25 2" xfId="4481"/>
    <cellStyle name="Calculation 25 2 2" xfId="11789"/>
    <cellStyle name="Calculation 25 3" xfId="5829"/>
    <cellStyle name="Calculation 25 3 2" xfId="13078"/>
    <cellStyle name="Calculation 25 4" xfId="7095"/>
    <cellStyle name="Calculation 25 4 2" xfId="14295"/>
    <cellStyle name="Calculation 25 5" xfId="8220"/>
    <cellStyle name="Calculation 25 5 2" xfId="15400"/>
    <cellStyle name="Calculation 25 6" xfId="9728"/>
    <cellStyle name="Calculation 26" xfId="2555"/>
    <cellStyle name="Calculation 27" xfId="2677"/>
    <cellStyle name="Calculation 27 2" xfId="10176"/>
    <cellStyle name="Calculation 28" xfId="3226"/>
    <cellStyle name="Calculation 28 2" xfId="10601"/>
    <cellStyle name="Calculation 29" xfId="5853"/>
    <cellStyle name="Calculation 29 2" xfId="13091"/>
    <cellStyle name="Calculation 3" xfId="105"/>
    <cellStyle name="Calculation 30" xfId="7109"/>
    <cellStyle name="Calculation 30 2" xfId="14303"/>
    <cellStyle name="Calculation 31" xfId="8654"/>
    <cellStyle name="Calculation 4" xfId="106"/>
    <cellStyle name="Calculation 5" xfId="247"/>
    <cellStyle name="Calculation 6" xfId="292"/>
    <cellStyle name="Calculation 7" xfId="333"/>
    <cellStyle name="Calculation 8" xfId="374"/>
    <cellStyle name="Calculation 9" xfId="415"/>
    <cellStyle name="Check Cell" xfId="107" builtinId="23" customBuiltin="1"/>
    <cellStyle name="Check Cell 10" xfId="459"/>
    <cellStyle name="Check Cell 11" xfId="643"/>
    <cellStyle name="Check Cell 12" xfId="895"/>
    <cellStyle name="Check Cell 13" xfId="938"/>
    <cellStyle name="Check Cell 14" xfId="981"/>
    <cellStyle name="Check Cell 15" xfId="1022"/>
    <cellStyle name="Check Cell 16" xfId="1063"/>
    <cellStyle name="Check Cell 17" xfId="1104"/>
    <cellStyle name="Check Cell 18" xfId="1145"/>
    <cellStyle name="Check Cell 19" xfId="1186"/>
    <cellStyle name="Check Cell 2" xfId="108"/>
    <cellStyle name="Check Cell 20" xfId="1227"/>
    <cellStyle name="Check Cell 21" xfId="1540"/>
    <cellStyle name="Check Cell 22" xfId="2108"/>
    <cellStyle name="Check Cell 23" xfId="2557"/>
    <cellStyle name="Check Cell 24" xfId="2681"/>
    <cellStyle name="Check Cell 25" xfId="3772"/>
    <cellStyle name="Check Cell 26" xfId="3406"/>
    <cellStyle name="Check Cell 27" xfId="3237"/>
    <cellStyle name="Check Cell 28" xfId="8655"/>
    <cellStyle name="Check Cell 3" xfId="109"/>
    <cellStyle name="Check Cell 4" xfId="110"/>
    <cellStyle name="Check Cell 5" xfId="249"/>
    <cellStyle name="Check Cell 6" xfId="294"/>
    <cellStyle name="Check Cell 7" xfId="335"/>
    <cellStyle name="Check Cell 8" xfId="376"/>
    <cellStyle name="Check Cell 9" xfId="417"/>
    <cellStyle name="ColLevel_1" xfId="2" builtinId="2" iLevel="0"/>
    <cellStyle name="Comma" xfId="15794" builtinId="3"/>
    <cellStyle name="Explanatory Text" xfId="111" builtinId="53" customBuiltin="1"/>
    <cellStyle name="Explanatory Text 10" xfId="462"/>
    <cellStyle name="Explanatory Text 11" xfId="646"/>
    <cellStyle name="Explanatory Text 12" xfId="898"/>
    <cellStyle name="Explanatory Text 13" xfId="941"/>
    <cellStyle name="Explanatory Text 14" xfId="984"/>
    <cellStyle name="Explanatory Text 15" xfId="1025"/>
    <cellStyle name="Explanatory Text 16" xfId="1066"/>
    <cellStyle name="Explanatory Text 17" xfId="1107"/>
    <cellStyle name="Explanatory Text 18" xfId="1148"/>
    <cellStyle name="Explanatory Text 19" xfId="1189"/>
    <cellStyle name="Explanatory Text 2" xfId="112"/>
    <cellStyle name="Explanatory Text 20" xfId="1230"/>
    <cellStyle name="Explanatory Text 21" xfId="2560"/>
    <cellStyle name="Explanatory Text 3" xfId="113"/>
    <cellStyle name="Explanatory Text 4" xfId="114"/>
    <cellStyle name="Explanatory Text 5" xfId="252"/>
    <cellStyle name="Explanatory Text 6" xfId="297"/>
    <cellStyle name="Explanatory Text 7" xfId="338"/>
    <cellStyle name="Explanatory Text 8" xfId="379"/>
    <cellStyle name="Explanatory Text 9" xfId="420"/>
    <cellStyle name="Good" xfId="115" builtinId="26" customBuiltin="1"/>
    <cellStyle name="Good 10" xfId="452"/>
    <cellStyle name="Good 11" xfId="636"/>
    <cellStyle name="Good 12" xfId="888"/>
    <cellStyle name="Good 13" xfId="931"/>
    <cellStyle name="Good 14" xfId="974"/>
    <cellStyle name="Good 15" xfId="1015"/>
    <cellStyle name="Good 16" xfId="1056"/>
    <cellStyle name="Good 17" xfId="1097"/>
    <cellStyle name="Good 18" xfId="1138"/>
    <cellStyle name="Good 19" xfId="1179"/>
    <cellStyle name="Good 2" xfId="116"/>
    <cellStyle name="Good 20" xfId="1220"/>
    <cellStyle name="Good 21" xfId="2550"/>
    <cellStyle name="Good 3" xfId="117"/>
    <cellStyle name="Good 4" xfId="118"/>
    <cellStyle name="Good 5" xfId="242"/>
    <cellStyle name="Good 6" xfId="287"/>
    <cellStyle name="Good 7" xfId="328"/>
    <cellStyle name="Good 8" xfId="369"/>
    <cellStyle name="Good 9" xfId="410"/>
    <cellStyle name="Heading 1" xfId="119" builtinId="16" customBuiltin="1"/>
    <cellStyle name="Heading 1 10" xfId="448"/>
    <cellStyle name="Heading 1 11" xfId="632"/>
    <cellStyle name="Heading 1 12" xfId="884"/>
    <cellStyle name="Heading 1 13" xfId="927"/>
    <cellStyle name="Heading 1 14" xfId="970"/>
    <cellStyle name="Heading 1 15" xfId="1011"/>
    <cellStyle name="Heading 1 16" xfId="1052"/>
    <cellStyle name="Heading 1 17" xfId="1093"/>
    <cellStyle name="Heading 1 18" xfId="1134"/>
    <cellStyle name="Heading 1 19" xfId="1175"/>
    <cellStyle name="Heading 1 2" xfId="120"/>
    <cellStyle name="Heading 1 20" xfId="1216"/>
    <cellStyle name="Heading 1 21" xfId="2546"/>
    <cellStyle name="Heading 1 3" xfId="121"/>
    <cellStyle name="Heading 1 4" xfId="122"/>
    <cellStyle name="Heading 1 5" xfId="238"/>
    <cellStyle name="Heading 1 6" xfId="283"/>
    <cellStyle name="Heading 1 7" xfId="324"/>
    <cellStyle name="Heading 1 8" xfId="365"/>
    <cellStyle name="Heading 1 9" xfId="406"/>
    <cellStyle name="Heading 2" xfId="123" builtinId="17" customBuiltin="1"/>
    <cellStyle name="Heading 2 10" xfId="449"/>
    <cellStyle name="Heading 2 11" xfId="633"/>
    <cellStyle name="Heading 2 12" xfId="885"/>
    <cellStyle name="Heading 2 13" xfId="928"/>
    <cellStyle name="Heading 2 14" xfId="971"/>
    <cellStyle name="Heading 2 15" xfId="1012"/>
    <cellStyle name="Heading 2 16" xfId="1053"/>
    <cellStyle name="Heading 2 17" xfId="1094"/>
    <cellStyle name="Heading 2 18" xfId="1135"/>
    <cellStyle name="Heading 2 19" xfId="1176"/>
    <cellStyle name="Heading 2 2" xfId="124"/>
    <cellStyle name="Heading 2 20" xfId="1217"/>
    <cellStyle name="Heading 2 21" xfId="2547"/>
    <cellStyle name="Heading 2 3" xfId="125"/>
    <cellStyle name="Heading 2 4" xfId="126"/>
    <cellStyle name="Heading 2 5" xfId="239"/>
    <cellStyle name="Heading 2 6" xfId="284"/>
    <cellStyle name="Heading 2 7" xfId="325"/>
    <cellStyle name="Heading 2 8" xfId="366"/>
    <cellStyle name="Heading 2 9" xfId="407"/>
    <cellStyle name="Heading 3" xfId="127" builtinId="18" customBuiltin="1"/>
    <cellStyle name="Heading 3 10" xfId="450"/>
    <cellStyle name="Heading 3 11" xfId="634"/>
    <cellStyle name="Heading 3 12" xfId="886"/>
    <cellStyle name="Heading 3 13" xfId="929"/>
    <cellStyle name="Heading 3 14" xfId="972"/>
    <cellStyle name="Heading 3 15" xfId="1013"/>
    <cellStyle name="Heading 3 16" xfId="1054"/>
    <cellStyle name="Heading 3 17" xfId="1095"/>
    <cellStyle name="Heading 3 18" xfId="1136"/>
    <cellStyle name="Heading 3 19" xfId="1177"/>
    <cellStyle name="Heading 3 2" xfId="128"/>
    <cellStyle name="Heading 3 2 2" xfId="1323"/>
    <cellStyle name="Heading 3 2 2 2" xfId="3736"/>
    <cellStyle name="Heading 3 2 2 2 2" xfId="11069"/>
    <cellStyle name="Heading 3 2 2 3" xfId="5122"/>
    <cellStyle name="Heading 3 2 2 3 2" xfId="12394"/>
    <cellStyle name="Heading 3 2 2 4" xfId="6420"/>
    <cellStyle name="Heading 3 2 2 4 2" xfId="13634"/>
    <cellStyle name="Heading 3 2 2 5" xfId="7609"/>
    <cellStyle name="Heading 3 2 2 6" xfId="9117"/>
    <cellStyle name="Heading 3 2 3" xfId="2110"/>
    <cellStyle name="Heading 3 2 3 2" xfId="4484"/>
    <cellStyle name="Heading 3 2 3 2 2" xfId="11792"/>
    <cellStyle name="Heading 3 2 3 3" xfId="5831"/>
    <cellStyle name="Heading 3 2 3 3 2" xfId="13080"/>
    <cellStyle name="Heading 3 2 3 4" xfId="7097"/>
    <cellStyle name="Heading 3 2 3 4 2" xfId="14297"/>
    <cellStyle name="Heading 3 2 3 5" xfId="8222"/>
    <cellStyle name="Heading 3 2 3 6" xfId="9730"/>
    <cellStyle name="Heading 3 2 4" xfId="2698"/>
    <cellStyle name="Heading 3 2 4 2" xfId="10193"/>
    <cellStyle name="Heading 3 2 5" xfId="4506"/>
    <cellStyle name="Heading 3 2 5 2" xfId="11805"/>
    <cellStyle name="Heading 3 2 6" xfId="3564"/>
    <cellStyle name="Heading 3 2 6 2" xfId="10913"/>
    <cellStyle name="Heading 3 2 7" xfId="2801"/>
    <cellStyle name="Heading 3 2 7 2" xfId="10249"/>
    <cellStyle name="Heading 3 2 8" xfId="8657"/>
    <cellStyle name="Heading 3 20" xfId="1218"/>
    <cellStyle name="Heading 3 21" xfId="1322"/>
    <cellStyle name="Heading 3 21 2" xfId="3735"/>
    <cellStyle name="Heading 3 21 2 2" xfId="11068"/>
    <cellStyle name="Heading 3 21 3" xfId="5121"/>
    <cellStyle name="Heading 3 21 3 2" xfId="12393"/>
    <cellStyle name="Heading 3 21 4" xfId="6419"/>
    <cellStyle name="Heading 3 21 4 2" xfId="13633"/>
    <cellStyle name="Heading 3 21 5" xfId="7608"/>
    <cellStyle name="Heading 3 21 6" xfId="9116"/>
    <cellStyle name="Heading 3 22" xfId="2109"/>
    <cellStyle name="Heading 3 22 2" xfId="4483"/>
    <cellStyle name="Heading 3 22 2 2" xfId="11791"/>
    <cellStyle name="Heading 3 22 3" xfId="5830"/>
    <cellStyle name="Heading 3 22 3 2" xfId="13079"/>
    <cellStyle name="Heading 3 22 4" xfId="7096"/>
    <cellStyle name="Heading 3 22 4 2" xfId="14296"/>
    <cellStyle name="Heading 3 22 5" xfId="8221"/>
    <cellStyle name="Heading 3 22 6" xfId="9729"/>
    <cellStyle name="Heading 3 23" xfId="2548"/>
    <cellStyle name="Heading 3 24" xfId="2697"/>
    <cellStyle name="Heading 3 24 2" xfId="10192"/>
    <cellStyle name="Heading 3 25" xfId="2761"/>
    <cellStyle name="Heading 3 25 2" xfId="10225"/>
    <cellStyle name="Heading 3 26" xfId="5147"/>
    <cellStyle name="Heading 3 26 2" xfId="12410"/>
    <cellStyle name="Heading 3 27" xfId="6432"/>
    <cellStyle name="Heading 3 27 2" xfId="13641"/>
    <cellStyle name="Heading 3 28" xfId="8656"/>
    <cellStyle name="Heading 3 3" xfId="129"/>
    <cellStyle name="Heading 3 3 2" xfId="1324"/>
    <cellStyle name="Heading 3 3 2 2" xfId="3737"/>
    <cellStyle name="Heading 3 3 2 2 2" xfId="11070"/>
    <cellStyle name="Heading 3 3 2 3" xfId="5123"/>
    <cellStyle name="Heading 3 3 2 3 2" xfId="12395"/>
    <cellStyle name="Heading 3 3 2 4" xfId="6421"/>
    <cellStyle name="Heading 3 3 2 4 2" xfId="13635"/>
    <cellStyle name="Heading 3 3 2 5" xfId="7610"/>
    <cellStyle name="Heading 3 3 2 6" xfId="9118"/>
    <cellStyle name="Heading 3 3 3" xfId="2111"/>
    <cellStyle name="Heading 3 3 3 2" xfId="4485"/>
    <cellStyle name="Heading 3 3 3 2 2" xfId="11793"/>
    <cellStyle name="Heading 3 3 3 3" xfId="5832"/>
    <cellStyle name="Heading 3 3 3 3 2" xfId="13081"/>
    <cellStyle name="Heading 3 3 3 4" xfId="7098"/>
    <cellStyle name="Heading 3 3 3 4 2" xfId="14298"/>
    <cellStyle name="Heading 3 3 3 5" xfId="8223"/>
    <cellStyle name="Heading 3 3 3 6" xfId="9731"/>
    <cellStyle name="Heading 3 3 4" xfId="2699"/>
    <cellStyle name="Heading 3 3 4 2" xfId="10194"/>
    <cellStyle name="Heading 3 3 5" xfId="3743"/>
    <cellStyle name="Heading 3 3 5 2" xfId="11075"/>
    <cellStyle name="Heading 3 3 6" xfId="3476"/>
    <cellStyle name="Heading 3 3 6 2" xfId="10834"/>
    <cellStyle name="Heading 3 3 7" xfId="4986"/>
    <cellStyle name="Heading 3 3 7 2" xfId="12268"/>
    <cellStyle name="Heading 3 3 8" xfId="8658"/>
    <cellStyle name="Heading 3 4" xfId="130"/>
    <cellStyle name="Heading 3 4 2" xfId="1325"/>
    <cellStyle name="Heading 3 4 2 2" xfId="3738"/>
    <cellStyle name="Heading 3 4 2 2 2" xfId="11071"/>
    <cellStyle name="Heading 3 4 2 3" xfId="5124"/>
    <cellStyle name="Heading 3 4 2 3 2" xfId="12396"/>
    <cellStyle name="Heading 3 4 2 4" xfId="6422"/>
    <cellStyle name="Heading 3 4 2 4 2" xfId="13636"/>
    <cellStyle name="Heading 3 4 2 5" xfId="7611"/>
    <cellStyle name="Heading 3 4 2 6" xfId="9119"/>
    <cellStyle name="Heading 3 4 3" xfId="2112"/>
    <cellStyle name="Heading 3 4 3 2" xfId="4486"/>
    <cellStyle name="Heading 3 4 3 2 2" xfId="11794"/>
    <cellStyle name="Heading 3 4 3 3" xfId="5833"/>
    <cellStyle name="Heading 3 4 3 3 2" xfId="13082"/>
    <cellStyle name="Heading 3 4 3 4" xfId="7099"/>
    <cellStyle name="Heading 3 4 3 4 2" xfId="14299"/>
    <cellStyle name="Heading 3 4 3 5" xfId="8224"/>
    <cellStyle name="Heading 3 4 3 6" xfId="9732"/>
    <cellStyle name="Heading 3 4 4" xfId="2700"/>
    <cellStyle name="Heading 3 4 4 2" xfId="10195"/>
    <cellStyle name="Heading 3 4 5" xfId="3768"/>
    <cellStyle name="Heading 3 4 5 2" xfId="11093"/>
    <cellStyle name="Heading 3 4 6" xfId="3764"/>
    <cellStyle name="Heading 3 4 6 2" xfId="11090"/>
    <cellStyle name="Heading 3 4 7" xfId="3762"/>
    <cellStyle name="Heading 3 4 7 2" xfId="11088"/>
    <cellStyle name="Heading 3 4 8" xfId="8659"/>
    <cellStyle name="Heading 3 5" xfId="240"/>
    <cellStyle name="Heading 3 6" xfId="285"/>
    <cellStyle name="Heading 3 7" xfId="326"/>
    <cellStyle name="Heading 3 8" xfId="367"/>
    <cellStyle name="Heading 3 9" xfId="408"/>
    <cellStyle name="Heading 4" xfId="131" builtinId="19" customBuiltin="1"/>
    <cellStyle name="Heading 4 10" xfId="451"/>
    <cellStyle name="Heading 4 11" xfId="635"/>
    <cellStyle name="Heading 4 12" xfId="887"/>
    <cellStyle name="Heading 4 13" xfId="930"/>
    <cellStyle name="Heading 4 14" xfId="973"/>
    <cellStyle name="Heading 4 15" xfId="1014"/>
    <cellStyle name="Heading 4 16" xfId="1055"/>
    <cellStyle name="Heading 4 17" xfId="1096"/>
    <cellStyle name="Heading 4 18" xfId="1137"/>
    <cellStyle name="Heading 4 19" xfId="1178"/>
    <cellStyle name="Heading 4 2" xfId="132"/>
    <cellStyle name="Heading 4 20" xfId="1219"/>
    <cellStyle name="Heading 4 21" xfId="2549"/>
    <cellStyle name="Heading 4 3" xfId="133"/>
    <cellStyle name="Heading 4 4" xfId="134"/>
    <cellStyle name="Heading 4 5" xfId="241"/>
    <cellStyle name="Heading 4 6" xfId="286"/>
    <cellStyle name="Heading 4 7" xfId="327"/>
    <cellStyle name="Heading 4 8" xfId="368"/>
    <cellStyle name="Heading 4 9" xfId="409"/>
    <cellStyle name="Input" xfId="135" builtinId="20" customBuiltin="1"/>
    <cellStyle name="Input 10" xfId="455"/>
    <cellStyle name="Input 11" xfId="525"/>
    <cellStyle name="Input 11 2" xfId="1536"/>
    <cellStyle name="Input 11 2 2" xfId="3929"/>
    <cellStyle name="Input 11 2 2 2" xfId="11247"/>
    <cellStyle name="Input 11 2 3" xfId="5296"/>
    <cellStyle name="Input 11 2 3 2" xfId="12555"/>
    <cellStyle name="Input 11 2 4" xfId="6569"/>
    <cellStyle name="Input 11 2 4 2" xfId="13775"/>
    <cellStyle name="Input 11 2 5" xfId="7729"/>
    <cellStyle name="Input 11 2 5 2" xfId="14909"/>
    <cellStyle name="Input 11 2 6" xfId="9237"/>
    <cellStyle name="Input 11 3" xfId="1534"/>
    <cellStyle name="Input 11 3 2" xfId="3927"/>
    <cellStyle name="Input 11 3 2 2" xfId="11245"/>
    <cellStyle name="Input 11 3 3" xfId="5294"/>
    <cellStyle name="Input 11 3 3 2" xfId="12553"/>
    <cellStyle name="Input 11 3 4" xfId="6567"/>
    <cellStyle name="Input 11 3 4 2" xfId="13773"/>
    <cellStyle name="Input 11 3 5" xfId="7727"/>
    <cellStyle name="Input 11 3 5 2" xfId="14907"/>
    <cellStyle name="Input 11 3 6" xfId="9235"/>
    <cellStyle name="Input 11 4" xfId="2221"/>
    <cellStyle name="Input 11 4 2" xfId="4583"/>
    <cellStyle name="Input 11 4 2 2" xfId="11881"/>
    <cellStyle name="Input 11 4 3" xfId="5924"/>
    <cellStyle name="Input 11 4 3 2" xfId="13161"/>
    <cellStyle name="Input 11 4 4" xfId="7177"/>
    <cellStyle name="Input 11 4 4 2" xfId="14370"/>
    <cellStyle name="Input 11 4 5" xfId="8287"/>
    <cellStyle name="Input 11 4 5 2" xfId="15463"/>
    <cellStyle name="Input 11 4 6" xfId="9795"/>
    <cellStyle name="Input 11 5" xfId="3041"/>
    <cellStyle name="Input 11 5 2" xfId="10449"/>
    <cellStyle name="Input 11 6" xfId="4912"/>
    <cellStyle name="Input 11 6 2" xfId="12203"/>
    <cellStyle name="Input 11 7" xfId="3215"/>
    <cellStyle name="Input 11 7 2" xfId="10595"/>
    <cellStyle name="Input 11 8" xfId="5843"/>
    <cellStyle name="Input 11 8 2" xfId="13086"/>
    <cellStyle name="Input 11 9" xfId="8768"/>
    <cellStyle name="Input 12" xfId="639"/>
    <cellStyle name="Input 13" xfId="712"/>
    <cellStyle name="Input 13 2" xfId="1646"/>
    <cellStyle name="Input 13 2 2" xfId="4036"/>
    <cellStyle name="Input 13 2 2 2" xfId="11351"/>
    <cellStyle name="Input 13 2 3" xfId="5401"/>
    <cellStyle name="Input 13 2 3 2" xfId="12656"/>
    <cellStyle name="Input 13 2 4" xfId="6673"/>
    <cellStyle name="Input 13 2 4 2" xfId="13876"/>
    <cellStyle name="Input 13 2 5" xfId="7829"/>
    <cellStyle name="Input 13 2 5 2" xfId="15009"/>
    <cellStyle name="Input 13 2 6" xfId="9337"/>
    <cellStyle name="Input 13 3" xfId="1890"/>
    <cellStyle name="Input 13 3 2" xfId="4273"/>
    <cellStyle name="Input 13 3 2 2" xfId="11584"/>
    <cellStyle name="Input 13 3 3" xfId="5629"/>
    <cellStyle name="Input 13 3 3 2" xfId="12881"/>
    <cellStyle name="Input 13 3 4" xfId="6898"/>
    <cellStyle name="Input 13 3 4 2" xfId="14099"/>
    <cellStyle name="Input 13 3 5" xfId="8042"/>
    <cellStyle name="Input 13 3 5 2" xfId="15222"/>
    <cellStyle name="Input 13 3 6" xfId="9550"/>
    <cellStyle name="Input 13 4" xfId="2299"/>
    <cellStyle name="Input 13 4 2" xfId="4661"/>
    <cellStyle name="Input 13 4 2 2" xfId="11956"/>
    <cellStyle name="Input 13 4 3" xfId="6002"/>
    <cellStyle name="Input 13 4 3 2" xfId="13236"/>
    <cellStyle name="Input 13 4 4" xfId="7255"/>
    <cellStyle name="Input 13 4 4 2" xfId="14445"/>
    <cellStyle name="Input 13 4 5" xfId="8362"/>
    <cellStyle name="Input 13 4 5 2" xfId="15538"/>
    <cellStyle name="Input 13 4 6" xfId="9870"/>
    <cellStyle name="Input 13 5" xfId="3204"/>
    <cellStyle name="Input 13 5 2" xfId="10590"/>
    <cellStyle name="Input 13 6" xfId="2646"/>
    <cellStyle name="Input 13 6 2" xfId="10147"/>
    <cellStyle name="Input 13 7" xfId="4910"/>
    <cellStyle name="Input 13 7 2" xfId="12201"/>
    <cellStyle name="Input 13 8" xfId="4495"/>
    <cellStyle name="Input 13 8 2" xfId="11799"/>
    <cellStyle name="Input 13 9" xfId="8846"/>
    <cellStyle name="Input 14" xfId="891"/>
    <cellStyle name="Input 15" xfId="934"/>
    <cellStyle name="Input 16" xfId="977"/>
    <cellStyle name="Input 17" xfId="1018"/>
    <cellStyle name="Input 18" xfId="1059"/>
    <cellStyle name="Input 19" xfId="1100"/>
    <cellStyle name="Input 2" xfId="136"/>
    <cellStyle name="Input 20" xfId="1141"/>
    <cellStyle name="Input 21" xfId="1182"/>
    <cellStyle name="Input 22" xfId="1223"/>
    <cellStyle name="Input 23" xfId="1328"/>
    <cellStyle name="Input 23 2" xfId="3741"/>
    <cellStyle name="Input 23 2 2" xfId="11074"/>
    <cellStyle name="Input 23 3" xfId="5127"/>
    <cellStyle name="Input 23 3 2" xfId="12399"/>
    <cellStyle name="Input 23 4" xfId="6425"/>
    <cellStyle name="Input 23 4 2" xfId="13639"/>
    <cellStyle name="Input 23 5" xfId="7614"/>
    <cellStyle name="Input 23 5 2" xfId="14794"/>
    <cellStyle name="Input 23 6" xfId="9122"/>
    <cellStyle name="Input 24" xfId="1351"/>
    <cellStyle name="Input 24 2" xfId="3758"/>
    <cellStyle name="Input 24 2 2" xfId="11085"/>
    <cellStyle name="Input 24 3" xfId="5138"/>
    <cellStyle name="Input 24 3 2" xfId="12405"/>
    <cellStyle name="Input 24 4" xfId="6429"/>
    <cellStyle name="Input 24 4 2" xfId="13640"/>
    <cellStyle name="Input 24 5" xfId="7615"/>
    <cellStyle name="Input 24 5 2" xfId="14795"/>
    <cellStyle name="Input 24 6" xfId="9123"/>
    <cellStyle name="Input 25" xfId="2113"/>
    <cellStyle name="Input 25 2" xfId="4487"/>
    <cellStyle name="Input 25 2 2" xfId="11795"/>
    <cellStyle name="Input 25 3" xfId="5834"/>
    <cellStyle name="Input 25 3 2" xfId="13083"/>
    <cellStyle name="Input 25 4" xfId="7100"/>
    <cellStyle name="Input 25 4 2" xfId="14300"/>
    <cellStyle name="Input 25 5" xfId="8225"/>
    <cellStyle name="Input 25 5 2" xfId="15401"/>
    <cellStyle name="Input 25 6" xfId="9733"/>
    <cellStyle name="Input 26" xfId="2553"/>
    <cellStyle name="Input 27" xfId="2705"/>
    <cellStyle name="Input 27 2" xfId="10200"/>
    <cellStyle name="Input 28" xfId="4505"/>
    <cellStyle name="Input 28 2" xfId="11804"/>
    <cellStyle name="Input 29" xfId="3507"/>
    <cellStyle name="Input 29 2" xfId="10862"/>
    <cellStyle name="Input 3" xfId="137"/>
    <cellStyle name="Input 30" xfId="5014"/>
    <cellStyle name="Input 30 2" xfId="12294"/>
    <cellStyle name="Input 31" xfId="8660"/>
    <cellStyle name="Input 4" xfId="138"/>
    <cellStyle name="Input 5" xfId="245"/>
    <cellStyle name="Input 6" xfId="290"/>
    <cellStyle name="Input 7" xfId="331"/>
    <cellStyle name="Input 8" xfId="372"/>
    <cellStyle name="Input 9" xfId="413"/>
    <cellStyle name="Linked Cell" xfId="139" builtinId="24" customBuiltin="1"/>
    <cellStyle name="Linked Cell 10" xfId="458"/>
    <cellStyle name="Linked Cell 11" xfId="642"/>
    <cellStyle name="Linked Cell 12" xfId="894"/>
    <cellStyle name="Linked Cell 13" xfId="937"/>
    <cellStyle name="Linked Cell 14" xfId="980"/>
    <cellStyle name="Linked Cell 15" xfId="1021"/>
    <cellStyle name="Linked Cell 16" xfId="1062"/>
    <cellStyle name="Linked Cell 17" xfId="1103"/>
    <cellStyle name="Linked Cell 18" xfId="1144"/>
    <cellStyle name="Linked Cell 19" xfId="1185"/>
    <cellStyle name="Linked Cell 2" xfId="140"/>
    <cellStyle name="Linked Cell 20" xfId="1226"/>
    <cellStyle name="Linked Cell 21" xfId="2556"/>
    <cellStyle name="Linked Cell 3" xfId="141"/>
    <cellStyle name="Linked Cell 4" xfId="142"/>
    <cellStyle name="Linked Cell 5" xfId="248"/>
    <cellStyle name="Linked Cell 6" xfId="293"/>
    <cellStyle name="Linked Cell 7" xfId="334"/>
    <cellStyle name="Linked Cell 8" xfId="375"/>
    <cellStyle name="Linked Cell 9" xfId="416"/>
    <cellStyle name="Neutral" xfId="143" builtinId="28" customBuiltin="1"/>
    <cellStyle name="Neutral 10" xfId="454"/>
    <cellStyle name="Neutral 11" xfId="638"/>
    <cellStyle name="Neutral 12" xfId="890"/>
    <cellStyle name="Neutral 13" xfId="933"/>
    <cellStyle name="Neutral 14" xfId="976"/>
    <cellStyle name="Neutral 15" xfId="1017"/>
    <cellStyle name="Neutral 16" xfId="1058"/>
    <cellStyle name="Neutral 17" xfId="1099"/>
    <cellStyle name="Neutral 18" xfId="1140"/>
    <cellStyle name="Neutral 19" xfId="1181"/>
    <cellStyle name="Neutral 2" xfId="144"/>
    <cellStyle name="Neutral 20" xfId="1222"/>
    <cellStyle name="Neutral 21" xfId="2552"/>
    <cellStyle name="Neutral 3" xfId="145"/>
    <cellStyle name="Neutral 4" xfId="146"/>
    <cellStyle name="Neutral 5" xfId="244"/>
    <cellStyle name="Neutral 6" xfId="289"/>
    <cellStyle name="Neutral 7" xfId="330"/>
    <cellStyle name="Neutral 8" xfId="371"/>
    <cellStyle name="Neutral 9" xfId="412"/>
    <cellStyle name="Normal" xfId="0" builtinId="0" customBuiltin="1"/>
    <cellStyle name="Normal 10" xfId="147"/>
    <cellStyle name="Normal 10 10" xfId="3576"/>
    <cellStyle name="Normal 10 11" xfId="5043"/>
    <cellStyle name="Normal 10 12" xfId="8661"/>
    <cellStyle name="Normal 10 2" xfId="148"/>
    <cellStyle name="Normal 10 3" xfId="526"/>
    <cellStyle name="Normal 10 4" xfId="713"/>
    <cellStyle name="Normal 10 5" xfId="1336"/>
    <cellStyle name="Normal 10 6" xfId="1650"/>
    <cellStyle name="Normal 10 7" xfId="2114"/>
    <cellStyle name="Normal 10 8" xfId="2716"/>
    <cellStyle name="Normal 10 9" xfId="3436"/>
    <cellStyle name="Normal 11" xfId="149"/>
    <cellStyle name="Normal 11 10" xfId="5070"/>
    <cellStyle name="Normal 11 11" xfId="6378"/>
    <cellStyle name="Normal 11 12" xfId="8662"/>
    <cellStyle name="Normal 11 2" xfId="150"/>
    <cellStyle name="Normal 11 3" xfId="527"/>
    <cellStyle name="Normal 11 4" xfId="714"/>
    <cellStyle name="Normal 11 5" xfId="1338"/>
    <cellStyle name="Normal 11 6" xfId="1344"/>
    <cellStyle name="Normal 11 7" xfId="2115"/>
    <cellStyle name="Normal 11 8" xfId="2718"/>
    <cellStyle name="Normal 11 9" xfId="4426"/>
    <cellStyle name="Normal 12" xfId="151"/>
    <cellStyle name="Normal 12 10" xfId="6156"/>
    <cellStyle name="Normal 12 11" xfId="7409"/>
    <cellStyle name="Normal 12 12" xfId="8663"/>
    <cellStyle name="Normal 12 2" xfId="152"/>
    <cellStyle name="Normal 12 3" xfId="528"/>
    <cellStyle name="Normal 12 4" xfId="715"/>
    <cellStyle name="Normal 12 5" xfId="1339"/>
    <cellStyle name="Normal 12 6" xfId="1539"/>
    <cellStyle name="Normal 12 7" xfId="2116"/>
    <cellStyle name="Normal 12 8" xfId="2720"/>
    <cellStyle name="Normal 12 9" xfId="4801"/>
    <cellStyle name="Normal 13" xfId="153"/>
    <cellStyle name="Normal 14" xfId="154"/>
    <cellStyle name="Normal 14 10" xfId="2723"/>
    <cellStyle name="Normal 14 11" xfId="4800"/>
    <cellStyle name="Normal 14 12" xfId="6142"/>
    <cellStyle name="Normal 14 13" xfId="7395"/>
    <cellStyle name="Normal 14 14" xfId="8664"/>
    <cellStyle name="Normal 14 2" xfId="155"/>
    <cellStyle name="Normal 14 2 10" xfId="5768"/>
    <cellStyle name="Normal 14 2 11" xfId="7037"/>
    <cellStyle name="Normal 14 2 12" xfId="8665"/>
    <cellStyle name="Normal 14 2 2" xfId="156"/>
    <cellStyle name="Normal 14 2 3" xfId="530"/>
    <cellStyle name="Normal 14 2 4" xfId="717"/>
    <cellStyle name="Normal 14 2 5" xfId="1341"/>
    <cellStyle name="Normal 14 2 6" xfId="1342"/>
    <cellStyle name="Normal 14 2 7" xfId="2118"/>
    <cellStyle name="Normal 14 2 8" xfId="2724"/>
    <cellStyle name="Normal 14 2 9" xfId="4412"/>
    <cellStyle name="Normal 14 3" xfId="157"/>
    <cellStyle name="Normal 14 3 10" xfId="6141"/>
    <cellStyle name="Normal 14 3 11" xfId="7394"/>
    <cellStyle name="Normal 14 3 12" xfId="8666"/>
    <cellStyle name="Normal 14 3 2" xfId="158"/>
    <cellStyle name="Normal 14 3 3" xfId="531"/>
    <cellStyle name="Normal 14 3 4" xfId="718"/>
    <cellStyle name="Normal 14 3 5" xfId="1343"/>
    <cellStyle name="Normal 14 3 6" xfId="1649"/>
    <cellStyle name="Normal 14 3 7" xfId="2119"/>
    <cellStyle name="Normal 14 3 8" xfId="2726"/>
    <cellStyle name="Normal 14 3 9" xfId="4659"/>
    <cellStyle name="Normal 14 4" xfId="159"/>
    <cellStyle name="Normal 14 5" xfId="529"/>
    <cellStyle name="Normal 14 6" xfId="716"/>
    <cellStyle name="Normal 14 7" xfId="1340"/>
    <cellStyle name="Normal 14 8" xfId="1538"/>
    <cellStyle name="Normal 14 9" xfId="2117"/>
    <cellStyle name="Normal 15" xfId="160"/>
    <cellStyle name="Normal 15 10" xfId="4658"/>
    <cellStyle name="Normal 15 11" xfId="6000"/>
    <cellStyle name="Normal 15 12" xfId="7253"/>
    <cellStyle name="Normal 15 13" xfId="8667"/>
    <cellStyle name="Normal 15 2" xfId="161"/>
    <cellStyle name="Normal 15 2 10" xfId="5627"/>
    <cellStyle name="Normal 15 2 11" xfId="6896"/>
    <cellStyle name="Normal 15 2 12" xfId="8668"/>
    <cellStyle name="Normal 15 2 2" xfId="162"/>
    <cellStyle name="Normal 15 2 3" xfId="533"/>
    <cellStyle name="Normal 15 2 4" xfId="720"/>
    <cellStyle name="Normal 15 2 5" xfId="1346"/>
    <cellStyle name="Normal 15 2 6" xfId="1537"/>
    <cellStyle name="Normal 15 2 7" xfId="2121"/>
    <cellStyle name="Normal 15 2 8" xfId="2728"/>
    <cellStyle name="Normal 15 2 9" xfId="4271"/>
    <cellStyle name="Normal 15 3" xfId="163"/>
    <cellStyle name="Normal 15 3 10" xfId="5999"/>
    <cellStyle name="Normal 15 3 11" xfId="7252"/>
    <cellStyle name="Normal 15 3 12" xfId="8669"/>
    <cellStyle name="Normal 15 3 2" xfId="164"/>
    <cellStyle name="Normal 15 3 3" xfId="534"/>
    <cellStyle name="Normal 15 3 4" xfId="721"/>
    <cellStyle name="Normal 15 3 5" xfId="1347"/>
    <cellStyle name="Normal 15 3 6" xfId="1647"/>
    <cellStyle name="Normal 15 3 7" xfId="2122"/>
    <cellStyle name="Normal 15 3 8" xfId="2730"/>
    <cellStyle name="Normal 15 3 9" xfId="4657"/>
    <cellStyle name="Normal 15 4" xfId="532"/>
    <cellStyle name="Normal 15 5" xfId="719"/>
    <cellStyle name="Normal 15 6" xfId="1345"/>
    <cellStyle name="Normal 15 7" xfId="1648"/>
    <cellStyle name="Normal 15 8" xfId="2120"/>
    <cellStyle name="Normal 15 9" xfId="2727"/>
    <cellStyle name="Normal 16" xfId="165"/>
    <cellStyle name="Normal 16 10" xfId="4015"/>
    <cellStyle name="Normal 16 11" xfId="5380"/>
    <cellStyle name="Normal 16 12" xfId="6653"/>
    <cellStyle name="Normal 16 13" xfId="8670"/>
    <cellStyle name="Normal 16 2" xfId="166"/>
    <cellStyle name="Normal 16 2 10" xfId="5998"/>
    <cellStyle name="Normal 16 2 11" xfId="7251"/>
    <cellStyle name="Normal 16 2 12" xfId="8671"/>
    <cellStyle name="Normal 16 2 2" xfId="167"/>
    <cellStyle name="Normal 16 2 3" xfId="536"/>
    <cellStyle name="Normal 16 2 4" xfId="723"/>
    <cellStyle name="Normal 16 2 5" xfId="1349"/>
    <cellStyle name="Normal 16 2 6" xfId="1474"/>
    <cellStyle name="Normal 16 2 7" xfId="2124"/>
    <cellStyle name="Normal 16 2 8" xfId="2733"/>
    <cellStyle name="Normal 16 2 9" xfId="4568"/>
    <cellStyle name="Normal 16 3" xfId="168"/>
    <cellStyle name="Normal 16 3 10" xfId="5379"/>
    <cellStyle name="Normal 16 3 11" xfId="6652"/>
    <cellStyle name="Normal 16 3 12" xfId="8672"/>
    <cellStyle name="Normal 16 3 2" xfId="169"/>
    <cellStyle name="Normal 16 3 3" xfId="537"/>
    <cellStyle name="Normal 16 3 4" xfId="724"/>
    <cellStyle name="Normal 16 3 5" xfId="1350"/>
    <cellStyle name="Normal 16 3 6" xfId="1430"/>
    <cellStyle name="Normal 16 3 7" xfId="2125"/>
    <cellStyle name="Normal 16 3 8" xfId="2735"/>
    <cellStyle name="Normal 16 3 9" xfId="3888"/>
    <cellStyle name="Normal 16 4" xfId="535"/>
    <cellStyle name="Normal 16 5" xfId="722"/>
    <cellStyle name="Normal 16 6" xfId="1348"/>
    <cellStyle name="Normal 16 7" xfId="1337"/>
    <cellStyle name="Normal 16 8" xfId="2123"/>
    <cellStyle name="Normal 16 9" xfId="2732"/>
    <cellStyle name="Normal 17" xfId="170"/>
    <cellStyle name="Normal 17 10" xfId="4504"/>
    <cellStyle name="Normal 17 11" xfId="5210"/>
    <cellStyle name="Normal 17 12" xfId="6486"/>
    <cellStyle name="Normal 17 13" xfId="8673"/>
    <cellStyle name="Normal 17 2" xfId="171"/>
    <cellStyle name="Normal 17 2 10" xfId="5257"/>
    <cellStyle name="Normal 17 2 11" xfId="6530"/>
    <cellStyle name="Normal 17 2 12" xfId="8674"/>
    <cellStyle name="Normal 17 2 2" xfId="172"/>
    <cellStyle name="Normal 17 2 3" xfId="539"/>
    <cellStyle name="Normal 17 2 4" xfId="726"/>
    <cellStyle name="Normal 17 2 5" xfId="1353"/>
    <cellStyle name="Normal 17 2 6" xfId="1335"/>
    <cellStyle name="Normal 17 2 7" xfId="2127"/>
    <cellStyle name="Normal 17 2 8" xfId="2737"/>
    <cellStyle name="Normal 17 2 9" xfId="4242"/>
    <cellStyle name="Normal 17 3" xfId="173"/>
    <cellStyle name="Normal 17 3 10" xfId="5850"/>
    <cellStyle name="Normal 17 3 11" xfId="7108"/>
    <cellStyle name="Normal 17 3 12" xfId="8675"/>
    <cellStyle name="Normal 17 3 2" xfId="174"/>
    <cellStyle name="Normal 17 3 3" xfId="540"/>
    <cellStyle name="Normal 17 3 4" xfId="727"/>
    <cellStyle name="Normal 17 3 5" xfId="1354"/>
    <cellStyle name="Normal 17 3 6" xfId="1334"/>
    <cellStyle name="Normal 17 3 7" xfId="2128"/>
    <cellStyle name="Normal 17 3 8" xfId="2739"/>
    <cellStyle name="Normal 17 3 9" xfId="3221"/>
    <cellStyle name="Normal 17 4" xfId="538"/>
    <cellStyle name="Normal 17 5" xfId="725"/>
    <cellStyle name="Normal 17 6" xfId="1352"/>
    <cellStyle name="Normal 17 7" xfId="1391"/>
    <cellStyle name="Normal 17 8" xfId="2126"/>
    <cellStyle name="Normal 17 9" xfId="2736"/>
    <cellStyle name="Normal 18" xfId="175"/>
    <cellStyle name="Normal 19" xfId="176"/>
    <cellStyle name="Normal 2" xfId="177"/>
    <cellStyle name="Normal 2 10" xfId="1786"/>
    <cellStyle name="Normal 2 11" xfId="2129"/>
    <cellStyle name="Normal 2 12" xfId="2742"/>
    <cellStyle name="Normal 2 13" xfId="2831"/>
    <cellStyle name="Normal 2 14" xfId="2674"/>
    <cellStyle name="Normal 2 15" xfId="3742"/>
    <cellStyle name="Normal 2 16" xfId="8676"/>
    <cellStyle name="Normal 2 2" xfId="178"/>
    <cellStyle name="Normal 2 2 10" xfId="4503"/>
    <cellStyle name="Normal 2 2 11" xfId="5141"/>
    <cellStyle name="Normal 2 2 12" xfId="8677"/>
    <cellStyle name="Normal 2 2 2" xfId="179"/>
    <cellStyle name="Normal 2 2 3" xfId="542"/>
    <cellStyle name="Normal 2 2 4" xfId="729"/>
    <cellStyle name="Normal 2 2 5" xfId="1356"/>
    <cellStyle name="Normal 2 2 6" xfId="1609"/>
    <cellStyle name="Normal 2 2 7" xfId="2130"/>
    <cellStyle name="Normal 2 2 8" xfId="2743"/>
    <cellStyle name="Normal 2 2 9" xfId="2793"/>
    <cellStyle name="Normal 2 3" xfId="180"/>
    <cellStyle name="Normal 2 3 10" xfId="4039"/>
    <cellStyle name="Normal 2 3 11" xfId="2678"/>
    <cellStyle name="Normal 2 3 12" xfId="8678"/>
    <cellStyle name="Normal 2 3 2" xfId="181"/>
    <cellStyle name="Normal 2 3 3" xfId="543"/>
    <cellStyle name="Normal 2 3 4" xfId="730"/>
    <cellStyle name="Normal 2 3 5" xfId="1357"/>
    <cellStyle name="Normal 2 3 6" xfId="1333"/>
    <cellStyle name="Normal 2 3 7" xfId="2131"/>
    <cellStyle name="Normal 2 3 8" xfId="2745"/>
    <cellStyle name="Normal 2 3 9" xfId="2792"/>
    <cellStyle name="Normal 2 4" xfId="182"/>
    <cellStyle name="Normal 2 4 10" xfId="3760"/>
    <cellStyle name="Normal 2 4 11" xfId="3056"/>
    <cellStyle name="Normal 2 4 12" xfId="8679"/>
    <cellStyle name="Normal 2 4 2" xfId="183"/>
    <cellStyle name="Normal 2 4 3" xfId="544"/>
    <cellStyle name="Normal 2 4 4" xfId="731"/>
    <cellStyle name="Normal 2 4 5" xfId="1358"/>
    <cellStyle name="Normal 2 4 6" xfId="1455"/>
    <cellStyle name="Normal 2 4 7" xfId="2132"/>
    <cellStyle name="Normal 2 4 8" xfId="2747"/>
    <cellStyle name="Normal 2 4 9" xfId="2791"/>
    <cellStyle name="Normal 2 5" xfId="184"/>
    <cellStyle name="Normal 2 5 10" xfId="4497"/>
    <cellStyle name="Normal 2 5 11" xfId="2964"/>
    <cellStyle name="Normal 2 5 12" xfId="8680"/>
    <cellStyle name="Normal 2 5 2" xfId="185"/>
    <cellStyle name="Normal 2 5 3" xfId="545"/>
    <cellStyle name="Normal 2 5 4" xfId="732"/>
    <cellStyle name="Normal 2 5 5" xfId="1359"/>
    <cellStyle name="Normal 2 5 6" xfId="1414"/>
    <cellStyle name="Normal 2 5 7" xfId="2133"/>
    <cellStyle name="Normal 2 5 8" xfId="2748"/>
    <cellStyle name="Normal 2 5 9" xfId="2830"/>
    <cellStyle name="Normal 2 6" xfId="186"/>
    <cellStyle name="Normal 2 6 10" xfId="3050"/>
    <cellStyle name="Normal 2 6 11" xfId="5129"/>
    <cellStyle name="Normal 2 6 12" xfId="8681"/>
    <cellStyle name="Normal 2 6 2" xfId="187"/>
    <cellStyle name="Normal 2 6 3" xfId="546"/>
    <cellStyle name="Normal 2 6 4" xfId="733"/>
    <cellStyle name="Normal 2 6 5" xfId="1360"/>
    <cellStyle name="Normal 2 6 6" xfId="1332"/>
    <cellStyle name="Normal 2 6 7" xfId="2134"/>
    <cellStyle name="Normal 2 6 8" xfId="2750"/>
    <cellStyle name="Normal 2 6 9" xfId="2789"/>
    <cellStyle name="Normal 2 7" xfId="541"/>
    <cellStyle name="Normal 2 8" xfId="728"/>
    <cellStyle name="Normal 2 9" xfId="1355"/>
    <cellStyle name="Normal 20" xfId="230"/>
    <cellStyle name="Normal 21" xfId="278"/>
    <cellStyle name="Normal 22" xfId="279"/>
    <cellStyle name="Normal 23" xfId="231"/>
    <cellStyle name="Normal 24" xfId="232"/>
    <cellStyle name="Normal 25" xfId="233"/>
    <cellStyle name="Normal 26" xfId="234"/>
    <cellStyle name="Normal 27" xfId="235"/>
    <cellStyle name="Normal 28" xfId="236"/>
    <cellStyle name="Normal 29" xfId="280"/>
    <cellStyle name="Normal 3" xfId="188"/>
    <cellStyle name="Normal 3 2" xfId="189"/>
    <cellStyle name="Normal 3 2 10" xfId="3217"/>
    <cellStyle name="Normal 3 2 11" xfId="5845"/>
    <cellStyle name="Normal 3 2 12" xfId="8682"/>
    <cellStyle name="Normal 3 2 2" xfId="190"/>
    <cellStyle name="Normal 3 2 3" xfId="547"/>
    <cellStyle name="Normal 3 2 4" xfId="734"/>
    <cellStyle name="Normal 3 2 5" xfId="1361"/>
    <cellStyle name="Normal 3 2 6" xfId="1857"/>
    <cellStyle name="Normal 3 2 7" xfId="2135"/>
    <cellStyle name="Normal 3 2 8" xfId="2753"/>
    <cellStyle name="Normal 3 2 9" xfId="3051"/>
    <cellStyle name="Normal 30" xfId="281"/>
    <cellStyle name="Normal 31" xfId="446"/>
    <cellStyle name="Normal 31 2" xfId="1494"/>
    <cellStyle name="Normal 31 3" xfId="1445"/>
    <cellStyle name="Normal 31 4" xfId="2206"/>
    <cellStyle name="Normal 31 5" xfId="2973"/>
    <cellStyle name="Normal 31 6" xfId="3471"/>
    <cellStyle name="Normal 31 7" xfId="4981"/>
    <cellStyle name="Normal 31 8" xfId="6309"/>
    <cellStyle name="Normal 31 9" xfId="8753"/>
    <cellStyle name="Normal 32" xfId="672"/>
    <cellStyle name="Normal 32 2" xfId="1624"/>
    <cellStyle name="Normal 32 3" xfId="1886"/>
    <cellStyle name="Normal 32 4" xfId="2295"/>
    <cellStyle name="Normal 32 5" xfId="3172"/>
    <cellStyle name="Normal 32 6" xfId="3657"/>
    <cellStyle name="Normal 32 7" xfId="3141"/>
    <cellStyle name="Normal 32 8" xfId="3157"/>
    <cellStyle name="Normal 32 9" xfId="8842"/>
    <cellStyle name="Normal 33" xfId="673"/>
    <cellStyle name="Normal 33 2" xfId="1625"/>
    <cellStyle name="Normal 33 3" xfId="1887"/>
    <cellStyle name="Normal 33 4" xfId="2296"/>
    <cellStyle name="Normal 33 5" xfId="3173"/>
    <cellStyle name="Normal 33 6" xfId="2651"/>
    <cellStyle name="Normal 33 7" xfId="3372"/>
    <cellStyle name="Normal 33 8" xfId="3029"/>
    <cellStyle name="Normal 33 9" xfId="8843"/>
    <cellStyle name="Normal 34" xfId="674"/>
    <cellStyle name="Normal 34 2" xfId="1626"/>
    <cellStyle name="Normal 34 3" xfId="1888"/>
    <cellStyle name="Normal 34 4" xfId="2297"/>
    <cellStyle name="Normal 34 5" xfId="3174"/>
    <cellStyle name="Normal 34 6" xfId="3621"/>
    <cellStyle name="Normal 34 7" xfId="6260"/>
    <cellStyle name="Normal 34 8" xfId="7507"/>
    <cellStyle name="Normal 34 9" xfId="8844"/>
    <cellStyle name="Normal 35" xfId="924"/>
    <cellStyle name="Normal 35 2" xfId="1808"/>
    <cellStyle name="Normal 35 3" xfId="2029"/>
    <cellStyle name="Normal 35 4" xfId="2438"/>
    <cellStyle name="Normal 35 5" xfId="3400"/>
    <cellStyle name="Normal 35 6" xfId="3795"/>
    <cellStyle name="Normal 35 7" xfId="3206"/>
    <cellStyle name="Normal 35 8" xfId="5836"/>
    <cellStyle name="Normal 35 9" xfId="8985"/>
    <cellStyle name="Normal 36" xfId="925"/>
    <cellStyle name="Normal 36 2" xfId="1809"/>
    <cellStyle name="Normal 36 3" xfId="2030"/>
    <cellStyle name="Normal 36 4" xfId="2439"/>
    <cellStyle name="Normal 36 5" xfId="3401"/>
    <cellStyle name="Normal 36 6" xfId="3238"/>
    <cellStyle name="Normal 36 7" xfId="5863"/>
    <cellStyle name="Normal 36 8" xfId="7118"/>
    <cellStyle name="Normal 36 9" xfId="8986"/>
    <cellStyle name="Normal 37" xfId="967"/>
    <cellStyle name="Normal 37 2" xfId="1833"/>
    <cellStyle name="Normal 37 3" xfId="2044"/>
    <cellStyle name="Normal 37 4" xfId="2453"/>
    <cellStyle name="Normal 37 5" xfId="3435"/>
    <cellStyle name="Normal 37 6" xfId="3732"/>
    <cellStyle name="Normal 37 7" xfId="2876"/>
    <cellStyle name="Normal 37 8" xfId="4913"/>
    <cellStyle name="Normal 37 9" xfId="9000"/>
    <cellStyle name="Normal 38" xfId="968"/>
    <cellStyle name="Normal 39" xfId="1256"/>
    <cellStyle name="Normal 4" xfId="191"/>
    <cellStyle name="Normal 4 10" xfId="2928"/>
    <cellStyle name="Normal 4 11" xfId="2685"/>
    <cellStyle name="Normal 4 12" xfId="8683"/>
    <cellStyle name="Normal 4 2" xfId="192"/>
    <cellStyle name="Normal 4 2 10" xfId="2838"/>
    <cellStyle name="Normal 4 2 11" xfId="2939"/>
    <cellStyle name="Normal 4 2 12" xfId="8684"/>
    <cellStyle name="Normal 4 2 2" xfId="193"/>
    <cellStyle name="Normal 4 2 3" xfId="549"/>
    <cellStyle name="Normal 4 2 4" xfId="736"/>
    <cellStyle name="Normal 4 2 5" xfId="1363"/>
    <cellStyle name="Normal 4 2 6" xfId="1787"/>
    <cellStyle name="Normal 4 2 7" xfId="2137"/>
    <cellStyle name="Normal 4 2 8" xfId="2756"/>
    <cellStyle name="Normal 4 2 9" xfId="3765"/>
    <cellStyle name="Normal 4 3" xfId="548"/>
    <cellStyle name="Normal 4 4" xfId="735"/>
    <cellStyle name="Normal 4 5" xfId="1362"/>
    <cellStyle name="Normal 4 6" xfId="1812"/>
    <cellStyle name="Normal 4 7" xfId="2136"/>
    <cellStyle name="Normal 4 8" xfId="2755"/>
    <cellStyle name="Normal 4 9" xfId="3744"/>
    <cellStyle name="Normal 40" xfId="1456"/>
    <cellStyle name="Normal 5" xfId="194"/>
    <cellStyle name="Normal 5 10" xfId="2757"/>
    <cellStyle name="Normal 5 11" xfId="3055"/>
    <cellStyle name="Normal 5 12" xfId="5128"/>
    <cellStyle name="Normal 5 13" xfId="6426"/>
    <cellStyle name="Normal 5 14" xfId="8685"/>
    <cellStyle name="Normal 5 2" xfId="195"/>
    <cellStyle name="Normal 5 2 10" xfId="5143"/>
    <cellStyle name="Normal 5 2 11" xfId="6431"/>
    <cellStyle name="Normal 5 2 12" xfId="8686"/>
    <cellStyle name="Normal 5 2 2" xfId="196"/>
    <cellStyle name="Normal 5 2 3" xfId="551"/>
    <cellStyle name="Normal 5 2 4" xfId="738"/>
    <cellStyle name="Normal 5 2 5" xfId="1365"/>
    <cellStyle name="Normal 5 2 6" xfId="1331"/>
    <cellStyle name="Normal 5 2 7" xfId="2139"/>
    <cellStyle name="Normal 5 2 8" xfId="2758"/>
    <cellStyle name="Normal 5 2 9" xfId="2751"/>
    <cellStyle name="Normal 5 3" xfId="197"/>
    <cellStyle name="Normal 5 3 10" xfId="3647"/>
    <cellStyle name="Normal 5 3 11" xfId="3771"/>
    <cellStyle name="Normal 5 3 12" xfId="8687"/>
    <cellStyle name="Normal 5 3 2" xfId="198"/>
    <cellStyle name="Normal 5 3 3" xfId="552"/>
    <cellStyle name="Normal 5 3 4" xfId="739"/>
    <cellStyle name="Normal 5 3 5" xfId="1366"/>
    <cellStyle name="Normal 5 3 6" xfId="1453"/>
    <cellStyle name="Normal 5 3 7" xfId="2140"/>
    <cellStyle name="Normal 5 3 8" xfId="2760"/>
    <cellStyle name="Normal 5 3 9" xfId="3811"/>
    <cellStyle name="Normal 5 4" xfId="199"/>
    <cellStyle name="Normal 5 4 10" xfId="5849"/>
    <cellStyle name="Normal 5 4 11" xfId="7107"/>
    <cellStyle name="Normal 5 4 12" xfId="8688"/>
    <cellStyle name="Normal 5 4 2" xfId="200"/>
    <cellStyle name="Normal 5 4 3" xfId="553"/>
    <cellStyle name="Normal 5 4 4" xfId="740"/>
    <cellStyle name="Normal 5 4 5" xfId="1367"/>
    <cellStyle name="Normal 5 4 6" xfId="1412"/>
    <cellStyle name="Normal 5 4 7" xfId="2141"/>
    <cellStyle name="Normal 5 4 8" xfId="2762"/>
    <cellStyle name="Normal 5 4 9" xfId="3220"/>
    <cellStyle name="Normal 5 5" xfId="550"/>
    <cellStyle name="Normal 5 6" xfId="737"/>
    <cellStyle name="Normal 5 7" xfId="1364"/>
    <cellStyle name="Normal 5 8" xfId="1499"/>
    <cellStyle name="Normal 5 9" xfId="2138"/>
    <cellStyle name="Normal 6" xfId="201"/>
    <cellStyle name="Normal 6 10" xfId="5142"/>
    <cellStyle name="Normal 6 11" xfId="6430"/>
    <cellStyle name="Normal 6 12" xfId="8689"/>
    <cellStyle name="Normal 6 2" xfId="202"/>
    <cellStyle name="Normal 6 2 10" xfId="2644"/>
    <cellStyle name="Normal 6 2 11" xfId="2871"/>
    <cellStyle name="Normal 6 2 12" xfId="8690"/>
    <cellStyle name="Normal 6 2 2" xfId="203"/>
    <cellStyle name="Normal 6 2 3" xfId="555"/>
    <cellStyle name="Normal 6 2 4" xfId="742"/>
    <cellStyle name="Normal 6 2 5" xfId="1369"/>
    <cellStyle name="Normal 6 2 6" xfId="1329"/>
    <cellStyle name="Normal 6 2 7" xfId="2143"/>
    <cellStyle name="Normal 6 2 8" xfId="2764"/>
    <cellStyle name="Normal 6 2 9" xfId="4502"/>
    <cellStyle name="Normal 6 3" xfId="554"/>
    <cellStyle name="Normal 6 4" xfId="741"/>
    <cellStyle name="Normal 6 5" xfId="1368"/>
    <cellStyle name="Normal 6 6" xfId="1330"/>
    <cellStyle name="Normal 6 7" xfId="2142"/>
    <cellStyle name="Normal 6 8" xfId="2763"/>
    <cellStyle name="Normal 6 9" xfId="2749"/>
    <cellStyle name="Normal 7" xfId="204"/>
    <cellStyle name="Normal 8" xfId="205"/>
    <cellStyle name="Normal 8 10" xfId="7106"/>
    <cellStyle name="Normal 8 11" xfId="8691"/>
    <cellStyle name="Normal 8 2" xfId="556"/>
    <cellStyle name="Normal 8 3" xfId="743"/>
    <cellStyle name="Normal 8 4" xfId="1370"/>
    <cellStyle name="Normal 8 5" xfId="1835"/>
    <cellStyle name="Normal 8 6" xfId="2144"/>
    <cellStyle name="Normal 8 7" xfId="2767"/>
    <cellStyle name="Normal 8 8" xfId="3219"/>
    <cellStyle name="Normal 8 9" xfId="5848"/>
    <cellStyle name="Normal 9" xfId="206"/>
    <cellStyle name="Normal 9 10" xfId="6495"/>
    <cellStyle name="Normal 9 11" xfId="8692"/>
    <cellStyle name="Normal 9 2" xfId="557"/>
    <cellStyle name="Normal 9 3" xfId="744"/>
    <cellStyle name="Normal 9 4" xfId="1371"/>
    <cellStyle name="Normal 9 5" xfId="1811"/>
    <cellStyle name="Normal 9 6" xfId="2145"/>
    <cellStyle name="Normal 9 7" xfId="2768"/>
    <cellStyle name="Normal 9 8" xfId="3053"/>
    <cellStyle name="Normal 9 9" xfId="5220"/>
    <cellStyle name="Normal_analitičko" xfId="207"/>
    <cellStyle name="Note" xfId="208" builtinId="10" customBuiltin="1"/>
    <cellStyle name="Note 10" xfId="378"/>
    <cellStyle name="Note 10 10" xfId="3072"/>
    <cellStyle name="Note 10 10 2" xfId="10469"/>
    <cellStyle name="Note 10 11" xfId="8727"/>
    <cellStyle name="Note 10 2" xfId="592"/>
    <cellStyle name="Note 10 2 10" xfId="8790"/>
    <cellStyle name="Note 10 2 2" xfId="831"/>
    <cellStyle name="Note 10 2 2 2" xfId="1731"/>
    <cellStyle name="Note 10 2 2 2 2" xfId="4121"/>
    <cellStyle name="Note 10 2 2 2 2 2" xfId="11435"/>
    <cellStyle name="Note 10 2 2 2 3" xfId="5483"/>
    <cellStyle name="Note 10 2 2 2 3 2" xfId="12737"/>
    <cellStyle name="Note 10 2 2 2 4" xfId="6755"/>
    <cellStyle name="Note 10 2 2 2 4 2" xfId="13957"/>
    <cellStyle name="Note 10 2 2 2 5" xfId="7910"/>
    <cellStyle name="Note 10 2 2 2 5 2" xfId="15090"/>
    <cellStyle name="Note 10 2 2 2 6" xfId="9418"/>
    <cellStyle name="Note 10 2 2 3" xfId="1964"/>
    <cellStyle name="Note 10 2 2 3 2" xfId="4347"/>
    <cellStyle name="Note 10 2 2 3 2 2" xfId="11658"/>
    <cellStyle name="Note 10 2 2 3 3" xfId="5703"/>
    <cellStyle name="Note 10 2 2 3 3 2" xfId="12955"/>
    <cellStyle name="Note 10 2 2 3 4" xfId="6972"/>
    <cellStyle name="Note 10 2 2 3 4 2" xfId="14173"/>
    <cellStyle name="Note 10 2 2 3 5" xfId="8116"/>
    <cellStyle name="Note 10 2 2 3 5 2" xfId="15296"/>
    <cellStyle name="Note 10 2 2 3 6" xfId="9624"/>
    <cellStyle name="Note 10 2 2 4" xfId="2373"/>
    <cellStyle name="Note 10 2 2 4 2" xfId="4735"/>
    <cellStyle name="Note 10 2 2 4 2 2" xfId="12030"/>
    <cellStyle name="Note 10 2 2 4 3" xfId="6076"/>
    <cellStyle name="Note 10 2 2 4 3 2" xfId="13310"/>
    <cellStyle name="Note 10 2 2 4 4" xfId="7329"/>
    <cellStyle name="Note 10 2 2 4 4 2" xfId="14519"/>
    <cellStyle name="Note 10 2 2 4 5" xfId="8436"/>
    <cellStyle name="Note 10 2 2 4 5 2" xfId="15612"/>
    <cellStyle name="Note 10 2 2 4 6" xfId="9944"/>
    <cellStyle name="Note 10 2 2 5" xfId="3312"/>
    <cellStyle name="Note 10 2 2 5 2" xfId="10685"/>
    <cellStyle name="Note 10 2 2 6" xfId="3037"/>
    <cellStyle name="Note 10 2 2 6 2" xfId="10445"/>
    <cellStyle name="Note 10 2 2 7" xfId="5154"/>
    <cellStyle name="Note 10 2 2 7 2" xfId="12417"/>
    <cellStyle name="Note 10 2 2 8" xfId="6437"/>
    <cellStyle name="Note 10 2 2 8 2" xfId="13646"/>
    <cellStyle name="Note 10 2 2 9" xfId="8920"/>
    <cellStyle name="Note 10 2 3" xfId="1568"/>
    <cellStyle name="Note 10 2 3 2" xfId="3959"/>
    <cellStyle name="Note 10 2 3 2 2" xfId="11276"/>
    <cellStyle name="Note 10 2 3 3" xfId="5325"/>
    <cellStyle name="Note 10 2 3 3 2" xfId="12583"/>
    <cellStyle name="Note 10 2 3 4" xfId="6598"/>
    <cellStyle name="Note 10 2 3 4 2" xfId="13803"/>
    <cellStyle name="Note 10 2 3 5" xfId="7757"/>
    <cellStyle name="Note 10 2 3 5 2" xfId="14937"/>
    <cellStyle name="Note 10 2 3 6" xfId="9265"/>
    <cellStyle name="Note 10 2 4" xfId="1638"/>
    <cellStyle name="Note 10 2 4 2" xfId="4028"/>
    <cellStyle name="Note 10 2 4 2 2" xfId="11343"/>
    <cellStyle name="Note 10 2 4 3" xfId="5393"/>
    <cellStyle name="Note 10 2 4 3 2" xfId="12648"/>
    <cellStyle name="Note 10 2 4 4" xfId="6665"/>
    <cellStyle name="Note 10 2 4 4 2" xfId="13868"/>
    <cellStyle name="Note 10 2 4 5" xfId="7821"/>
    <cellStyle name="Note 10 2 4 5 2" xfId="15001"/>
    <cellStyle name="Note 10 2 4 6" xfId="9329"/>
    <cellStyle name="Note 10 2 5" xfId="2243"/>
    <cellStyle name="Note 10 2 5 2" xfId="4605"/>
    <cellStyle name="Note 10 2 5 2 2" xfId="11903"/>
    <cellStyle name="Note 10 2 5 3" xfId="5946"/>
    <cellStyle name="Note 10 2 5 3 2" xfId="13183"/>
    <cellStyle name="Note 10 2 5 4" xfId="7199"/>
    <cellStyle name="Note 10 2 5 4 2" xfId="14392"/>
    <cellStyle name="Note 10 2 5 5" xfId="8309"/>
    <cellStyle name="Note 10 2 5 5 2" xfId="15485"/>
    <cellStyle name="Note 10 2 5 6" xfId="9817"/>
    <cellStyle name="Note 10 2 6" xfId="3096"/>
    <cellStyle name="Note 10 2 6 2" xfId="10493"/>
    <cellStyle name="Note 10 2 7" xfId="3565"/>
    <cellStyle name="Note 10 2 7 2" xfId="10914"/>
    <cellStyle name="Note 10 2 8" xfId="3228"/>
    <cellStyle name="Note 10 2 8 2" xfId="10603"/>
    <cellStyle name="Note 10 2 9" xfId="5854"/>
    <cellStyle name="Note 10 2 9 2" xfId="13092"/>
    <cellStyle name="Note 10 3" xfId="779"/>
    <cellStyle name="Note 10 3 2" xfId="1679"/>
    <cellStyle name="Note 10 3 2 2" xfId="4069"/>
    <cellStyle name="Note 10 3 2 2 2" xfId="11383"/>
    <cellStyle name="Note 10 3 2 3" xfId="5431"/>
    <cellStyle name="Note 10 3 2 3 2" xfId="12685"/>
    <cellStyle name="Note 10 3 2 4" xfId="6703"/>
    <cellStyle name="Note 10 3 2 4 2" xfId="13905"/>
    <cellStyle name="Note 10 3 2 5" xfId="7858"/>
    <cellStyle name="Note 10 3 2 5 2" xfId="15038"/>
    <cellStyle name="Note 10 3 2 6" xfId="9366"/>
    <cellStyle name="Note 10 3 3" xfId="1912"/>
    <cellStyle name="Note 10 3 3 2" xfId="4295"/>
    <cellStyle name="Note 10 3 3 2 2" xfId="11606"/>
    <cellStyle name="Note 10 3 3 3" xfId="5651"/>
    <cellStyle name="Note 10 3 3 3 2" xfId="12903"/>
    <cellStyle name="Note 10 3 3 4" xfId="6920"/>
    <cellStyle name="Note 10 3 3 4 2" xfId="14121"/>
    <cellStyle name="Note 10 3 3 5" xfId="8064"/>
    <cellStyle name="Note 10 3 3 5 2" xfId="15244"/>
    <cellStyle name="Note 10 3 3 6" xfId="9572"/>
    <cellStyle name="Note 10 3 4" xfId="2321"/>
    <cellStyle name="Note 10 3 4 2" xfId="4683"/>
    <cellStyle name="Note 10 3 4 2 2" xfId="11978"/>
    <cellStyle name="Note 10 3 4 3" xfId="6024"/>
    <cellStyle name="Note 10 3 4 3 2" xfId="13258"/>
    <cellStyle name="Note 10 3 4 4" xfId="7277"/>
    <cellStyle name="Note 10 3 4 4 2" xfId="14467"/>
    <cellStyle name="Note 10 3 4 5" xfId="8384"/>
    <cellStyle name="Note 10 3 4 5 2" xfId="15560"/>
    <cellStyle name="Note 10 3 4 6" xfId="9892"/>
    <cellStyle name="Note 10 3 5" xfId="3260"/>
    <cellStyle name="Note 10 3 5 2" xfId="10633"/>
    <cellStyle name="Note 10 3 6" xfId="3628"/>
    <cellStyle name="Note 10 3 6 2" xfId="10968"/>
    <cellStyle name="Note 10 3 7" xfId="6267"/>
    <cellStyle name="Note 10 3 7 2" xfId="13493"/>
    <cellStyle name="Note 10 3 8" xfId="7514"/>
    <cellStyle name="Note 10 3 8 2" xfId="14698"/>
    <cellStyle name="Note 10 3 9" xfId="8868"/>
    <cellStyle name="Note 10 4" xfId="1457"/>
    <cellStyle name="Note 10 4 2" xfId="3852"/>
    <cellStyle name="Note 10 4 2 2" xfId="11173"/>
    <cellStyle name="Note 10 4 3" xfId="5222"/>
    <cellStyle name="Note 10 4 3 2" xfId="12482"/>
    <cellStyle name="Note 10 4 4" xfId="6496"/>
    <cellStyle name="Note 10 4 4 2" xfId="13703"/>
    <cellStyle name="Note 10 4 5" xfId="7660"/>
    <cellStyle name="Note 10 4 5 2" xfId="14840"/>
    <cellStyle name="Note 10 4 6" xfId="9168"/>
    <cellStyle name="Note 10 5" xfId="1847"/>
    <cellStyle name="Note 10 5 2" xfId="4232"/>
    <cellStyle name="Note 10 5 2 2" xfId="11545"/>
    <cellStyle name="Note 10 5 3" xfId="5589"/>
    <cellStyle name="Note 10 5 3 2" xfId="12842"/>
    <cellStyle name="Note 10 5 4" xfId="6858"/>
    <cellStyle name="Note 10 5 4 2" xfId="14060"/>
    <cellStyle name="Note 10 5 5" xfId="8006"/>
    <cellStyle name="Note 10 5 5 2" xfId="15186"/>
    <cellStyle name="Note 10 5 6" xfId="9514"/>
    <cellStyle name="Note 10 6" xfId="2180"/>
    <cellStyle name="Note 10 6 2" xfId="4542"/>
    <cellStyle name="Note 10 6 2 2" xfId="11841"/>
    <cellStyle name="Note 10 6 3" xfId="5884"/>
    <cellStyle name="Note 10 6 3 2" xfId="13121"/>
    <cellStyle name="Note 10 6 4" xfId="7137"/>
    <cellStyle name="Note 10 6 4 2" xfId="14330"/>
    <cellStyle name="Note 10 6 5" xfId="8247"/>
    <cellStyle name="Note 10 6 5 2" xfId="15423"/>
    <cellStyle name="Note 10 6 6" xfId="9755"/>
    <cellStyle name="Note 10 7" xfId="2910"/>
    <cellStyle name="Note 10 7 2" xfId="10334"/>
    <cellStyle name="Note 10 8" xfId="2704"/>
    <cellStyle name="Note 10 8 2" xfId="10199"/>
    <cellStyle name="Note 10 9" xfId="3407"/>
    <cellStyle name="Note 10 9 2" xfId="10774"/>
    <cellStyle name="Note 11" xfId="419"/>
    <cellStyle name="Note 11 10" xfId="5218"/>
    <cellStyle name="Note 11 10 2" xfId="12479"/>
    <cellStyle name="Note 11 11" xfId="8740"/>
    <cellStyle name="Note 11 2" xfId="605"/>
    <cellStyle name="Note 11 2 10" xfId="8803"/>
    <cellStyle name="Note 11 2 2" xfId="844"/>
    <cellStyle name="Note 11 2 2 2" xfId="1744"/>
    <cellStyle name="Note 11 2 2 2 2" xfId="4134"/>
    <cellStyle name="Note 11 2 2 2 2 2" xfId="11448"/>
    <cellStyle name="Note 11 2 2 2 3" xfId="5496"/>
    <cellStyle name="Note 11 2 2 2 3 2" xfId="12750"/>
    <cellStyle name="Note 11 2 2 2 4" xfId="6768"/>
    <cellStyle name="Note 11 2 2 2 4 2" xfId="13970"/>
    <cellStyle name="Note 11 2 2 2 5" xfId="7923"/>
    <cellStyle name="Note 11 2 2 2 5 2" xfId="15103"/>
    <cellStyle name="Note 11 2 2 2 6" xfId="9431"/>
    <cellStyle name="Note 11 2 2 3" xfId="1977"/>
    <cellStyle name="Note 11 2 2 3 2" xfId="4360"/>
    <cellStyle name="Note 11 2 2 3 2 2" xfId="11671"/>
    <cellStyle name="Note 11 2 2 3 3" xfId="5716"/>
    <cellStyle name="Note 11 2 2 3 3 2" xfId="12968"/>
    <cellStyle name="Note 11 2 2 3 4" xfId="6985"/>
    <cellStyle name="Note 11 2 2 3 4 2" xfId="14186"/>
    <cellStyle name="Note 11 2 2 3 5" xfId="8129"/>
    <cellStyle name="Note 11 2 2 3 5 2" xfId="15309"/>
    <cellStyle name="Note 11 2 2 3 6" xfId="9637"/>
    <cellStyle name="Note 11 2 2 4" xfId="2386"/>
    <cellStyle name="Note 11 2 2 4 2" xfId="4748"/>
    <cellStyle name="Note 11 2 2 4 2 2" xfId="12043"/>
    <cellStyle name="Note 11 2 2 4 3" xfId="6089"/>
    <cellStyle name="Note 11 2 2 4 3 2" xfId="13323"/>
    <cellStyle name="Note 11 2 2 4 4" xfId="7342"/>
    <cellStyle name="Note 11 2 2 4 4 2" xfId="14532"/>
    <cellStyle name="Note 11 2 2 4 5" xfId="8449"/>
    <cellStyle name="Note 11 2 2 4 5 2" xfId="15625"/>
    <cellStyle name="Note 11 2 2 4 6" xfId="9957"/>
    <cellStyle name="Note 11 2 2 5" xfId="3325"/>
    <cellStyle name="Note 11 2 2 5 2" xfId="10698"/>
    <cellStyle name="Note 11 2 2 6" xfId="4476"/>
    <cellStyle name="Note 11 2 2 6 2" xfId="11784"/>
    <cellStyle name="Note 11 2 2 7" xfId="5098"/>
    <cellStyle name="Note 11 2 2 7 2" xfId="12370"/>
    <cellStyle name="Note 11 2 2 8" xfId="6397"/>
    <cellStyle name="Note 11 2 2 8 2" xfId="13611"/>
    <cellStyle name="Note 11 2 2 9" xfId="8933"/>
    <cellStyle name="Note 11 2 3" xfId="1581"/>
    <cellStyle name="Note 11 2 3 2" xfId="3972"/>
    <cellStyle name="Note 11 2 3 2 2" xfId="11289"/>
    <cellStyle name="Note 11 2 3 3" xfId="5338"/>
    <cellStyle name="Note 11 2 3 3 2" xfId="12596"/>
    <cellStyle name="Note 11 2 3 4" xfId="6611"/>
    <cellStyle name="Note 11 2 3 4 2" xfId="13816"/>
    <cellStyle name="Note 11 2 3 5" xfId="7770"/>
    <cellStyle name="Note 11 2 3 5 2" xfId="14950"/>
    <cellStyle name="Note 11 2 3 6" xfId="9278"/>
    <cellStyle name="Note 11 2 4" xfId="1524"/>
    <cellStyle name="Note 11 2 4 2" xfId="3917"/>
    <cellStyle name="Note 11 2 4 2 2" xfId="11235"/>
    <cellStyle name="Note 11 2 4 3" xfId="5284"/>
    <cellStyle name="Note 11 2 4 3 2" xfId="12543"/>
    <cellStyle name="Note 11 2 4 4" xfId="6557"/>
    <cellStyle name="Note 11 2 4 4 2" xfId="13763"/>
    <cellStyle name="Note 11 2 4 5" xfId="7717"/>
    <cellStyle name="Note 11 2 4 5 2" xfId="14897"/>
    <cellStyle name="Note 11 2 4 6" xfId="9225"/>
    <cellStyle name="Note 11 2 5" xfId="2256"/>
    <cellStyle name="Note 11 2 5 2" xfId="4618"/>
    <cellStyle name="Note 11 2 5 2 2" xfId="11916"/>
    <cellStyle name="Note 11 2 5 3" xfId="5959"/>
    <cellStyle name="Note 11 2 5 3 2" xfId="13196"/>
    <cellStyle name="Note 11 2 5 4" xfId="7212"/>
    <cellStyle name="Note 11 2 5 4 2" xfId="14405"/>
    <cellStyle name="Note 11 2 5 5" xfId="8322"/>
    <cellStyle name="Note 11 2 5 5 2" xfId="15498"/>
    <cellStyle name="Note 11 2 5 6" xfId="9830"/>
    <cellStyle name="Note 11 2 6" xfId="3109"/>
    <cellStyle name="Note 11 2 6 2" xfId="10506"/>
    <cellStyle name="Note 11 2 7" xfId="2820"/>
    <cellStyle name="Note 11 2 7 2" xfId="10258"/>
    <cellStyle name="Note 11 2 8" xfId="2701"/>
    <cellStyle name="Note 11 2 8 2" xfId="10196"/>
    <cellStyle name="Note 11 2 9" xfId="3030"/>
    <cellStyle name="Note 11 2 9 2" xfId="10438"/>
    <cellStyle name="Note 11 3" xfId="792"/>
    <cellStyle name="Note 11 3 2" xfId="1692"/>
    <cellStyle name="Note 11 3 2 2" xfId="4082"/>
    <cellStyle name="Note 11 3 2 2 2" xfId="11396"/>
    <cellStyle name="Note 11 3 2 3" xfId="5444"/>
    <cellStyle name="Note 11 3 2 3 2" xfId="12698"/>
    <cellStyle name="Note 11 3 2 4" xfId="6716"/>
    <cellStyle name="Note 11 3 2 4 2" xfId="13918"/>
    <cellStyle name="Note 11 3 2 5" xfId="7871"/>
    <cellStyle name="Note 11 3 2 5 2" xfId="15051"/>
    <cellStyle name="Note 11 3 2 6" xfId="9379"/>
    <cellStyle name="Note 11 3 3" xfId="1925"/>
    <cellStyle name="Note 11 3 3 2" xfId="4308"/>
    <cellStyle name="Note 11 3 3 2 2" xfId="11619"/>
    <cellStyle name="Note 11 3 3 3" xfId="5664"/>
    <cellStyle name="Note 11 3 3 3 2" xfId="12916"/>
    <cellStyle name="Note 11 3 3 4" xfId="6933"/>
    <cellStyle name="Note 11 3 3 4 2" xfId="14134"/>
    <cellStyle name="Note 11 3 3 5" xfId="8077"/>
    <cellStyle name="Note 11 3 3 5 2" xfId="15257"/>
    <cellStyle name="Note 11 3 3 6" xfId="9585"/>
    <cellStyle name="Note 11 3 4" xfId="2334"/>
    <cellStyle name="Note 11 3 4 2" xfId="4696"/>
    <cellStyle name="Note 11 3 4 2 2" xfId="11991"/>
    <cellStyle name="Note 11 3 4 3" xfId="6037"/>
    <cellStyle name="Note 11 3 4 3 2" xfId="13271"/>
    <cellStyle name="Note 11 3 4 4" xfId="7290"/>
    <cellStyle name="Note 11 3 4 4 2" xfId="14480"/>
    <cellStyle name="Note 11 3 4 5" xfId="8397"/>
    <cellStyle name="Note 11 3 4 5 2" xfId="15573"/>
    <cellStyle name="Note 11 3 4 6" xfId="9905"/>
    <cellStyle name="Note 11 3 5" xfId="3273"/>
    <cellStyle name="Note 11 3 5 2" xfId="10646"/>
    <cellStyle name="Note 11 3 6" xfId="2880"/>
    <cellStyle name="Note 11 3 6 2" xfId="10304"/>
    <cellStyle name="Note 11 3 7" xfId="3364"/>
    <cellStyle name="Note 11 3 7 2" xfId="10737"/>
    <cellStyle name="Note 11 3 8" xfId="4471"/>
    <cellStyle name="Note 11 3 8 2" xfId="11779"/>
    <cellStyle name="Note 11 3 9" xfId="8881"/>
    <cellStyle name="Note 11 4" xfId="1476"/>
    <cellStyle name="Note 11 4 2" xfId="3871"/>
    <cellStyle name="Note 11 4 2 2" xfId="11191"/>
    <cellStyle name="Note 11 4 3" xfId="5240"/>
    <cellStyle name="Note 11 4 3 2" xfId="12500"/>
    <cellStyle name="Note 11 4 4" xfId="6513"/>
    <cellStyle name="Note 11 4 4 2" xfId="13720"/>
    <cellStyle name="Note 11 4 5" xfId="7675"/>
    <cellStyle name="Note 11 4 5 2" xfId="14855"/>
    <cellStyle name="Note 11 4 6" xfId="9183"/>
    <cellStyle name="Note 11 5" xfId="1308"/>
    <cellStyle name="Note 11 5 2" xfId="3722"/>
    <cellStyle name="Note 11 5 2 2" xfId="11056"/>
    <cellStyle name="Note 11 5 3" xfId="5110"/>
    <cellStyle name="Note 11 5 3 2" xfId="12382"/>
    <cellStyle name="Note 11 5 4" xfId="6409"/>
    <cellStyle name="Note 11 5 4 2" xfId="13623"/>
    <cellStyle name="Note 11 5 5" xfId="7598"/>
    <cellStyle name="Note 11 5 5 2" xfId="14782"/>
    <cellStyle name="Note 11 5 6" xfId="9106"/>
    <cellStyle name="Note 11 6" xfId="2193"/>
    <cellStyle name="Note 11 6 2" xfId="4555"/>
    <cellStyle name="Note 11 6 2 2" xfId="11854"/>
    <cellStyle name="Note 11 6 3" xfId="5897"/>
    <cellStyle name="Note 11 6 3 2" xfId="13134"/>
    <cellStyle name="Note 11 6 4" xfId="7150"/>
    <cellStyle name="Note 11 6 4 2" xfId="14343"/>
    <cellStyle name="Note 11 6 5" xfId="8260"/>
    <cellStyle name="Note 11 6 5 2" xfId="15436"/>
    <cellStyle name="Note 11 6 6" xfId="9768"/>
    <cellStyle name="Note 11 7" xfId="2946"/>
    <cellStyle name="Note 11 7 2" xfId="10365"/>
    <cellStyle name="Note 11 8" xfId="3643"/>
    <cellStyle name="Note 11 8 2" xfId="10982"/>
    <cellStyle name="Note 11 9" xfId="3059"/>
    <cellStyle name="Note 11 9 2" xfId="10457"/>
    <cellStyle name="Note 12" xfId="461"/>
    <cellStyle name="Note 12 10" xfId="3542"/>
    <cellStyle name="Note 12 10 2" xfId="10894"/>
    <cellStyle name="Note 12 11" xfId="8754"/>
    <cellStyle name="Note 12 2" xfId="618"/>
    <cellStyle name="Note 12 2 10" xfId="8816"/>
    <cellStyle name="Note 12 2 2" xfId="857"/>
    <cellStyle name="Note 12 2 2 2" xfId="1757"/>
    <cellStyle name="Note 12 2 2 2 2" xfId="4147"/>
    <cellStyle name="Note 12 2 2 2 2 2" xfId="11461"/>
    <cellStyle name="Note 12 2 2 2 3" xfId="5509"/>
    <cellStyle name="Note 12 2 2 2 3 2" xfId="12763"/>
    <cellStyle name="Note 12 2 2 2 4" xfId="6781"/>
    <cellStyle name="Note 12 2 2 2 4 2" xfId="13983"/>
    <cellStyle name="Note 12 2 2 2 5" xfId="7936"/>
    <cellStyle name="Note 12 2 2 2 5 2" xfId="15116"/>
    <cellStyle name="Note 12 2 2 2 6" xfId="9444"/>
    <cellStyle name="Note 12 2 2 3" xfId="1990"/>
    <cellStyle name="Note 12 2 2 3 2" xfId="4373"/>
    <cellStyle name="Note 12 2 2 3 2 2" xfId="11684"/>
    <cellStyle name="Note 12 2 2 3 3" xfId="5729"/>
    <cellStyle name="Note 12 2 2 3 3 2" xfId="12981"/>
    <cellStyle name="Note 12 2 2 3 4" xfId="6998"/>
    <cellStyle name="Note 12 2 2 3 4 2" xfId="14199"/>
    <cellStyle name="Note 12 2 2 3 5" xfId="8142"/>
    <cellStyle name="Note 12 2 2 3 5 2" xfId="15322"/>
    <cellStyle name="Note 12 2 2 3 6" xfId="9650"/>
    <cellStyle name="Note 12 2 2 4" xfId="2399"/>
    <cellStyle name="Note 12 2 2 4 2" xfId="4761"/>
    <cellStyle name="Note 12 2 2 4 2 2" xfId="12056"/>
    <cellStyle name="Note 12 2 2 4 3" xfId="6102"/>
    <cellStyle name="Note 12 2 2 4 3 2" xfId="13336"/>
    <cellStyle name="Note 12 2 2 4 4" xfId="7355"/>
    <cellStyle name="Note 12 2 2 4 4 2" xfId="14545"/>
    <cellStyle name="Note 12 2 2 4 5" xfId="8462"/>
    <cellStyle name="Note 12 2 2 4 5 2" xfId="15638"/>
    <cellStyle name="Note 12 2 2 4 6" xfId="9970"/>
    <cellStyle name="Note 12 2 2 5" xfId="3338"/>
    <cellStyle name="Note 12 2 2 5 2" xfId="10711"/>
    <cellStyle name="Note 12 2 2 6" xfId="3790"/>
    <cellStyle name="Note 12 2 2 6 2" xfId="11113"/>
    <cellStyle name="Note 12 2 2 7" xfId="2780"/>
    <cellStyle name="Note 12 2 2 7 2" xfId="10238"/>
    <cellStyle name="Note 12 2 2 8" xfId="2741"/>
    <cellStyle name="Note 12 2 2 8 2" xfId="10219"/>
    <cellStyle name="Note 12 2 2 9" xfId="8946"/>
    <cellStyle name="Note 12 2 3" xfId="1594"/>
    <cellStyle name="Note 12 2 3 2" xfId="3985"/>
    <cellStyle name="Note 12 2 3 2 2" xfId="11302"/>
    <cellStyle name="Note 12 2 3 3" xfId="5351"/>
    <cellStyle name="Note 12 2 3 3 2" xfId="12609"/>
    <cellStyle name="Note 12 2 3 4" xfId="6624"/>
    <cellStyle name="Note 12 2 3 4 2" xfId="13829"/>
    <cellStyle name="Note 12 2 3 5" xfId="7783"/>
    <cellStyle name="Note 12 2 3 5 2" xfId="14963"/>
    <cellStyle name="Note 12 2 3 6" xfId="9291"/>
    <cellStyle name="Note 12 2 4" xfId="1265"/>
    <cellStyle name="Note 12 2 4 2" xfId="3685"/>
    <cellStyle name="Note 12 2 4 2 2" xfId="11020"/>
    <cellStyle name="Note 12 2 4 3" xfId="5076"/>
    <cellStyle name="Note 12 2 4 3 2" xfId="12349"/>
    <cellStyle name="Note 12 2 4 4" xfId="6383"/>
    <cellStyle name="Note 12 2 4 4 2" xfId="13597"/>
    <cellStyle name="Note 12 2 4 5" xfId="7585"/>
    <cellStyle name="Note 12 2 4 5 2" xfId="14769"/>
    <cellStyle name="Note 12 2 4 6" xfId="9093"/>
    <cellStyle name="Note 12 2 5" xfId="2269"/>
    <cellStyle name="Note 12 2 5 2" xfId="4631"/>
    <cellStyle name="Note 12 2 5 2 2" xfId="11929"/>
    <cellStyle name="Note 12 2 5 3" xfId="5972"/>
    <cellStyle name="Note 12 2 5 3 2" xfId="13209"/>
    <cellStyle name="Note 12 2 5 4" xfId="7225"/>
    <cellStyle name="Note 12 2 5 4 2" xfId="14418"/>
    <cellStyle name="Note 12 2 5 5" xfId="8335"/>
    <cellStyle name="Note 12 2 5 5 2" xfId="15511"/>
    <cellStyle name="Note 12 2 5 6" xfId="9843"/>
    <cellStyle name="Note 12 2 6" xfId="3122"/>
    <cellStyle name="Note 12 2 6 2" xfId="10519"/>
    <cellStyle name="Note 12 2 7" xfId="3388"/>
    <cellStyle name="Note 12 2 7 2" xfId="10759"/>
    <cellStyle name="Note 12 2 8" xfId="3684"/>
    <cellStyle name="Note 12 2 8 2" xfId="11019"/>
    <cellStyle name="Note 12 2 9" xfId="3638"/>
    <cellStyle name="Note 12 2 9 2" xfId="10978"/>
    <cellStyle name="Note 12 3" xfId="805"/>
    <cellStyle name="Note 12 3 2" xfId="1705"/>
    <cellStyle name="Note 12 3 2 2" xfId="4095"/>
    <cellStyle name="Note 12 3 2 2 2" xfId="11409"/>
    <cellStyle name="Note 12 3 2 3" xfId="5457"/>
    <cellStyle name="Note 12 3 2 3 2" xfId="12711"/>
    <cellStyle name="Note 12 3 2 4" xfId="6729"/>
    <cellStyle name="Note 12 3 2 4 2" xfId="13931"/>
    <cellStyle name="Note 12 3 2 5" xfId="7884"/>
    <cellStyle name="Note 12 3 2 5 2" xfId="15064"/>
    <cellStyle name="Note 12 3 2 6" xfId="9392"/>
    <cellStyle name="Note 12 3 3" xfId="1938"/>
    <cellStyle name="Note 12 3 3 2" xfId="4321"/>
    <cellStyle name="Note 12 3 3 2 2" xfId="11632"/>
    <cellStyle name="Note 12 3 3 3" xfId="5677"/>
    <cellStyle name="Note 12 3 3 3 2" xfId="12929"/>
    <cellStyle name="Note 12 3 3 4" xfId="6946"/>
    <cellStyle name="Note 12 3 3 4 2" xfId="14147"/>
    <cellStyle name="Note 12 3 3 5" xfId="8090"/>
    <cellStyle name="Note 12 3 3 5 2" xfId="15270"/>
    <cellStyle name="Note 12 3 3 6" xfId="9598"/>
    <cellStyle name="Note 12 3 4" xfId="2347"/>
    <cellStyle name="Note 12 3 4 2" xfId="4709"/>
    <cellStyle name="Note 12 3 4 2 2" xfId="12004"/>
    <cellStyle name="Note 12 3 4 3" xfId="6050"/>
    <cellStyle name="Note 12 3 4 3 2" xfId="13284"/>
    <cellStyle name="Note 12 3 4 4" xfId="7303"/>
    <cellStyle name="Note 12 3 4 4 2" xfId="14493"/>
    <cellStyle name="Note 12 3 4 5" xfId="8410"/>
    <cellStyle name="Note 12 3 4 5 2" xfId="15586"/>
    <cellStyle name="Note 12 3 4 6" xfId="9918"/>
    <cellStyle name="Note 12 3 5" xfId="3286"/>
    <cellStyle name="Note 12 3 5 2" xfId="10659"/>
    <cellStyle name="Note 12 3 6" xfId="3451"/>
    <cellStyle name="Note 12 3 6 2" xfId="10812"/>
    <cellStyle name="Note 12 3 7" xfId="4961"/>
    <cellStyle name="Note 12 3 7 2" xfId="12247"/>
    <cellStyle name="Note 12 3 8" xfId="6293"/>
    <cellStyle name="Note 12 3 8 2" xfId="13516"/>
    <cellStyle name="Note 12 3 9" xfId="8894"/>
    <cellStyle name="Note 12 4" xfId="1501"/>
    <cellStyle name="Note 12 4 2" xfId="3894"/>
    <cellStyle name="Note 12 4 2 2" xfId="11212"/>
    <cellStyle name="Note 12 4 3" xfId="5262"/>
    <cellStyle name="Note 12 4 3 2" xfId="12521"/>
    <cellStyle name="Note 12 4 4" xfId="6535"/>
    <cellStyle name="Note 12 4 4 2" xfId="13741"/>
    <cellStyle name="Note 12 4 5" xfId="7695"/>
    <cellStyle name="Note 12 4 5 2" xfId="14875"/>
    <cellStyle name="Note 12 4 6" xfId="9203"/>
    <cellStyle name="Note 12 5" xfId="1442"/>
    <cellStyle name="Note 12 5 2" xfId="3839"/>
    <cellStyle name="Note 12 5 2 2" xfId="11160"/>
    <cellStyle name="Note 12 5 3" xfId="5207"/>
    <cellStyle name="Note 12 5 3 2" xfId="12469"/>
    <cellStyle name="Note 12 5 4" xfId="6483"/>
    <cellStyle name="Note 12 5 4 2" xfId="13692"/>
    <cellStyle name="Note 12 5 5" xfId="7651"/>
    <cellStyle name="Note 12 5 5 2" xfId="14831"/>
    <cellStyle name="Note 12 5 6" xfId="9159"/>
    <cellStyle name="Note 12 6" xfId="2207"/>
    <cellStyle name="Note 12 6 2" xfId="4569"/>
    <cellStyle name="Note 12 6 2 2" xfId="11867"/>
    <cellStyle name="Note 12 6 3" xfId="5910"/>
    <cellStyle name="Note 12 6 3 2" xfId="13147"/>
    <cellStyle name="Note 12 6 4" xfId="7163"/>
    <cellStyle name="Note 12 6 4 2" xfId="14356"/>
    <cellStyle name="Note 12 6 5" xfId="8273"/>
    <cellStyle name="Note 12 6 5 2" xfId="15449"/>
    <cellStyle name="Note 12 6 6" xfId="9781"/>
    <cellStyle name="Note 12 7" xfId="2984"/>
    <cellStyle name="Note 12 7 2" xfId="10398"/>
    <cellStyle name="Note 12 8" xfId="3646"/>
    <cellStyle name="Note 12 8 2" xfId="10985"/>
    <cellStyle name="Note 12 9" xfId="3770"/>
    <cellStyle name="Note 12 9 2" xfId="11095"/>
    <cellStyle name="Note 13" xfId="558"/>
    <cellStyle name="Note 13 2" xfId="1541"/>
    <cellStyle name="Note 13 2 2" xfId="3932"/>
    <cellStyle name="Note 13 2 2 2" xfId="11249"/>
    <cellStyle name="Note 13 2 3" xfId="5298"/>
    <cellStyle name="Note 13 2 3 2" xfId="12556"/>
    <cellStyle name="Note 13 2 4" xfId="6571"/>
    <cellStyle name="Note 13 2 4 2" xfId="13776"/>
    <cellStyle name="Note 13 2 5" xfId="7730"/>
    <cellStyle name="Note 13 2 5 2" xfId="14910"/>
    <cellStyle name="Note 13 2 6" xfId="9238"/>
    <cellStyle name="Note 13 3" xfId="1287"/>
    <cellStyle name="Note 13 3 2" xfId="3701"/>
    <cellStyle name="Note 13 3 2 2" xfId="11035"/>
    <cellStyle name="Note 13 3 3" xfId="5091"/>
    <cellStyle name="Note 13 3 3 2" xfId="12363"/>
    <cellStyle name="Note 13 3 4" xfId="6391"/>
    <cellStyle name="Note 13 3 4 2" xfId="13605"/>
    <cellStyle name="Note 13 3 5" xfId="7589"/>
    <cellStyle name="Note 13 3 5 2" xfId="14773"/>
    <cellStyle name="Note 13 3 6" xfId="9097"/>
    <cellStyle name="Note 13 4" xfId="2222"/>
    <cellStyle name="Note 13 4 2" xfId="4584"/>
    <cellStyle name="Note 13 4 2 2" xfId="11882"/>
    <cellStyle name="Note 13 4 3" xfId="5925"/>
    <cellStyle name="Note 13 4 3 2" xfId="13162"/>
    <cellStyle name="Note 13 4 4" xfId="7178"/>
    <cellStyle name="Note 13 4 4 2" xfId="14371"/>
    <cellStyle name="Note 13 4 5" xfId="8288"/>
    <cellStyle name="Note 13 4 5 2" xfId="15464"/>
    <cellStyle name="Note 13 4 6" xfId="9796"/>
    <cellStyle name="Note 13 5" xfId="3064"/>
    <cellStyle name="Note 13 5 2" xfId="10461"/>
    <cellStyle name="Note 13 6" xfId="2673"/>
    <cellStyle name="Note 13 6 2" xfId="10173"/>
    <cellStyle name="Note 13 7" xfId="3998"/>
    <cellStyle name="Note 13 7 2" xfId="11315"/>
    <cellStyle name="Note 13 8" xfId="3434"/>
    <cellStyle name="Note 13 8 2" xfId="10798"/>
    <cellStyle name="Note 13 9" xfId="8769"/>
    <cellStyle name="Note 14" xfId="645"/>
    <cellStyle name="Note 14 10" xfId="8829"/>
    <cellStyle name="Note 14 2" xfId="870"/>
    <cellStyle name="Note 14 2 2" xfId="1770"/>
    <cellStyle name="Note 14 2 2 2" xfId="4160"/>
    <cellStyle name="Note 14 2 2 2 2" xfId="11474"/>
    <cellStyle name="Note 14 2 2 3" xfId="5522"/>
    <cellStyle name="Note 14 2 2 3 2" xfId="12776"/>
    <cellStyle name="Note 14 2 2 4" xfId="6794"/>
    <cellStyle name="Note 14 2 2 4 2" xfId="13996"/>
    <cellStyle name="Note 14 2 2 5" xfId="7949"/>
    <cellStyle name="Note 14 2 2 5 2" xfId="15129"/>
    <cellStyle name="Note 14 2 2 6" xfId="9457"/>
    <cellStyle name="Note 14 2 3" xfId="2003"/>
    <cellStyle name="Note 14 2 3 2" xfId="4386"/>
    <cellStyle name="Note 14 2 3 2 2" xfId="11697"/>
    <cellStyle name="Note 14 2 3 3" xfId="5742"/>
    <cellStyle name="Note 14 2 3 3 2" xfId="12994"/>
    <cellStyle name="Note 14 2 3 4" xfId="7011"/>
    <cellStyle name="Note 14 2 3 4 2" xfId="14212"/>
    <cellStyle name="Note 14 2 3 5" xfId="8155"/>
    <cellStyle name="Note 14 2 3 5 2" xfId="15335"/>
    <cellStyle name="Note 14 2 3 6" xfId="9663"/>
    <cellStyle name="Note 14 2 4" xfId="2412"/>
    <cellStyle name="Note 14 2 4 2" xfId="4774"/>
    <cellStyle name="Note 14 2 4 2 2" xfId="12069"/>
    <cellStyle name="Note 14 2 4 3" xfId="6115"/>
    <cellStyle name="Note 14 2 4 3 2" xfId="13349"/>
    <cellStyle name="Note 14 2 4 4" xfId="7368"/>
    <cellStyle name="Note 14 2 4 4 2" xfId="14558"/>
    <cellStyle name="Note 14 2 4 5" xfId="8475"/>
    <cellStyle name="Note 14 2 4 5 2" xfId="15651"/>
    <cellStyle name="Note 14 2 4 6" xfId="9983"/>
    <cellStyle name="Note 14 2 5" xfId="3351"/>
    <cellStyle name="Note 14 2 5 2" xfId="10724"/>
    <cellStyle name="Note 14 2 6" xfId="3032"/>
    <cellStyle name="Note 14 2 6 2" xfId="10440"/>
    <cellStyle name="Note 14 2 7" xfId="5239"/>
    <cellStyle name="Note 14 2 7 2" xfId="12499"/>
    <cellStyle name="Note 14 2 8" xfId="6512"/>
    <cellStyle name="Note 14 2 8 2" xfId="13719"/>
    <cellStyle name="Note 14 2 9" xfId="8959"/>
    <cellStyle name="Note 14 3" xfId="1610"/>
    <cellStyle name="Note 14 3 2" xfId="4001"/>
    <cellStyle name="Note 14 3 2 2" xfId="11318"/>
    <cellStyle name="Note 14 3 3" xfId="5365"/>
    <cellStyle name="Note 14 3 3 2" xfId="12623"/>
    <cellStyle name="Note 14 3 4" xfId="6638"/>
    <cellStyle name="Note 14 3 4 2" xfId="13843"/>
    <cellStyle name="Note 14 3 5" xfId="7796"/>
    <cellStyle name="Note 14 3 5 2" xfId="14976"/>
    <cellStyle name="Note 14 3 6" xfId="9304"/>
    <cellStyle name="Note 14 4" xfId="1873"/>
    <cellStyle name="Note 14 4 2" xfId="4258"/>
    <cellStyle name="Note 14 4 2 2" xfId="11570"/>
    <cellStyle name="Note 14 4 3" xfId="5614"/>
    <cellStyle name="Note 14 4 3 2" xfId="12867"/>
    <cellStyle name="Note 14 4 4" xfId="6883"/>
    <cellStyle name="Note 14 4 4 2" xfId="14085"/>
    <cellStyle name="Note 14 4 5" xfId="8028"/>
    <cellStyle name="Note 14 4 5 2" xfId="15208"/>
    <cellStyle name="Note 14 4 6" xfId="9536"/>
    <cellStyle name="Note 14 5" xfId="2282"/>
    <cellStyle name="Note 14 5 2" xfId="4644"/>
    <cellStyle name="Note 14 5 2 2" xfId="11942"/>
    <cellStyle name="Note 14 5 3" xfId="5985"/>
    <cellStyle name="Note 14 5 3 2" xfId="13222"/>
    <cellStyle name="Note 14 5 4" xfId="7238"/>
    <cellStyle name="Note 14 5 4 2" xfId="14431"/>
    <cellStyle name="Note 14 5 5" xfId="8348"/>
    <cellStyle name="Note 14 5 5 2" xfId="15524"/>
    <cellStyle name="Note 14 5 6" xfId="9856"/>
    <cellStyle name="Note 14 6" xfId="3146"/>
    <cellStyle name="Note 14 6 2" xfId="10541"/>
    <cellStyle name="Note 14 7" xfId="2881"/>
    <cellStyle name="Note 14 7 2" xfId="10305"/>
    <cellStyle name="Note 14 8" xfId="3793"/>
    <cellStyle name="Note 14 8 2" xfId="11116"/>
    <cellStyle name="Note 14 9" xfId="5166"/>
    <cellStyle name="Note 14 9 2" xfId="12428"/>
    <cellStyle name="Note 15" xfId="745"/>
    <cellStyle name="Note 15 2" xfId="1651"/>
    <cellStyle name="Note 15 2 2" xfId="4041"/>
    <cellStyle name="Note 15 2 2 2" xfId="11355"/>
    <cellStyle name="Note 15 2 3" xfId="5403"/>
    <cellStyle name="Note 15 2 3 2" xfId="12657"/>
    <cellStyle name="Note 15 2 4" xfId="6675"/>
    <cellStyle name="Note 15 2 4 2" xfId="13877"/>
    <cellStyle name="Note 15 2 5" xfId="7830"/>
    <cellStyle name="Note 15 2 5 2" xfId="15010"/>
    <cellStyle name="Note 15 2 6" xfId="9338"/>
    <cellStyle name="Note 15 3" xfId="1891"/>
    <cellStyle name="Note 15 3 2" xfId="4274"/>
    <cellStyle name="Note 15 3 2 2" xfId="11585"/>
    <cellStyle name="Note 15 3 3" xfId="5630"/>
    <cellStyle name="Note 15 3 3 2" xfId="12882"/>
    <cellStyle name="Note 15 3 4" xfId="6899"/>
    <cellStyle name="Note 15 3 4 2" xfId="14100"/>
    <cellStyle name="Note 15 3 5" xfId="8043"/>
    <cellStyle name="Note 15 3 5 2" xfId="15223"/>
    <cellStyle name="Note 15 3 6" xfId="9551"/>
    <cellStyle name="Note 15 4" xfId="2300"/>
    <cellStyle name="Note 15 4 2" xfId="4662"/>
    <cellStyle name="Note 15 4 2 2" xfId="11957"/>
    <cellStyle name="Note 15 4 3" xfId="6003"/>
    <cellStyle name="Note 15 4 3 2" xfId="13237"/>
    <cellStyle name="Note 15 4 4" xfId="7256"/>
    <cellStyle name="Note 15 4 4 2" xfId="14446"/>
    <cellStyle name="Note 15 4 5" xfId="8363"/>
    <cellStyle name="Note 15 4 5 2" xfId="15539"/>
    <cellStyle name="Note 15 4 6" xfId="9871"/>
    <cellStyle name="Note 15 5" xfId="3229"/>
    <cellStyle name="Note 15 5 2" xfId="10604"/>
    <cellStyle name="Note 15 6" xfId="3164"/>
    <cellStyle name="Note 15 6 2" xfId="10556"/>
    <cellStyle name="Note 15 7" xfId="3182"/>
    <cellStyle name="Note 15 7 2" xfId="10569"/>
    <cellStyle name="Note 15 8" xfId="5812"/>
    <cellStyle name="Note 15 8 2" xfId="13062"/>
    <cellStyle name="Note 15 9" xfId="8847"/>
    <cellStyle name="Note 16" xfId="897"/>
    <cellStyle name="Note 16 2" xfId="1789"/>
    <cellStyle name="Note 16 2 2" xfId="4179"/>
    <cellStyle name="Note 16 2 2 2" xfId="11492"/>
    <cellStyle name="Note 16 2 3" xfId="5539"/>
    <cellStyle name="Note 16 2 3 2" xfId="12793"/>
    <cellStyle name="Note 16 2 4" xfId="6811"/>
    <cellStyle name="Note 16 2 4 2" xfId="14013"/>
    <cellStyle name="Note 16 2 5" xfId="7962"/>
    <cellStyle name="Note 16 2 5 2" xfId="15142"/>
    <cellStyle name="Note 16 2 6" xfId="9470"/>
    <cellStyle name="Note 16 3" xfId="2016"/>
    <cellStyle name="Note 16 3 2" xfId="4399"/>
    <cellStyle name="Note 16 3 2 2" xfId="11710"/>
    <cellStyle name="Note 16 3 3" xfId="5755"/>
    <cellStyle name="Note 16 3 3 2" xfId="13007"/>
    <cellStyle name="Note 16 3 4" xfId="7024"/>
    <cellStyle name="Note 16 3 4 2" xfId="14225"/>
    <cellStyle name="Note 16 3 5" xfId="8168"/>
    <cellStyle name="Note 16 3 5 2" xfId="15348"/>
    <cellStyle name="Note 16 3 6" xfId="9676"/>
    <cellStyle name="Note 16 4" xfId="2425"/>
    <cellStyle name="Note 16 4 2" xfId="4787"/>
    <cellStyle name="Note 16 4 2 2" xfId="12082"/>
    <cellStyle name="Note 16 4 3" xfId="6128"/>
    <cellStyle name="Note 16 4 3 2" xfId="13362"/>
    <cellStyle name="Note 16 4 4" xfId="7381"/>
    <cellStyle name="Note 16 4 4 2" xfId="14571"/>
    <cellStyle name="Note 16 4 5" xfId="8488"/>
    <cellStyle name="Note 16 4 5 2" xfId="15664"/>
    <cellStyle name="Note 16 4 6" xfId="9996"/>
    <cellStyle name="Note 16 5" xfId="3376"/>
    <cellStyle name="Note 16 5 2" xfId="10747"/>
    <cellStyle name="Note 16 6" xfId="3028"/>
    <cellStyle name="Note 16 6 2" xfId="10437"/>
    <cellStyle name="Note 16 7" xfId="5535"/>
    <cellStyle name="Note 16 7 2" xfId="12789"/>
    <cellStyle name="Note 16 8" xfId="6807"/>
    <cellStyle name="Note 16 8 2" xfId="14009"/>
    <cellStyle name="Note 16 9" xfId="8972"/>
    <cellStyle name="Note 17" xfId="940"/>
    <cellStyle name="Note 17 2" xfId="1814"/>
    <cellStyle name="Note 17 2 2" xfId="4201"/>
    <cellStyle name="Note 17 2 2 2" xfId="11514"/>
    <cellStyle name="Note 17 2 3" xfId="5559"/>
    <cellStyle name="Note 17 2 3 2" xfId="12813"/>
    <cellStyle name="Note 17 2 4" xfId="6830"/>
    <cellStyle name="Note 17 2 4 2" xfId="14032"/>
    <cellStyle name="Note 17 2 5" xfId="7980"/>
    <cellStyle name="Note 17 2 5 2" xfId="15160"/>
    <cellStyle name="Note 17 2 6" xfId="9488"/>
    <cellStyle name="Note 17 3" xfId="2031"/>
    <cellStyle name="Note 17 3 2" xfId="4413"/>
    <cellStyle name="Note 17 3 2 2" xfId="11723"/>
    <cellStyle name="Note 17 3 3" xfId="5769"/>
    <cellStyle name="Note 17 3 3 2" xfId="13020"/>
    <cellStyle name="Note 17 3 4" xfId="7038"/>
    <cellStyle name="Note 17 3 4 2" xfId="14238"/>
    <cellStyle name="Note 17 3 5" xfId="8181"/>
    <cellStyle name="Note 17 3 5 2" xfId="15361"/>
    <cellStyle name="Note 17 3 6" xfId="9689"/>
    <cellStyle name="Note 17 4" xfId="2440"/>
    <cellStyle name="Note 17 4 2" xfId="4802"/>
    <cellStyle name="Note 17 4 2 2" xfId="12095"/>
    <cellStyle name="Note 17 4 3" xfId="6143"/>
    <cellStyle name="Note 17 4 3 2" xfId="13375"/>
    <cellStyle name="Note 17 4 4" xfId="7396"/>
    <cellStyle name="Note 17 4 4 2" xfId="14584"/>
    <cellStyle name="Note 17 4 5" xfId="8501"/>
    <cellStyle name="Note 17 4 5 2" xfId="15677"/>
    <cellStyle name="Note 17 4 6" xfId="10009"/>
    <cellStyle name="Note 17 5" xfId="3412"/>
    <cellStyle name="Note 17 5 2" xfId="10777"/>
    <cellStyle name="Note 17 6" xfId="3188"/>
    <cellStyle name="Note 17 6 2" xfId="10575"/>
    <cellStyle name="Note 17 7" xfId="5816"/>
    <cellStyle name="Note 17 7 2" xfId="13066"/>
    <cellStyle name="Note 17 8" xfId="7083"/>
    <cellStyle name="Note 17 8 2" xfId="14283"/>
    <cellStyle name="Note 17 9" xfId="8987"/>
    <cellStyle name="Note 18" xfId="983"/>
    <cellStyle name="Note 18 2" xfId="1838"/>
    <cellStyle name="Note 18 2 2" xfId="4224"/>
    <cellStyle name="Note 18 2 2 2" xfId="11537"/>
    <cellStyle name="Note 18 2 3" xfId="5580"/>
    <cellStyle name="Note 18 2 3 2" xfId="12834"/>
    <cellStyle name="Note 18 2 4" xfId="6850"/>
    <cellStyle name="Note 18 2 4 2" xfId="14052"/>
    <cellStyle name="Note 18 2 5" xfId="7998"/>
    <cellStyle name="Note 18 2 5 2" xfId="15178"/>
    <cellStyle name="Note 18 2 6" xfId="9506"/>
    <cellStyle name="Note 18 3" xfId="2045"/>
    <cellStyle name="Note 18 3 2" xfId="4427"/>
    <cellStyle name="Note 18 3 2 2" xfId="11736"/>
    <cellStyle name="Note 18 3 3" xfId="5782"/>
    <cellStyle name="Note 18 3 3 2" xfId="13033"/>
    <cellStyle name="Note 18 3 4" xfId="7051"/>
    <cellStyle name="Note 18 3 4 2" xfId="14251"/>
    <cellStyle name="Note 18 3 5" xfId="8194"/>
    <cellStyle name="Note 18 3 5 2" xfId="15374"/>
    <cellStyle name="Note 18 3 6" xfId="9702"/>
    <cellStyle name="Note 18 4" xfId="2454"/>
    <cellStyle name="Note 18 4 2" xfId="4815"/>
    <cellStyle name="Note 18 4 2 2" xfId="12108"/>
    <cellStyle name="Note 18 4 3" xfId="6157"/>
    <cellStyle name="Note 18 4 3 2" xfId="13388"/>
    <cellStyle name="Note 18 4 4" xfId="7410"/>
    <cellStyle name="Note 18 4 4 2" xfId="14597"/>
    <cellStyle name="Note 18 4 5" xfId="8514"/>
    <cellStyle name="Note 18 4 5 2" xfId="15690"/>
    <cellStyle name="Note 18 4 6" xfId="10022"/>
    <cellStyle name="Note 18 5" xfId="3445"/>
    <cellStyle name="Note 18 5 2" xfId="10807"/>
    <cellStyle name="Note 18 6" xfId="3691"/>
    <cellStyle name="Note 18 6 2" xfId="11026"/>
    <cellStyle name="Note 18 7" xfId="2683"/>
    <cellStyle name="Note 18 7 2" xfId="10179"/>
    <cellStyle name="Note 18 8" xfId="2842"/>
    <cellStyle name="Note 18 8 2" xfId="10270"/>
    <cellStyle name="Note 18 9" xfId="9001"/>
    <cellStyle name="Note 19" xfId="1024"/>
    <cellStyle name="Note 19 2" xfId="1858"/>
    <cellStyle name="Note 19 2 2" xfId="4243"/>
    <cellStyle name="Note 19 2 2 2" xfId="11555"/>
    <cellStyle name="Note 19 2 3" xfId="5599"/>
    <cellStyle name="Note 19 2 3 2" xfId="12852"/>
    <cellStyle name="Note 19 2 4" xfId="6868"/>
    <cellStyle name="Note 19 2 4 2" xfId="14070"/>
    <cellStyle name="Note 19 2 5" xfId="8013"/>
    <cellStyle name="Note 19 2 5 2" xfId="15193"/>
    <cellStyle name="Note 19 2 6" xfId="9521"/>
    <cellStyle name="Note 19 3" xfId="2058"/>
    <cellStyle name="Note 19 3 2" xfId="4440"/>
    <cellStyle name="Note 19 3 2 2" xfId="11749"/>
    <cellStyle name="Note 19 3 3" xfId="5795"/>
    <cellStyle name="Note 19 3 3 2" xfId="13046"/>
    <cellStyle name="Note 19 3 4" xfId="7064"/>
    <cellStyle name="Note 19 3 4 2" xfId="14264"/>
    <cellStyle name="Note 19 3 5" xfId="8207"/>
    <cellStyle name="Note 19 3 5 2" xfId="15387"/>
    <cellStyle name="Note 19 3 6" xfId="9715"/>
    <cellStyle name="Note 19 4" xfId="2467"/>
    <cellStyle name="Note 19 4 2" xfId="4828"/>
    <cellStyle name="Note 19 4 2 2" xfId="12121"/>
    <cellStyle name="Note 19 4 3" xfId="6170"/>
    <cellStyle name="Note 19 4 3 2" xfId="13401"/>
    <cellStyle name="Note 19 4 4" xfId="7423"/>
    <cellStyle name="Note 19 4 4 2" xfId="14610"/>
    <cellStyle name="Note 19 4 5" xfId="8527"/>
    <cellStyle name="Note 19 4 5 2" xfId="15703"/>
    <cellStyle name="Note 19 4 6" xfId="10035"/>
    <cellStyle name="Note 19 5" xfId="3481"/>
    <cellStyle name="Note 19 5 2" xfId="10837"/>
    <cellStyle name="Note 19 6" xfId="3015"/>
    <cellStyle name="Note 19 6 2" xfId="10426"/>
    <cellStyle name="Note 19 7" xfId="5160"/>
    <cellStyle name="Note 19 7 2" xfId="12423"/>
    <cellStyle name="Note 19 8" xfId="6443"/>
    <cellStyle name="Note 19 8 2" xfId="13652"/>
    <cellStyle name="Note 19 9" xfId="9014"/>
    <cellStyle name="Note 2" xfId="209"/>
    <cellStyle name="Note 2 10" xfId="3747"/>
    <cellStyle name="Note 2 10 2" xfId="11077"/>
    <cellStyle name="Note 2 11" xfId="8694"/>
    <cellStyle name="Note 2 2" xfId="559"/>
    <cellStyle name="Note 2 2 2" xfId="1542"/>
    <cellStyle name="Note 2 2 2 2" xfId="3933"/>
    <cellStyle name="Note 2 2 2 2 2" xfId="11250"/>
    <cellStyle name="Note 2 2 2 3" xfId="5299"/>
    <cellStyle name="Note 2 2 2 3 2" xfId="12557"/>
    <cellStyle name="Note 2 2 2 4" xfId="6572"/>
    <cellStyle name="Note 2 2 2 4 2" xfId="13777"/>
    <cellStyle name="Note 2 2 2 5" xfId="7731"/>
    <cellStyle name="Note 2 2 2 5 2" xfId="14911"/>
    <cellStyle name="Note 2 2 2 6" xfId="9239"/>
    <cellStyle name="Note 2 2 3" xfId="1419"/>
    <cellStyle name="Note 2 2 3 2" xfId="3816"/>
    <cellStyle name="Note 2 2 3 2 2" xfId="11137"/>
    <cellStyle name="Note 2 2 3 3" xfId="5186"/>
    <cellStyle name="Note 2 2 3 3 2" xfId="12448"/>
    <cellStyle name="Note 2 2 3 4" xfId="6462"/>
    <cellStyle name="Note 2 2 3 4 2" xfId="13671"/>
    <cellStyle name="Note 2 2 3 5" xfId="7631"/>
    <cellStyle name="Note 2 2 3 5 2" xfId="14811"/>
    <cellStyle name="Note 2 2 3 6" xfId="9139"/>
    <cellStyle name="Note 2 2 4" xfId="2223"/>
    <cellStyle name="Note 2 2 4 2" xfId="4585"/>
    <cellStyle name="Note 2 2 4 2 2" xfId="11883"/>
    <cellStyle name="Note 2 2 4 3" xfId="5926"/>
    <cellStyle name="Note 2 2 4 3 2" xfId="13163"/>
    <cellStyle name="Note 2 2 4 4" xfId="7179"/>
    <cellStyle name="Note 2 2 4 4 2" xfId="14372"/>
    <cellStyle name="Note 2 2 4 5" xfId="8289"/>
    <cellStyle name="Note 2 2 4 5 2" xfId="15465"/>
    <cellStyle name="Note 2 2 4 6" xfId="9797"/>
    <cellStyle name="Note 2 2 5" xfId="3065"/>
    <cellStyle name="Note 2 2 5 2" xfId="10462"/>
    <cellStyle name="Note 2 2 6" xfId="2969"/>
    <cellStyle name="Note 2 2 6 2" xfId="10386"/>
    <cellStyle name="Note 2 2 7" xfId="3456"/>
    <cellStyle name="Note 2 2 7 2" xfId="10817"/>
    <cellStyle name="Note 2 2 8" xfId="4966"/>
    <cellStyle name="Note 2 2 8 2" xfId="12252"/>
    <cellStyle name="Note 2 2 9" xfId="8770"/>
    <cellStyle name="Note 2 3" xfId="746"/>
    <cellStyle name="Note 2 3 2" xfId="1652"/>
    <cellStyle name="Note 2 3 2 2" xfId="4042"/>
    <cellStyle name="Note 2 3 2 2 2" xfId="11356"/>
    <cellStyle name="Note 2 3 2 3" xfId="5404"/>
    <cellStyle name="Note 2 3 2 3 2" xfId="12658"/>
    <cellStyle name="Note 2 3 2 4" xfId="6676"/>
    <cellStyle name="Note 2 3 2 4 2" xfId="13878"/>
    <cellStyle name="Note 2 3 2 5" xfId="7831"/>
    <cellStyle name="Note 2 3 2 5 2" xfId="15011"/>
    <cellStyle name="Note 2 3 2 6" xfId="9339"/>
    <cellStyle name="Note 2 3 3" xfId="1892"/>
    <cellStyle name="Note 2 3 3 2" xfId="4275"/>
    <cellStyle name="Note 2 3 3 2 2" xfId="11586"/>
    <cellStyle name="Note 2 3 3 3" xfId="5631"/>
    <cellStyle name="Note 2 3 3 3 2" xfId="12883"/>
    <cellStyle name="Note 2 3 3 4" xfId="6900"/>
    <cellStyle name="Note 2 3 3 4 2" xfId="14101"/>
    <cellStyle name="Note 2 3 3 5" xfId="8044"/>
    <cellStyle name="Note 2 3 3 5 2" xfId="15224"/>
    <cellStyle name="Note 2 3 3 6" xfId="9552"/>
    <cellStyle name="Note 2 3 4" xfId="2301"/>
    <cellStyle name="Note 2 3 4 2" xfId="4663"/>
    <cellStyle name="Note 2 3 4 2 2" xfId="11958"/>
    <cellStyle name="Note 2 3 4 3" xfId="6004"/>
    <cellStyle name="Note 2 3 4 3 2" xfId="13238"/>
    <cellStyle name="Note 2 3 4 4" xfId="7257"/>
    <cellStyle name="Note 2 3 4 4 2" xfId="14447"/>
    <cellStyle name="Note 2 3 4 5" xfId="8364"/>
    <cellStyle name="Note 2 3 4 5 2" xfId="15540"/>
    <cellStyle name="Note 2 3 4 6" xfId="9872"/>
    <cellStyle name="Note 2 3 5" xfId="3230"/>
    <cellStyle name="Note 2 3 5 2" xfId="10605"/>
    <cellStyle name="Note 2 3 6" xfId="3001"/>
    <cellStyle name="Note 2 3 6 2" xfId="10414"/>
    <cellStyle name="Note 2 3 7" xfId="3022"/>
    <cellStyle name="Note 2 3 7 2" xfId="10432"/>
    <cellStyle name="Note 2 3 8" xfId="5235"/>
    <cellStyle name="Note 2 3 8 2" xfId="12495"/>
    <cellStyle name="Note 2 3 9" xfId="8848"/>
    <cellStyle name="Note 2 4" xfId="1373"/>
    <cellStyle name="Note 2 4 2" xfId="3775"/>
    <cellStyle name="Note 2 4 2 2" xfId="11098"/>
    <cellStyle name="Note 2 4 3" xfId="5151"/>
    <cellStyle name="Note 2 4 3 2" xfId="12414"/>
    <cellStyle name="Note 2 4 4" xfId="6434"/>
    <cellStyle name="Note 2 4 4 2" xfId="13643"/>
    <cellStyle name="Note 2 4 5" xfId="7617"/>
    <cellStyle name="Note 2 4 5 2" xfId="14797"/>
    <cellStyle name="Note 2 4 6" xfId="9125"/>
    <cellStyle name="Note 2 5" xfId="1472"/>
    <cellStyle name="Note 2 5 2" xfId="3867"/>
    <cellStyle name="Note 2 5 2 2" xfId="11188"/>
    <cellStyle name="Note 2 5 3" xfId="5237"/>
    <cellStyle name="Note 2 5 3 2" xfId="12497"/>
    <cellStyle name="Note 2 5 4" xfId="6510"/>
    <cellStyle name="Note 2 5 4 2" xfId="13717"/>
    <cellStyle name="Note 2 5 5" xfId="7674"/>
    <cellStyle name="Note 2 5 5 2" xfId="14854"/>
    <cellStyle name="Note 2 5 6" xfId="9182"/>
    <cellStyle name="Note 2 6" xfId="2147"/>
    <cellStyle name="Note 2 6 2" xfId="4512"/>
    <cellStyle name="Note 2 6 2 2" xfId="11811"/>
    <cellStyle name="Note 2 6 3" xfId="5856"/>
    <cellStyle name="Note 2 6 3 2" xfId="13094"/>
    <cellStyle name="Note 2 6 4" xfId="7111"/>
    <cellStyle name="Note 2 6 4 2" xfId="14305"/>
    <cellStyle name="Note 2 6 5" xfId="8227"/>
    <cellStyle name="Note 2 6 5 2" xfId="15403"/>
    <cellStyle name="Note 2 6 6" xfId="9735"/>
    <cellStyle name="Note 2 7" xfId="2770"/>
    <cellStyle name="Note 2 7 2" xfId="10229"/>
    <cellStyle name="Note 2 8" xfId="3763"/>
    <cellStyle name="Note 2 8 2" xfId="11089"/>
    <cellStyle name="Note 2 9" xfId="2790"/>
    <cellStyle name="Note 2 9 2" xfId="10243"/>
    <cellStyle name="Note 20" xfId="1065"/>
    <cellStyle name="Note 20 2" xfId="2480"/>
    <cellStyle name="Note 20 2 2" xfId="4841"/>
    <cellStyle name="Note 20 2 2 2" xfId="12134"/>
    <cellStyle name="Note 20 2 3" xfId="6183"/>
    <cellStyle name="Note 20 2 3 2" xfId="13414"/>
    <cellStyle name="Note 20 2 4" xfId="7436"/>
    <cellStyle name="Note 20 2 4 2" xfId="14623"/>
    <cellStyle name="Note 20 2 5" xfId="8540"/>
    <cellStyle name="Note 20 2 5 2" xfId="15716"/>
    <cellStyle name="Note 20 2 6" xfId="10048"/>
    <cellStyle name="Note 20 3" xfId="3511"/>
    <cellStyle name="Note 20 3 2" xfId="10865"/>
    <cellStyle name="Note 20 4" xfId="3787"/>
    <cellStyle name="Note 20 4 2" xfId="11110"/>
    <cellStyle name="Note 20 5" xfId="3513"/>
    <cellStyle name="Note 20 5 2" xfId="10867"/>
    <cellStyle name="Note 20 6" xfId="5020"/>
    <cellStyle name="Note 20 6 2" xfId="12298"/>
    <cellStyle name="Note 20 7" xfId="9027"/>
    <cellStyle name="Note 21" xfId="1106"/>
    <cellStyle name="Note 21 2" xfId="2493"/>
    <cellStyle name="Note 21 2 2" xfId="4854"/>
    <cellStyle name="Note 21 2 2 2" xfId="12147"/>
    <cellStyle name="Note 21 2 3" xfId="6196"/>
    <cellStyle name="Note 21 2 3 2" xfId="13427"/>
    <cellStyle name="Note 21 2 4" xfId="7449"/>
    <cellStyle name="Note 21 2 4 2" xfId="14636"/>
    <cellStyle name="Note 21 2 5" xfId="8553"/>
    <cellStyle name="Note 21 2 5 2" xfId="15729"/>
    <cellStyle name="Note 21 2 6" xfId="10061"/>
    <cellStyle name="Note 21 3" xfId="3548"/>
    <cellStyle name="Note 21 3 2" xfId="10898"/>
    <cellStyle name="Note 21 4" xfId="4956"/>
    <cellStyle name="Note 21 4 2" xfId="12243"/>
    <cellStyle name="Note 21 5" xfId="6289"/>
    <cellStyle name="Note 21 5 2" xfId="13513"/>
    <cellStyle name="Note 21 6" xfId="7532"/>
    <cellStyle name="Note 21 6 2" xfId="14716"/>
    <cellStyle name="Note 21 7" xfId="9040"/>
    <cellStyle name="Note 22" xfId="1147"/>
    <cellStyle name="Note 22 2" xfId="2506"/>
    <cellStyle name="Note 22 2 2" xfId="4867"/>
    <cellStyle name="Note 22 2 2 2" xfId="12160"/>
    <cellStyle name="Note 22 2 3" xfId="6209"/>
    <cellStyle name="Note 22 2 3 2" xfId="13440"/>
    <cellStyle name="Note 22 2 4" xfId="7462"/>
    <cellStyle name="Note 22 2 4 2" xfId="14649"/>
    <cellStyle name="Note 22 2 5" xfId="8566"/>
    <cellStyle name="Note 22 2 5 2" xfId="15742"/>
    <cellStyle name="Note 22 2 6" xfId="10074"/>
    <cellStyle name="Note 22 3" xfId="3583"/>
    <cellStyle name="Note 22 3 2" xfId="10930"/>
    <cellStyle name="Note 22 4" xfId="4989"/>
    <cellStyle name="Note 22 4 2" xfId="12271"/>
    <cellStyle name="Note 22 5" xfId="6312"/>
    <cellStyle name="Note 22 5 2" xfId="13533"/>
    <cellStyle name="Note 22 6" xfId="7545"/>
    <cellStyle name="Note 22 6 2" xfId="14729"/>
    <cellStyle name="Note 22 7" xfId="9053"/>
    <cellStyle name="Note 23" xfId="1188"/>
    <cellStyle name="Note 23 2" xfId="2519"/>
    <cellStyle name="Note 23 2 2" xfId="4880"/>
    <cellStyle name="Note 23 2 2 2" xfId="12173"/>
    <cellStyle name="Note 23 2 3" xfId="6222"/>
    <cellStyle name="Note 23 2 3 2" xfId="13453"/>
    <cellStyle name="Note 23 2 4" xfId="7475"/>
    <cellStyle name="Note 23 2 4 2" xfId="14662"/>
    <cellStyle name="Note 23 2 5" xfId="8579"/>
    <cellStyle name="Note 23 2 5 2" xfId="15755"/>
    <cellStyle name="Note 23 2 6" xfId="10087"/>
    <cellStyle name="Note 23 3" xfId="3618"/>
    <cellStyle name="Note 23 3 2" xfId="10960"/>
    <cellStyle name="Note 23 4" xfId="5018"/>
    <cellStyle name="Note 23 4 2" xfId="12297"/>
    <cellStyle name="Note 23 5" xfId="6337"/>
    <cellStyle name="Note 23 5 2" xfId="13555"/>
    <cellStyle name="Note 23 6" xfId="7558"/>
    <cellStyle name="Note 23 6 2" xfId="14742"/>
    <cellStyle name="Note 23 7" xfId="9066"/>
    <cellStyle name="Note 24" xfId="1229"/>
    <cellStyle name="Note 24 2" xfId="2532"/>
    <cellStyle name="Note 24 2 2" xfId="4893"/>
    <cellStyle name="Note 24 2 2 2" xfId="12186"/>
    <cellStyle name="Note 24 2 3" xfId="6235"/>
    <cellStyle name="Note 24 2 3 2" xfId="13466"/>
    <cellStyle name="Note 24 2 4" xfId="7488"/>
    <cellStyle name="Note 24 2 4 2" xfId="14675"/>
    <cellStyle name="Note 24 2 5" xfId="8592"/>
    <cellStyle name="Note 24 2 5 2" xfId="15768"/>
    <cellStyle name="Note 24 2 6" xfId="10100"/>
    <cellStyle name="Note 24 3" xfId="3654"/>
    <cellStyle name="Note 24 3 2" xfId="10991"/>
    <cellStyle name="Note 24 4" xfId="5047"/>
    <cellStyle name="Note 24 4 2" xfId="12322"/>
    <cellStyle name="Note 24 5" xfId="6359"/>
    <cellStyle name="Note 24 5 2" xfId="13574"/>
    <cellStyle name="Note 24 6" xfId="7571"/>
    <cellStyle name="Note 24 6 2" xfId="14755"/>
    <cellStyle name="Note 24 7" xfId="9079"/>
    <cellStyle name="Note 25" xfId="1372"/>
    <cellStyle name="Note 25 2" xfId="3774"/>
    <cellStyle name="Note 25 2 2" xfId="11097"/>
    <cellStyle name="Note 25 3" xfId="5150"/>
    <cellStyle name="Note 25 3 2" xfId="12413"/>
    <cellStyle name="Note 25 4" xfId="6433"/>
    <cellStyle name="Note 25 4 2" xfId="13642"/>
    <cellStyle name="Note 25 5" xfId="7616"/>
    <cellStyle name="Note 25 5 2" xfId="14796"/>
    <cellStyle name="Note 25 6" xfId="9124"/>
    <cellStyle name="Note 26" xfId="1498"/>
    <cellStyle name="Note 26 2" xfId="3891"/>
    <cellStyle name="Note 26 2 2" xfId="11210"/>
    <cellStyle name="Note 26 3" xfId="5260"/>
    <cellStyle name="Note 26 3 2" xfId="12519"/>
    <cellStyle name="Note 26 4" xfId="6533"/>
    <cellStyle name="Note 26 4 2" xfId="13739"/>
    <cellStyle name="Note 26 5" xfId="7694"/>
    <cellStyle name="Note 26 5 2" xfId="14874"/>
    <cellStyle name="Note 26 6" xfId="9202"/>
    <cellStyle name="Note 27" xfId="2146"/>
    <cellStyle name="Note 27 2" xfId="4511"/>
    <cellStyle name="Note 27 2 2" xfId="11810"/>
    <cellStyle name="Note 27 3" xfId="5855"/>
    <cellStyle name="Note 27 3 2" xfId="13093"/>
    <cellStyle name="Note 27 4" xfId="7110"/>
    <cellStyle name="Note 27 4 2" xfId="14304"/>
    <cellStyle name="Note 27 5" xfId="8226"/>
    <cellStyle name="Note 27 5 2" xfId="15402"/>
    <cellStyle name="Note 27 6" xfId="9734"/>
    <cellStyle name="Note 28" xfId="2559"/>
    <cellStyle name="Note 28 2" xfId="4914"/>
    <cellStyle name="Note 28 2 2" xfId="12204"/>
    <cellStyle name="Note 28 3" xfId="6257"/>
    <cellStyle name="Note 28 3 2" xfId="13485"/>
    <cellStyle name="Note 28 4" xfId="7505"/>
    <cellStyle name="Note 28 4 2" xfId="14691"/>
    <cellStyle name="Note 28 5" xfId="8605"/>
    <cellStyle name="Note 28 5 2" xfId="15781"/>
    <cellStyle name="Note 28 6" xfId="10113"/>
    <cellStyle name="Note 29" xfId="2769"/>
    <cellStyle name="Note 29 2" xfId="10228"/>
    <cellStyle name="Note 3" xfId="210"/>
    <cellStyle name="Note 3 10" xfId="7105"/>
    <cellStyle name="Note 3 10 2" xfId="14302"/>
    <cellStyle name="Note 3 11" xfId="8695"/>
    <cellStyle name="Note 3 2" xfId="560"/>
    <cellStyle name="Note 3 2 2" xfId="1543"/>
    <cellStyle name="Note 3 2 2 2" xfId="3934"/>
    <cellStyle name="Note 3 2 2 2 2" xfId="11251"/>
    <cellStyle name="Note 3 2 2 3" xfId="5300"/>
    <cellStyle name="Note 3 2 2 3 2" xfId="12558"/>
    <cellStyle name="Note 3 2 2 4" xfId="6573"/>
    <cellStyle name="Note 3 2 2 4 2" xfId="13778"/>
    <cellStyle name="Note 3 2 2 5" xfId="7732"/>
    <cellStyle name="Note 3 2 2 5 2" xfId="14912"/>
    <cellStyle name="Note 3 2 2 6" xfId="9240"/>
    <cellStyle name="Note 3 2 3" xfId="1661"/>
    <cellStyle name="Note 3 2 3 2" xfId="4051"/>
    <cellStyle name="Note 3 2 3 2 2" xfId="11365"/>
    <cellStyle name="Note 3 2 3 3" xfId="5413"/>
    <cellStyle name="Note 3 2 3 3 2" xfId="12667"/>
    <cellStyle name="Note 3 2 3 4" xfId="6685"/>
    <cellStyle name="Note 3 2 3 4 2" xfId="13887"/>
    <cellStyle name="Note 3 2 3 5" xfId="7840"/>
    <cellStyle name="Note 3 2 3 5 2" xfId="15020"/>
    <cellStyle name="Note 3 2 3 6" xfId="9348"/>
    <cellStyle name="Note 3 2 4" xfId="2224"/>
    <cellStyle name="Note 3 2 4 2" xfId="4586"/>
    <cellStyle name="Note 3 2 4 2 2" xfId="11884"/>
    <cellStyle name="Note 3 2 4 3" xfId="5927"/>
    <cellStyle name="Note 3 2 4 3 2" xfId="13164"/>
    <cellStyle name="Note 3 2 4 4" xfId="7180"/>
    <cellStyle name="Note 3 2 4 4 2" xfId="14373"/>
    <cellStyle name="Note 3 2 4 5" xfId="8290"/>
    <cellStyle name="Note 3 2 4 5 2" xfId="15466"/>
    <cellStyle name="Note 3 2 4 6" xfId="9798"/>
    <cellStyle name="Note 3 2 5" xfId="3066"/>
    <cellStyle name="Note 3 2 5 2" xfId="10463"/>
    <cellStyle name="Note 3 2 6" xfId="2933"/>
    <cellStyle name="Note 3 2 6 2" xfId="10354"/>
    <cellStyle name="Note 3 2 7" xfId="2941"/>
    <cellStyle name="Note 3 2 7 2" xfId="10360"/>
    <cellStyle name="Note 3 2 8" xfId="3629"/>
    <cellStyle name="Note 3 2 8 2" xfId="10969"/>
    <cellStyle name="Note 3 2 9" xfId="8771"/>
    <cellStyle name="Note 3 3" xfId="747"/>
    <cellStyle name="Note 3 3 2" xfId="1653"/>
    <cellStyle name="Note 3 3 2 2" xfId="4043"/>
    <cellStyle name="Note 3 3 2 2 2" xfId="11357"/>
    <cellStyle name="Note 3 3 2 3" xfId="5405"/>
    <cellStyle name="Note 3 3 2 3 2" xfId="12659"/>
    <cellStyle name="Note 3 3 2 4" xfId="6677"/>
    <cellStyle name="Note 3 3 2 4 2" xfId="13879"/>
    <cellStyle name="Note 3 3 2 5" xfId="7832"/>
    <cellStyle name="Note 3 3 2 5 2" xfId="15012"/>
    <cellStyle name="Note 3 3 2 6" xfId="9340"/>
    <cellStyle name="Note 3 3 3" xfId="1893"/>
    <cellStyle name="Note 3 3 3 2" xfId="4276"/>
    <cellStyle name="Note 3 3 3 2 2" xfId="11587"/>
    <cellStyle name="Note 3 3 3 3" xfId="5632"/>
    <cellStyle name="Note 3 3 3 3 2" xfId="12884"/>
    <cellStyle name="Note 3 3 3 4" xfId="6901"/>
    <cellStyle name="Note 3 3 3 4 2" xfId="14102"/>
    <cellStyle name="Note 3 3 3 5" xfId="8045"/>
    <cellStyle name="Note 3 3 3 5 2" xfId="15225"/>
    <cellStyle name="Note 3 3 3 6" xfId="9553"/>
    <cellStyle name="Note 3 3 4" xfId="2302"/>
    <cellStyle name="Note 3 3 4 2" xfId="4664"/>
    <cellStyle name="Note 3 3 4 2 2" xfId="11959"/>
    <cellStyle name="Note 3 3 4 3" xfId="6005"/>
    <cellStyle name="Note 3 3 4 3 2" xfId="13239"/>
    <cellStyle name="Note 3 3 4 4" xfId="7258"/>
    <cellStyle name="Note 3 3 4 4 2" xfId="14448"/>
    <cellStyle name="Note 3 3 4 5" xfId="8365"/>
    <cellStyle name="Note 3 3 4 5 2" xfId="15541"/>
    <cellStyle name="Note 3 3 4 6" xfId="9873"/>
    <cellStyle name="Note 3 3 5" xfId="3231"/>
    <cellStyle name="Note 3 3 5 2" xfId="10606"/>
    <cellStyle name="Note 3 3 6" xfId="2643"/>
    <cellStyle name="Note 3 3 6 2" xfId="10146"/>
    <cellStyle name="Note 3 3 7" xfId="4467"/>
    <cellStyle name="Note 3 3 7 2" xfId="11775"/>
    <cellStyle name="Note 3 3 8" xfId="5089"/>
    <cellStyle name="Note 3 3 8 2" xfId="12361"/>
    <cellStyle name="Note 3 3 9" xfId="8849"/>
    <cellStyle name="Note 3 4" xfId="1374"/>
    <cellStyle name="Note 3 4 2" xfId="3776"/>
    <cellStyle name="Note 3 4 2 2" xfId="11099"/>
    <cellStyle name="Note 3 4 3" xfId="5152"/>
    <cellStyle name="Note 3 4 3 2" xfId="12415"/>
    <cellStyle name="Note 3 4 4" xfId="6435"/>
    <cellStyle name="Note 3 4 4 2" xfId="13644"/>
    <cellStyle name="Note 3 4 5" xfId="7618"/>
    <cellStyle name="Note 3 4 5 2" xfId="14798"/>
    <cellStyle name="Note 3 4 6" xfId="9126"/>
    <cellStyle name="Note 3 5" xfId="1452"/>
    <cellStyle name="Note 3 5 2" xfId="3849"/>
    <cellStyle name="Note 3 5 2 2" xfId="11170"/>
    <cellStyle name="Note 3 5 3" xfId="5217"/>
    <cellStyle name="Note 3 5 3 2" xfId="12478"/>
    <cellStyle name="Note 3 5 4" xfId="6493"/>
    <cellStyle name="Note 3 5 4 2" xfId="13701"/>
    <cellStyle name="Note 3 5 5" xfId="7659"/>
    <cellStyle name="Note 3 5 5 2" xfId="14839"/>
    <cellStyle name="Note 3 5 6" xfId="9167"/>
    <cellStyle name="Note 3 6" xfId="2148"/>
    <cellStyle name="Note 3 6 2" xfId="4513"/>
    <cellStyle name="Note 3 6 2 2" xfId="11812"/>
    <cellStyle name="Note 3 6 3" xfId="5857"/>
    <cellStyle name="Note 3 6 3 2" xfId="13095"/>
    <cellStyle name="Note 3 6 4" xfId="7112"/>
    <cellStyle name="Note 3 6 4 2" xfId="14306"/>
    <cellStyle name="Note 3 6 5" xfId="8228"/>
    <cellStyle name="Note 3 6 5 2" xfId="15404"/>
    <cellStyle name="Note 3 6 6" xfId="9736"/>
    <cellStyle name="Note 3 7" xfId="2771"/>
    <cellStyle name="Note 3 7 2" xfId="10230"/>
    <cellStyle name="Note 3 8" xfId="3218"/>
    <cellStyle name="Note 3 8 2" xfId="10596"/>
    <cellStyle name="Note 3 9" xfId="5847"/>
    <cellStyle name="Note 3 9 2" xfId="13088"/>
    <cellStyle name="Note 30" xfId="3745"/>
    <cellStyle name="Note 30 2" xfId="11076"/>
    <cellStyle name="Note 31" xfId="2675"/>
    <cellStyle name="Note 31 2" xfId="10174"/>
    <cellStyle name="Note 32" xfId="3209"/>
    <cellStyle name="Note 32 2" xfId="10593"/>
    <cellStyle name="Note 33" xfId="8693"/>
    <cellStyle name="Note 4" xfId="211"/>
    <cellStyle name="Note 5" xfId="212"/>
    <cellStyle name="Note 6" xfId="213"/>
    <cellStyle name="Note 7" xfId="251"/>
    <cellStyle name="Note 7 10" xfId="3025"/>
    <cellStyle name="Note 7 11" xfId="8701"/>
    <cellStyle name="Note 7 2" xfId="566"/>
    <cellStyle name="Note 7 3" xfId="753"/>
    <cellStyle name="Note 7 4" xfId="1393"/>
    <cellStyle name="Note 7 5" xfId="1429"/>
    <cellStyle name="Note 7 6" xfId="2154"/>
    <cellStyle name="Note 7 7" xfId="2805"/>
    <cellStyle name="Note 7 8" xfId="3869"/>
    <cellStyle name="Note 7 9" xfId="2981"/>
    <cellStyle name="Note 8" xfId="296"/>
    <cellStyle name="Note 9" xfId="337"/>
    <cellStyle name="Note 9 10" xfId="3223"/>
    <cellStyle name="Note 9 10 2" xfId="10598"/>
    <cellStyle name="Note 9 11" xfId="8714"/>
    <cellStyle name="Note 9 2" xfId="579"/>
    <cellStyle name="Note 9 2 10" xfId="8777"/>
    <cellStyle name="Note 9 2 2" xfId="818"/>
    <cellStyle name="Note 9 2 2 2" xfId="1718"/>
    <cellStyle name="Note 9 2 2 2 2" xfId="4108"/>
    <cellStyle name="Note 9 2 2 2 2 2" xfId="11422"/>
    <cellStyle name="Note 9 2 2 2 3" xfId="5470"/>
    <cellStyle name="Note 9 2 2 2 3 2" xfId="12724"/>
    <cellStyle name="Note 9 2 2 2 4" xfId="6742"/>
    <cellStyle name="Note 9 2 2 2 4 2" xfId="13944"/>
    <cellStyle name="Note 9 2 2 2 5" xfId="7897"/>
    <cellStyle name="Note 9 2 2 2 5 2" xfId="15077"/>
    <cellStyle name="Note 9 2 2 2 6" xfId="9405"/>
    <cellStyle name="Note 9 2 2 3" xfId="1951"/>
    <cellStyle name="Note 9 2 2 3 2" xfId="4334"/>
    <cellStyle name="Note 9 2 2 3 2 2" xfId="11645"/>
    <cellStyle name="Note 9 2 2 3 3" xfId="5690"/>
    <cellStyle name="Note 9 2 2 3 3 2" xfId="12942"/>
    <cellStyle name="Note 9 2 2 3 4" xfId="6959"/>
    <cellStyle name="Note 9 2 2 3 4 2" xfId="14160"/>
    <cellStyle name="Note 9 2 2 3 5" xfId="8103"/>
    <cellStyle name="Note 9 2 2 3 5 2" xfId="15283"/>
    <cellStyle name="Note 9 2 2 3 6" xfId="9611"/>
    <cellStyle name="Note 9 2 2 4" xfId="2360"/>
    <cellStyle name="Note 9 2 2 4 2" xfId="4722"/>
    <cellStyle name="Note 9 2 2 4 2 2" xfId="12017"/>
    <cellStyle name="Note 9 2 2 4 3" xfId="6063"/>
    <cellStyle name="Note 9 2 2 4 3 2" xfId="13297"/>
    <cellStyle name="Note 9 2 2 4 4" xfId="7316"/>
    <cellStyle name="Note 9 2 2 4 4 2" xfId="14506"/>
    <cellStyle name="Note 9 2 2 4 5" xfId="8423"/>
    <cellStyle name="Note 9 2 2 4 5 2" xfId="15599"/>
    <cellStyle name="Note 9 2 2 4 6" xfId="9931"/>
    <cellStyle name="Note 9 2 2 5" xfId="3299"/>
    <cellStyle name="Note 9 2 2 5 2" xfId="10672"/>
    <cellStyle name="Note 9 2 2 6" xfId="4222"/>
    <cellStyle name="Note 9 2 2 6 2" xfId="11535"/>
    <cellStyle name="Note 9 2 2 7" xfId="3387"/>
    <cellStyle name="Note 9 2 2 7 2" xfId="10758"/>
    <cellStyle name="Note 9 2 2 8" xfId="4178"/>
    <cellStyle name="Note 9 2 2 8 2" xfId="11491"/>
    <cellStyle name="Note 9 2 2 9" xfId="8907"/>
    <cellStyle name="Note 9 2 3" xfId="1555"/>
    <cellStyle name="Note 9 2 3 2" xfId="3946"/>
    <cellStyle name="Note 9 2 3 2 2" xfId="11263"/>
    <cellStyle name="Note 9 2 3 3" xfId="5312"/>
    <cellStyle name="Note 9 2 3 3 2" xfId="12570"/>
    <cellStyle name="Note 9 2 3 4" xfId="6585"/>
    <cellStyle name="Note 9 2 3 4 2" xfId="13790"/>
    <cellStyle name="Note 9 2 3 5" xfId="7744"/>
    <cellStyle name="Note 9 2 3 5 2" xfId="14924"/>
    <cellStyle name="Note 9 2 3 6" xfId="9252"/>
    <cellStyle name="Note 9 2 4" xfId="1427"/>
    <cellStyle name="Note 9 2 4 2" xfId="3824"/>
    <cellStyle name="Note 9 2 4 2 2" xfId="11145"/>
    <cellStyle name="Note 9 2 4 3" xfId="5194"/>
    <cellStyle name="Note 9 2 4 3 2" xfId="12456"/>
    <cellStyle name="Note 9 2 4 4" xfId="6470"/>
    <cellStyle name="Note 9 2 4 4 2" xfId="13679"/>
    <cellStyle name="Note 9 2 4 5" xfId="7639"/>
    <cellStyle name="Note 9 2 4 5 2" xfId="14819"/>
    <cellStyle name="Note 9 2 4 6" xfId="9147"/>
    <cellStyle name="Note 9 2 5" xfId="2230"/>
    <cellStyle name="Note 9 2 5 2" xfId="4592"/>
    <cellStyle name="Note 9 2 5 2 2" xfId="11890"/>
    <cellStyle name="Note 9 2 5 3" xfId="5933"/>
    <cellStyle name="Note 9 2 5 3 2" xfId="13170"/>
    <cellStyle name="Note 9 2 5 4" xfId="7186"/>
    <cellStyle name="Note 9 2 5 4 2" xfId="14379"/>
    <cellStyle name="Note 9 2 5 5" xfId="8296"/>
    <cellStyle name="Note 9 2 5 5 2" xfId="15472"/>
    <cellStyle name="Note 9 2 5 6" xfId="9804"/>
    <cellStyle name="Note 9 2 6" xfId="3083"/>
    <cellStyle name="Note 9 2 6 2" xfId="10480"/>
    <cellStyle name="Note 9 2 7" xfId="2670"/>
    <cellStyle name="Note 9 2 7 2" xfId="10170"/>
    <cellStyle name="Note 9 2 8" xfId="2613"/>
    <cellStyle name="Note 9 2 8 2" xfId="10131"/>
    <cellStyle name="Note 9 2 9" xfId="5088"/>
    <cellStyle name="Note 9 2 9 2" xfId="12360"/>
    <cellStyle name="Note 9 3" xfId="766"/>
    <cellStyle name="Note 9 3 2" xfId="1666"/>
    <cellStyle name="Note 9 3 2 2" xfId="4056"/>
    <cellStyle name="Note 9 3 2 2 2" xfId="11370"/>
    <cellStyle name="Note 9 3 2 3" xfId="5418"/>
    <cellStyle name="Note 9 3 2 3 2" xfId="12672"/>
    <cellStyle name="Note 9 3 2 4" xfId="6690"/>
    <cellStyle name="Note 9 3 2 4 2" xfId="13892"/>
    <cellStyle name="Note 9 3 2 5" xfId="7845"/>
    <cellStyle name="Note 9 3 2 5 2" xfId="15025"/>
    <cellStyle name="Note 9 3 2 6" xfId="9353"/>
    <cellStyle name="Note 9 3 3" xfId="1899"/>
    <cellStyle name="Note 9 3 3 2" xfId="4282"/>
    <cellStyle name="Note 9 3 3 2 2" xfId="11593"/>
    <cellStyle name="Note 9 3 3 3" xfId="5638"/>
    <cellStyle name="Note 9 3 3 3 2" xfId="12890"/>
    <cellStyle name="Note 9 3 3 4" xfId="6907"/>
    <cellStyle name="Note 9 3 3 4 2" xfId="14108"/>
    <cellStyle name="Note 9 3 3 5" xfId="8051"/>
    <cellStyle name="Note 9 3 3 5 2" xfId="15231"/>
    <cellStyle name="Note 9 3 3 6" xfId="9559"/>
    <cellStyle name="Note 9 3 4" xfId="2308"/>
    <cellStyle name="Note 9 3 4 2" xfId="4670"/>
    <cellStyle name="Note 9 3 4 2 2" xfId="11965"/>
    <cellStyle name="Note 9 3 4 3" xfId="6011"/>
    <cellStyle name="Note 9 3 4 3 2" xfId="13245"/>
    <cellStyle name="Note 9 3 4 4" xfId="7264"/>
    <cellStyle name="Note 9 3 4 4 2" xfId="14454"/>
    <cellStyle name="Note 9 3 4 5" xfId="8371"/>
    <cellStyle name="Note 9 3 4 5 2" xfId="15547"/>
    <cellStyle name="Note 9 3 4 6" xfId="9879"/>
    <cellStyle name="Note 9 3 5" xfId="3247"/>
    <cellStyle name="Note 9 3 5 2" xfId="10620"/>
    <cellStyle name="Note 9 3 6" xfId="3160"/>
    <cellStyle name="Note 9 3 6 2" xfId="10552"/>
    <cellStyle name="Note 9 3 7" xfId="3018"/>
    <cellStyle name="Note 9 3 7 2" xfId="10429"/>
    <cellStyle name="Note 9 3 8" xfId="5167"/>
    <cellStyle name="Note 9 3 8 2" xfId="12429"/>
    <cellStyle name="Note 9 3 9" xfId="8855"/>
    <cellStyle name="Note 9 4" xfId="1431"/>
    <cellStyle name="Note 9 4 2" xfId="3828"/>
    <cellStyle name="Note 9 4 2 2" xfId="11149"/>
    <cellStyle name="Note 9 4 3" xfId="5196"/>
    <cellStyle name="Note 9 4 3 2" xfId="12458"/>
    <cellStyle name="Note 9 4 4" xfId="6472"/>
    <cellStyle name="Note 9 4 4 2" xfId="13681"/>
    <cellStyle name="Note 9 4 5" xfId="7641"/>
    <cellStyle name="Note 9 4 5 2" xfId="14821"/>
    <cellStyle name="Note 9 4 6" xfId="9149"/>
    <cellStyle name="Note 9 5" xfId="1497"/>
    <cellStyle name="Note 9 5 2" xfId="3890"/>
    <cellStyle name="Note 9 5 2 2" xfId="11209"/>
    <cellStyle name="Note 9 5 3" xfId="5259"/>
    <cellStyle name="Note 9 5 3 2" xfId="12518"/>
    <cellStyle name="Note 9 5 4" xfId="6532"/>
    <cellStyle name="Note 9 5 4 2" xfId="13738"/>
    <cellStyle name="Note 9 5 5" xfId="7693"/>
    <cellStyle name="Note 9 5 5 2" xfId="14873"/>
    <cellStyle name="Note 9 5 6" xfId="9201"/>
    <cellStyle name="Note 9 6" xfId="2167"/>
    <cellStyle name="Note 9 6 2" xfId="4529"/>
    <cellStyle name="Note 9 6 2 2" xfId="11828"/>
    <cellStyle name="Note 9 6 3" xfId="5871"/>
    <cellStyle name="Note 9 6 3 2" xfId="13108"/>
    <cellStyle name="Note 9 6 4" xfId="7124"/>
    <cellStyle name="Note 9 6 4 2" xfId="14317"/>
    <cellStyle name="Note 9 6 5" xfId="8234"/>
    <cellStyle name="Note 9 6 5 2" xfId="15410"/>
    <cellStyle name="Note 9 6 6" xfId="9742"/>
    <cellStyle name="Note 9 7" xfId="2874"/>
    <cellStyle name="Note 9 7 2" xfId="10299"/>
    <cellStyle name="Note 9 8" xfId="2712"/>
    <cellStyle name="Note 9 8 2" xfId="10207"/>
    <cellStyle name="Note 9 9" xfId="2873"/>
    <cellStyle name="Note 9 9 2" xfId="10298"/>
    <cellStyle name="Output" xfId="214" builtinId="21" customBuiltin="1"/>
    <cellStyle name="Output 10" xfId="456"/>
    <cellStyle name="Output 11" xfId="561"/>
    <cellStyle name="Output 11 2" xfId="1544"/>
    <cellStyle name="Output 11 2 2" xfId="3935"/>
    <cellStyle name="Output 11 2 2 2" xfId="11252"/>
    <cellStyle name="Output 11 2 3" xfId="5301"/>
    <cellStyle name="Output 11 2 3 2" xfId="12559"/>
    <cellStyle name="Output 11 2 4" xfId="6574"/>
    <cellStyle name="Output 11 2 4 2" xfId="13779"/>
    <cellStyle name="Output 11 2 5" xfId="7733"/>
    <cellStyle name="Output 11 2 5 2" xfId="14913"/>
    <cellStyle name="Output 11 2 6" xfId="9241"/>
    <cellStyle name="Output 11 3" xfId="1550"/>
    <cellStyle name="Output 11 3 2" xfId="3941"/>
    <cellStyle name="Output 11 3 2 2" xfId="11258"/>
    <cellStyle name="Output 11 3 3" xfId="5307"/>
    <cellStyle name="Output 11 3 3 2" xfId="12565"/>
    <cellStyle name="Output 11 3 4" xfId="6580"/>
    <cellStyle name="Output 11 3 4 2" xfId="13785"/>
    <cellStyle name="Output 11 3 5" xfId="7739"/>
    <cellStyle name="Output 11 3 5 2" xfId="14919"/>
    <cellStyle name="Output 11 3 6" xfId="9247"/>
    <cellStyle name="Output 11 4" xfId="2225"/>
    <cellStyle name="Output 11 4 2" xfId="4587"/>
    <cellStyle name="Output 11 4 2 2" xfId="11885"/>
    <cellStyle name="Output 11 4 3" xfId="5928"/>
    <cellStyle name="Output 11 4 3 2" xfId="13165"/>
    <cellStyle name="Output 11 4 4" xfId="7181"/>
    <cellStyle name="Output 11 4 4 2" xfId="14374"/>
    <cellStyle name="Output 11 4 5" xfId="8291"/>
    <cellStyle name="Output 11 4 5 2" xfId="15467"/>
    <cellStyle name="Output 11 4 6" xfId="9799"/>
    <cellStyle name="Output 11 5" xfId="3067"/>
    <cellStyle name="Output 11 5 2" xfId="10464"/>
    <cellStyle name="Output 11 6" xfId="2896"/>
    <cellStyle name="Output 11 6 2" xfId="10320"/>
    <cellStyle name="Output 11 7" xfId="2766"/>
    <cellStyle name="Output 11 7 2" xfId="10227"/>
    <cellStyle name="Output 11 8" xfId="5148"/>
    <cellStyle name="Output 11 8 2" xfId="12411"/>
    <cellStyle name="Output 11 9" xfId="8772"/>
    <cellStyle name="Output 12" xfId="640"/>
    <cellStyle name="Output 13" xfId="748"/>
    <cellStyle name="Output 13 2" xfId="1654"/>
    <cellStyle name="Output 13 2 2" xfId="4044"/>
    <cellStyle name="Output 13 2 2 2" xfId="11358"/>
    <cellStyle name="Output 13 2 3" xfId="5406"/>
    <cellStyle name="Output 13 2 3 2" xfId="12660"/>
    <cellStyle name="Output 13 2 4" xfId="6678"/>
    <cellStyle name="Output 13 2 4 2" xfId="13880"/>
    <cellStyle name="Output 13 2 5" xfId="7833"/>
    <cellStyle name="Output 13 2 5 2" xfId="15013"/>
    <cellStyle name="Output 13 2 6" xfId="9341"/>
    <cellStyle name="Output 13 3" xfId="1894"/>
    <cellStyle name="Output 13 3 2" xfId="4277"/>
    <cellStyle name="Output 13 3 2 2" xfId="11588"/>
    <cellStyle name="Output 13 3 3" xfId="5633"/>
    <cellStyle name="Output 13 3 3 2" xfId="12885"/>
    <cellStyle name="Output 13 3 4" xfId="6902"/>
    <cellStyle name="Output 13 3 4 2" xfId="14103"/>
    <cellStyle name="Output 13 3 5" xfId="8046"/>
    <cellStyle name="Output 13 3 5 2" xfId="15226"/>
    <cellStyle name="Output 13 3 6" xfId="9554"/>
    <cellStyle name="Output 13 4" xfId="2303"/>
    <cellStyle name="Output 13 4 2" xfId="4665"/>
    <cellStyle name="Output 13 4 2 2" xfId="11960"/>
    <cellStyle name="Output 13 4 3" xfId="6006"/>
    <cellStyle name="Output 13 4 3 2" xfId="13240"/>
    <cellStyle name="Output 13 4 4" xfId="7259"/>
    <cellStyle name="Output 13 4 4 2" xfId="14449"/>
    <cellStyle name="Output 13 4 5" xfId="8366"/>
    <cellStyle name="Output 13 4 5 2" xfId="15542"/>
    <cellStyle name="Output 13 4 6" xfId="9874"/>
    <cellStyle name="Output 13 5" xfId="3232"/>
    <cellStyle name="Output 13 5 2" xfId="10607"/>
    <cellStyle name="Output 13 6" xfId="2960"/>
    <cellStyle name="Output 13 6 2" xfId="10378"/>
    <cellStyle name="Output 13 7" xfId="2654"/>
    <cellStyle name="Output 13 7 2" xfId="10154"/>
    <cellStyle name="Output 13 8" xfId="3075"/>
    <cellStyle name="Output 13 8 2" xfId="10472"/>
    <cellStyle name="Output 13 9" xfId="8850"/>
    <cellStyle name="Output 14" xfId="892"/>
    <cellStyle name="Output 15" xfId="935"/>
    <cellStyle name="Output 16" xfId="978"/>
    <cellStyle name="Output 17" xfId="1019"/>
    <cellStyle name="Output 18" xfId="1060"/>
    <cellStyle name="Output 19" xfId="1101"/>
    <cellStyle name="Output 2" xfId="215"/>
    <cellStyle name="Output 20" xfId="1142"/>
    <cellStyle name="Output 21" xfId="1183"/>
    <cellStyle name="Output 22" xfId="1224"/>
    <cellStyle name="Output 23" xfId="1375"/>
    <cellStyle name="Output 23 2" xfId="3777"/>
    <cellStyle name="Output 23 2 2" xfId="11100"/>
    <cellStyle name="Output 23 3" xfId="5153"/>
    <cellStyle name="Output 23 3 2" xfId="12416"/>
    <cellStyle name="Output 23 4" xfId="6436"/>
    <cellStyle name="Output 23 4 2" xfId="13645"/>
    <cellStyle name="Output 23 5" xfId="7619"/>
    <cellStyle name="Output 23 5 2" xfId="14799"/>
    <cellStyle name="Output 23 6" xfId="9127"/>
    <cellStyle name="Output 24" xfId="1327"/>
    <cellStyle name="Output 24 2" xfId="3740"/>
    <cellStyle name="Output 24 2 2" xfId="11073"/>
    <cellStyle name="Output 24 3" xfId="5126"/>
    <cellStyle name="Output 24 3 2" xfId="12398"/>
    <cellStyle name="Output 24 4" xfId="6424"/>
    <cellStyle name="Output 24 4 2" xfId="13638"/>
    <cellStyle name="Output 24 5" xfId="7613"/>
    <cellStyle name="Output 24 5 2" xfId="14793"/>
    <cellStyle name="Output 24 6" xfId="9121"/>
    <cellStyle name="Output 25" xfId="2149"/>
    <cellStyle name="Output 25 2" xfId="4514"/>
    <cellStyle name="Output 25 2 2" xfId="11813"/>
    <cellStyle name="Output 25 3" xfId="5858"/>
    <cellStyle name="Output 25 3 2" xfId="13096"/>
    <cellStyle name="Output 25 4" xfId="7113"/>
    <cellStyle name="Output 25 4 2" xfId="14307"/>
    <cellStyle name="Output 25 5" xfId="8229"/>
    <cellStyle name="Output 25 5 2" xfId="15405"/>
    <cellStyle name="Output 25 6" xfId="9737"/>
    <cellStyle name="Output 26" xfId="2554"/>
    <cellStyle name="Output 27" xfId="2775"/>
    <cellStyle name="Output 27 2" xfId="10234"/>
    <cellStyle name="Output 28" xfId="4000"/>
    <cellStyle name="Output 28 2" xfId="11317"/>
    <cellStyle name="Output 29" xfId="2676"/>
    <cellStyle name="Output 29 2" xfId="10175"/>
    <cellStyle name="Output 3" xfId="216"/>
    <cellStyle name="Output 30" xfId="3139"/>
    <cellStyle name="Output 30 2" xfId="10536"/>
    <cellStyle name="Output 31" xfId="8696"/>
    <cellStyle name="Output 4" xfId="217"/>
    <cellStyle name="Output 5" xfId="246"/>
    <cellStyle name="Output 6" xfId="291"/>
    <cellStyle name="Output 7" xfId="332"/>
    <cellStyle name="Output 8" xfId="373"/>
    <cellStyle name="Output 9" xfId="414"/>
    <cellStyle name="RowLevel_1" xfId="1" builtinId="1" iLevel="0"/>
    <cellStyle name="Title" xfId="218" builtinId="15" customBuiltin="1"/>
    <cellStyle name="Title 10" xfId="447"/>
    <cellStyle name="Title 11" xfId="631"/>
    <cellStyle name="Title 12" xfId="883"/>
    <cellStyle name="Title 13" xfId="926"/>
    <cellStyle name="Title 14" xfId="969"/>
    <cellStyle name="Title 15" xfId="1010"/>
    <cellStyle name="Title 16" xfId="1051"/>
    <cellStyle name="Title 17" xfId="1092"/>
    <cellStyle name="Title 18" xfId="1133"/>
    <cellStyle name="Title 19" xfId="1174"/>
    <cellStyle name="Title 2" xfId="219"/>
    <cellStyle name="Title 20" xfId="1215"/>
    <cellStyle name="Title 21" xfId="2545"/>
    <cellStyle name="Title 3" xfId="220"/>
    <cellStyle name="Title 4" xfId="221"/>
    <cellStyle name="Title 5" xfId="237"/>
    <cellStyle name="Title 6" xfId="282"/>
    <cellStyle name="Title 7" xfId="323"/>
    <cellStyle name="Title 8" xfId="364"/>
    <cellStyle name="Title 9" xfId="405"/>
    <cellStyle name="Total" xfId="222" builtinId="25" customBuiltin="1"/>
    <cellStyle name="Total 10" xfId="463"/>
    <cellStyle name="Total 11" xfId="562"/>
    <cellStyle name="Total 11 2" xfId="1545"/>
    <cellStyle name="Total 11 2 2" xfId="3936"/>
    <cellStyle name="Total 11 2 2 2" xfId="11253"/>
    <cellStyle name="Total 11 2 3" xfId="5302"/>
    <cellStyle name="Total 11 2 3 2" xfId="12560"/>
    <cellStyle name="Total 11 2 4" xfId="6575"/>
    <cellStyle name="Total 11 2 4 2" xfId="13780"/>
    <cellStyle name="Total 11 2 5" xfId="7734"/>
    <cellStyle name="Total 11 2 5 2" xfId="14914"/>
    <cellStyle name="Total 11 2 6" xfId="9242"/>
    <cellStyle name="Total 11 3" xfId="1643"/>
    <cellStyle name="Total 11 3 2" xfId="4033"/>
    <cellStyle name="Total 11 3 2 2" xfId="11348"/>
    <cellStyle name="Total 11 3 3" xfId="5398"/>
    <cellStyle name="Total 11 3 3 2" xfId="12653"/>
    <cellStyle name="Total 11 3 4" xfId="6670"/>
    <cellStyle name="Total 11 3 4 2" xfId="13873"/>
    <cellStyle name="Total 11 3 5" xfId="7826"/>
    <cellStyle name="Total 11 3 5 2" xfId="15006"/>
    <cellStyle name="Total 11 3 6" xfId="9334"/>
    <cellStyle name="Total 11 4" xfId="2226"/>
    <cellStyle name="Total 11 4 2" xfId="4588"/>
    <cellStyle name="Total 11 4 2 2" xfId="11886"/>
    <cellStyle name="Total 11 4 3" xfId="5929"/>
    <cellStyle name="Total 11 4 3 2" xfId="13166"/>
    <cellStyle name="Total 11 4 4" xfId="7182"/>
    <cellStyle name="Total 11 4 4 2" xfId="14375"/>
    <cellStyle name="Total 11 4 5" xfId="8292"/>
    <cellStyle name="Total 11 4 5 2" xfId="15468"/>
    <cellStyle name="Total 11 4 6" xfId="9800"/>
    <cellStyle name="Total 11 5" xfId="3068"/>
    <cellStyle name="Total 11 5 2" xfId="10465"/>
    <cellStyle name="Total 11 6" xfId="2865"/>
    <cellStyle name="Total 11 6 2" xfId="10292"/>
    <cellStyle name="Total 11 7" xfId="3608"/>
    <cellStyle name="Total 11 7 2" xfId="10953"/>
    <cellStyle name="Total 11 8" xfId="6249"/>
    <cellStyle name="Total 11 8 2" xfId="13479"/>
    <cellStyle name="Total 11 9" xfId="8773"/>
    <cellStyle name="Total 12" xfId="647"/>
    <cellStyle name="Total 13" xfId="749"/>
    <cellStyle name="Total 13 2" xfId="1655"/>
    <cellStyle name="Total 13 2 2" xfId="4045"/>
    <cellStyle name="Total 13 2 2 2" xfId="11359"/>
    <cellStyle name="Total 13 2 3" xfId="5407"/>
    <cellStyle name="Total 13 2 3 2" xfId="12661"/>
    <cellStyle name="Total 13 2 4" xfId="6679"/>
    <cellStyle name="Total 13 2 4 2" xfId="13881"/>
    <cellStyle name="Total 13 2 5" xfId="7834"/>
    <cellStyle name="Total 13 2 5 2" xfId="15014"/>
    <cellStyle name="Total 13 2 6" xfId="9342"/>
    <cellStyle name="Total 13 3" xfId="1895"/>
    <cellStyle name="Total 13 3 2" xfId="4278"/>
    <cellStyle name="Total 13 3 2 2" xfId="11589"/>
    <cellStyle name="Total 13 3 3" xfId="5634"/>
    <cellStyle name="Total 13 3 3 2" xfId="12886"/>
    <cellStyle name="Total 13 3 4" xfId="6903"/>
    <cellStyle name="Total 13 3 4 2" xfId="14104"/>
    <cellStyle name="Total 13 3 5" xfId="8047"/>
    <cellStyle name="Total 13 3 5 2" xfId="15227"/>
    <cellStyle name="Total 13 3 6" xfId="9555"/>
    <cellStyle name="Total 13 4" xfId="2304"/>
    <cellStyle name="Total 13 4 2" xfId="4666"/>
    <cellStyle name="Total 13 4 2 2" xfId="11961"/>
    <cellStyle name="Total 13 4 3" xfId="6007"/>
    <cellStyle name="Total 13 4 3 2" xfId="13241"/>
    <cellStyle name="Total 13 4 4" xfId="7260"/>
    <cellStyle name="Total 13 4 4 2" xfId="14450"/>
    <cellStyle name="Total 13 4 5" xfId="8367"/>
    <cellStyle name="Total 13 4 5 2" xfId="15543"/>
    <cellStyle name="Total 13 4 6" xfId="9875"/>
    <cellStyle name="Total 13 5" xfId="3233"/>
    <cellStyle name="Total 13 5 2" xfId="10608"/>
    <cellStyle name="Total 13 6" xfId="2924"/>
    <cellStyle name="Total 13 6 2" xfId="10346"/>
    <cellStyle name="Total 13 7" xfId="2687"/>
    <cellStyle name="Total 13 7 2" xfId="10182"/>
    <cellStyle name="Total 13 8" xfId="2711"/>
    <cellStyle name="Total 13 8 2" xfId="10206"/>
    <cellStyle name="Total 13 9" xfId="8851"/>
    <cellStyle name="Total 14" xfId="899"/>
    <cellStyle name="Total 15" xfId="942"/>
    <cellStyle name="Total 16" xfId="985"/>
    <cellStyle name="Total 17" xfId="1026"/>
    <cellStyle name="Total 18" xfId="1067"/>
    <cellStyle name="Total 19" xfId="1108"/>
    <cellStyle name="Total 2" xfId="223"/>
    <cellStyle name="Total 2 10" xfId="6809"/>
    <cellStyle name="Total 2 10 2" xfId="14011"/>
    <cellStyle name="Total 2 11" xfId="8698"/>
    <cellStyle name="Total 2 2" xfId="563"/>
    <cellStyle name="Total 2 2 2" xfId="1546"/>
    <cellStyle name="Total 2 2 2 2" xfId="3937"/>
    <cellStyle name="Total 2 2 2 2 2" xfId="11254"/>
    <cellStyle name="Total 2 2 2 3" xfId="5303"/>
    <cellStyle name="Total 2 2 2 3 2" xfId="12561"/>
    <cellStyle name="Total 2 2 2 4" xfId="6576"/>
    <cellStyle name="Total 2 2 2 4 2" xfId="13781"/>
    <cellStyle name="Total 2 2 2 5" xfId="7735"/>
    <cellStyle name="Total 2 2 2 5 2" xfId="14915"/>
    <cellStyle name="Total 2 2 2 6" xfId="9243"/>
    <cellStyle name="Total 2 2 3" xfId="1533"/>
    <cellStyle name="Total 2 2 3 2" xfId="3926"/>
    <cellStyle name="Total 2 2 3 2 2" xfId="11244"/>
    <cellStyle name="Total 2 2 3 3" xfId="5293"/>
    <cellStyle name="Total 2 2 3 3 2" xfId="12552"/>
    <cellStyle name="Total 2 2 3 4" xfId="6566"/>
    <cellStyle name="Total 2 2 3 4 2" xfId="13772"/>
    <cellStyle name="Total 2 2 3 5" xfId="7726"/>
    <cellStyle name="Total 2 2 3 5 2" xfId="14906"/>
    <cellStyle name="Total 2 2 3 6" xfId="9234"/>
    <cellStyle name="Total 2 2 4" xfId="2227"/>
    <cellStyle name="Total 2 2 4 2" xfId="4589"/>
    <cellStyle name="Total 2 2 4 2 2" xfId="11887"/>
    <cellStyle name="Total 2 2 4 3" xfId="5930"/>
    <cellStyle name="Total 2 2 4 3 2" xfId="13167"/>
    <cellStyle name="Total 2 2 4 4" xfId="7183"/>
    <cellStyle name="Total 2 2 4 4 2" xfId="14376"/>
    <cellStyle name="Total 2 2 4 5" xfId="8293"/>
    <cellStyle name="Total 2 2 4 5 2" xfId="15469"/>
    <cellStyle name="Total 2 2 4 6" xfId="9801"/>
    <cellStyle name="Total 2 2 5" xfId="3069"/>
    <cellStyle name="Total 2 2 5 2" xfId="10466"/>
    <cellStyle name="Total 2 2 6" xfId="2827"/>
    <cellStyle name="Total 2 2 6 2" xfId="10261"/>
    <cellStyle name="Total 2 2 7" xfId="3610"/>
    <cellStyle name="Total 2 2 7 2" xfId="10954"/>
    <cellStyle name="Total 2 2 8" xfId="3749"/>
    <cellStyle name="Total 2 2 8 2" xfId="11079"/>
    <cellStyle name="Total 2 2 9" xfId="8774"/>
    <cellStyle name="Total 2 3" xfId="750"/>
    <cellStyle name="Total 2 3 2" xfId="1656"/>
    <cellStyle name="Total 2 3 2 2" xfId="4046"/>
    <cellStyle name="Total 2 3 2 2 2" xfId="11360"/>
    <cellStyle name="Total 2 3 2 3" xfId="5408"/>
    <cellStyle name="Total 2 3 2 3 2" xfId="12662"/>
    <cellStyle name="Total 2 3 2 4" xfId="6680"/>
    <cellStyle name="Total 2 3 2 4 2" xfId="13882"/>
    <cellStyle name="Total 2 3 2 5" xfId="7835"/>
    <cellStyle name="Total 2 3 2 5 2" xfId="15015"/>
    <cellStyle name="Total 2 3 2 6" xfId="9343"/>
    <cellStyle name="Total 2 3 3" xfId="1896"/>
    <cellStyle name="Total 2 3 3 2" xfId="4279"/>
    <cellStyle name="Total 2 3 3 2 2" xfId="11590"/>
    <cellStyle name="Total 2 3 3 3" xfId="5635"/>
    <cellStyle name="Total 2 3 3 3 2" xfId="12887"/>
    <cellStyle name="Total 2 3 3 4" xfId="6904"/>
    <cellStyle name="Total 2 3 3 4 2" xfId="14105"/>
    <cellStyle name="Total 2 3 3 5" xfId="8048"/>
    <cellStyle name="Total 2 3 3 5 2" xfId="15228"/>
    <cellStyle name="Total 2 3 3 6" xfId="9556"/>
    <cellStyle name="Total 2 3 4" xfId="2305"/>
    <cellStyle name="Total 2 3 4 2" xfId="4667"/>
    <cellStyle name="Total 2 3 4 2 2" xfId="11962"/>
    <cellStyle name="Total 2 3 4 3" xfId="6008"/>
    <cellStyle name="Total 2 3 4 3 2" xfId="13242"/>
    <cellStyle name="Total 2 3 4 4" xfId="7261"/>
    <cellStyle name="Total 2 3 4 4 2" xfId="14451"/>
    <cellStyle name="Total 2 3 4 5" xfId="8368"/>
    <cellStyle name="Total 2 3 4 5 2" xfId="15544"/>
    <cellStyle name="Total 2 3 4 6" xfId="9876"/>
    <cellStyle name="Total 2 3 5" xfId="3234"/>
    <cellStyle name="Total 2 3 5 2" xfId="10609"/>
    <cellStyle name="Total 2 3 6" xfId="2888"/>
    <cellStyle name="Total 2 3 6 2" xfId="10312"/>
    <cellStyle name="Total 2 3 7" xfId="2840"/>
    <cellStyle name="Total 2 3 7 2" xfId="10268"/>
    <cellStyle name="Total 2 3 8" xfId="2722"/>
    <cellStyle name="Total 2 3 8 2" xfId="10214"/>
    <cellStyle name="Total 2 3 9" xfId="8852"/>
    <cellStyle name="Total 2 4" xfId="1381"/>
    <cellStyle name="Total 2 4 2" xfId="3783"/>
    <cellStyle name="Total 2 4 2 2" xfId="11106"/>
    <cellStyle name="Total 2 4 3" xfId="5157"/>
    <cellStyle name="Total 2 4 3 2" xfId="12420"/>
    <cellStyle name="Total 2 4 4" xfId="6440"/>
    <cellStyle name="Total 2 4 4 2" xfId="13649"/>
    <cellStyle name="Total 2 4 5" xfId="7621"/>
    <cellStyle name="Total 2 4 5 2" xfId="14801"/>
    <cellStyle name="Total 2 4 6" xfId="9129"/>
    <cellStyle name="Total 2 5" xfId="1326"/>
    <cellStyle name="Total 2 5 2" xfId="3739"/>
    <cellStyle name="Total 2 5 2 2" xfId="11072"/>
    <cellStyle name="Total 2 5 3" xfId="5125"/>
    <cellStyle name="Total 2 5 3 2" xfId="12397"/>
    <cellStyle name="Total 2 5 4" xfId="6423"/>
    <cellStyle name="Total 2 5 4 2" xfId="13637"/>
    <cellStyle name="Total 2 5 5" xfId="7612"/>
    <cellStyle name="Total 2 5 5 2" xfId="14792"/>
    <cellStyle name="Total 2 5 6" xfId="9120"/>
    <cellStyle name="Total 2 6" xfId="2151"/>
    <cellStyle name="Total 2 6 2" xfId="4516"/>
    <cellStyle name="Total 2 6 2 2" xfId="11815"/>
    <cellStyle name="Total 2 6 3" xfId="5860"/>
    <cellStyle name="Total 2 6 3 2" xfId="13098"/>
    <cellStyle name="Total 2 6 4" xfId="7115"/>
    <cellStyle name="Total 2 6 4 2" xfId="14309"/>
    <cellStyle name="Total 2 6 5" xfId="8231"/>
    <cellStyle name="Total 2 6 5 2" xfId="15407"/>
    <cellStyle name="Total 2 6 6" xfId="9739"/>
    <cellStyle name="Total 2 7" xfId="2782"/>
    <cellStyle name="Total 2 7 2" xfId="10240"/>
    <cellStyle name="Total 2 8" xfId="4496"/>
    <cellStyle name="Total 2 8 2" xfId="11800"/>
    <cellStyle name="Total 2 9" xfId="5537"/>
    <cellStyle name="Total 2 9 2" xfId="12791"/>
    <cellStyle name="Total 20" xfId="1149"/>
    <cellStyle name="Total 21" xfId="1190"/>
    <cellStyle name="Total 22" xfId="1231"/>
    <cellStyle name="Total 23" xfId="1380"/>
    <cellStyle name="Total 23 2" xfId="3782"/>
    <cellStyle name="Total 23 2 2" xfId="11105"/>
    <cellStyle name="Total 23 3" xfId="5156"/>
    <cellStyle name="Total 23 3 2" xfId="12419"/>
    <cellStyle name="Total 23 4" xfId="6439"/>
    <cellStyle name="Total 23 4 2" xfId="13648"/>
    <cellStyle name="Total 23 5" xfId="7620"/>
    <cellStyle name="Total 23 5 2" xfId="14800"/>
    <cellStyle name="Total 23 6" xfId="9128"/>
    <cellStyle name="Total 24" xfId="1496"/>
    <cellStyle name="Total 24 2" xfId="3889"/>
    <cellStyle name="Total 24 2 2" xfId="11208"/>
    <cellStyle name="Total 24 3" xfId="5258"/>
    <cellStyle name="Total 24 3 2" xfId="12517"/>
    <cellStyle name="Total 24 4" xfId="6531"/>
    <cellStyle name="Total 24 4 2" xfId="13737"/>
    <cellStyle name="Total 24 5" xfId="7692"/>
    <cellStyle name="Total 24 5 2" xfId="14872"/>
    <cellStyle name="Total 24 6" xfId="9200"/>
    <cellStyle name="Total 25" xfId="2150"/>
    <cellStyle name="Total 25 2" xfId="4515"/>
    <cellStyle name="Total 25 2 2" xfId="11814"/>
    <cellStyle name="Total 25 3" xfId="5859"/>
    <cellStyle name="Total 25 3 2" xfId="13097"/>
    <cellStyle name="Total 25 4" xfId="7114"/>
    <cellStyle name="Total 25 4 2" xfId="14308"/>
    <cellStyle name="Total 25 5" xfId="8230"/>
    <cellStyle name="Total 25 5 2" xfId="15406"/>
    <cellStyle name="Total 25 6" xfId="9738"/>
    <cellStyle name="Total 26" xfId="2561"/>
    <cellStyle name="Total 27" xfId="2781"/>
    <cellStyle name="Total 27 2" xfId="10239"/>
    <cellStyle name="Total 28" xfId="2740"/>
    <cellStyle name="Total 28 2" xfId="10218"/>
    <cellStyle name="Total 29" xfId="5846"/>
    <cellStyle name="Total 29 2" xfId="13087"/>
    <cellStyle name="Total 3" xfId="224"/>
    <cellStyle name="Total 3 10" xfId="4931"/>
    <cellStyle name="Total 3 10 2" xfId="12220"/>
    <cellStyle name="Total 3 11" xfId="8699"/>
    <cellStyle name="Total 3 2" xfId="564"/>
    <cellStyle name="Total 3 2 2" xfId="1547"/>
    <cellStyle name="Total 3 2 2 2" xfId="3938"/>
    <cellStyle name="Total 3 2 2 2 2" xfId="11255"/>
    <cellStyle name="Total 3 2 2 3" xfId="5304"/>
    <cellStyle name="Total 3 2 2 3 2" xfId="12562"/>
    <cellStyle name="Total 3 2 2 4" xfId="6577"/>
    <cellStyle name="Total 3 2 2 4 2" xfId="13782"/>
    <cellStyle name="Total 3 2 2 5" xfId="7736"/>
    <cellStyle name="Total 3 2 2 5 2" xfId="14916"/>
    <cellStyle name="Total 3 2 2 6" xfId="9244"/>
    <cellStyle name="Total 3 2 3" xfId="1642"/>
    <cellStyle name="Total 3 2 3 2" xfId="4032"/>
    <cellStyle name="Total 3 2 3 2 2" xfId="11347"/>
    <cellStyle name="Total 3 2 3 3" xfId="5397"/>
    <cellStyle name="Total 3 2 3 3 2" xfId="12652"/>
    <cellStyle name="Total 3 2 3 4" xfId="6669"/>
    <cellStyle name="Total 3 2 3 4 2" xfId="13872"/>
    <cellStyle name="Total 3 2 3 5" xfId="7825"/>
    <cellStyle name="Total 3 2 3 5 2" xfId="15005"/>
    <cellStyle name="Total 3 2 3 6" xfId="9333"/>
    <cellStyle name="Total 3 2 4" xfId="2228"/>
    <cellStyle name="Total 3 2 4 2" xfId="4590"/>
    <cellStyle name="Total 3 2 4 2 2" xfId="11888"/>
    <cellStyle name="Total 3 2 4 3" xfId="5931"/>
    <cellStyle name="Total 3 2 4 3 2" xfId="13168"/>
    <cellStyle name="Total 3 2 4 4" xfId="7184"/>
    <cellStyle name="Total 3 2 4 4 2" xfId="14377"/>
    <cellStyle name="Total 3 2 4 5" xfId="8294"/>
    <cellStyle name="Total 3 2 4 5 2" xfId="15470"/>
    <cellStyle name="Total 3 2 4 6" xfId="9802"/>
    <cellStyle name="Total 3 2 5" xfId="3070"/>
    <cellStyle name="Total 3 2 5 2" xfId="10467"/>
    <cellStyle name="Total 3 2 6" xfId="2672"/>
    <cellStyle name="Total 3 2 6 2" xfId="10172"/>
    <cellStyle name="Total 3 2 7" xfId="4911"/>
    <cellStyle name="Total 3 2 7 2" xfId="12202"/>
    <cellStyle name="Total 3 2 8" xfId="3827"/>
    <cellStyle name="Total 3 2 8 2" xfId="11148"/>
    <cellStyle name="Total 3 2 9" xfId="8775"/>
    <cellStyle name="Total 3 3" xfId="751"/>
    <cellStyle name="Total 3 3 2" xfId="1657"/>
    <cellStyle name="Total 3 3 2 2" xfId="4047"/>
    <cellStyle name="Total 3 3 2 2 2" xfId="11361"/>
    <cellStyle name="Total 3 3 2 3" xfId="5409"/>
    <cellStyle name="Total 3 3 2 3 2" xfId="12663"/>
    <cellStyle name="Total 3 3 2 4" xfId="6681"/>
    <cellStyle name="Total 3 3 2 4 2" xfId="13883"/>
    <cellStyle name="Total 3 3 2 5" xfId="7836"/>
    <cellStyle name="Total 3 3 2 5 2" xfId="15016"/>
    <cellStyle name="Total 3 3 2 6" xfId="9344"/>
    <cellStyle name="Total 3 3 3" xfId="1897"/>
    <cellStyle name="Total 3 3 3 2" xfId="4280"/>
    <cellStyle name="Total 3 3 3 2 2" xfId="11591"/>
    <cellStyle name="Total 3 3 3 3" xfId="5636"/>
    <cellStyle name="Total 3 3 3 3 2" xfId="12888"/>
    <cellStyle name="Total 3 3 3 4" xfId="6905"/>
    <cellStyle name="Total 3 3 3 4 2" xfId="14106"/>
    <cellStyle name="Total 3 3 3 5" xfId="8049"/>
    <cellStyle name="Total 3 3 3 5 2" xfId="15229"/>
    <cellStyle name="Total 3 3 3 6" xfId="9557"/>
    <cellStyle name="Total 3 3 4" xfId="2306"/>
    <cellStyle name="Total 3 3 4 2" xfId="4668"/>
    <cellStyle name="Total 3 3 4 2 2" xfId="11963"/>
    <cellStyle name="Total 3 3 4 3" xfId="6009"/>
    <cellStyle name="Total 3 3 4 3 2" xfId="13243"/>
    <cellStyle name="Total 3 3 4 4" xfId="7262"/>
    <cellStyle name="Total 3 3 4 4 2" xfId="14452"/>
    <cellStyle name="Total 3 3 4 5" xfId="8369"/>
    <cellStyle name="Total 3 3 4 5 2" xfId="15545"/>
    <cellStyle name="Total 3 3 4 6" xfId="9877"/>
    <cellStyle name="Total 3 3 5" xfId="3235"/>
    <cellStyle name="Total 3 3 5 2" xfId="10610"/>
    <cellStyle name="Total 3 3 6" xfId="2857"/>
    <cellStyle name="Total 3 3 6 2" xfId="10284"/>
    <cellStyle name="Total 3 3 7" xfId="2901"/>
    <cellStyle name="Total 3 3 7 2" xfId="10325"/>
    <cellStyle name="Total 3 3 8" xfId="3365"/>
    <cellStyle name="Total 3 3 8 2" xfId="10738"/>
    <cellStyle name="Total 3 3 9" xfId="8853"/>
    <cellStyle name="Total 3 4" xfId="1382"/>
    <cellStyle name="Total 3 4 2" xfId="3784"/>
    <cellStyle name="Total 3 4 2 2" xfId="11107"/>
    <cellStyle name="Total 3 4 3" xfId="5158"/>
    <cellStyle name="Total 3 4 3 2" xfId="12421"/>
    <cellStyle name="Total 3 4 4" xfId="6441"/>
    <cellStyle name="Total 3 4 4 2" xfId="13650"/>
    <cellStyle name="Total 3 4 5" xfId="7622"/>
    <cellStyle name="Total 3 4 5 2" xfId="14802"/>
    <cellStyle name="Total 3 4 6" xfId="9130"/>
    <cellStyle name="Total 3 5" xfId="1471"/>
    <cellStyle name="Total 3 5 2" xfId="3866"/>
    <cellStyle name="Total 3 5 2 2" xfId="11187"/>
    <cellStyle name="Total 3 5 3" xfId="5236"/>
    <cellStyle name="Total 3 5 3 2" xfId="12496"/>
    <cellStyle name="Total 3 5 4" xfId="6509"/>
    <cellStyle name="Total 3 5 4 2" xfId="13716"/>
    <cellStyle name="Total 3 5 5" xfId="7673"/>
    <cellStyle name="Total 3 5 5 2" xfId="14853"/>
    <cellStyle name="Total 3 5 6" xfId="9181"/>
    <cellStyle name="Total 3 6" xfId="2152"/>
    <cellStyle name="Total 3 6 2" xfId="4517"/>
    <cellStyle name="Total 3 6 2 2" xfId="11816"/>
    <cellStyle name="Total 3 6 3" xfId="5861"/>
    <cellStyle name="Total 3 6 3 2" xfId="13099"/>
    <cellStyle name="Total 3 6 4" xfId="7116"/>
    <cellStyle name="Total 3 6 4 2" xfId="14310"/>
    <cellStyle name="Total 3 6 5" xfId="8232"/>
    <cellStyle name="Total 3 6 5 2" xfId="15408"/>
    <cellStyle name="Total 3 6 6" xfId="9740"/>
    <cellStyle name="Total 3 7" xfId="2783"/>
    <cellStyle name="Total 3 7 2" xfId="10241"/>
    <cellStyle name="Total 3 8" xfId="3791"/>
    <cellStyle name="Total 3 8 2" xfId="11114"/>
    <cellStyle name="Total 3 9" xfId="2752"/>
    <cellStyle name="Total 3 9 2" xfId="10222"/>
    <cellStyle name="Total 30" xfId="7104"/>
    <cellStyle name="Total 30 2" xfId="14301"/>
    <cellStyle name="Total 31" xfId="8697"/>
    <cellStyle name="Total 4" xfId="225"/>
    <cellStyle name="Total 4 10" xfId="5144"/>
    <cellStyle name="Total 4 10 2" xfId="12407"/>
    <cellStyle name="Total 4 11" xfId="8700"/>
    <cellStyle name="Total 4 2" xfId="565"/>
    <cellStyle name="Total 4 2 2" xfId="1548"/>
    <cellStyle name="Total 4 2 2 2" xfId="3939"/>
    <cellStyle name="Total 4 2 2 2 2" xfId="11256"/>
    <cellStyle name="Total 4 2 2 3" xfId="5305"/>
    <cellStyle name="Total 4 2 2 3 2" xfId="12563"/>
    <cellStyle name="Total 4 2 2 4" xfId="6578"/>
    <cellStyle name="Total 4 2 2 4 2" xfId="13783"/>
    <cellStyle name="Total 4 2 2 5" xfId="7737"/>
    <cellStyle name="Total 4 2 2 5 2" xfId="14917"/>
    <cellStyle name="Total 4 2 2 6" xfId="9245"/>
    <cellStyle name="Total 4 2 3" xfId="1532"/>
    <cellStyle name="Total 4 2 3 2" xfId="3925"/>
    <cellStyle name="Total 4 2 3 2 2" xfId="11243"/>
    <cellStyle name="Total 4 2 3 3" xfId="5292"/>
    <cellStyle name="Total 4 2 3 3 2" xfId="12551"/>
    <cellStyle name="Total 4 2 3 4" xfId="6565"/>
    <cellStyle name="Total 4 2 3 4 2" xfId="13771"/>
    <cellStyle name="Total 4 2 3 5" xfId="7725"/>
    <cellStyle name="Total 4 2 3 5 2" xfId="14905"/>
    <cellStyle name="Total 4 2 3 6" xfId="9233"/>
    <cellStyle name="Total 4 2 4" xfId="2229"/>
    <cellStyle name="Total 4 2 4 2" xfId="4591"/>
    <cellStyle name="Total 4 2 4 2 2" xfId="11889"/>
    <cellStyle name="Total 4 2 4 3" xfId="5932"/>
    <cellStyle name="Total 4 2 4 3 2" xfId="13169"/>
    <cellStyle name="Total 4 2 4 4" xfId="7185"/>
    <cellStyle name="Total 4 2 4 4 2" xfId="14378"/>
    <cellStyle name="Total 4 2 4 5" xfId="8295"/>
    <cellStyle name="Total 4 2 4 5 2" xfId="15471"/>
    <cellStyle name="Total 4 2 4 6" xfId="9803"/>
    <cellStyle name="Total 4 2 5" xfId="3071"/>
    <cellStyle name="Total 4 2 5 2" xfId="10468"/>
    <cellStyle name="Total 4 2 6" xfId="2671"/>
    <cellStyle name="Total 4 2 6 2" xfId="10171"/>
    <cellStyle name="Total 4 2 7" xfId="3648"/>
    <cellStyle name="Total 4 2 7 2" xfId="10986"/>
    <cellStyle name="Total 4 2 8" xfId="3677"/>
    <cellStyle name="Total 4 2 8 2" xfId="11013"/>
    <cellStyle name="Total 4 2 9" xfId="8776"/>
    <cellStyle name="Total 4 3" xfId="752"/>
    <cellStyle name="Total 4 3 2" xfId="1658"/>
    <cellStyle name="Total 4 3 2 2" xfId="4048"/>
    <cellStyle name="Total 4 3 2 2 2" xfId="11362"/>
    <cellStyle name="Total 4 3 2 3" xfId="5410"/>
    <cellStyle name="Total 4 3 2 3 2" xfId="12664"/>
    <cellStyle name="Total 4 3 2 4" xfId="6682"/>
    <cellStyle name="Total 4 3 2 4 2" xfId="13884"/>
    <cellStyle name="Total 4 3 2 5" xfId="7837"/>
    <cellStyle name="Total 4 3 2 5 2" xfId="15017"/>
    <cellStyle name="Total 4 3 2 6" xfId="9345"/>
    <cellStyle name="Total 4 3 3" xfId="1898"/>
    <cellStyle name="Total 4 3 3 2" xfId="4281"/>
    <cellStyle name="Total 4 3 3 2 2" xfId="11592"/>
    <cellStyle name="Total 4 3 3 3" xfId="5637"/>
    <cellStyle name="Total 4 3 3 3 2" xfId="12889"/>
    <cellStyle name="Total 4 3 3 4" xfId="6906"/>
    <cellStyle name="Total 4 3 3 4 2" xfId="14107"/>
    <cellStyle name="Total 4 3 3 5" xfId="8050"/>
    <cellStyle name="Total 4 3 3 5 2" xfId="15230"/>
    <cellStyle name="Total 4 3 3 6" xfId="9558"/>
    <cellStyle name="Total 4 3 4" xfId="2307"/>
    <cellStyle name="Total 4 3 4 2" xfId="4669"/>
    <cellStyle name="Total 4 3 4 2 2" xfId="11964"/>
    <cellStyle name="Total 4 3 4 3" xfId="6010"/>
    <cellStyle name="Total 4 3 4 3 2" xfId="13244"/>
    <cellStyle name="Total 4 3 4 4" xfId="7263"/>
    <cellStyle name="Total 4 3 4 4 2" xfId="14453"/>
    <cellStyle name="Total 4 3 4 5" xfId="8370"/>
    <cellStyle name="Total 4 3 4 5 2" xfId="15546"/>
    <cellStyle name="Total 4 3 4 6" xfId="9878"/>
    <cellStyle name="Total 4 3 5" xfId="3236"/>
    <cellStyle name="Total 4 3 5 2" xfId="10611"/>
    <cellStyle name="Total 4 3 6" xfId="2819"/>
    <cellStyle name="Total 4 3 6 2" xfId="10257"/>
    <cellStyle name="Total 4 3 7" xfId="2977"/>
    <cellStyle name="Total 4 3 7 2" xfId="10393"/>
    <cellStyle name="Total 4 3 8" xfId="3189"/>
    <cellStyle name="Total 4 3 8 2" xfId="10576"/>
    <cellStyle name="Total 4 3 9" xfId="8854"/>
    <cellStyle name="Total 4 4" xfId="1383"/>
    <cellStyle name="Total 4 4 2" xfId="3785"/>
    <cellStyle name="Total 4 4 2 2" xfId="11108"/>
    <cellStyle name="Total 4 4 3" xfId="5159"/>
    <cellStyle name="Total 4 4 3 2" xfId="12422"/>
    <cellStyle name="Total 4 4 4" xfId="6442"/>
    <cellStyle name="Total 4 4 4 2" xfId="13651"/>
    <cellStyle name="Total 4 4 5" xfId="7623"/>
    <cellStyle name="Total 4 4 5 2" xfId="14803"/>
    <cellStyle name="Total 4 4 6" xfId="9131"/>
    <cellStyle name="Total 4 5" xfId="1451"/>
    <cellStyle name="Total 4 5 2" xfId="3848"/>
    <cellStyle name="Total 4 5 2 2" xfId="11169"/>
    <cellStyle name="Total 4 5 3" xfId="5216"/>
    <cellStyle name="Total 4 5 3 2" xfId="12477"/>
    <cellStyle name="Total 4 5 4" xfId="6492"/>
    <cellStyle name="Total 4 5 4 2" xfId="13700"/>
    <cellStyle name="Total 4 5 5" xfId="7658"/>
    <cellStyle name="Total 4 5 5 2" xfId="14838"/>
    <cellStyle name="Total 4 5 6" xfId="9166"/>
    <cellStyle name="Total 4 6" xfId="2153"/>
    <cellStyle name="Total 4 6 2" xfId="4518"/>
    <cellStyle name="Total 4 6 2 2" xfId="11817"/>
    <cellStyle name="Total 4 6 3" xfId="5862"/>
    <cellStyle name="Total 4 6 3 2" xfId="13100"/>
    <cellStyle name="Total 4 6 4" xfId="7117"/>
    <cellStyle name="Total 4 6 4 2" xfId="14311"/>
    <cellStyle name="Total 4 6 5" xfId="8233"/>
    <cellStyle name="Total 4 6 5 2" xfId="15409"/>
    <cellStyle name="Total 4 6 6" xfId="9741"/>
    <cellStyle name="Total 4 7" xfId="2784"/>
    <cellStyle name="Total 4 7 2" xfId="10242"/>
    <cellStyle name="Total 4 8" xfId="3759"/>
    <cellStyle name="Total 4 8 2" xfId="11086"/>
    <cellStyle name="Total 4 9" xfId="2754"/>
    <cellStyle name="Total 4 9 2" xfId="10223"/>
    <cellStyle name="Total 5" xfId="253"/>
    <cellStyle name="Total 6" xfId="298"/>
    <cellStyle name="Total 7" xfId="339"/>
    <cellStyle name="Total 8" xfId="380"/>
    <cellStyle name="Total 9" xfId="421"/>
    <cellStyle name="Warning Text" xfId="226" builtinId="11" customBuiltin="1"/>
    <cellStyle name="Warning Text 10" xfId="460"/>
    <cellStyle name="Warning Text 11" xfId="644"/>
    <cellStyle name="Warning Text 12" xfId="896"/>
    <cellStyle name="Warning Text 13" xfId="939"/>
    <cellStyle name="Warning Text 14" xfId="982"/>
    <cellStyle name="Warning Text 15" xfId="1023"/>
    <cellStyle name="Warning Text 16" xfId="1064"/>
    <cellStyle name="Warning Text 17" xfId="1105"/>
    <cellStyle name="Warning Text 18" xfId="1146"/>
    <cellStyle name="Warning Text 19" xfId="1187"/>
    <cellStyle name="Warning Text 2" xfId="227"/>
    <cellStyle name="Warning Text 20" xfId="1228"/>
    <cellStyle name="Warning Text 21" xfId="2558"/>
    <cellStyle name="Warning Text 3" xfId="228"/>
    <cellStyle name="Warning Text 4" xfId="229"/>
    <cellStyle name="Warning Text 5" xfId="250"/>
    <cellStyle name="Warning Text 6" xfId="295"/>
    <cellStyle name="Warning Text 7" xfId="336"/>
    <cellStyle name="Warning Text 8" xfId="377"/>
    <cellStyle name="Warning Text 9" xfId="418"/>
  </cellStyles>
  <dxfs count="26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ill>
        <patternFill>
          <bgColor indexed="10"/>
        </patternFill>
      </fill>
    </dxf>
    <dxf>
      <fill>
        <patternFill>
          <bgColor indexed="59"/>
        </patternFill>
      </fill>
    </dxf>
    <dxf>
      <fill>
        <patternFill>
          <bgColor indexed="10"/>
        </patternFill>
      </fill>
    </dxf>
    <dxf>
      <fill>
        <patternFill>
          <bgColor indexed="59"/>
        </patternFill>
      </fill>
    </dxf>
    <dxf>
      <fill>
        <patternFill>
          <bgColor indexed="10"/>
        </patternFill>
      </fill>
    </dxf>
    <dxf>
      <fill>
        <patternFill>
          <bgColor indexed="59"/>
        </patternFill>
      </fill>
    </dxf>
    <dxf>
      <fill>
        <patternFill>
          <bgColor indexed="10"/>
        </patternFill>
      </fill>
    </dxf>
    <dxf>
      <fill>
        <patternFill>
          <bgColor indexed="59"/>
        </patternFill>
      </fill>
    </dxf>
    <dxf>
      <fill>
        <patternFill>
          <bgColor indexed="10"/>
        </patternFill>
      </fill>
    </dxf>
    <dxf>
      <fill>
        <patternFill>
          <bgColor indexed="59"/>
        </patternFill>
      </fill>
    </dxf>
    <dxf>
      <fill>
        <patternFill>
          <bgColor indexed="10"/>
        </patternFill>
      </fill>
    </dxf>
    <dxf>
      <fill>
        <patternFill>
          <bgColor indexed="59"/>
        </patternFill>
      </fill>
    </dxf>
    <dxf>
      <fill>
        <patternFill>
          <bgColor indexed="10"/>
        </patternFill>
      </fill>
    </dxf>
    <dxf>
      <fill>
        <patternFill>
          <bgColor indexed="59"/>
        </patternFill>
      </fill>
    </dxf>
    <dxf>
      <fill>
        <patternFill>
          <bgColor indexed="10"/>
        </patternFill>
      </fill>
    </dxf>
    <dxf>
      <fill>
        <patternFill>
          <bgColor indexed="59"/>
        </patternFill>
      </fill>
    </dxf>
    <dxf>
      <fill>
        <patternFill>
          <bgColor indexed="10"/>
        </patternFill>
      </fill>
    </dxf>
    <dxf>
      <fill>
        <patternFill>
          <bgColor indexed="59"/>
        </patternFill>
      </fill>
    </dxf>
    <dxf>
      <fill>
        <patternFill>
          <bgColor indexed="10"/>
        </patternFill>
      </fill>
    </dxf>
    <dxf>
      <fill>
        <patternFill>
          <bgColor indexed="59"/>
        </patternFill>
      </fill>
    </dxf>
    <dxf>
      <fill>
        <patternFill>
          <bgColor indexed="10"/>
        </patternFill>
      </fill>
    </dxf>
    <dxf>
      <fill>
        <patternFill>
          <bgColor indexed="59"/>
        </patternFill>
      </fill>
    </dxf>
    <dxf>
      <fill>
        <patternFill>
          <bgColor indexed="10"/>
        </patternFill>
      </fill>
    </dxf>
    <dxf>
      <fill>
        <patternFill>
          <bgColor indexed="59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FFFF66"/>
      <rgbColor rgb="0066FF99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FFFFCC"/>
      <rgbColor rgb="00DBF1E0"/>
      <rgbColor rgb="00993300"/>
      <rgbColor rgb="00993366"/>
      <rgbColor rgb="00333399"/>
      <rgbColor rgb="00333333"/>
    </indexedColors>
    <mruColors>
      <color rgb="FFFFFFCC"/>
      <color rgb="FFFF0066"/>
      <color rgb="FFFFFF99"/>
      <color rgb="FFFFFF00"/>
      <color rgb="FFFFFF66"/>
      <color rgb="FFCC0000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</xdr:row>
      <xdr:rowOff>123825</xdr:rowOff>
    </xdr:from>
    <xdr:to>
      <xdr:col>1</xdr:col>
      <xdr:colOff>514350</xdr:colOff>
      <xdr:row>7</xdr:row>
      <xdr:rowOff>152400</xdr:rowOff>
    </xdr:to>
    <xdr:pic>
      <xdr:nvPicPr>
        <xdr:cNvPr id="5665" name="Picture 2" descr="novi logo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847725"/>
          <a:ext cx="1123950" cy="1019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1226344</xdr:colOff>
      <xdr:row>0</xdr:row>
      <xdr:rowOff>2</xdr:rowOff>
    </xdr:from>
    <xdr:to>
      <xdr:col>3</xdr:col>
      <xdr:colOff>3119438</xdr:colOff>
      <xdr:row>4</xdr:row>
      <xdr:rowOff>0</xdr:rowOff>
    </xdr:to>
    <xdr:pic>
      <xdr:nvPicPr>
        <xdr:cNvPr id="4" name="Picture 11" descr="Apos logo 1 sa sjenom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19750" y="2"/>
          <a:ext cx="1893094" cy="171449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W255"/>
  <sheetViews>
    <sheetView zoomScale="70" zoomScaleNormal="70" workbookViewId="0">
      <pane xSplit="4" ySplit="9" topLeftCell="E151" activePane="bottomRight" state="frozen"/>
      <selection activeCell="E186" sqref="E186"/>
      <selection pane="topRight" activeCell="E186" sqref="E186"/>
      <selection pane="bottomLeft" activeCell="E186" sqref="E186"/>
      <selection pane="bottomRight" activeCell="C172" sqref="A172:XFD172"/>
    </sheetView>
  </sheetViews>
  <sheetFormatPr defaultColWidth="9.140625" defaultRowHeight="12.75" outlineLevelRow="2" outlineLevelCol="1" x14ac:dyDescent="0.2"/>
  <cols>
    <col min="1" max="1" width="9.140625" style="99"/>
    <col min="2" max="2" width="10.28515625" style="99" customWidth="1"/>
    <col min="3" max="3" width="5.5703125" style="99" customWidth="1"/>
    <col min="4" max="4" width="60.7109375" style="99" customWidth="1"/>
    <col min="5" max="5" width="7.28515625" style="99" customWidth="1"/>
    <col min="6" max="6" width="11" style="112" customWidth="1"/>
    <col min="7" max="7" width="8.140625" style="99" customWidth="1"/>
    <col min="8" max="8" width="7.5703125" style="174" customWidth="1"/>
    <col min="9" max="9" width="10" style="112" customWidth="1"/>
    <col min="10" max="10" width="8" style="112" customWidth="1"/>
    <col min="11" max="11" width="5.85546875" style="174" customWidth="1"/>
    <col min="12" max="12" width="10" style="112" customWidth="1"/>
    <col min="13" max="13" width="8.140625" style="112" customWidth="1"/>
    <col min="14" max="14" width="11.28515625" style="99" customWidth="1"/>
    <col min="15" max="15" width="15.85546875" style="99" customWidth="1"/>
    <col min="16" max="16" width="16.42578125" style="99" customWidth="1"/>
    <col min="17" max="17" width="16.7109375" style="99" customWidth="1"/>
    <col min="18" max="19" width="16.42578125" style="99" customWidth="1"/>
    <col min="20" max="20" width="15.5703125" style="112" customWidth="1"/>
    <col min="21" max="21" width="13.140625" style="99" customWidth="1" outlineLevel="1"/>
    <col min="22" max="22" width="12.42578125" style="99" customWidth="1" outlineLevel="1"/>
    <col min="23" max="23" width="15.28515625" style="99" customWidth="1" outlineLevel="1"/>
    <col min="24" max="24" width="13.5703125" style="99" customWidth="1" outlineLevel="1"/>
    <col min="25" max="27" width="14.28515625" style="99" customWidth="1" outlineLevel="1"/>
    <col min="28" max="28" width="13.5703125" style="99" customWidth="1" outlineLevel="1"/>
    <col min="29" max="29" width="9.140625" style="99" customWidth="1" outlineLevel="1"/>
    <col min="30" max="30" width="15" style="99" customWidth="1" outlineLevel="1"/>
    <col min="31" max="31" width="14.42578125" style="99" customWidth="1" outlineLevel="1"/>
    <col min="32" max="32" width="13.5703125" style="99" customWidth="1" outlineLevel="1"/>
    <col min="33" max="33" width="14.140625" style="99" customWidth="1" outlineLevel="1"/>
    <col min="34" max="34" width="15.5703125" style="99" customWidth="1" outlineLevel="1"/>
    <col min="35" max="35" width="13.85546875" style="99" customWidth="1" outlineLevel="1"/>
    <col min="36" max="36" width="9.140625" style="99" customWidth="1" outlineLevel="1"/>
    <col min="37" max="37" width="11.85546875" style="99" customWidth="1" outlineLevel="1"/>
    <col min="38" max="38" width="13.140625" style="99" customWidth="1" outlineLevel="1"/>
    <col min="39" max="39" width="12.42578125" style="99" customWidth="1" outlineLevel="1"/>
    <col min="40" max="40" width="13.42578125" style="99" customWidth="1" outlineLevel="1"/>
    <col min="41" max="41" width="13.7109375" style="99" customWidth="1" outlineLevel="1"/>
    <col min="42" max="44" width="13.42578125" style="99" customWidth="1" outlineLevel="1"/>
    <col min="45" max="45" width="14.5703125" style="99" customWidth="1" outlineLevel="1"/>
    <col min="46" max="46" width="14" style="99" customWidth="1" outlineLevel="1"/>
    <col min="47" max="47" width="13.5703125" style="99" customWidth="1" outlineLevel="1"/>
    <col min="48" max="48" width="12.7109375" style="99" customWidth="1" outlineLevel="1"/>
    <col min="49" max="49" width="10.85546875" style="99" customWidth="1" outlineLevel="1"/>
    <col min="50" max="50" width="12.85546875" style="99" customWidth="1" outlineLevel="1"/>
    <col min="51" max="51" width="14.28515625" style="99" customWidth="1" outlineLevel="1"/>
    <col min="52" max="52" width="13.5703125" style="99" customWidth="1" outlineLevel="1"/>
    <col min="53" max="53" width="13.140625" style="99" customWidth="1" outlineLevel="1"/>
    <col min="54" max="54" width="12.42578125" style="99" customWidth="1" outlineLevel="1"/>
    <col min="55" max="55" width="14.85546875" style="99" customWidth="1" outlineLevel="1"/>
    <col min="56" max="56" width="13.7109375" style="99" customWidth="1" outlineLevel="1"/>
    <col min="57" max="58" width="13.5703125" style="99" customWidth="1" outlineLevel="1"/>
    <col min="59" max="60" width="13.7109375" style="99" customWidth="1" outlineLevel="1"/>
    <col min="61" max="61" width="9.140625" style="141" customWidth="1" outlineLevel="1"/>
    <col min="62" max="62" width="14.42578125" style="99" customWidth="1" outlineLevel="1"/>
    <col min="63" max="63" width="13.5703125" style="99" customWidth="1" outlineLevel="1"/>
    <col min="64" max="64" width="12.42578125" style="99" customWidth="1" outlineLevel="1"/>
    <col min="65" max="67" width="13.5703125" style="99" customWidth="1" outlineLevel="1"/>
    <col min="68" max="68" width="9.140625" style="141" customWidth="1" outlineLevel="1"/>
    <col min="69" max="69" width="11.7109375" style="141" customWidth="1" outlineLevel="1"/>
    <col min="70" max="70" width="13.140625" style="99" customWidth="1" outlineLevel="1"/>
    <col min="71" max="71" width="12.42578125" style="99" customWidth="1" outlineLevel="1"/>
    <col min="72" max="72" width="13.42578125" style="99" customWidth="1" outlineLevel="1"/>
    <col min="73" max="73" width="13.7109375" style="99" customWidth="1" outlineLevel="1"/>
    <col min="74" max="75" width="13.42578125" style="99" customWidth="1" outlineLevel="1"/>
    <col min="76" max="76" width="13.28515625" style="99" customWidth="1" outlineLevel="1"/>
    <col min="77" max="77" width="14.5703125" style="99" customWidth="1" outlineLevel="1"/>
    <col min="78" max="78" width="14" style="99" customWidth="1" outlineLevel="1"/>
    <col min="79" max="79" width="13.5703125" style="99" customWidth="1" outlineLevel="1"/>
    <col min="80" max="80" width="14.85546875" style="99" customWidth="1" outlineLevel="1"/>
    <col min="81" max="81" width="13.5703125" style="99" customWidth="1" outlineLevel="1"/>
    <col min="82" max="82" width="12.85546875" style="99" customWidth="1" outlineLevel="1"/>
    <col min="83" max="83" width="14.28515625" style="99" customWidth="1" outlineLevel="1"/>
    <col min="84" max="84" width="13.5703125" style="99" customWidth="1" outlineLevel="1"/>
    <col min="85" max="85" width="13.140625" style="99" customWidth="1" outlineLevel="1"/>
    <col min="86" max="86" width="13.85546875" style="99" customWidth="1" outlineLevel="1"/>
    <col min="87" max="87" width="14.85546875" style="99" customWidth="1" outlineLevel="1"/>
    <col min="88" max="88" width="13.7109375" style="99" customWidth="1" outlineLevel="1"/>
    <col min="89" max="90" width="13.5703125" style="99" customWidth="1" outlineLevel="1"/>
    <col min="91" max="92" width="13.7109375" style="99" customWidth="1" outlineLevel="1"/>
    <col min="93" max="93" width="9.140625" style="141" customWidth="1" outlineLevel="1"/>
    <col min="94" max="94" width="14.85546875" style="99" customWidth="1" outlineLevel="1"/>
    <col min="95" max="95" width="13.5703125" style="99" customWidth="1" outlineLevel="1"/>
    <col min="96" max="96" width="13.140625" style="99" customWidth="1" outlineLevel="1"/>
    <col min="97" max="99" width="13.5703125" style="99" customWidth="1" outlineLevel="1"/>
    <col min="100" max="100" width="9.140625" style="141" customWidth="1" outlineLevel="1"/>
    <col min="101" max="101" width="11.7109375" style="141" customWidth="1" outlineLevel="1"/>
    <col min="102" max="102" width="13.7109375" style="99" customWidth="1" outlineLevel="1"/>
    <col min="103" max="103" width="12.85546875" style="99" customWidth="1" outlineLevel="1"/>
    <col min="104" max="104" width="14" style="99" customWidth="1" outlineLevel="1"/>
    <col min="105" max="105" width="13.85546875" style="99" customWidth="1" outlineLevel="1"/>
    <col min="106" max="106" width="13.7109375" style="99" customWidth="1" outlineLevel="1"/>
    <col min="107" max="107" width="13" style="99" customWidth="1" outlineLevel="1"/>
    <col min="108" max="108" width="14.7109375" style="99" customWidth="1" outlineLevel="1"/>
    <col min="109" max="109" width="13.42578125" style="99" customWidth="1" outlineLevel="1"/>
    <col min="110" max="110" width="12.5703125" style="99" customWidth="1" outlineLevel="1"/>
    <col min="111" max="111" width="14.42578125" style="99" customWidth="1" outlineLevel="1"/>
    <col min="112" max="112" width="13.7109375" style="99" customWidth="1" outlineLevel="1"/>
    <col min="113" max="113" width="11.5703125" style="99" customWidth="1" outlineLevel="1"/>
    <col min="114" max="114" width="12" style="99" customWidth="1" outlineLevel="1"/>
    <col min="115" max="115" width="13.7109375" style="99" customWidth="1" outlineLevel="1"/>
    <col min="116" max="116" width="15.42578125" style="99" customWidth="1" outlineLevel="1"/>
    <col min="117" max="117" width="13.140625" style="99" customWidth="1" outlineLevel="1"/>
    <col min="118" max="118" width="14.42578125" style="99" customWidth="1" outlineLevel="1"/>
    <col min="119" max="119" width="14.28515625" style="99" customWidth="1" outlineLevel="1"/>
    <col min="120" max="120" width="16.42578125" style="99" customWidth="1" outlineLevel="1"/>
    <col min="121" max="121" width="13.5703125" style="99" customWidth="1" outlineLevel="1"/>
    <col min="122" max="122" width="14.140625" style="99" customWidth="1" outlineLevel="1"/>
    <col min="123" max="123" width="17.28515625" style="99" customWidth="1" outlineLevel="1"/>
    <col min="124" max="124" width="15.42578125" style="99" customWidth="1" outlineLevel="1"/>
    <col min="125" max="125" width="9.140625" style="99" customWidth="1" outlineLevel="1"/>
    <col min="126" max="126" width="15.42578125" style="99" customWidth="1" outlineLevel="1"/>
    <col min="127" max="127" width="16.5703125" style="99" customWidth="1" outlineLevel="1"/>
    <col min="128" max="128" width="13.7109375" style="99" customWidth="1" outlineLevel="1"/>
    <col min="129" max="129" width="13.42578125" style="99" customWidth="1" outlineLevel="1"/>
    <col min="130" max="130" width="14.140625" style="99" customWidth="1" outlineLevel="1"/>
    <col min="131" max="131" width="14.28515625" style="99" customWidth="1" outlineLevel="1"/>
    <col min="132" max="132" width="9.140625" style="99" customWidth="1" outlineLevel="1"/>
    <col min="133" max="133" width="11.42578125" style="99" customWidth="1" outlineLevel="1"/>
    <col min="134" max="134" width="15" style="99" customWidth="1" outlineLevel="1"/>
    <col min="135" max="135" width="14" style="99" customWidth="1" outlineLevel="1"/>
    <col min="136" max="136" width="14.7109375" style="99" customWidth="1" outlineLevel="1"/>
    <col min="137" max="137" width="15.140625" style="99" customWidth="1" outlineLevel="1"/>
    <col min="138" max="138" width="13.7109375" style="99" customWidth="1" outlineLevel="1"/>
    <col min="139" max="139" width="13.140625" style="99" customWidth="1" outlineLevel="1"/>
    <col min="140" max="140" width="13.28515625" style="99" customWidth="1" outlineLevel="1"/>
    <col min="141" max="141" width="13.42578125" style="99" customWidth="1" outlineLevel="1"/>
    <col min="142" max="142" width="13.28515625" style="99" customWidth="1" outlineLevel="1"/>
    <col min="143" max="143" width="14.140625" style="99" customWidth="1" outlineLevel="1"/>
    <col min="144" max="144" width="14.7109375" style="99" customWidth="1" outlineLevel="1"/>
    <col min="145" max="145" width="13.140625" style="99" customWidth="1" outlineLevel="1"/>
    <col min="146" max="146" width="13.42578125" style="99" customWidth="1" outlineLevel="1"/>
    <col min="147" max="147" width="14.140625" style="99" customWidth="1" outlineLevel="1"/>
    <col min="148" max="148" width="15.42578125" style="99" customWidth="1" outlineLevel="1"/>
    <col min="149" max="149" width="13.5703125" style="99" customWidth="1"/>
    <col min="150" max="150" width="13.85546875" style="99" customWidth="1"/>
    <col min="151" max="151" width="15.42578125" style="99" customWidth="1"/>
    <col min="152" max="153" width="14.5703125" style="99" customWidth="1"/>
    <col min="154" max="154" width="13.42578125" style="99" customWidth="1"/>
    <col min="155" max="155" width="16.140625" style="99" customWidth="1"/>
    <col min="156" max="157" width="14" style="99" customWidth="1"/>
    <col min="158" max="158" width="15.28515625" style="99" customWidth="1"/>
    <col min="159" max="159" width="14.5703125" style="99" customWidth="1"/>
    <col min="160" max="160" width="13.5703125" style="99" customWidth="1"/>
    <col min="161" max="161" width="14" style="99" customWidth="1"/>
    <col min="162" max="162" width="14.28515625" style="99" customWidth="1"/>
    <col min="163" max="163" width="15.42578125" style="99" customWidth="1"/>
    <col min="164" max="164" width="14.28515625" style="99" customWidth="1"/>
    <col min="165" max="166" width="15" style="99" customWidth="1"/>
    <col min="167" max="167" width="14" style="99" customWidth="1"/>
    <col min="168" max="168" width="14.7109375" style="99" customWidth="1"/>
    <col min="169" max="169" width="15.140625" style="99" customWidth="1"/>
    <col min="170" max="170" width="13.7109375" style="99" customWidth="1"/>
    <col min="171" max="171" width="13.140625" style="99" customWidth="1"/>
    <col min="172" max="172" width="13.28515625" style="99" customWidth="1"/>
    <col min="173" max="173" width="13.42578125" style="99" customWidth="1"/>
    <col min="174" max="174" width="13.28515625" style="99" customWidth="1"/>
    <col min="175" max="175" width="14.140625" style="99" customWidth="1"/>
    <col min="176" max="176" width="14.7109375" style="99" customWidth="1"/>
    <col min="177" max="177" width="13.140625" style="99" customWidth="1"/>
    <col min="178" max="178" width="13.42578125" style="99" customWidth="1"/>
    <col min="179" max="179" width="14.140625" style="99" customWidth="1"/>
    <col min="180" max="180" width="15.42578125" style="99" customWidth="1"/>
    <col min="181" max="181" width="13.5703125" style="99" customWidth="1"/>
    <col min="182" max="182" width="13.85546875" style="99" customWidth="1"/>
    <col min="183" max="183" width="15.42578125" style="99" customWidth="1"/>
    <col min="184" max="185" width="14.5703125" style="99" customWidth="1"/>
    <col min="186" max="186" width="13.42578125" style="99" customWidth="1"/>
    <col min="187" max="187" width="16.140625" style="99" customWidth="1"/>
    <col min="188" max="188" width="14" style="99" customWidth="1"/>
    <col min="189" max="189" width="9.5703125" style="99" customWidth="1"/>
    <col min="190" max="190" width="15.28515625" style="99" customWidth="1"/>
    <col min="191" max="191" width="14.5703125" style="99" customWidth="1"/>
    <col min="192" max="192" width="13.5703125" style="99" customWidth="1"/>
    <col min="193" max="193" width="14" style="99" customWidth="1"/>
    <col min="194" max="194" width="14.28515625" style="99" customWidth="1"/>
    <col min="195" max="195" width="15.42578125" style="99" customWidth="1"/>
    <col min="196" max="196" width="14.28515625" style="99" customWidth="1"/>
    <col min="197" max="197" width="11.140625" style="99" customWidth="1"/>
    <col min="198" max="198" width="15" style="99" customWidth="1"/>
    <col min="199" max="199" width="14" style="99" customWidth="1"/>
    <col min="200" max="200" width="14.7109375" style="99" customWidth="1"/>
    <col min="201" max="201" width="15.140625" style="99" customWidth="1"/>
    <col min="202" max="202" width="13.7109375" style="99" customWidth="1"/>
    <col min="203" max="203" width="13.140625" style="99" customWidth="1"/>
    <col min="204" max="204" width="13.28515625" style="99" customWidth="1"/>
    <col min="205" max="205" width="13.42578125" style="99" customWidth="1"/>
    <col min="206" max="206" width="13.28515625" style="99" customWidth="1"/>
    <col min="207" max="207" width="14.140625" style="99" customWidth="1"/>
    <col min="208" max="208" width="14.7109375" style="99" customWidth="1"/>
    <col min="209" max="209" width="13.140625" style="99" customWidth="1"/>
    <col min="210" max="210" width="13.42578125" style="99" customWidth="1"/>
    <col min="211" max="211" width="14.140625" style="99" customWidth="1"/>
    <col min="212" max="212" width="15.42578125" style="99" customWidth="1"/>
    <col min="213" max="213" width="13.5703125" style="1669" customWidth="1"/>
    <col min="214" max="214" width="13.85546875" style="99" customWidth="1"/>
    <col min="215" max="215" width="15.42578125" style="99" customWidth="1"/>
    <col min="216" max="217" width="14.5703125" style="99" customWidth="1"/>
    <col min="218" max="218" width="13.42578125" style="99" customWidth="1"/>
    <col min="219" max="219" width="16.140625" style="99" customWidth="1"/>
    <col min="220" max="220" width="14" style="99" customWidth="1"/>
    <col min="221" max="221" width="9.5703125" style="99" customWidth="1"/>
    <col min="222" max="222" width="15.28515625" style="99" customWidth="1"/>
    <col min="223" max="223" width="14.5703125" style="99" customWidth="1"/>
    <col min="224" max="224" width="13.5703125" style="99" customWidth="1"/>
    <col min="225" max="225" width="14" style="99" customWidth="1"/>
    <col min="226" max="226" width="14.28515625" style="99" customWidth="1"/>
    <col min="227" max="227" width="15.42578125" style="99" customWidth="1"/>
    <col min="228" max="228" width="14.28515625" style="99" customWidth="1"/>
    <col min="229" max="229" width="11.140625" style="99" customWidth="1"/>
    <col min="230" max="230" width="9.140625" style="99"/>
    <col min="231" max="231" width="10" style="99" bestFit="1" customWidth="1"/>
    <col min="232" max="16384" width="9.140625" style="99"/>
  </cols>
  <sheetData>
    <row r="1" spans="1:229" s="102" customFormat="1" ht="75" hidden="1" customHeight="1" outlineLevel="1" x14ac:dyDescent="0.2">
      <c r="A1" s="3651" t="s">
        <v>399</v>
      </c>
      <c r="B1" s="3651"/>
      <c r="C1" s="3651"/>
      <c r="D1" s="3651"/>
      <c r="E1" s="3651"/>
      <c r="F1" s="3651"/>
      <c r="G1" s="3651"/>
      <c r="H1" s="3651"/>
      <c r="I1" s="3651"/>
      <c r="J1" s="3651"/>
      <c r="K1" s="3651"/>
      <c r="L1" s="3651"/>
      <c r="M1" s="3651"/>
      <c r="N1" s="3651"/>
      <c r="O1" s="3651"/>
      <c r="P1" s="3651"/>
      <c r="Q1" s="3651"/>
      <c r="R1" s="3651"/>
      <c r="S1" s="3651"/>
      <c r="T1" s="3652"/>
      <c r="BA1" s="122"/>
      <c r="BB1" s="122"/>
      <c r="BC1" s="122"/>
      <c r="BD1" s="122"/>
      <c r="BE1" s="122"/>
      <c r="BF1" s="122"/>
      <c r="BG1" s="122"/>
      <c r="BH1" s="122"/>
      <c r="BI1" s="128"/>
      <c r="BJ1" s="122"/>
      <c r="BK1" s="122"/>
      <c r="BL1" s="122"/>
      <c r="BM1" s="122"/>
      <c r="BN1" s="122"/>
      <c r="BO1" s="122"/>
      <c r="BP1" s="128"/>
      <c r="BQ1" s="403"/>
      <c r="CG1" s="122"/>
      <c r="CH1" s="122"/>
      <c r="CI1" s="122"/>
      <c r="CJ1" s="122"/>
      <c r="CK1" s="122"/>
      <c r="CL1" s="122"/>
      <c r="CM1" s="122"/>
      <c r="CN1" s="122"/>
      <c r="CO1" s="128"/>
      <c r="CP1" s="122"/>
      <c r="CQ1" s="122"/>
      <c r="CR1" s="122"/>
      <c r="CS1" s="122"/>
      <c r="CT1" s="122"/>
      <c r="CU1" s="122"/>
      <c r="CV1" s="128"/>
      <c r="CW1" s="403"/>
      <c r="HE1" s="1668"/>
    </row>
    <row r="2" spans="1:229" ht="13.5" hidden="1" outlineLevel="1" thickBot="1" x14ac:dyDescent="0.25">
      <c r="A2" s="105"/>
      <c r="B2" s="105"/>
      <c r="C2" s="105"/>
      <c r="D2" s="105"/>
      <c r="E2" s="105"/>
      <c r="F2" s="312"/>
      <c r="G2" s="105"/>
      <c r="H2" s="404"/>
      <c r="I2" s="312"/>
      <c r="J2" s="312"/>
      <c r="K2" s="404"/>
      <c r="L2" s="312"/>
      <c r="M2" s="312"/>
      <c r="N2" s="105"/>
      <c r="O2" s="105"/>
      <c r="P2" s="105"/>
      <c r="Q2" s="105"/>
      <c r="R2" s="105"/>
      <c r="S2" s="105"/>
      <c r="T2" s="405"/>
      <c r="BA2" s="105"/>
      <c r="BB2" s="105"/>
      <c r="BC2" s="105"/>
      <c r="BD2" s="105"/>
      <c r="BE2" s="105"/>
      <c r="BF2" s="105"/>
      <c r="BG2" s="105"/>
      <c r="BH2" s="105"/>
      <c r="BI2" s="406"/>
      <c r="BJ2" s="105"/>
      <c r="BK2" s="105"/>
      <c r="BL2" s="105"/>
      <c r="BM2" s="105"/>
      <c r="BN2" s="105"/>
      <c r="BO2" s="105"/>
      <c r="BP2" s="406"/>
      <c r="BQ2" s="407"/>
      <c r="CG2" s="105"/>
      <c r="CH2" s="105"/>
      <c r="CI2" s="105"/>
      <c r="CJ2" s="105"/>
      <c r="CK2" s="105"/>
      <c r="CL2" s="105"/>
      <c r="CM2" s="105"/>
      <c r="CN2" s="105"/>
      <c r="CO2" s="406"/>
      <c r="CP2" s="105"/>
      <c r="CQ2" s="105"/>
      <c r="CR2" s="105"/>
      <c r="CS2" s="105"/>
      <c r="CT2" s="105"/>
      <c r="CU2" s="105"/>
      <c r="CV2" s="406"/>
      <c r="CW2" s="407"/>
    </row>
    <row r="3" spans="1:229" ht="18.75" customHeight="1" collapsed="1" x14ac:dyDescent="0.2">
      <c r="A3" s="105"/>
      <c r="B3" s="105"/>
      <c r="C3" s="105"/>
      <c r="D3" s="105"/>
      <c r="E3" s="105"/>
      <c r="F3" s="312"/>
      <c r="G3" s="105"/>
      <c r="H3" s="404"/>
      <c r="I3" s="312"/>
      <c r="J3" s="312"/>
      <c r="K3" s="404"/>
      <c r="L3" s="312"/>
      <c r="M3" s="312"/>
      <c r="N3" s="105"/>
      <c r="O3" s="105"/>
      <c r="P3" s="105"/>
      <c r="Q3" s="105"/>
      <c r="R3" s="105"/>
      <c r="S3" s="105"/>
      <c r="T3" s="405"/>
      <c r="U3" s="1" t="s">
        <v>433</v>
      </c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2"/>
      <c r="AL3" s="3643" t="s">
        <v>448</v>
      </c>
      <c r="AM3" s="3643"/>
      <c r="AN3" s="3643"/>
      <c r="AO3" s="3643"/>
      <c r="AP3" s="3643"/>
      <c r="AQ3" s="3643"/>
      <c r="AR3" s="3643"/>
      <c r="AS3" s="3643"/>
      <c r="AT3" s="3643"/>
      <c r="AU3" s="3643"/>
      <c r="AV3" s="3643"/>
      <c r="AW3" s="3643"/>
      <c r="AX3" s="3643"/>
      <c r="AY3" s="3643"/>
      <c r="AZ3" s="3644"/>
      <c r="BA3" s="1" t="s">
        <v>451</v>
      </c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2"/>
      <c r="BR3" s="3623" t="s">
        <v>469</v>
      </c>
      <c r="BS3" s="3623"/>
      <c r="BT3" s="3623"/>
      <c r="BU3" s="3623"/>
      <c r="BV3" s="3623"/>
      <c r="BW3" s="3623"/>
      <c r="BX3" s="3623"/>
      <c r="BY3" s="3623"/>
      <c r="BZ3" s="3623"/>
      <c r="CA3" s="3623"/>
      <c r="CB3" s="3623"/>
      <c r="CC3" s="3623"/>
      <c r="CD3" s="3623"/>
      <c r="CE3" s="3623"/>
      <c r="CF3" s="3624"/>
      <c r="CG3" s="1" t="s">
        <v>468</v>
      </c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2"/>
      <c r="CX3" s="3623" t="s">
        <v>494</v>
      </c>
      <c r="CY3" s="3623"/>
      <c r="CZ3" s="3623"/>
      <c r="DA3" s="3623"/>
      <c r="DB3" s="3623"/>
      <c r="DC3" s="3623"/>
      <c r="DD3" s="3623"/>
      <c r="DE3" s="3623"/>
      <c r="DF3" s="3623"/>
      <c r="DG3" s="3623"/>
      <c r="DH3" s="3623"/>
      <c r="DI3" s="3623"/>
      <c r="DJ3" s="3623"/>
      <c r="DK3" s="3623"/>
      <c r="DL3" s="3624"/>
      <c r="DM3" s="1" t="s">
        <v>495</v>
      </c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2"/>
      <c r="ED3" s="3623" t="s">
        <v>506</v>
      </c>
      <c r="EE3" s="3623"/>
      <c r="EF3" s="3623"/>
      <c r="EG3" s="3623"/>
      <c r="EH3" s="3623"/>
      <c r="EI3" s="3623"/>
      <c r="EJ3" s="3623"/>
      <c r="EK3" s="3623"/>
      <c r="EL3" s="3623"/>
      <c r="EM3" s="3623"/>
      <c r="EN3" s="3623"/>
      <c r="EO3" s="3623"/>
      <c r="EP3" s="3623"/>
      <c r="EQ3" s="3623"/>
      <c r="ER3" s="3624"/>
      <c r="ES3" s="1" t="s">
        <v>507</v>
      </c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2"/>
      <c r="FJ3" s="3623" t="s">
        <v>537</v>
      </c>
      <c r="FK3" s="3623"/>
      <c r="FL3" s="3623"/>
      <c r="FM3" s="3623"/>
      <c r="FN3" s="3623"/>
      <c r="FO3" s="3623"/>
      <c r="FP3" s="3623"/>
      <c r="FQ3" s="3623"/>
      <c r="FR3" s="3623"/>
      <c r="FS3" s="3623"/>
      <c r="FT3" s="3623"/>
      <c r="FU3" s="3623"/>
      <c r="FV3" s="3623"/>
      <c r="FW3" s="3623"/>
      <c r="FX3" s="3624"/>
      <c r="FY3" s="1" t="s">
        <v>521</v>
      </c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2"/>
      <c r="GP3" s="3623" t="s">
        <v>536</v>
      </c>
      <c r="GQ3" s="3623"/>
      <c r="GR3" s="3623"/>
      <c r="GS3" s="3623"/>
      <c r="GT3" s="3623"/>
      <c r="GU3" s="3623"/>
      <c r="GV3" s="3623"/>
      <c r="GW3" s="3623"/>
      <c r="GX3" s="3623"/>
      <c r="GY3" s="3623"/>
      <c r="GZ3" s="3623"/>
      <c r="HA3" s="3623"/>
      <c r="HB3" s="3623"/>
      <c r="HC3" s="3623"/>
      <c r="HD3" s="3624"/>
      <c r="HE3" s="1" t="s">
        <v>538</v>
      </c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2"/>
    </row>
    <row r="4" spans="1:229" ht="17.25" customHeight="1" thickBot="1" x14ac:dyDescent="0.25">
      <c r="A4" s="105"/>
      <c r="B4" s="105"/>
      <c r="C4" s="105"/>
      <c r="D4" s="105"/>
      <c r="E4" s="105"/>
      <c r="F4" s="312"/>
      <c r="G4" s="105"/>
      <c r="H4" s="312"/>
      <c r="I4" s="312"/>
      <c r="J4" s="312"/>
      <c r="K4" s="404"/>
      <c r="L4" s="312"/>
      <c r="M4" s="312"/>
      <c r="N4" s="312"/>
      <c r="O4" s="105"/>
      <c r="P4" s="105"/>
      <c r="Q4" s="105"/>
      <c r="R4" s="312"/>
      <c r="S4" s="312"/>
      <c r="T4" s="405"/>
      <c r="U4" s="3585"/>
      <c r="V4" s="3585"/>
      <c r="W4" s="3585"/>
      <c r="X4" s="3585"/>
      <c r="Y4" s="3585"/>
      <c r="Z4" s="3585"/>
      <c r="AA4" s="3585"/>
      <c r="AB4" s="3585"/>
      <c r="AC4" s="3585"/>
      <c r="AD4" s="3585"/>
      <c r="AE4" s="3585"/>
      <c r="AF4" s="3585"/>
      <c r="AG4" s="3585"/>
      <c r="AH4" s="3585"/>
      <c r="AI4" s="3585"/>
      <c r="AJ4" s="3585"/>
      <c r="AK4" s="3586"/>
      <c r="AL4" s="3645"/>
      <c r="AM4" s="3645"/>
      <c r="AN4" s="3645"/>
      <c r="AO4" s="3645"/>
      <c r="AP4" s="3645"/>
      <c r="AQ4" s="3645"/>
      <c r="AR4" s="3645"/>
      <c r="AS4" s="3645"/>
      <c r="AT4" s="3645"/>
      <c r="AU4" s="3645"/>
      <c r="AV4" s="3645"/>
      <c r="AW4" s="3645"/>
      <c r="AX4" s="3645"/>
      <c r="AY4" s="3645"/>
      <c r="AZ4" s="3646"/>
      <c r="BA4" s="3585"/>
      <c r="BB4" s="3585"/>
      <c r="BC4" s="3585"/>
      <c r="BD4" s="3585"/>
      <c r="BE4" s="3585"/>
      <c r="BF4" s="3585"/>
      <c r="BG4" s="3585"/>
      <c r="BH4" s="3585"/>
      <c r="BI4" s="3585"/>
      <c r="BJ4" s="3585"/>
      <c r="BK4" s="3585"/>
      <c r="BL4" s="3585"/>
      <c r="BM4" s="3585"/>
      <c r="BN4" s="3585"/>
      <c r="BO4" s="3585"/>
      <c r="BP4" s="3585"/>
      <c r="BQ4" s="3586"/>
      <c r="BR4" s="3625"/>
      <c r="BS4" s="3625"/>
      <c r="BT4" s="3625"/>
      <c r="BU4" s="3625"/>
      <c r="BV4" s="3625"/>
      <c r="BW4" s="3625"/>
      <c r="BX4" s="3625"/>
      <c r="BY4" s="3625"/>
      <c r="BZ4" s="3625"/>
      <c r="CA4" s="3625"/>
      <c r="CB4" s="3625"/>
      <c r="CC4" s="3625"/>
      <c r="CD4" s="3625"/>
      <c r="CE4" s="3625"/>
      <c r="CF4" s="3626"/>
      <c r="CG4" s="3585"/>
      <c r="CH4" s="3585"/>
      <c r="CI4" s="3585"/>
      <c r="CJ4" s="3585"/>
      <c r="CK4" s="3585"/>
      <c r="CL4" s="3585"/>
      <c r="CM4" s="3585"/>
      <c r="CN4" s="3585"/>
      <c r="CO4" s="3585"/>
      <c r="CP4" s="3585"/>
      <c r="CQ4" s="3585"/>
      <c r="CR4" s="3585"/>
      <c r="CS4" s="3585"/>
      <c r="CT4" s="3585"/>
      <c r="CU4" s="3585"/>
      <c r="CV4" s="3585"/>
      <c r="CW4" s="3586"/>
      <c r="CX4" s="3625"/>
      <c r="CY4" s="3625"/>
      <c r="CZ4" s="3625"/>
      <c r="DA4" s="3625"/>
      <c r="DB4" s="3625"/>
      <c r="DC4" s="3625"/>
      <c r="DD4" s="3625"/>
      <c r="DE4" s="3625"/>
      <c r="DF4" s="3625"/>
      <c r="DG4" s="3625"/>
      <c r="DH4" s="3625"/>
      <c r="DI4" s="3625"/>
      <c r="DJ4" s="3625"/>
      <c r="DK4" s="3625"/>
      <c r="DL4" s="3626"/>
      <c r="DM4" s="3585"/>
      <c r="DN4" s="3585"/>
      <c r="DO4" s="3585"/>
      <c r="DP4" s="3585"/>
      <c r="DQ4" s="3585"/>
      <c r="DR4" s="3585"/>
      <c r="DS4" s="3585"/>
      <c r="DT4" s="3585"/>
      <c r="DU4" s="3585"/>
      <c r="DV4" s="3585"/>
      <c r="DW4" s="3585"/>
      <c r="DX4" s="3585"/>
      <c r="DY4" s="3585"/>
      <c r="DZ4" s="3585"/>
      <c r="EA4" s="3585"/>
      <c r="EB4" s="3585"/>
      <c r="EC4" s="3586"/>
      <c r="ED4" s="3625"/>
      <c r="EE4" s="3625"/>
      <c r="EF4" s="3625"/>
      <c r="EG4" s="3625"/>
      <c r="EH4" s="3625"/>
      <c r="EI4" s="3625"/>
      <c r="EJ4" s="3625"/>
      <c r="EK4" s="3625"/>
      <c r="EL4" s="3625"/>
      <c r="EM4" s="3625"/>
      <c r="EN4" s="3625"/>
      <c r="EO4" s="3625"/>
      <c r="EP4" s="3625"/>
      <c r="EQ4" s="3625"/>
      <c r="ER4" s="3626"/>
      <c r="ES4" s="3585"/>
      <c r="ET4" s="3585"/>
      <c r="EU4" s="3585"/>
      <c r="EV4" s="3585"/>
      <c r="EW4" s="3585"/>
      <c r="EX4" s="3585"/>
      <c r="EY4" s="3585"/>
      <c r="EZ4" s="3585"/>
      <c r="FA4" s="3585"/>
      <c r="FB4" s="3585"/>
      <c r="FC4" s="3585"/>
      <c r="FD4" s="3585"/>
      <c r="FE4" s="3585"/>
      <c r="FF4" s="3585"/>
      <c r="FG4" s="3585"/>
      <c r="FH4" s="3585"/>
      <c r="FI4" s="3586"/>
      <c r="FJ4" s="3625"/>
      <c r="FK4" s="3625"/>
      <c r="FL4" s="3625"/>
      <c r="FM4" s="3625"/>
      <c r="FN4" s="3625"/>
      <c r="FO4" s="3625"/>
      <c r="FP4" s="3625"/>
      <c r="FQ4" s="3625"/>
      <c r="FR4" s="3625"/>
      <c r="FS4" s="3625"/>
      <c r="FT4" s="3625"/>
      <c r="FU4" s="3625"/>
      <c r="FV4" s="3625"/>
      <c r="FW4" s="3625"/>
      <c r="FX4" s="3626"/>
      <c r="FY4" s="3585"/>
      <c r="FZ4" s="3585"/>
      <c r="GA4" s="3585"/>
      <c r="GB4" s="3585"/>
      <c r="GC4" s="3585"/>
      <c r="GD4" s="3585"/>
      <c r="GE4" s="3585"/>
      <c r="GF4" s="3585"/>
      <c r="GG4" s="3585"/>
      <c r="GH4" s="3585"/>
      <c r="GI4" s="3585"/>
      <c r="GJ4" s="3585"/>
      <c r="GK4" s="3585"/>
      <c r="GL4" s="3585"/>
      <c r="GM4" s="3585"/>
      <c r="GN4" s="3585"/>
      <c r="GO4" s="3586"/>
      <c r="GP4" s="3625"/>
      <c r="GQ4" s="3625"/>
      <c r="GR4" s="3625"/>
      <c r="GS4" s="3625"/>
      <c r="GT4" s="3625"/>
      <c r="GU4" s="3625"/>
      <c r="GV4" s="3625"/>
      <c r="GW4" s="3625"/>
      <c r="GX4" s="3625"/>
      <c r="GY4" s="3625"/>
      <c r="GZ4" s="3625"/>
      <c r="HA4" s="3625"/>
      <c r="HB4" s="3625"/>
      <c r="HC4" s="3625"/>
      <c r="HD4" s="3626"/>
      <c r="HE4" s="3585"/>
      <c r="HF4" s="3585"/>
      <c r="HG4" s="3585"/>
      <c r="HH4" s="3585"/>
      <c r="HI4" s="3585"/>
      <c r="HJ4" s="3585"/>
      <c r="HK4" s="3585"/>
      <c r="HL4" s="3585"/>
      <c r="HM4" s="3585"/>
      <c r="HN4" s="3585"/>
      <c r="HO4" s="3585"/>
      <c r="HP4" s="3585"/>
      <c r="HQ4" s="3585"/>
      <c r="HR4" s="3585"/>
      <c r="HS4" s="3585"/>
      <c r="HT4" s="3585"/>
      <c r="HU4" s="3586"/>
    </row>
    <row r="5" spans="1:229" ht="21" customHeight="1" thickBot="1" x14ac:dyDescent="0.25">
      <c r="A5" s="105"/>
      <c r="B5" s="105"/>
      <c r="C5" s="105"/>
      <c r="D5" s="105"/>
      <c r="E5" s="105"/>
      <c r="F5" s="312"/>
      <c r="G5" s="105"/>
      <c r="H5" s="404"/>
      <c r="I5" s="312"/>
      <c r="J5" s="312"/>
      <c r="K5" s="404"/>
      <c r="L5" s="312"/>
      <c r="M5" s="312"/>
      <c r="N5" s="105"/>
      <c r="O5" s="105"/>
      <c r="P5" s="105"/>
      <c r="Q5" s="105"/>
      <c r="R5" s="105"/>
      <c r="S5" s="105"/>
      <c r="T5" s="408"/>
      <c r="U5" s="3596" t="s">
        <v>158</v>
      </c>
      <c r="V5" s="3597"/>
      <c r="W5" s="3615" t="s">
        <v>146</v>
      </c>
      <c r="X5" s="3616"/>
      <c r="Y5" s="3616"/>
      <c r="Z5" s="3616"/>
      <c r="AA5" s="3616"/>
      <c r="AB5" s="3616"/>
      <c r="AC5" s="3617"/>
      <c r="AD5" s="3611" t="s">
        <v>147</v>
      </c>
      <c r="AE5" s="3612"/>
      <c r="AF5" s="3612"/>
      <c r="AG5" s="3612"/>
      <c r="AH5" s="3612"/>
      <c r="AI5" s="3612"/>
      <c r="AJ5" s="3613"/>
      <c r="AK5" s="3608" t="s">
        <v>464</v>
      </c>
      <c r="AL5" s="3627" t="s">
        <v>158</v>
      </c>
      <c r="AM5" s="3627"/>
      <c r="AN5" s="3628"/>
      <c r="AO5" s="3631" t="s">
        <v>146</v>
      </c>
      <c r="AP5" s="3632"/>
      <c r="AQ5" s="3632"/>
      <c r="AR5" s="3632"/>
      <c r="AS5" s="3632"/>
      <c r="AT5" s="3633"/>
      <c r="AU5" s="3605" t="s">
        <v>147</v>
      </c>
      <c r="AV5" s="3606"/>
      <c r="AW5" s="3606"/>
      <c r="AX5" s="3606"/>
      <c r="AY5" s="3606"/>
      <c r="AZ5" s="3607"/>
      <c r="BA5" s="3596" t="s">
        <v>158</v>
      </c>
      <c r="BB5" s="3597"/>
      <c r="BC5" s="3615" t="s">
        <v>146</v>
      </c>
      <c r="BD5" s="3616"/>
      <c r="BE5" s="3616"/>
      <c r="BF5" s="3616"/>
      <c r="BG5" s="3616"/>
      <c r="BH5" s="3616"/>
      <c r="BI5" s="3617"/>
      <c r="BJ5" s="3611" t="s">
        <v>147</v>
      </c>
      <c r="BK5" s="3612"/>
      <c r="BL5" s="3612"/>
      <c r="BM5" s="3612"/>
      <c r="BN5" s="3612"/>
      <c r="BO5" s="3612"/>
      <c r="BP5" s="3613"/>
      <c r="BQ5" s="3608" t="s">
        <v>464</v>
      </c>
      <c r="BR5" s="3627" t="s">
        <v>158</v>
      </c>
      <c r="BS5" s="3627"/>
      <c r="BT5" s="3628"/>
      <c r="BU5" s="3631" t="s">
        <v>146</v>
      </c>
      <c r="BV5" s="3632"/>
      <c r="BW5" s="3632"/>
      <c r="BX5" s="3632"/>
      <c r="BY5" s="3632"/>
      <c r="BZ5" s="3633"/>
      <c r="CA5" s="3605" t="s">
        <v>147</v>
      </c>
      <c r="CB5" s="3606"/>
      <c r="CC5" s="3606"/>
      <c r="CD5" s="3606"/>
      <c r="CE5" s="3606"/>
      <c r="CF5" s="3607"/>
      <c r="CG5" s="3596" t="s">
        <v>158</v>
      </c>
      <c r="CH5" s="3597"/>
      <c r="CI5" s="3615" t="s">
        <v>146</v>
      </c>
      <c r="CJ5" s="3616"/>
      <c r="CK5" s="3616"/>
      <c r="CL5" s="3616"/>
      <c r="CM5" s="3616"/>
      <c r="CN5" s="3616"/>
      <c r="CO5" s="3617"/>
      <c r="CP5" s="3611" t="s">
        <v>147</v>
      </c>
      <c r="CQ5" s="3612"/>
      <c r="CR5" s="3612"/>
      <c r="CS5" s="3612"/>
      <c r="CT5" s="3612"/>
      <c r="CU5" s="3612"/>
      <c r="CV5" s="3613"/>
      <c r="CW5" s="3608" t="s">
        <v>464</v>
      </c>
      <c r="CX5" s="3627" t="s">
        <v>158</v>
      </c>
      <c r="CY5" s="3627"/>
      <c r="CZ5" s="3628"/>
      <c r="DA5" s="3631" t="s">
        <v>146</v>
      </c>
      <c r="DB5" s="3632"/>
      <c r="DC5" s="3632"/>
      <c r="DD5" s="3632"/>
      <c r="DE5" s="3632"/>
      <c r="DF5" s="3633"/>
      <c r="DG5" s="3605" t="s">
        <v>147</v>
      </c>
      <c r="DH5" s="3606"/>
      <c r="DI5" s="3606"/>
      <c r="DJ5" s="3606"/>
      <c r="DK5" s="3606"/>
      <c r="DL5" s="3607"/>
      <c r="DM5" s="3596" t="s">
        <v>158</v>
      </c>
      <c r="DN5" s="3597"/>
      <c r="DO5" s="3615" t="s">
        <v>146</v>
      </c>
      <c r="DP5" s="3616"/>
      <c r="DQ5" s="3616"/>
      <c r="DR5" s="3616"/>
      <c r="DS5" s="3616"/>
      <c r="DT5" s="3616"/>
      <c r="DU5" s="3617"/>
      <c r="DV5" s="3611" t="s">
        <v>147</v>
      </c>
      <c r="DW5" s="3612"/>
      <c r="DX5" s="3612"/>
      <c r="DY5" s="3612"/>
      <c r="DZ5" s="3612"/>
      <c r="EA5" s="3612"/>
      <c r="EB5" s="3613"/>
      <c r="EC5" s="3608" t="s">
        <v>464</v>
      </c>
      <c r="ED5" s="3627" t="s">
        <v>158</v>
      </c>
      <c r="EE5" s="3627"/>
      <c r="EF5" s="3628"/>
      <c r="EG5" s="3631" t="s">
        <v>146</v>
      </c>
      <c r="EH5" s="3632"/>
      <c r="EI5" s="3632"/>
      <c r="EJ5" s="3632"/>
      <c r="EK5" s="3632"/>
      <c r="EL5" s="3633"/>
      <c r="EM5" s="3605" t="s">
        <v>147</v>
      </c>
      <c r="EN5" s="3606"/>
      <c r="EO5" s="3606"/>
      <c r="EP5" s="3606"/>
      <c r="EQ5" s="3606"/>
      <c r="ER5" s="3607"/>
      <c r="ES5" s="3596" t="s">
        <v>158</v>
      </c>
      <c r="ET5" s="3597"/>
      <c r="EU5" s="3615" t="s">
        <v>146</v>
      </c>
      <c r="EV5" s="3616"/>
      <c r="EW5" s="3616"/>
      <c r="EX5" s="3616"/>
      <c r="EY5" s="3616"/>
      <c r="EZ5" s="3616"/>
      <c r="FA5" s="3617"/>
      <c r="FB5" s="3611" t="s">
        <v>147</v>
      </c>
      <c r="FC5" s="3612"/>
      <c r="FD5" s="3612"/>
      <c r="FE5" s="3612"/>
      <c r="FF5" s="3612"/>
      <c r="FG5" s="3612"/>
      <c r="FH5" s="3613"/>
      <c r="FI5" s="3608" t="s">
        <v>464</v>
      </c>
      <c r="FJ5" s="3627" t="s">
        <v>158</v>
      </c>
      <c r="FK5" s="3627"/>
      <c r="FL5" s="3628"/>
      <c r="FM5" s="3631" t="s">
        <v>146</v>
      </c>
      <c r="FN5" s="3632"/>
      <c r="FO5" s="3632"/>
      <c r="FP5" s="3632"/>
      <c r="FQ5" s="3632"/>
      <c r="FR5" s="3633"/>
      <c r="FS5" s="3605" t="s">
        <v>147</v>
      </c>
      <c r="FT5" s="3606"/>
      <c r="FU5" s="3606"/>
      <c r="FV5" s="3606"/>
      <c r="FW5" s="3606"/>
      <c r="FX5" s="3607"/>
      <c r="FY5" s="3596" t="s">
        <v>158</v>
      </c>
      <c r="FZ5" s="3597"/>
      <c r="GA5" s="3615" t="s">
        <v>146</v>
      </c>
      <c r="GB5" s="3616"/>
      <c r="GC5" s="3616"/>
      <c r="GD5" s="3616"/>
      <c r="GE5" s="3616"/>
      <c r="GF5" s="3616"/>
      <c r="GG5" s="3617"/>
      <c r="GH5" s="3611" t="s">
        <v>147</v>
      </c>
      <c r="GI5" s="3612"/>
      <c r="GJ5" s="3612"/>
      <c r="GK5" s="3612"/>
      <c r="GL5" s="3612"/>
      <c r="GM5" s="3612"/>
      <c r="GN5" s="3613"/>
      <c r="GO5" s="3608" t="s">
        <v>464</v>
      </c>
      <c r="GP5" s="3627" t="s">
        <v>158</v>
      </c>
      <c r="GQ5" s="3627"/>
      <c r="GR5" s="3628"/>
      <c r="GS5" s="3631" t="s">
        <v>146</v>
      </c>
      <c r="GT5" s="3632"/>
      <c r="GU5" s="3632"/>
      <c r="GV5" s="3632"/>
      <c r="GW5" s="3632"/>
      <c r="GX5" s="3633"/>
      <c r="GY5" s="3605" t="s">
        <v>147</v>
      </c>
      <c r="GZ5" s="3606"/>
      <c r="HA5" s="3606"/>
      <c r="HB5" s="3606"/>
      <c r="HC5" s="3606"/>
      <c r="HD5" s="3607"/>
      <c r="HE5" s="3596" t="s">
        <v>158</v>
      </c>
      <c r="HF5" s="3597"/>
      <c r="HG5" s="3615" t="s">
        <v>146</v>
      </c>
      <c r="HH5" s="3616"/>
      <c r="HI5" s="3616"/>
      <c r="HJ5" s="3616"/>
      <c r="HK5" s="3616"/>
      <c r="HL5" s="3616"/>
      <c r="HM5" s="3617"/>
      <c r="HN5" s="3611" t="s">
        <v>147</v>
      </c>
      <c r="HO5" s="3612"/>
      <c r="HP5" s="3612"/>
      <c r="HQ5" s="3612"/>
      <c r="HR5" s="3612"/>
      <c r="HS5" s="3612"/>
      <c r="HT5" s="3613"/>
      <c r="HU5" s="3608" t="s">
        <v>464</v>
      </c>
    </row>
    <row r="6" spans="1:229" s="191" customFormat="1" ht="31.5" customHeight="1" x14ac:dyDescent="0.2">
      <c r="A6" s="3637"/>
      <c r="B6" s="3638"/>
      <c r="C6" s="3663" t="s">
        <v>0</v>
      </c>
      <c r="D6" s="3710" t="s">
        <v>1</v>
      </c>
      <c r="E6" s="3648" t="s">
        <v>2</v>
      </c>
      <c r="F6" s="3649"/>
      <c r="G6" s="3649"/>
      <c r="H6" s="3649"/>
      <c r="I6" s="3649"/>
      <c r="J6" s="3649"/>
      <c r="K6" s="3649"/>
      <c r="L6" s="3649"/>
      <c r="M6" s="3649"/>
      <c r="N6" s="3650"/>
      <c r="O6" s="3657" t="s">
        <v>128</v>
      </c>
      <c r="P6" s="3658"/>
      <c r="Q6" s="409" t="s">
        <v>129</v>
      </c>
      <c r="R6" s="3653" t="s">
        <v>133</v>
      </c>
      <c r="S6" s="3654"/>
      <c r="T6" s="3712" t="s">
        <v>167</v>
      </c>
      <c r="U6" s="3598"/>
      <c r="V6" s="3599"/>
      <c r="W6" s="3614" t="s">
        <v>128</v>
      </c>
      <c r="X6" s="3590"/>
      <c r="Y6" s="3589" t="s">
        <v>129</v>
      </c>
      <c r="Z6" s="3590"/>
      <c r="AA6" s="3589" t="s">
        <v>162</v>
      </c>
      <c r="AB6" s="3591"/>
      <c r="AC6" s="3592"/>
      <c r="AD6" s="3618" t="s">
        <v>128</v>
      </c>
      <c r="AE6" s="3619"/>
      <c r="AF6" s="411"/>
      <c r="AG6" s="3620" t="s">
        <v>162</v>
      </c>
      <c r="AH6" s="3621"/>
      <c r="AI6" s="3621"/>
      <c r="AJ6" s="3622"/>
      <c r="AK6" s="3609"/>
      <c r="AL6" s="3629"/>
      <c r="AM6" s="3629"/>
      <c r="AN6" s="3630"/>
      <c r="AO6" s="3636" t="s">
        <v>128</v>
      </c>
      <c r="AP6" s="3601"/>
      <c r="AQ6" s="3600" t="s">
        <v>129</v>
      </c>
      <c r="AR6" s="3601"/>
      <c r="AS6" s="3600" t="s">
        <v>162</v>
      </c>
      <c r="AT6" s="3604"/>
      <c r="AU6" s="3634" t="s">
        <v>128</v>
      </c>
      <c r="AV6" s="3635"/>
      <c r="AW6" s="3593" t="s">
        <v>162</v>
      </c>
      <c r="AX6" s="3594"/>
      <c r="AY6" s="3594"/>
      <c r="AZ6" s="3595"/>
      <c r="BA6" s="3598"/>
      <c r="BB6" s="3599"/>
      <c r="BC6" s="3614" t="s">
        <v>128</v>
      </c>
      <c r="BD6" s="3590"/>
      <c r="BE6" s="3589" t="s">
        <v>129</v>
      </c>
      <c r="BF6" s="3590"/>
      <c r="BG6" s="3589" t="s">
        <v>162</v>
      </c>
      <c r="BH6" s="3591"/>
      <c r="BI6" s="3592"/>
      <c r="BJ6" s="3618" t="s">
        <v>128</v>
      </c>
      <c r="BK6" s="3619"/>
      <c r="BL6" s="411"/>
      <c r="BM6" s="3620" t="s">
        <v>162</v>
      </c>
      <c r="BN6" s="3621"/>
      <c r="BO6" s="3621"/>
      <c r="BP6" s="3622"/>
      <c r="BQ6" s="3609"/>
      <c r="BR6" s="3629"/>
      <c r="BS6" s="3629"/>
      <c r="BT6" s="3630"/>
      <c r="BU6" s="3636" t="s">
        <v>128</v>
      </c>
      <c r="BV6" s="3601"/>
      <c r="BW6" s="3600" t="s">
        <v>129</v>
      </c>
      <c r="BX6" s="3601"/>
      <c r="BY6" s="3600" t="s">
        <v>162</v>
      </c>
      <c r="BZ6" s="3604"/>
      <c r="CA6" s="3634" t="s">
        <v>128</v>
      </c>
      <c r="CB6" s="3635"/>
      <c r="CC6" s="3593" t="s">
        <v>162</v>
      </c>
      <c r="CD6" s="3594"/>
      <c r="CE6" s="3594"/>
      <c r="CF6" s="3595"/>
      <c r="CG6" s="3598"/>
      <c r="CH6" s="3599"/>
      <c r="CI6" s="3614" t="s">
        <v>128</v>
      </c>
      <c r="CJ6" s="3590"/>
      <c r="CK6" s="3589" t="s">
        <v>129</v>
      </c>
      <c r="CL6" s="3590"/>
      <c r="CM6" s="3589" t="s">
        <v>162</v>
      </c>
      <c r="CN6" s="3591"/>
      <c r="CO6" s="3592"/>
      <c r="CP6" s="3618" t="s">
        <v>128</v>
      </c>
      <c r="CQ6" s="3619"/>
      <c r="CR6" s="411"/>
      <c r="CS6" s="3620" t="s">
        <v>162</v>
      </c>
      <c r="CT6" s="3621"/>
      <c r="CU6" s="3621"/>
      <c r="CV6" s="3622"/>
      <c r="CW6" s="3609"/>
      <c r="CX6" s="3629"/>
      <c r="CY6" s="3629"/>
      <c r="CZ6" s="3630"/>
      <c r="DA6" s="3636" t="s">
        <v>128</v>
      </c>
      <c r="DB6" s="3601"/>
      <c r="DC6" s="3600" t="s">
        <v>129</v>
      </c>
      <c r="DD6" s="3601"/>
      <c r="DE6" s="3600" t="s">
        <v>162</v>
      </c>
      <c r="DF6" s="3604"/>
      <c r="DG6" s="3634" t="s">
        <v>128</v>
      </c>
      <c r="DH6" s="3635"/>
      <c r="DI6" s="3593" t="s">
        <v>162</v>
      </c>
      <c r="DJ6" s="3594"/>
      <c r="DK6" s="3594"/>
      <c r="DL6" s="3595"/>
      <c r="DM6" s="3598"/>
      <c r="DN6" s="3599"/>
      <c r="DO6" s="3614" t="s">
        <v>128</v>
      </c>
      <c r="DP6" s="3590"/>
      <c r="DQ6" s="3589" t="s">
        <v>129</v>
      </c>
      <c r="DR6" s="3590"/>
      <c r="DS6" s="3589" t="s">
        <v>162</v>
      </c>
      <c r="DT6" s="3591"/>
      <c r="DU6" s="3592"/>
      <c r="DV6" s="3618" t="s">
        <v>128</v>
      </c>
      <c r="DW6" s="3619"/>
      <c r="DX6" s="411"/>
      <c r="DY6" s="3620" t="s">
        <v>162</v>
      </c>
      <c r="DZ6" s="3621"/>
      <c r="EA6" s="3621"/>
      <c r="EB6" s="3622"/>
      <c r="EC6" s="3609"/>
      <c r="ED6" s="3629"/>
      <c r="EE6" s="3629"/>
      <c r="EF6" s="3630"/>
      <c r="EG6" s="3636" t="s">
        <v>128</v>
      </c>
      <c r="EH6" s="3601"/>
      <c r="EI6" s="3600" t="s">
        <v>129</v>
      </c>
      <c r="EJ6" s="3601"/>
      <c r="EK6" s="3600" t="s">
        <v>162</v>
      </c>
      <c r="EL6" s="3604"/>
      <c r="EM6" s="3634" t="s">
        <v>128</v>
      </c>
      <c r="EN6" s="3635"/>
      <c r="EO6" s="3593" t="s">
        <v>162</v>
      </c>
      <c r="EP6" s="3594"/>
      <c r="EQ6" s="3594"/>
      <c r="ER6" s="3595"/>
      <c r="ES6" s="3598"/>
      <c r="ET6" s="3599"/>
      <c r="EU6" s="3614" t="s">
        <v>128</v>
      </c>
      <c r="EV6" s="3590"/>
      <c r="EW6" s="3589" t="s">
        <v>129</v>
      </c>
      <c r="EX6" s="3590"/>
      <c r="EY6" s="3589" t="s">
        <v>162</v>
      </c>
      <c r="EZ6" s="3591"/>
      <c r="FA6" s="3592"/>
      <c r="FB6" s="3618" t="s">
        <v>128</v>
      </c>
      <c r="FC6" s="3619"/>
      <c r="FD6" s="411"/>
      <c r="FE6" s="3620" t="s">
        <v>162</v>
      </c>
      <c r="FF6" s="3621"/>
      <c r="FG6" s="3621"/>
      <c r="FH6" s="3622"/>
      <c r="FI6" s="3609"/>
      <c r="FJ6" s="3629"/>
      <c r="FK6" s="3629"/>
      <c r="FL6" s="3630"/>
      <c r="FM6" s="3636" t="s">
        <v>128</v>
      </c>
      <c r="FN6" s="3601"/>
      <c r="FO6" s="3600" t="s">
        <v>129</v>
      </c>
      <c r="FP6" s="3601"/>
      <c r="FQ6" s="3600" t="s">
        <v>162</v>
      </c>
      <c r="FR6" s="3604"/>
      <c r="FS6" s="3634" t="s">
        <v>128</v>
      </c>
      <c r="FT6" s="3635"/>
      <c r="FU6" s="3593" t="s">
        <v>162</v>
      </c>
      <c r="FV6" s="3594"/>
      <c r="FW6" s="3594"/>
      <c r="FX6" s="3595"/>
      <c r="FY6" s="3598"/>
      <c r="FZ6" s="3599"/>
      <c r="GA6" s="3614" t="s">
        <v>128</v>
      </c>
      <c r="GB6" s="3590"/>
      <c r="GC6" s="3589" t="s">
        <v>129</v>
      </c>
      <c r="GD6" s="3590"/>
      <c r="GE6" s="3589" t="s">
        <v>162</v>
      </c>
      <c r="GF6" s="3591"/>
      <c r="GG6" s="3592"/>
      <c r="GH6" s="3618" t="s">
        <v>128</v>
      </c>
      <c r="GI6" s="3619"/>
      <c r="GJ6" s="411"/>
      <c r="GK6" s="3620" t="s">
        <v>162</v>
      </c>
      <c r="GL6" s="3621"/>
      <c r="GM6" s="3621"/>
      <c r="GN6" s="3622"/>
      <c r="GO6" s="3609"/>
      <c r="GP6" s="3629"/>
      <c r="GQ6" s="3629"/>
      <c r="GR6" s="3630"/>
      <c r="GS6" s="3636" t="s">
        <v>128</v>
      </c>
      <c r="GT6" s="3601"/>
      <c r="GU6" s="3600" t="s">
        <v>129</v>
      </c>
      <c r="GV6" s="3601"/>
      <c r="GW6" s="3600" t="s">
        <v>162</v>
      </c>
      <c r="GX6" s="3604"/>
      <c r="GY6" s="3634" t="s">
        <v>128</v>
      </c>
      <c r="GZ6" s="3635"/>
      <c r="HA6" s="3593" t="s">
        <v>162</v>
      </c>
      <c r="HB6" s="3594"/>
      <c r="HC6" s="3594"/>
      <c r="HD6" s="3595"/>
      <c r="HE6" s="3598"/>
      <c r="HF6" s="3599"/>
      <c r="HG6" s="3614" t="s">
        <v>128</v>
      </c>
      <c r="HH6" s="3590"/>
      <c r="HI6" s="3589" t="s">
        <v>129</v>
      </c>
      <c r="HJ6" s="3590"/>
      <c r="HK6" s="3589" t="s">
        <v>162</v>
      </c>
      <c r="HL6" s="3591"/>
      <c r="HM6" s="3592"/>
      <c r="HN6" s="3618" t="s">
        <v>128</v>
      </c>
      <c r="HO6" s="3619"/>
      <c r="HP6" s="411"/>
      <c r="HQ6" s="3620" t="s">
        <v>162</v>
      </c>
      <c r="HR6" s="3621"/>
      <c r="HS6" s="3621"/>
      <c r="HT6" s="3622"/>
      <c r="HU6" s="3609"/>
    </row>
    <row r="7" spans="1:229" ht="46.5" customHeight="1" x14ac:dyDescent="0.2">
      <c r="A7" s="3639"/>
      <c r="B7" s="3640"/>
      <c r="C7" s="3664"/>
      <c r="D7" s="3711"/>
      <c r="E7" s="3665" t="s">
        <v>89</v>
      </c>
      <c r="F7" s="3647"/>
      <c r="G7" s="3647"/>
      <c r="H7" s="3647" t="s">
        <v>90</v>
      </c>
      <c r="I7" s="3647"/>
      <c r="J7" s="3647"/>
      <c r="K7" s="3647" t="s">
        <v>91</v>
      </c>
      <c r="L7" s="3647"/>
      <c r="M7" s="3647"/>
      <c r="N7" s="413" t="s">
        <v>3</v>
      </c>
      <c r="O7" s="414" t="s">
        <v>144</v>
      </c>
      <c r="P7" s="415" t="s">
        <v>132</v>
      </c>
      <c r="Q7" s="415" t="s">
        <v>144</v>
      </c>
      <c r="R7" s="416" t="s">
        <v>101</v>
      </c>
      <c r="S7" s="417" t="s">
        <v>416</v>
      </c>
      <c r="T7" s="3713"/>
      <c r="U7" s="418" t="s">
        <v>161</v>
      </c>
      <c r="V7" s="419" t="s">
        <v>160</v>
      </c>
      <c r="W7" s="420" t="s">
        <v>152</v>
      </c>
      <c r="X7" s="421" t="s">
        <v>163</v>
      </c>
      <c r="Y7" s="421" t="s">
        <v>325</v>
      </c>
      <c r="Z7" s="422" t="s">
        <v>424</v>
      </c>
      <c r="AA7" s="423" t="s">
        <v>150</v>
      </c>
      <c r="AB7" s="3587" t="s">
        <v>156</v>
      </c>
      <c r="AC7" s="3588"/>
      <c r="AD7" s="424" t="s">
        <v>152</v>
      </c>
      <c r="AE7" s="418" t="s">
        <v>153</v>
      </c>
      <c r="AF7" s="418" t="s">
        <v>154</v>
      </c>
      <c r="AG7" s="425" t="s">
        <v>423</v>
      </c>
      <c r="AH7" s="426" t="s">
        <v>150</v>
      </c>
      <c r="AI7" s="3602" t="s">
        <v>156</v>
      </c>
      <c r="AJ7" s="3603"/>
      <c r="AK7" s="3610"/>
      <c r="AL7" s="427" t="s">
        <v>159</v>
      </c>
      <c r="AM7" s="427" t="s">
        <v>161</v>
      </c>
      <c r="AN7" s="428" t="s">
        <v>160</v>
      </c>
      <c r="AO7" s="429" t="s">
        <v>152</v>
      </c>
      <c r="AP7" s="429" t="s">
        <v>157</v>
      </c>
      <c r="AQ7" s="430" t="s">
        <v>149</v>
      </c>
      <c r="AR7" s="430" t="s">
        <v>148</v>
      </c>
      <c r="AS7" s="431" t="s">
        <v>150</v>
      </c>
      <c r="AT7" s="432" t="s">
        <v>151</v>
      </c>
      <c r="AU7" s="433" t="s">
        <v>152</v>
      </c>
      <c r="AV7" s="434" t="s">
        <v>153</v>
      </c>
      <c r="AW7" s="434" t="s">
        <v>154</v>
      </c>
      <c r="AX7" s="434" t="s">
        <v>155</v>
      </c>
      <c r="AY7" s="435" t="s">
        <v>150</v>
      </c>
      <c r="AZ7" s="436" t="s">
        <v>156</v>
      </c>
      <c r="BA7" s="418" t="s">
        <v>161</v>
      </c>
      <c r="BB7" s="419" t="s">
        <v>160</v>
      </c>
      <c r="BC7" s="420" t="s">
        <v>152</v>
      </c>
      <c r="BD7" s="421" t="s">
        <v>163</v>
      </c>
      <c r="BE7" s="421" t="s">
        <v>325</v>
      </c>
      <c r="BF7" s="422" t="s">
        <v>424</v>
      </c>
      <c r="BG7" s="423" t="s">
        <v>150</v>
      </c>
      <c r="BH7" s="3587" t="s">
        <v>156</v>
      </c>
      <c r="BI7" s="3588"/>
      <c r="BJ7" s="424" t="s">
        <v>152</v>
      </c>
      <c r="BK7" s="418" t="s">
        <v>153</v>
      </c>
      <c r="BL7" s="418" t="s">
        <v>154</v>
      </c>
      <c r="BM7" s="425" t="s">
        <v>423</v>
      </c>
      <c r="BN7" s="426" t="s">
        <v>150</v>
      </c>
      <c r="BO7" s="3602" t="s">
        <v>156</v>
      </c>
      <c r="BP7" s="3603"/>
      <c r="BQ7" s="3610"/>
      <c r="BR7" s="427" t="s">
        <v>159</v>
      </c>
      <c r="BS7" s="427" t="s">
        <v>161</v>
      </c>
      <c r="BT7" s="428" t="s">
        <v>160</v>
      </c>
      <c r="BU7" s="429" t="s">
        <v>152</v>
      </c>
      <c r="BV7" s="429" t="s">
        <v>157</v>
      </c>
      <c r="BW7" s="430" t="s">
        <v>149</v>
      </c>
      <c r="BX7" s="430" t="s">
        <v>148</v>
      </c>
      <c r="BY7" s="431" t="s">
        <v>150</v>
      </c>
      <c r="BZ7" s="432" t="s">
        <v>151</v>
      </c>
      <c r="CA7" s="433" t="s">
        <v>152</v>
      </c>
      <c r="CB7" s="434" t="s">
        <v>153</v>
      </c>
      <c r="CC7" s="434" t="s">
        <v>154</v>
      </c>
      <c r="CD7" s="434" t="s">
        <v>155</v>
      </c>
      <c r="CE7" s="435" t="s">
        <v>150</v>
      </c>
      <c r="CF7" s="436" t="s">
        <v>156</v>
      </c>
      <c r="CG7" s="418" t="s">
        <v>161</v>
      </c>
      <c r="CH7" s="419" t="s">
        <v>160</v>
      </c>
      <c r="CI7" s="420" t="s">
        <v>152</v>
      </c>
      <c r="CJ7" s="421" t="s">
        <v>163</v>
      </c>
      <c r="CK7" s="421" t="s">
        <v>325</v>
      </c>
      <c r="CL7" s="422" t="s">
        <v>424</v>
      </c>
      <c r="CM7" s="423" t="s">
        <v>150</v>
      </c>
      <c r="CN7" s="3587" t="s">
        <v>156</v>
      </c>
      <c r="CO7" s="3588"/>
      <c r="CP7" s="424" t="s">
        <v>152</v>
      </c>
      <c r="CQ7" s="418" t="s">
        <v>153</v>
      </c>
      <c r="CR7" s="418" t="s">
        <v>154</v>
      </c>
      <c r="CS7" s="425" t="s">
        <v>423</v>
      </c>
      <c r="CT7" s="426" t="s">
        <v>150</v>
      </c>
      <c r="CU7" s="3602" t="s">
        <v>156</v>
      </c>
      <c r="CV7" s="3603"/>
      <c r="CW7" s="3610"/>
      <c r="CX7" s="427" t="s">
        <v>159</v>
      </c>
      <c r="CY7" s="427" t="s">
        <v>161</v>
      </c>
      <c r="CZ7" s="428" t="s">
        <v>160</v>
      </c>
      <c r="DA7" s="429" t="s">
        <v>152</v>
      </c>
      <c r="DB7" s="429" t="s">
        <v>157</v>
      </c>
      <c r="DC7" s="430" t="s">
        <v>149</v>
      </c>
      <c r="DD7" s="430" t="s">
        <v>148</v>
      </c>
      <c r="DE7" s="431" t="s">
        <v>150</v>
      </c>
      <c r="DF7" s="432" t="s">
        <v>151</v>
      </c>
      <c r="DG7" s="433" t="s">
        <v>152</v>
      </c>
      <c r="DH7" s="434" t="s">
        <v>153</v>
      </c>
      <c r="DI7" s="434" t="s">
        <v>154</v>
      </c>
      <c r="DJ7" s="434" t="s">
        <v>155</v>
      </c>
      <c r="DK7" s="435" t="s">
        <v>150</v>
      </c>
      <c r="DL7" s="436" t="s">
        <v>156</v>
      </c>
      <c r="DM7" s="418" t="s">
        <v>161</v>
      </c>
      <c r="DN7" s="419" t="s">
        <v>160</v>
      </c>
      <c r="DO7" s="420" t="s">
        <v>152</v>
      </c>
      <c r="DP7" s="421" t="s">
        <v>163</v>
      </c>
      <c r="DQ7" s="421" t="s">
        <v>325</v>
      </c>
      <c r="DR7" s="422" t="s">
        <v>424</v>
      </c>
      <c r="DS7" s="423" t="s">
        <v>150</v>
      </c>
      <c r="DT7" s="3587" t="s">
        <v>156</v>
      </c>
      <c r="DU7" s="3588"/>
      <c r="DV7" s="424" t="s">
        <v>152</v>
      </c>
      <c r="DW7" s="418" t="s">
        <v>153</v>
      </c>
      <c r="DX7" s="418" t="s">
        <v>154</v>
      </c>
      <c r="DY7" s="425" t="s">
        <v>423</v>
      </c>
      <c r="DZ7" s="426" t="s">
        <v>150</v>
      </c>
      <c r="EA7" s="3602" t="s">
        <v>156</v>
      </c>
      <c r="EB7" s="3603"/>
      <c r="EC7" s="3610"/>
      <c r="ED7" s="427" t="s">
        <v>159</v>
      </c>
      <c r="EE7" s="427" t="s">
        <v>161</v>
      </c>
      <c r="EF7" s="428" t="s">
        <v>160</v>
      </c>
      <c r="EG7" s="429" t="s">
        <v>152</v>
      </c>
      <c r="EH7" s="429" t="s">
        <v>157</v>
      </c>
      <c r="EI7" s="430" t="s">
        <v>149</v>
      </c>
      <c r="EJ7" s="430" t="s">
        <v>148</v>
      </c>
      <c r="EK7" s="431" t="s">
        <v>150</v>
      </c>
      <c r="EL7" s="432" t="s">
        <v>151</v>
      </c>
      <c r="EM7" s="433" t="s">
        <v>152</v>
      </c>
      <c r="EN7" s="434" t="s">
        <v>153</v>
      </c>
      <c r="EO7" s="434" t="s">
        <v>154</v>
      </c>
      <c r="EP7" s="434" t="s">
        <v>155</v>
      </c>
      <c r="EQ7" s="435" t="s">
        <v>150</v>
      </c>
      <c r="ER7" s="436" t="s">
        <v>156</v>
      </c>
      <c r="ES7" s="418" t="s">
        <v>161</v>
      </c>
      <c r="ET7" s="419" t="s">
        <v>160</v>
      </c>
      <c r="EU7" s="420" t="s">
        <v>152</v>
      </c>
      <c r="EV7" s="421" t="s">
        <v>163</v>
      </c>
      <c r="EW7" s="421" t="s">
        <v>325</v>
      </c>
      <c r="EX7" s="422" t="s">
        <v>424</v>
      </c>
      <c r="EY7" s="423" t="s">
        <v>150</v>
      </c>
      <c r="EZ7" s="3587" t="s">
        <v>156</v>
      </c>
      <c r="FA7" s="3588"/>
      <c r="FB7" s="424" t="s">
        <v>152</v>
      </c>
      <c r="FC7" s="418" t="s">
        <v>153</v>
      </c>
      <c r="FD7" s="418" t="s">
        <v>154</v>
      </c>
      <c r="FE7" s="425" t="s">
        <v>423</v>
      </c>
      <c r="FF7" s="426" t="s">
        <v>150</v>
      </c>
      <c r="FG7" s="3602" t="s">
        <v>156</v>
      </c>
      <c r="FH7" s="3603"/>
      <c r="FI7" s="3610"/>
      <c r="FJ7" s="427" t="s">
        <v>159</v>
      </c>
      <c r="FK7" s="427" t="s">
        <v>161</v>
      </c>
      <c r="FL7" s="428" t="s">
        <v>160</v>
      </c>
      <c r="FM7" s="429" t="s">
        <v>152</v>
      </c>
      <c r="FN7" s="429" t="s">
        <v>157</v>
      </c>
      <c r="FO7" s="430" t="s">
        <v>149</v>
      </c>
      <c r="FP7" s="430" t="s">
        <v>148</v>
      </c>
      <c r="FQ7" s="431" t="s">
        <v>150</v>
      </c>
      <c r="FR7" s="432" t="s">
        <v>151</v>
      </c>
      <c r="FS7" s="433" t="s">
        <v>152</v>
      </c>
      <c r="FT7" s="434" t="s">
        <v>153</v>
      </c>
      <c r="FU7" s="434" t="s">
        <v>154</v>
      </c>
      <c r="FV7" s="434" t="s">
        <v>155</v>
      </c>
      <c r="FW7" s="435" t="s">
        <v>150</v>
      </c>
      <c r="FX7" s="436" t="s">
        <v>156</v>
      </c>
      <c r="FY7" s="418" t="s">
        <v>161</v>
      </c>
      <c r="FZ7" s="419" t="s">
        <v>160</v>
      </c>
      <c r="GA7" s="420" t="s">
        <v>152</v>
      </c>
      <c r="GB7" s="421" t="s">
        <v>163</v>
      </c>
      <c r="GC7" s="421" t="s">
        <v>325</v>
      </c>
      <c r="GD7" s="422" t="s">
        <v>424</v>
      </c>
      <c r="GE7" s="423" t="s">
        <v>150</v>
      </c>
      <c r="GF7" s="3587" t="s">
        <v>156</v>
      </c>
      <c r="GG7" s="3588"/>
      <c r="GH7" s="424" t="s">
        <v>152</v>
      </c>
      <c r="GI7" s="418" t="s">
        <v>153</v>
      </c>
      <c r="GJ7" s="418" t="s">
        <v>154</v>
      </c>
      <c r="GK7" s="425" t="s">
        <v>423</v>
      </c>
      <c r="GL7" s="426" t="s">
        <v>150</v>
      </c>
      <c r="GM7" s="3602" t="s">
        <v>156</v>
      </c>
      <c r="GN7" s="3603"/>
      <c r="GO7" s="3610"/>
      <c r="GP7" s="427" t="s">
        <v>159</v>
      </c>
      <c r="GQ7" s="427" t="s">
        <v>161</v>
      </c>
      <c r="GR7" s="428" t="s">
        <v>160</v>
      </c>
      <c r="GS7" s="429" t="s">
        <v>152</v>
      </c>
      <c r="GT7" s="429" t="s">
        <v>157</v>
      </c>
      <c r="GU7" s="430" t="s">
        <v>149</v>
      </c>
      <c r="GV7" s="430" t="s">
        <v>148</v>
      </c>
      <c r="GW7" s="431" t="s">
        <v>150</v>
      </c>
      <c r="GX7" s="432" t="s">
        <v>151</v>
      </c>
      <c r="GY7" s="433" t="s">
        <v>152</v>
      </c>
      <c r="GZ7" s="434" t="s">
        <v>153</v>
      </c>
      <c r="HA7" s="434" t="s">
        <v>154</v>
      </c>
      <c r="HB7" s="434" t="s">
        <v>155</v>
      </c>
      <c r="HC7" s="435" t="s">
        <v>150</v>
      </c>
      <c r="HD7" s="436" t="s">
        <v>156</v>
      </c>
      <c r="HE7" s="1670" t="s">
        <v>161</v>
      </c>
      <c r="HF7" s="419" t="s">
        <v>160</v>
      </c>
      <c r="HG7" s="420" t="s">
        <v>152</v>
      </c>
      <c r="HH7" s="421" t="s">
        <v>163</v>
      </c>
      <c r="HI7" s="421" t="s">
        <v>325</v>
      </c>
      <c r="HJ7" s="422" t="s">
        <v>424</v>
      </c>
      <c r="HK7" s="423" t="s">
        <v>150</v>
      </c>
      <c r="HL7" s="3587" t="s">
        <v>156</v>
      </c>
      <c r="HM7" s="3588"/>
      <c r="HN7" s="424" t="s">
        <v>152</v>
      </c>
      <c r="HO7" s="418" t="s">
        <v>153</v>
      </c>
      <c r="HP7" s="418" t="s">
        <v>154</v>
      </c>
      <c r="HQ7" s="425" t="s">
        <v>423</v>
      </c>
      <c r="HR7" s="426" t="s">
        <v>150</v>
      </c>
      <c r="HS7" s="3602" t="s">
        <v>156</v>
      </c>
      <c r="HT7" s="3603"/>
      <c r="HU7" s="3610"/>
    </row>
    <row r="8" spans="1:229" ht="15" customHeight="1" thickBot="1" x14ac:dyDescent="0.25">
      <c r="A8" s="3639"/>
      <c r="B8" s="3640"/>
      <c r="C8" s="3664"/>
      <c r="D8" s="3711"/>
      <c r="E8" s="1718" t="s">
        <v>4</v>
      </c>
      <c r="F8" s="438" t="s">
        <v>5</v>
      </c>
      <c r="G8" s="438" t="s">
        <v>6</v>
      </c>
      <c r="H8" s="439" t="s">
        <v>4</v>
      </c>
      <c r="I8" s="438" t="s">
        <v>5</v>
      </c>
      <c r="J8" s="438" t="s">
        <v>6</v>
      </c>
      <c r="K8" s="439" t="s">
        <v>4</v>
      </c>
      <c r="L8" s="438" t="s">
        <v>5</v>
      </c>
      <c r="M8" s="438" t="s">
        <v>6</v>
      </c>
      <c r="N8" s="440" t="s">
        <v>5</v>
      </c>
      <c r="O8" s="437" t="s">
        <v>102</v>
      </c>
      <c r="P8" s="438" t="s">
        <v>102</v>
      </c>
      <c r="Q8" s="438" t="s">
        <v>102</v>
      </c>
      <c r="R8" s="441" t="s">
        <v>102</v>
      </c>
      <c r="S8" s="442" t="s">
        <v>102</v>
      </c>
      <c r="T8" s="443" t="s">
        <v>102</v>
      </c>
      <c r="U8" s="444" t="s">
        <v>102</v>
      </c>
      <c r="V8" s="445" t="s">
        <v>102</v>
      </c>
      <c r="W8" s="446" t="s">
        <v>102</v>
      </c>
      <c r="X8" s="446" t="s">
        <v>102</v>
      </c>
      <c r="Y8" s="446" t="s">
        <v>102</v>
      </c>
      <c r="Z8" s="446" t="s">
        <v>102</v>
      </c>
      <c r="AA8" s="446" t="s">
        <v>102</v>
      </c>
      <c r="AB8" s="446" t="s">
        <v>102</v>
      </c>
      <c r="AC8" s="447" t="s">
        <v>145</v>
      </c>
      <c r="AD8" s="448" t="s">
        <v>102</v>
      </c>
      <c r="AE8" s="444" t="s">
        <v>102</v>
      </c>
      <c r="AF8" s="449" t="s">
        <v>102</v>
      </c>
      <c r="AG8" s="449" t="s">
        <v>102</v>
      </c>
      <c r="AH8" s="449" t="s">
        <v>102</v>
      </c>
      <c r="AI8" s="449" t="s">
        <v>102</v>
      </c>
      <c r="AJ8" s="450" t="s">
        <v>145</v>
      </c>
      <c r="AK8" s="451" t="s">
        <v>145</v>
      </c>
      <c r="AL8" s="452" t="s">
        <v>102</v>
      </c>
      <c r="AM8" s="452" t="s">
        <v>102</v>
      </c>
      <c r="AN8" s="453" t="s">
        <v>102</v>
      </c>
      <c r="AO8" s="454" t="s">
        <v>102</v>
      </c>
      <c r="AP8" s="454" t="s">
        <v>102</v>
      </c>
      <c r="AQ8" s="455" t="s">
        <v>102</v>
      </c>
      <c r="AR8" s="455" t="s">
        <v>102</v>
      </c>
      <c r="AS8" s="455" t="s">
        <v>102</v>
      </c>
      <c r="AT8" s="456" t="s">
        <v>102</v>
      </c>
      <c r="AU8" s="457" t="s">
        <v>102</v>
      </c>
      <c r="AV8" s="458" t="s">
        <v>102</v>
      </c>
      <c r="AW8" s="458" t="s">
        <v>102</v>
      </c>
      <c r="AX8" s="458" t="s">
        <v>102</v>
      </c>
      <c r="AY8" s="459" t="s">
        <v>102</v>
      </c>
      <c r="AZ8" s="460" t="s">
        <v>102</v>
      </c>
      <c r="BA8" s="444" t="s">
        <v>102</v>
      </c>
      <c r="BB8" s="445" t="s">
        <v>102</v>
      </c>
      <c r="BC8" s="446" t="s">
        <v>102</v>
      </c>
      <c r="BD8" s="446" t="s">
        <v>102</v>
      </c>
      <c r="BE8" s="446" t="s">
        <v>102</v>
      </c>
      <c r="BF8" s="446" t="s">
        <v>102</v>
      </c>
      <c r="BG8" s="446" t="s">
        <v>102</v>
      </c>
      <c r="BH8" s="446" t="s">
        <v>102</v>
      </c>
      <c r="BI8" s="447" t="s">
        <v>145</v>
      </c>
      <c r="BJ8" s="448" t="s">
        <v>102</v>
      </c>
      <c r="BK8" s="444" t="s">
        <v>102</v>
      </c>
      <c r="BL8" s="449" t="s">
        <v>102</v>
      </c>
      <c r="BM8" s="449" t="s">
        <v>102</v>
      </c>
      <c r="BN8" s="449" t="s">
        <v>102</v>
      </c>
      <c r="BO8" s="449" t="s">
        <v>102</v>
      </c>
      <c r="BP8" s="450" t="s">
        <v>145</v>
      </c>
      <c r="BQ8" s="451" t="s">
        <v>145</v>
      </c>
      <c r="BR8" s="452" t="s">
        <v>102</v>
      </c>
      <c r="BS8" s="452" t="s">
        <v>102</v>
      </c>
      <c r="BT8" s="453" t="s">
        <v>102</v>
      </c>
      <c r="BU8" s="454" t="s">
        <v>102</v>
      </c>
      <c r="BV8" s="454" t="s">
        <v>102</v>
      </c>
      <c r="BW8" s="455" t="s">
        <v>102</v>
      </c>
      <c r="BX8" s="455" t="s">
        <v>102</v>
      </c>
      <c r="BY8" s="455" t="s">
        <v>102</v>
      </c>
      <c r="BZ8" s="456" t="s">
        <v>102</v>
      </c>
      <c r="CA8" s="457" t="s">
        <v>102</v>
      </c>
      <c r="CB8" s="458" t="s">
        <v>102</v>
      </c>
      <c r="CC8" s="458" t="s">
        <v>102</v>
      </c>
      <c r="CD8" s="458" t="s">
        <v>102</v>
      </c>
      <c r="CE8" s="459" t="s">
        <v>102</v>
      </c>
      <c r="CF8" s="1454" t="s">
        <v>102</v>
      </c>
      <c r="CG8" s="444" t="s">
        <v>102</v>
      </c>
      <c r="CH8" s="445" t="s">
        <v>102</v>
      </c>
      <c r="CI8" s="446" t="s">
        <v>102</v>
      </c>
      <c r="CJ8" s="446" t="s">
        <v>102</v>
      </c>
      <c r="CK8" s="446" t="s">
        <v>102</v>
      </c>
      <c r="CL8" s="446" t="s">
        <v>102</v>
      </c>
      <c r="CM8" s="446" t="s">
        <v>102</v>
      </c>
      <c r="CN8" s="446" t="s">
        <v>102</v>
      </c>
      <c r="CO8" s="447" t="s">
        <v>145</v>
      </c>
      <c r="CP8" s="448" t="s">
        <v>102</v>
      </c>
      <c r="CQ8" s="444" t="s">
        <v>102</v>
      </c>
      <c r="CR8" s="449" t="s">
        <v>102</v>
      </c>
      <c r="CS8" s="449" t="s">
        <v>102</v>
      </c>
      <c r="CT8" s="449" t="s">
        <v>102</v>
      </c>
      <c r="CU8" s="449" t="s">
        <v>102</v>
      </c>
      <c r="CV8" s="450" t="s">
        <v>145</v>
      </c>
      <c r="CW8" s="451" t="s">
        <v>145</v>
      </c>
      <c r="CX8" s="452" t="s">
        <v>102</v>
      </c>
      <c r="CY8" s="452" t="s">
        <v>102</v>
      </c>
      <c r="CZ8" s="453" t="s">
        <v>102</v>
      </c>
      <c r="DA8" s="454" t="s">
        <v>102</v>
      </c>
      <c r="DB8" s="454" t="s">
        <v>102</v>
      </c>
      <c r="DC8" s="455" t="s">
        <v>102</v>
      </c>
      <c r="DD8" s="455" t="s">
        <v>102</v>
      </c>
      <c r="DE8" s="455" t="s">
        <v>102</v>
      </c>
      <c r="DF8" s="456" t="s">
        <v>102</v>
      </c>
      <c r="DG8" s="457" t="s">
        <v>102</v>
      </c>
      <c r="DH8" s="458" t="s">
        <v>102</v>
      </c>
      <c r="DI8" s="458" t="s">
        <v>102</v>
      </c>
      <c r="DJ8" s="458" t="s">
        <v>102</v>
      </c>
      <c r="DK8" s="459" t="s">
        <v>102</v>
      </c>
      <c r="DL8" s="460" t="s">
        <v>102</v>
      </c>
      <c r="DM8" s="444" t="s">
        <v>102</v>
      </c>
      <c r="DN8" s="445" t="s">
        <v>102</v>
      </c>
      <c r="DO8" s="446" t="s">
        <v>102</v>
      </c>
      <c r="DP8" s="446" t="s">
        <v>102</v>
      </c>
      <c r="DQ8" s="446" t="s">
        <v>102</v>
      </c>
      <c r="DR8" s="446" t="s">
        <v>102</v>
      </c>
      <c r="DS8" s="446" t="s">
        <v>102</v>
      </c>
      <c r="DT8" s="446" t="s">
        <v>102</v>
      </c>
      <c r="DU8" s="447" t="s">
        <v>145</v>
      </c>
      <c r="DV8" s="448" t="s">
        <v>102</v>
      </c>
      <c r="DW8" s="444" t="s">
        <v>102</v>
      </c>
      <c r="DX8" s="449" t="s">
        <v>102</v>
      </c>
      <c r="DY8" s="449" t="s">
        <v>102</v>
      </c>
      <c r="DZ8" s="449" t="s">
        <v>102</v>
      </c>
      <c r="EA8" s="449" t="s">
        <v>102</v>
      </c>
      <c r="EB8" s="450" t="s">
        <v>145</v>
      </c>
      <c r="EC8" s="451" t="s">
        <v>145</v>
      </c>
      <c r="ED8" s="452" t="s">
        <v>102</v>
      </c>
      <c r="EE8" s="452" t="s">
        <v>102</v>
      </c>
      <c r="EF8" s="453" t="s">
        <v>102</v>
      </c>
      <c r="EG8" s="454" t="s">
        <v>102</v>
      </c>
      <c r="EH8" s="454" t="s">
        <v>102</v>
      </c>
      <c r="EI8" s="455" t="s">
        <v>102</v>
      </c>
      <c r="EJ8" s="455" t="s">
        <v>102</v>
      </c>
      <c r="EK8" s="455" t="s">
        <v>102</v>
      </c>
      <c r="EL8" s="456" t="s">
        <v>102</v>
      </c>
      <c r="EM8" s="457" t="s">
        <v>102</v>
      </c>
      <c r="EN8" s="458" t="s">
        <v>102</v>
      </c>
      <c r="EO8" s="458" t="s">
        <v>102</v>
      </c>
      <c r="EP8" s="458" t="s">
        <v>102</v>
      </c>
      <c r="EQ8" s="459" t="s">
        <v>102</v>
      </c>
      <c r="ER8" s="460" t="s">
        <v>102</v>
      </c>
      <c r="ES8" s="444" t="s">
        <v>102</v>
      </c>
      <c r="ET8" s="445" t="s">
        <v>102</v>
      </c>
      <c r="EU8" s="446" t="s">
        <v>102</v>
      </c>
      <c r="EV8" s="446" t="s">
        <v>102</v>
      </c>
      <c r="EW8" s="446" t="s">
        <v>102</v>
      </c>
      <c r="EX8" s="446" t="s">
        <v>102</v>
      </c>
      <c r="EY8" s="446" t="s">
        <v>102</v>
      </c>
      <c r="EZ8" s="446" t="s">
        <v>102</v>
      </c>
      <c r="FA8" s="447" t="s">
        <v>145</v>
      </c>
      <c r="FB8" s="448" t="s">
        <v>102</v>
      </c>
      <c r="FC8" s="444" t="s">
        <v>102</v>
      </c>
      <c r="FD8" s="449" t="s">
        <v>102</v>
      </c>
      <c r="FE8" s="449" t="s">
        <v>102</v>
      </c>
      <c r="FF8" s="449" t="s">
        <v>102</v>
      </c>
      <c r="FG8" s="449" t="s">
        <v>102</v>
      </c>
      <c r="FH8" s="450" t="s">
        <v>145</v>
      </c>
      <c r="FI8" s="451" t="s">
        <v>145</v>
      </c>
      <c r="FJ8" s="452" t="s">
        <v>102</v>
      </c>
      <c r="FK8" s="452" t="s">
        <v>102</v>
      </c>
      <c r="FL8" s="453" t="s">
        <v>102</v>
      </c>
      <c r="FM8" s="454" t="s">
        <v>102</v>
      </c>
      <c r="FN8" s="454" t="s">
        <v>102</v>
      </c>
      <c r="FO8" s="455" t="s">
        <v>102</v>
      </c>
      <c r="FP8" s="455" t="s">
        <v>102</v>
      </c>
      <c r="FQ8" s="455" t="s">
        <v>102</v>
      </c>
      <c r="FR8" s="456" t="s">
        <v>102</v>
      </c>
      <c r="FS8" s="457" t="s">
        <v>102</v>
      </c>
      <c r="FT8" s="458" t="s">
        <v>102</v>
      </c>
      <c r="FU8" s="458" t="s">
        <v>102</v>
      </c>
      <c r="FV8" s="458" t="s">
        <v>102</v>
      </c>
      <c r="FW8" s="459" t="s">
        <v>102</v>
      </c>
      <c r="FX8" s="460" t="s">
        <v>102</v>
      </c>
      <c r="FY8" s="444" t="s">
        <v>102</v>
      </c>
      <c r="FZ8" s="445" t="s">
        <v>102</v>
      </c>
      <c r="GA8" s="446" t="s">
        <v>102</v>
      </c>
      <c r="GB8" s="446" t="s">
        <v>102</v>
      </c>
      <c r="GC8" s="446" t="s">
        <v>102</v>
      </c>
      <c r="GD8" s="446" t="s">
        <v>102</v>
      </c>
      <c r="GE8" s="446" t="s">
        <v>102</v>
      </c>
      <c r="GF8" s="446" t="s">
        <v>102</v>
      </c>
      <c r="GG8" s="447" t="s">
        <v>145</v>
      </c>
      <c r="GH8" s="448" t="s">
        <v>102</v>
      </c>
      <c r="GI8" s="444" t="s">
        <v>102</v>
      </c>
      <c r="GJ8" s="449" t="s">
        <v>102</v>
      </c>
      <c r="GK8" s="449" t="s">
        <v>102</v>
      </c>
      <c r="GL8" s="449" t="s">
        <v>102</v>
      </c>
      <c r="GM8" s="449" t="s">
        <v>102</v>
      </c>
      <c r="GN8" s="450" t="s">
        <v>145</v>
      </c>
      <c r="GO8" s="451" t="s">
        <v>145</v>
      </c>
      <c r="GP8" s="452" t="s">
        <v>102</v>
      </c>
      <c r="GQ8" s="452" t="s">
        <v>102</v>
      </c>
      <c r="GR8" s="453" t="s">
        <v>102</v>
      </c>
      <c r="GS8" s="454" t="s">
        <v>102</v>
      </c>
      <c r="GT8" s="454" t="s">
        <v>102</v>
      </c>
      <c r="GU8" s="455" t="s">
        <v>102</v>
      </c>
      <c r="GV8" s="455" t="s">
        <v>102</v>
      </c>
      <c r="GW8" s="455" t="s">
        <v>102</v>
      </c>
      <c r="GX8" s="456" t="s">
        <v>102</v>
      </c>
      <c r="GY8" s="457" t="s">
        <v>102</v>
      </c>
      <c r="GZ8" s="458" t="s">
        <v>102</v>
      </c>
      <c r="HA8" s="458" t="s">
        <v>102</v>
      </c>
      <c r="HB8" s="458" t="s">
        <v>102</v>
      </c>
      <c r="HC8" s="459" t="s">
        <v>102</v>
      </c>
      <c r="HD8" s="460" t="s">
        <v>102</v>
      </c>
      <c r="HE8" s="1671" t="s">
        <v>102</v>
      </c>
      <c r="HF8" s="445" t="s">
        <v>102</v>
      </c>
      <c r="HG8" s="446" t="s">
        <v>102</v>
      </c>
      <c r="HH8" s="446" t="s">
        <v>102</v>
      </c>
      <c r="HI8" s="446" t="s">
        <v>102</v>
      </c>
      <c r="HJ8" s="446" t="s">
        <v>102</v>
      </c>
      <c r="HK8" s="446" t="s">
        <v>102</v>
      </c>
      <c r="HL8" s="446" t="s">
        <v>102</v>
      </c>
      <c r="HM8" s="447" t="s">
        <v>145</v>
      </c>
      <c r="HN8" s="448" t="s">
        <v>102</v>
      </c>
      <c r="HO8" s="444" t="s">
        <v>102</v>
      </c>
      <c r="HP8" s="449" t="s">
        <v>102</v>
      </c>
      <c r="HQ8" s="449" t="s">
        <v>102</v>
      </c>
      <c r="HR8" s="449" t="s">
        <v>102</v>
      </c>
      <c r="HS8" s="449" t="s">
        <v>102</v>
      </c>
      <c r="HT8" s="450" t="s">
        <v>145</v>
      </c>
      <c r="HU8" s="451" t="s">
        <v>145</v>
      </c>
    </row>
    <row r="9" spans="1:229" s="473" customFormat="1" ht="13.5" customHeight="1" thickBot="1" x14ac:dyDescent="0.25">
      <c r="A9" s="3641"/>
      <c r="B9" s="3642"/>
      <c r="C9" s="461">
        <v>1</v>
      </c>
      <c r="D9" s="462">
        <v>2</v>
      </c>
      <c r="E9" s="463">
        <v>3</v>
      </c>
      <c r="F9" s="464">
        <v>4</v>
      </c>
      <c r="G9" s="463" t="s">
        <v>97</v>
      </c>
      <c r="H9" s="464">
        <v>6</v>
      </c>
      <c r="I9" s="464">
        <v>7</v>
      </c>
      <c r="J9" s="465" t="s">
        <v>98</v>
      </c>
      <c r="K9" s="464">
        <v>9</v>
      </c>
      <c r="L9" s="464">
        <v>10</v>
      </c>
      <c r="M9" s="465" t="s">
        <v>99</v>
      </c>
      <c r="N9" s="466" t="s">
        <v>100</v>
      </c>
      <c r="O9" s="463">
        <v>13</v>
      </c>
      <c r="P9" s="463">
        <v>14</v>
      </c>
      <c r="Q9" s="463">
        <v>15</v>
      </c>
      <c r="R9" s="467" t="s">
        <v>278</v>
      </c>
      <c r="S9" s="467">
        <v>17</v>
      </c>
      <c r="T9" s="468">
        <v>18</v>
      </c>
      <c r="U9" s="469">
        <v>19</v>
      </c>
      <c r="V9" s="469">
        <v>20</v>
      </c>
      <c r="W9" s="469">
        <v>21</v>
      </c>
      <c r="X9" s="469">
        <v>22</v>
      </c>
      <c r="Y9" s="469">
        <v>23</v>
      </c>
      <c r="Z9" s="469">
        <v>24</v>
      </c>
      <c r="AA9" s="469" t="s">
        <v>328</v>
      </c>
      <c r="AB9" s="469" t="s">
        <v>405</v>
      </c>
      <c r="AC9" s="469" t="s">
        <v>279</v>
      </c>
      <c r="AD9" s="469">
        <v>28</v>
      </c>
      <c r="AE9" s="469">
        <v>29</v>
      </c>
      <c r="AF9" s="469">
        <v>30</v>
      </c>
      <c r="AG9" s="469">
        <v>31</v>
      </c>
      <c r="AH9" s="469" t="s">
        <v>333</v>
      </c>
      <c r="AI9" s="469" t="s">
        <v>406</v>
      </c>
      <c r="AJ9" s="469" t="s">
        <v>407</v>
      </c>
      <c r="AK9" s="470" t="s">
        <v>408</v>
      </c>
      <c r="AL9" s="469">
        <v>36</v>
      </c>
      <c r="AM9" s="469">
        <v>37</v>
      </c>
      <c r="AN9" s="469">
        <v>38</v>
      </c>
      <c r="AO9" s="469">
        <v>39</v>
      </c>
      <c r="AP9" s="469">
        <v>40</v>
      </c>
      <c r="AQ9" s="469">
        <v>41</v>
      </c>
      <c r="AR9" s="469">
        <v>42</v>
      </c>
      <c r="AS9" s="469" t="s">
        <v>327</v>
      </c>
      <c r="AT9" s="469" t="s">
        <v>329</v>
      </c>
      <c r="AU9" s="469">
        <v>45</v>
      </c>
      <c r="AV9" s="469">
        <v>46</v>
      </c>
      <c r="AW9" s="469">
        <v>47</v>
      </c>
      <c r="AX9" s="469">
        <v>48</v>
      </c>
      <c r="AY9" s="469" t="s">
        <v>334</v>
      </c>
      <c r="AZ9" s="470" t="s">
        <v>409</v>
      </c>
      <c r="BA9" s="469">
        <v>51</v>
      </c>
      <c r="BB9" s="469">
        <v>52</v>
      </c>
      <c r="BC9" s="469">
        <v>53</v>
      </c>
      <c r="BD9" s="469">
        <v>54</v>
      </c>
      <c r="BE9" s="469">
        <v>55</v>
      </c>
      <c r="BF9" s="469">
        <v>56</v>
      </c>
      <c r="BG9" s="469" t="s">
        <v>332</v>
      </c>
      <c r="BH9" s="469" t="s">
        <v>410</v>
      </c>
      <c r="BI9" s="471" t="s">
        <v>411</v>
      </c>
      <c r="BJ9" s="469">
        <v>60</v>
      </c>
      <c r="BK9" s="469">
        <v>61</v>
      </c>
      <c r="BL9" s="469">
        <v>62</v>
      </c>
      <c r="BM9" s="469">
        <v>63</v>
      </c>
      <c r="BN9" s="469" t="s">
        <v>331</v>
      </c>
      <c r="BO9" s="469" t="s">
        <v>412</v>
      </c>
      <c r="BP9" s="471" t="s">
        <v>413</v>
      </c>
      <c r="BQ9" s="472" t="s">
        <v>414</v>
      </c>
      <c r="BR9" s="469">
        <v>36</v>
      </c>
      <c r="BS9" s="469">
        <v>37</v>
      </c>
      <c r="BT9" s="469">
        <v>38</v>
      </c>
      <c r="BU9" s="469">
        <v>39</v>
      </c>
      <c r="BV9" s="469">
        <v>40</v>
      </c>
      <c r="BW9" s="469">
        <v>41</v>
      </c>
      <c r="BX9" s="469">
        <v>42</v>
      </c>
      <c r="BY9" s="469" t="s">
        <v>327</v>
      </c>
      <c r="BZ9" s="469" t="s">
        <v>329</v>
      </c>
      <c r="CA9" s="469">
        <v>45</v>
      </c>
      <c r="CB9" s="469">
        <v>46</v>
      </c>
      <c r="CC9" s="469">
        <v>47</v>
      </c>
      <c r="CD9" s="469">
        <v>48</v>
      </c>
      <c r="CE9" s="469" t="s">
        <v>334</v>
      </c>
      <c r="CF9" s="470" t="s">
        <v>409</v>
      </c>
      <c r="CG9" s="469">
        <v>51</v>
      </c>
      <c r="CH9" s="469">
        <v>52</v>
      </c>
      <c r="CI9" s="469">
        <v>53</v>
      </c>
      <c r="CJ9" s="469">
        <v>54</v>
      </c>
      <c r="CK9" s="469">
        <v>55</v>
      </c>
      <c r="CL9" s="469">
        <v>56</v>
      </c>
      <c r="CM9" s="469" t="s">
        <v>332</v>
      </c>
      <c r="CN9" s="469" t="s">
        <v>410</v>
      </c>
      <c r="CO9" s="471" t="s">
        <v>411</v>
      </c>
      <c r="CP9" s="469">
        <v>60</v>
      </c>
      <c r="CQ9" s="469">
        <v>61</v>
      </c>
      <c r="CR9" s="469">
        <v>62</v>
      </c>
      <c r="CS9" s="469">
        <v>63</v>
      </c>
      <c r="CT9" s="469" t="s">
        <v>331</v>
      </c>
      <c r="CU9" s="469" t="s">
        <v>412</v>
      </c>
      <c r="CV9" s="471" t="s">
        <v>413</v>
      </c>
      <c r="CW9" s="472" t="s">
        <v>414</v>
      </c>
      <c r="CX9" s="469">
        <v>36</v>
      </c>
      <c r="CY9" s="469">
        <v>37</v>
      </c>
      <c r="CZ9" s="469">
        <v>38</v>
      </c>
      <c r="DA9" s="469">
        <v>39</v>
      </c>
      <c r="DB9" s="469">
        <v>40</v>
      </c>
      <c r="DC9" s="469">
        <v>41</v>
      </c>
      <c r="DD9" s="469">
        <v>42</v>
      </c>
      <c r="DE9" s="469" t="s">
        <v>327</v>
      </c>
      <c r="DF9" s="469" t="s">
        <v>329</v>
      </c>
      <c r="DG9" s="469">
        <v>45</v>
      </c>
      <c r="DH9" s="469">
        <v>46</v>
      </c>
      <c r="DI9" s="469">
        <v>47</v>
      </c>
      <c r="DJ9" s="469">
        <v>48</v>
      </c>
      <c r="DK9" s="469" t="s">
        <v>334</v>
      </c>
      <c r="DL9" s="470" t="s">
        <v>409</v>
      </c>
      <c r="DM9" s="469">
        <v>51</v>
      </c>
      <c r="DN9" s="469">
        <v>52</v>
      </c>
      <c r="DO9" s="469">
        <v>53</v>
      </c>
      <c r="DP9" s="469">
        <v>54</v>
      </c>
      <c r="DQ9" s="469">
        <v>55</v>
      </c>
      <c r="DR9" s="469">
        <v>56</v>
      </c>
      <c r="DS9" s="469" t="s">
        <v>332</v>
      </c>
      <c r="DT9" s="469" t="s">
        <v>410</v>
      </c>
      <c r="DU9" s="471" t="s">
        <v>411</v>
      </c>
      <c r="DV9" s="469">
        <v>60</v>
      </c>
      <c r="DW9" s="469">
        <v>61</v>
      </c>
      <c r="DX9" s="469">
        <v>62</v>
      </c>
      <c r="DY9" s="469">
        <v>63</v>
      </c>
      <c r="DZ9" s="469" t="s">
        <v>331</v>
      </c>
      <c r="EA9" s="469" t="s">
        <v>412</v>
      </c>
      <c r="EB9" s="471" t="s">
        <v>413</v>
      </c>
      <c r="EC9" s="472" t="s">
        <v>414</v>
      </c>
      <c r="ED9" s="469">
        <v>36</v>
      </c>
      <c r="EE9" s="469">
        <v>37</v>
      </c>
      <c r="EF9" s="469">
        <v>38</v>
      </c>
      <c r="EG9" s="469">
        <v>39</v>
      </c>
      <c r="EH9" s="469">
        <v>40</v>
      </c>
      <c r="EI9" s="469">
        <v>41</v>
      </c>
      <c r="EJ9" s="469">
        <v>42</v>
      </c>
      <c r="EK9" s="469" t="s">
        <v>327</v>
      </c>
      <c r="EL9" s="469" t="s">
        <v>329</v>
      </c>
      <c r="EM9" s="469">
        <v>45</v>
      </c>
      <c r="EN9" s="469">
        <v>46</v>
      </c>
      <c r="EO9" s="469">
        <v>47</v>
      </c>
      <c r="EP9" s="469">
        <v>48</v>
      </c>
      <c r="EQ9" s="469" t="s">
        <v>334</v>
      </c>
      <c r="ER9" s="470" t="s">
        <v>409</v>
      </c>
      <c r="ES9" s="469">
        <v>51</v>
      </c>
      <c r="ET9" s="469">
        <v>52</v>
      </c>
      <c r="EU9" s="469">
        <v>53</v>
      </c>
      <c r="EV9" s="469">
        <v>54</v>
      </c>
      <c r="EW9" s="469">
        <v>55</v>
      </c>
      <c r="EX9" s="469">
        <v>56</v>
      </c>
      <c r="EY9" s="469" t="s">
        <v>332</v>
      </c>
      <c r="EZ9" s="469" t="s">
        <v>410</v>
      </c>
      <c r="FA9" s="471" t="s">
        <v>411</v>
      </c>
      <c r="FB9" s="469">
        <v>60</v>
      </c>
      <c r="FC9" s="469">
        <v>61</v>
      </c>
      <c r="FD9" s="469">
        <v>62</v>
      </c>
      <c r="FE9" s="469">
        <v>63</v>
      </c>
      <c r="FF9" s="469" t="s">
        <v>331</v>
      </c>
      <c r="FG9" s="469" t="s">
        <v>412</v>
      </c>
      <c r="FH9" s="471" t="s">
        <v>413</v>
      </c>
      <c r="FI9" s="472" t="s">
        <v>414</v>
      </c>
      <c r="FJ9" s="469">
        <v>36</v>
      </c>
      <c r="FK9" s="469">
        <v>37</v>
      </c>
      <c r="FL9" s="469">
        <v>38</v>
      </c>
      <c r="FM9" s="469">
        <v>39</v>
      </c>
      <c r="FN9" s="469">
        <v>40</v>
      </c>
      <c r="FO9" s="469">
        <v>41</v>
      </c>
      <c r="FP9" s="469">
        <v>42</v>
      </c>
      <c r="FQ9" s="469" t="s">
        <v>327</v>
      </c>
      <c r="FR9" s="469" t="s">
        <v>329</v>
      </c>
      <c r="FS9" s="469">
        <v>45</v>
      </c>
      <c r="FT9" s="469">
        <v>46</v>
      </c>
      <c r="FU9" s="469">
        <v>47</v>
      </c>
      <c r="FV9" s="469">
        <v>48</v>
      </c>
      <c r="FW9" s="469" t="s">
        <v>334</v>
      </c>
      <c r="FX9" s="470" t="s">
        <v>409</v>
      </c>
      <c r="FY9" s="469">
        <v>51</v>
      </c>
      <c r="FZ9" s="469">
        <v>52</v>
      </c>
      <c r="GA9" s="469">
        <v>53</v>
      </c>
      <c r="GB9" s="469">
        <v>54</v>
      </c>
      <c r="GC9" s="469">
        <v>55</v>
      </c>
      <c r="GD9" s="469">
        <v>56</v>
      </c>
      <c r="GE9" s="469" t="s">
        <v>332</v>
      </c>
      <c r="GF9" s="469" t="s">
        <v>410</v>
      </c>
      <c r="GG9" s="471" t="s">
        <v>411</v>
      </c>
      <c r="GH9" s="469">
        <v>60</v>
      </c>
      <c r="GI9" s="469">
        <v>61</v>
      </c>
      <c r="GJ9" s="469">
        <v>62</v>
      </c>
      <c r="GK9" s="469">
        <v>63</v>
      </c>
      <c r="GL9" s="469" t="s">
        <v>331</v>
      </c>
      <c r="GM9" s="469" t="s">
        <v>412</v>
      </c>
      <c r="GN9" s="471" t="s">
        <v>413</v>
      </c>
      <c r="GO9" s="472" t="s">
        <v>414</v>
      </c>
      <c r="GP9" s="469">
        <v>36</v>
      </c>
      <c r="GQ9" s="469">
        <v>37</v>
      </c>
      <c r="GR9" s="469">
        <v>38</v>
      </c>
      <c r="GS9" s="469">
        <v>39</v>
      </c>
      <c r="GT9" s="469">
        <v>40</v>
      </c>
      <c r="GU9" s="469">
        <v>41</v>
      </c>
      <c r="GV9" s="469">
        <v>42</v>
      </c>
      <c r="GW9" s="469" t="s">
        <v>327</v>
      </c>
      <c r="GX9" s="469" t="s">
        <v>329</v>
      </c>
      <c r="GY9" s="469">
        <v>45</v>
      </c>
      <c r="GZ9" s="469">
        <v>46</v>
      </c>
      <c r="HA9" s="469">
        <v>47</v>
      </c>
      <c r="HB9" s="469">
        <v>48</v>
      </c>
      <c r="HC9" s="469" t="s">
        <v>334</v>
      </c>
      <c r="HD9" s="470" t="s">
        <v>409</v>
      </c>
      <c r="HE9" s="1672">
        <v>51</v>
      </c>
      <c r="HF9" s="469">
        <v>52</v>
      </c>
      <c r="HG9" s="469">
        <v>53</v>
      </c>
      <c r="HH9" s="469">
        <v>54</v>
      </c>
      <c r="HI9" s="469">
        <v>55</v>
      </c>
      <c r="HJ9" s="469">
        <v>56</v>
      </c>
      <c r="HK9" s="469" t="s">
        <v>332</v>
      </c>
      <c r="HL9" s="469" t="s">
        <v>410</v>
      </c>
      <c r="HM9" s="471" t="s">
        <v>411</v>
      </c>
      <c r="HN9" s="469">
        <v>60</v>
      </c>
      <c r="HO9" s="469">
        <v>61</v>
      </c>
      <c r="HP9" s="469">
        <v>62</v>
      </c>
      <c r="HQ9" s="469">
        <v>63</v>
      </c>
      <c r="HR9" s="469" t="s">
        <v>331</v>
      </c>
      <c r="HS9" s="469" t="s">
        <v>412</v>
      </c>
      <c r="HT9" s="471" t="s">
        <v>413</v>
      </c>
      <c r="HU9" s="472" t="s">
        <v>414</v>
      </c>
    </row>
    <row r="10" spans="1:229" ht="13.5" customHeight="1" outlineLevel="1" x14ac:dyDescent="0.2">
      <c r="A10" s="474"/>
      <c r="B10" s="1411" t="s">
        <v>398</v>
      </c>
      <c r="C10" s="475">
        <v>1</v>
      </c>
      <c r="D10" s="476" t="s">
        <v>74</v>
      </c>
      <c r="E10" s="477">
        <v>12</v>
      </c>
      <c r="F10" s="478">
        <v>801.1</v>
      </c>
      <c r="G10" s="479">
        <f t="shared" ref="G10:G41" si="0">F10/E10</f>
        <v>66.75833333333334</v>
      </c>
      <c r="H10" s="480">
        <v>0</v>
      </c>
      <c r="I10" s="481">
        <v>0</v>
      </c>
      <c r="J10" s="481">
        <v>0</v>
      </c>
      <c r="K10" s="480">
        <v>2</v>
      </c>
      <c r="L10" s="481">
        <v>45.6</v>
      </c>
      <c r="M10" s="482">
        <f>L10/K10</f>
        <v>22.8</v>
      </c>
      <c r="N10" s="483">
        <f t="shared" ref="N10:N41" si="1">F10+I10+L10</f>
        <v>846.7</v>
      </c>
      <c r="O10" s="484">
        <v>781395.6</v>
      </c>
      <c r="P10" s="485">
        <v>5862509.580000001</v>
      </c>
      <c r="Q10" s="484">
        <v>0</v>
      </c>
      <c r="R10" s="486">
        <f t="shared" ref="R10:R41" si="2">SUM(O10:Q10)</f>
        <v>6643905.1800000006</v>
      </c>
      <c r="S10" s="487">
        <f>R10</f>
        <v>6643905.1800000006</v>
      </c>
      <c r="T10" s="488">
        <v>1856229.29</v>
      </c>
      <c r="U10" s="489">
        <v>0</v>
      </c>
      <c r="V10" s="489">
        <v>0</v>
      </c>
      <c r="W10" s="490">
        <v>0</v>
      </c>
      <c r="X10" s="491">
        <v>0</v>
      </c>
      <c r="Y10" s="491">
        <v>0</v>
      </c>
      <c r="Z10" s="491">
        <v>0</v>
      </c>
      <c r="AA10" s="491">
        <f>W10+Y10</f>
        <v>0</v>
      </c>
      <c r="AB10" s="491">
        <f>X10+Z10</f>
        <v>0</v>
      </c>
      <c r="AC10" s="492">
        <f>AB10/R10</f>
        <v>0</v>
      </c>
      <c r="AD10" s="489">
        <v>0</v>
      </c>
      <c r="AE10" s="489">
        <v>0</v>
      </c>
      <c r="AF10" s="489">
        <v>0</v>
      </c>
      <c r="AG10" s="489">
        <v>0</v>
      </c>
      <c r="AH10" s="493">
        <f>AD10+AF10</f>
        <v>0</v>
      </c>
      <c r="AI10" s="489">
        <f>AE10+AG10</f>
        <v>0</v>
      </c>
      <c r="AJ10" s="494">
        <f>AI10/S10</f>
        <v>0</v>
      </c>
      <c r="AK10" s="495">
        <f>U10/T10</f>
        <v>0</v>
      </c>
      <c r="AL10" s="496"/>
      <c r="AM10" s="88"/>
      <c r="AN10" s="497"/>
      <c r="AO10" s="498"/>
      <c r="AP10" s="499"/>
      <c r="AQ10" s="499"/>
      <c r="AR10" s="499"/>
      <c r="AS10" s="499">
        <f t="shared" ref="AS10:AS73" si="3">AO10+AQ10</f>
        <v>0</v>
      </c>
      <c r="AT10" s="500">
        <f t="shared" ref="AT10:AT73" si="4">AP10+AR10</f>
        <v>0</v>
      </c>
      <c r="AU10" s="501">
        <v>0</v>
      </c>
      <c r="AV10" s="502">
        <v>0</v>
      </c>
      <c r="AW10" s="502">
        <v>0</v>
      </c>
      <c r="AX10" s="502">
        <v>0</v>
      </c>
      <c r="AY10" s="502">
        <f t="shared" ref="AY10:AY73" si="5">AU10+AW10</f>
        <v>0</v>
      </c>
      <c r="AZ10" s="503">
        <f t="shared" ref="AZ10:AZ73" si="6">AV10+AX10</f>
        <v>0</v>
      </c>
      <c r="BA10" s="504">
        <f t="shared" ref="BA10:BH11" si="7">U10+AM10</f>
        <v>0</v>
      </c>
      <c r="BB10" s="505">
        <f t="shared" si="7"/>
        <v>0</v>
      </c>
      <c r="BC10" s="490">
        <f t="shared" si="7"/>
        <v>0</v>
      </c>
      <c r="BD10" s="506">
        <f t="shared" si="7"/>
        <v>0</v>
      </c>
      <c r="BE10" s="506">
        <f t="shared" si="7"/>
        <v>0</v>
      </c>
      <c r="BF10" s="506">
        <f t="shared" si="7"/>
        <v>0</v>
      </c>
      <c r="BG10" s="506">
        <f t="shared" si="7"/>
        <v>0</v>
      </c>
      <c r="BH10" s="506">
        <f t="shared" si="7"/>
        <v>0</v>
      </c>
      <c r="BI10" s="492">
        <f>BH10/R10</f>
        <v>0</v>
      </c>
      <c r="BJ10" s="507">
        <f t="shared" ref="BJ10:BO11" si="8">AD10+AU10</f>
        <v>0</v>
      </c>
      <c r="BK10" s="508">
        <f t="shared" si="8"/>
        <v>0</v>
      </c>
      <c r="BL10" s="508">
        <f t="shared" si="8"/>
        <v>0</v>
      </c>
      <c r="BM10" s="508">
        <f t="shared" si="8"/>
        <v>0</v>
      </c>
      <c r="BN10" s="508">
        <f t="shared" si="8"/>
        <v>0</v>
      </c>
      <c r="BO10" s="508">
        <f t="shared" si="8"/>
        <v>0</v>
      </c>
      <c r="BP10" s="509">
        <f>BO10/S10</f>
        <v>0</v>
      </c>
      <c r="BQ10" s="510">
        <f>BA10/T10</f>
        <v>0</v>
      </c>
      <c r="BR10" s="496"/>
      <c r="BS10" s="88"/>
      <c r="BT10" s="497"/>
      <c r="BU10" s="498"/>
      <c r="BV10" s="499"/>
      <c r="BW10" s="499"/>
      <c r="BX10" s="499"/>
      <c r="BY10" s="499">
        <f t="shared" ref="BY10:BY73" si="9">BU10+BW10</f>
        <v>0</v>
      </c>
      <c r="BZ10" s="500">
        <f t="shared" ref="BZ10:BZ73" si="10">BV10+BX10</f>
        <v>0</v>
      </c>
      <c r="CA10" s="501"/>
      <c r="CB10" s="502"/>
      <c r="CC10" s="502"/>
      <c r="CD10" s="502"/>
      <c r="CE10" s="502">
        <f t="shared" ref="CE10:CE73" si="11">CA10+CC10</f>
        <v>0</v>
      </c>
      <c r="CF10" s="503">
        <f t="shared" ref="CF10:CF73" si="12">CB10+CD10</f>
        <v>0</v>
      </c>
      <c r="CG10" s="504">
        <f t="shared" ref="CG10:CN11" si="13">BA10+BS10</f>
        <v>0</v>
      </c>
      <c r="CH10" s="505">
        <f t="shared" si="13"/>
        <v>0</v>
      </c>
      <c r="CI10" s="490">
        <f t="shared" si="13"/>
        <v>0</v>
      </c>
      <c r="CJ10" s="506">
        <f t="shared" si="13"/>
        <v>0</v>
      </c>
      <c r="CK10" s="506">
        <f t="shared" si="13"/>
        <v>0</v>
      </c>
      <c r="CL10" s="506">
        <f t="shared" si="13"/>
        <v>0</v>
      </c>
      <c r="CM10" s="506">
        <f t="shared" si="13"/>
        <v>0</v>
      </c>
      <c r="CN10" s="506">
        <f t="shared" si="13"/>
        <v>0</v>
      </c>
      <c r="CO10" s="492">
        <f>CN10/R10</f>
        <v>0</v>
      </c>
      <c r="CP10" s="507">
        <f t="shared" ref="CP10:CU11" si="14">BJ10+CA10</f>
        <v>0</v>
      </c>
      <c r="CQ10" s="508">
        <f t="shared" si="14"/>
        <v>0</v>
      </c>
      <c r="CR10" s="508">
        <f t="shared" si="14"/>
        <v>0</v>
      </c>
      <c r="CS10" s="508">
        <f t="shared" si="14"/>
        <v>0</v>
      </c>
      <c r="CT10" s="508">
        <f t="shared" si="14"/>
        <v>0</v>
      </c>
      <c r="CU10" s="508">
        <f t="shared" si="14"/>
        <v>0</v>
      </c>
      <c r="CV10" s="509">
        <f>CU10/S10</f>
        <v>0</v>
      </c>
      <c r="CW10" s="510">
        <f>CG10/T10</f>
        <v>0</v>
      </c>
      <c r="CX10" s="496"/>
      <c r="CY10" s="88"/>
      <c r="CZ10" s="497"/>
      <c r="DA10" s="498"/>
      <c r="DB10" s="499"/>
      <c r="DC10" s="499"/>
      <c r="DD10" s="499"/>
      <c r="DE10" s="499">
        <f t="shared" ref="DE10:DE73" si="15">DA10+DC10</f>
        <v>0</v>
      </c>
      <c r="DF10" s="500">
        <f t="shared" ref="DF10:DF73" si="16">DB10+DD10</f>
        <v>0</v>
      </c>
      <c r="DG10" s="501"/>
      <c r="DH10" s="502"/>
      <c r="DI10" s="502"/>
      <c r="DJ10" s="502"/>
      <c r="DK10" s="502">
        <f t="shared" ref="DK10:DK73" si="17">DG10+DI10</f>
        <v>0</v>
      </c>
      <c r="DL10" s="503">
        <f t="shared" ref="DL10:DL73" si="18">DH10+DJ10</f>
        <v>0</v>
      </c>
      <c r="DM10" s="1136">
        <f t="shared" ref="DM10:DM73" si="19">CG10+CY10</f>
        <v>0</v>
      </c>
      <c r="DN10" s="505">
        <f t="shared" ref="DN10:DN73" si="20">CH10+CZ10</f>
        <v>0</v>
      </c>
      <c r="DO10" s="490">
        <f t="shared" ref="DO10:DO73" si="21">CI10+DA10</f>
        <v>0</v>
      </c>
      <c r="DP10" s="506">
        <f t="shared" ref="DP10:DP73" si="22">CJ10+DB10</f>
        <v>0</v>
      </c>
      <c r="DQ10" s="506">
        <f t="shared" ref="DQ10:DQ73" si="23">CK10+DC10</f>
        <v>0</v>
      </c>
      <c r="DR10" s="506">
        <f t="shared" ref="DR10:DR73" si="24">CL10+DD10</f>
        <v>0</v>
      </c>
      <c r="DS10" s="506">
        <f t="shared" ref="DS10:DS73" si="25">CM10+DE10</f>
        <v>0</v>
      </c>
      <c r="DT10" s="506">
        <f t="shared" ref="DT10:DT73" si="26">CN10+DF10</f>
        <v>0</v>
      </c>
      <c r="DU10" s="492">
        <f>DT10/R10</f>
        <v>0</v>
      </c>
      <c r="DV10" s="507">
        <f t="shared" ref="DV10:DV73" si="27">CP10+DG10</f>
        <v>0</v>
      </c>
      <c r="DW10" s="508">
        <f t="shared" ref="DW10:DW73" si="28">CQ10+DH10</f>
        <v>0</v>
      </c>
      <c r="DX10" s="508">
        <f t="shared" ref="DX10:DX73" si="29">CR10+DI10</f>
        <v>0</v>
      </c>
      <c r="DY10" s="508">
        <f t="shared" ref="DY10:DY73" si="30">CS10+DJ10</f>
        <v>0</v>
      </c>
      <c r="DZ10" s="508">
        <f t="shared" ref="DZ10:DZ73" si="31">CT10+DK10</f>
        <v>0</v>
      </c>
      <c r="EA10" s="508">
        <f t="shared" ref="EA10:EA73" si="32">CU10+DL10</f>
        <v>0</v>
      </c>
      <c r="EB10" s="509">
        <f>EA10/R10</f>
        <v>0</v>
      </c>
      <c r="EC10" s="510">
        <f>DM10/T10</f>
        <v>0</v>
      </c>
      <c r="ES10" s="1136">
        <f t="shared" ref="ES10:ES73" si="33">DM10+EE10</f>
        <v>0</v>
      </c>
      <c r="ET10" s="505">
        <f t="shared" ref="ET10:ET73" si="34">DN10+EF10</f>
        <v>0</v>
      </c>
      <c r="EU10" s="490">
        <f t="shared" ref="EU10:EU73" si="35">DO10+EG10</f>
        <v>0</v>
      </c>
      <c r="EV10" s="506">
        <f t="shared" ref="EV10:EV73" si="36">DP10+EH10</f>
        <v>0</v>
      </c>
      <c r="EW10" s="506">
        <f t="shared" ref="EW10:EW73" si="37">DQ10+EI10</f>
        <v>0</v>
      </c>
      <c r="EX10" s="506">
        <f t="shared" ref="EX10:EX73" si="38">DR10+EJ10</f>
        <v>0</v>
      </c>
      <c r="EY10" s="506">
        <f t="shared" ref="EY10:EY73" si="39">DS10+EK10</f>
        <v>0</v>
      </c>
      <c r="EZ10" s="506">
        <f t="shared" ref="EZ10:EZ73" si="40">DT10+EL10</f>
        <v>0</v>
      </c>
      <c r="FA10" s="492">
        <f>EZ10/R10</f>
        <v>0</v>
      </c>
      <c r="FB10" s="507">
        <f t="shared" ref="FB10:FB73" si="41">DV10+EM10</f>
        <v>0</v>
      </c>
      <c r="FC10" s="508">
        <f t="shared" ref="FC10:FC73" si="42">DW10+EN10</f>
        <v>0</v>
      </c>
      <c r="FD10" s="508">
        <f t="shared" ref="FD10:FD73" si="43">DX10+EO10</f>
        <v>0</v>
      </c>
      <c r="FE10" s="508">
        <f t="shared" ref="FE10:FE73" si="44">DY10+EP10</f>
        <v>0</v>
      </c>
      <c r="FF10" s="508">
        <f t="shared" ref="FF10:FF73" si="45">DZ10+EQ10</f>
        <v>0</v>
      </c>
      <c r="FG10" s="508">
        <f t="shared" ref="FG10:FG73" si="46">EA10+ER10</f>
        <v>0</v>
      </c>
      <c r="FH10" s="509">
        <f>FG10/S10</f>
        <v>0</v>
      </c>
      <c r="FI10" s="510">
        <f>ES10/T10</f>
        <v>0</v>
      </c>
      <c r="FY10" s="1136">
        <f t="shared" ref="FY10:FY73" si="47">ES10+FK10</f>
        <v>0</v>
      </c>
      <c r="FZ10" s="505">
        <f t="shared" ref="FZ10:FZ73" si="48">ET10+FL10</f>
        <v>0</v>
      </c>
      <c r="GA10" s="490">
        <f t="shared" ref="GA10:GA73" si="49">EU10+FM10</f>
        <v>0</v>
      </c>
      <c r="GB10" s="506">
        <f t="shared" ref="GB10:GB73" si="50">EV10+FN10</f>
        <v>0</v>
      </c>
      <c r="GC10" s="506">
        <f t="shared" ref="GC10:GC73" si="51">EW10+FO10</f>
        <v>0</v>
      </c>
      <c r="GD10" s="506">
        <f t="shared" ref="GD10:GD73" si="52">EX10+FP10</f>
        <v>0</v>
      </c>
      <c r="GE10" s="506">
        <f t="shared" ref="GE10:GE73" si="53">EY10+FQ10</f>
        <v>0</v>
      </c>
      <c r="GF10" s="506">
        <f t="shared" ref="GF10:GF73" si="54">EZ10+FR10</f>
        <v>0</v>
      </c>
      <c r="GG10" s="492">
        <f>GF10/R10</f>
        <v>0</v>
      </c>
      <c r="GH10" s="507">
        <f t="shared" ref="GH10:GH73" si="55">FB10+FS10</f>
        <v>0</v>
      </c>
      <c r="GI10" s="508">
        <f t="shared" ref="GI10:GI73" si="56">FC10+FT10</f>
        <v>0</v>
      </c>
      <c r="GJ10" s="508">
        <f t="shared" ref="GJ10:GJ73" si="57">FD10+FU10</f>
        <v>0</v>
      </c>
      <c r="GK10" s="508">
        <f t="shared" ref="GK10:GK73" si="58">FE10+FV10</f>
        <v>0</v>
      </c>
      <c r="GL10" s="508">
        <f t="shared" ref="GL10:GL73" si="59">FF10+FW10</f>
        <v>0</v>
      </c>
      <c r="GM10" s="508">
        <f t="shared" ref="GM10:GM73" si="60">FG10+FX10</f>
        <v>0</v>
      </c>
      <c r="GN10" s="509">
        <f>GM10/S10</f>
        <v>0</v>
      </c>
      <c r="GO10" s="510">
        <f>FY10/T10</f>
        <v>0</v>
      </c>
      <c r="HE10" s="1673">
        <f t="shared" ref="HE10:HE73" si="61">FY10+GQ10</f>
        <v>0</v>
      </c>
      <c r="HF10" s="505">
        <f t="shared" ref="HF10:HF73" si="62">FZ10+GR10</f>
        <v>0</v>
      </c>
      <c r="HG10" s="490">
        <f t="shared" ref="HG10:HG73" si="63">GA10+GS10</f>
        <v>0</v>
      </c>
      <c r="HH10" s="506">
        <f t="shared" ref="HH10:HH73" si="64">GB10+GT10</f>
        <v>0</v>
      </c>
      <c r="HI10" s="506">
        <f t="shared" ref="HI10:HI73" si="65">GC10+GU10</f>
        <v>0</v>
      </c>
      <c r="HJ10" s="506">
        <f t="shared" ref="HJ10:HJ73" si="66">GD10+GV10</f>
        <v>0</v>
      </c>
      <c r="HK10" s="506">
        <f t="shared" ref="HK10:HK73" si="67">GE10+GW10</f>
        <v>0</v>
      </c>
      <c r="HL10" s="506">
        <f t="shared" ref="HL10:HL73" si="68">GF10+GX10</f>
        <v>0</v>
      </c>
      <c r="HM10" s="492">
        <f>HL10/R10</f>
        <v>0</v>
      </c>
      <c r="HN10" s="507">
        <f t="shared" ref="HN10:HN73" si="69">GH10+GY10</f>
        <v>0</v>
      </c>
      <c r="HO10" s="508">
        <f t="shared" ref="HO10:HO73" si="70">GI10+GZ10</f>
        <v>0</v>
      </c>
      <c r="HP10" s="508">
        <f t="shared" ref="HP10:HP73" si="71">GJ10+HA10</f>
        <v>0</v>
      </c>
      <c r="HQ10" s="508">
        <f t="shared" ref="HQ10:HQ73" si="72">GK10+HB10</f>
        <v>0</v>
      </c>
      <c r="HR10" s="508">
        <f t="shared" ref="HR10:HR73" si="73">GL10+HC10</f>
        <v>0</v>
      </c>
      <c r="HS10" s="508">
        <f t="shared" ref="HS10:HS73" si="74">GM10+HD10</f>
        <v>0</v>
      </c>
      <c r="HT10" s="509">
        <f>HS10/S10</f>
        <v>0</v>
      </c>
      <c r="HU10" s="510">
        <f>HE10/T10</f>
        <v>0</v>
      </c>
    </row>
    <row r="11" spans="1:229" ht="13.5" customHeight="1" outlineLevel="1" x14ac:dyDescent="0.2">
      <c r="A11" s="474"/>
      <c r="B11" s="1412"/>
      <c r="C11" s="511">
        <v>2</v>
      </c>
      <c r="D11" s="512" t="s">
        <v>75</v>
      </c>
      <c r="E11" s="513">
        <v>22</v>
      </c>
      <c r="F11" s="514">
        <v>1700.5</v>
      </c>
      <c r="G11" s="515">
        <f t="shared" si="0"/>
        <v>77.295454545454547</v>
      </c>
      <c r="H11" s="516">
        <v>0</v>
      </c>
      <c r="I11" s="258">
        <v>0</v>
      </c>
      <c r="J11" s="481">
        <v>0</v>
      </c>
      <c r="K11" s="516">
        <v>0</v>
      </c>
      <c r="L11" s="258">
        <v>0</v>
      </c>
      <c r="M11" s="178">
        <v>0</v>
      </c>
      <c r="N11" s="517">
        <f t="shared" si="1"/>
        <v>1700.5</v>
      </c>
      <c r="O11" s="518">
        <v>861055.14</v>
      </c>
      <c r="P11" s="485">
        <v>8881179.5999999996</v>
      </c>
      <c r="Q11" s="518">
        <v>1553457.8020000001</v>
      </c>
      <c r="R11" s="519">
        <f t="shared" si="2"/>
        <v>11295692.541999999</v>
      </c>
      <c r="S11" s="520">
        <f>R11</f>
        <v>11295692.541999999</v>
      </c>
      <c r="T11" s="521">
        <v>3195598.31</v>
      </c>
      <c r="U11" s="522">
        <v>0</v>
      </c>
      <c r="V11" s="522">
        <v>0</v>
      </c>
      <c r="W11" s="523">
        <v>0</v>
      </c>
      <c r="X11" s="524">
        <v>0</v>
      </c>
      <c r="Y11" s="524">
        <v>0</v>
      </c>
      <c r="Z11" s="524">
        <v>0</v>
      </c>
      <c r="AA11" s="525">
        <f>W11+Y11</f>
        <v>0</v>
      </c>
      <c r="AB11" s="524">
        <f>X11+Z11</f>
        <v>0</v>
      </c>
      <c r="AC11" s="526">
        <f>AB11/R11</f>
        <v>0</v>
      </c>
      <c r="AD11" s="522">
        <v>0</v>
      </c>
      <c r="AE11" s="522">
        <v>0</v>
      </c>
      <c r="AF11" s="522">
        <v>0</v>
      </c>
      <c r="AG11" s="522">
        <v>0</v>
      </c>
      <c r="AH11" s="176">
        <f>AD11+AF11</f>
        <v>0</v>
      </c>
      <c r="AI11" s="522">
        <f>AE11+AG11</f>
        <v>0</v>
      </c>
      <c r="AJ11" s="527">
        <f>AI11/S11</f>
        <v>0</v>
      </c>
      <c r="AK11" s="528">
        <f>U11/T11</f>
        <v>0</v>
      </c>
      <c r="AL11" s="529"/>
      <c r="AM11" s="502"/>
      <c r="AN11" s="530"/>
      <c r="AO11" s="498"/>
      <c r="AP11" s="499"/>
      <c r="AQ11" s="499"/>
      <c r="AR11" s="499"/>
      <c r="AS11" s="531">
        <f t="shared" si="3"/>
        <v>0</v>
      </c>
      <c r="AT11" s="532">
        <f t="shared" si="4"/>
        <v>0</v>
      </c>
      <c r="AU11" s="529">
        <v>0</v>
      </c>
      <c r="AV11" s="533">
        <v>0</v>
      </c>
      <c r="AW11" s="533">
        <v>0</v>
      </c>
      <c r="AX11" s="533">
        <v>0</v>
      </c>
      <c r="AY11" s="533">
        <f t="shared" si="5"/>
        <v>0</v>
      </c>
      <c r="AZ11" s="534">
        <f t="shared" si="6"/>
        <v>0</v>
      </c>
      <c r="BA11" s="535">
        <f t="shared" si="7"/>
        <v>0</v>
      </c>
      <c r="BB11" s="536">
        <f t="shared" si="7"/>
        <v>0</v>
      </c>
      <c r="BC11" s="523">
        <f t="shared" si="7"/>
        <v>0</v>
      </c>
      <c r="BD11" s="525">
        <f t="shared" si="7"/>
        <v>0</v>
      </c>
      <c r="BE11" s="525">
        <f t="shared" si="7"/>
        <v>0</v>
      </c>
      <c r="BF11" s="525">
        <f t="shared" si="7"/>
        <v>0</v>
      </c>
      <c r="BG11" s="525">
        <f t="shared" si="7"/>
        <v>0</v>
      </c>
      <c r="BH11" s="525">
        <f t="shared" si="7"/>
        <v>0</v>
      </c>
      <c r="BI11" s="526">
        <f>BH11/R11</f>
        <v>0</v>
      </c>
      <c r="BJ11" s="537">
        <f t="shared" si="8"/>
        <v>0</v>
      </c>
      <c r="BK11" s="538">
        <f t="shared" si="8"/>
        <v>0</v>
      </c>
      <c r="BL11" s="538">
        <f t="shared" si="8"/>
        <v>0</v>
      </c>
      <c r="BM11" s="538">
        <f t="shared" si="8"/>
        <v>0</v>
      </c>
      <c r="BN11" s="538">
        <f t="shared" si="8"/>
        <v>0</v>
      </c>
      <c r="BO11" s="538">
        <f t="shared" si="8"/>
        <v>0</v>
      </c>
      <c r="BP11" s="539">
        <f>BO11/S11</f>
        <v>0</v>
      </c>
      <c r="BQ11" s="540">
        <f>BA11/T11</f>
        <v>0</v>
      </c>
      <c r="BR11" s="529"/>
      <c r="BS11" s="502"/>
      <c r="BT11" s="530"/>
      <c r="BU11" s="498"/>
      <c r="BV11" s="499"/>
      <c r="BW11" s="499"/>
      <c r="BX11" s="499"/>
      <c r="BY11" s="531">
        <f t="shared" si="9"/>
        <v>0</v>
      </c>
      <c r="BZ11" s="532">
        <f t="shared" si="10"/>
        <v>0</v>
      </c>
      <c r="CA11" s="529"/>
      <c r="CB11" s="533"/>
      <c r="CC11" s="533"/>
      <c r="CD11" s="533"/>
      <c r="CE11" s="533">
        <f t="shared" si="11"/>
        <v>0</v>
      </c>
      <c r="CF11" s="534">
        <f t="shared" si="12"/>
        <v>0</v>
      </c>
      <c r="CG11" s="535">
        <f t="shared" si="13"/>
        <v>0</v>
      </c>
      <c r="CH11" s="536">
        <f t="shared" si="13"/>
        <v>0</v>
      </c>
      <c r="CI11" s="523">
        <f t="shared" si="13"/>
        <v>0</v>
      </c>
      <c r="CJ11" s="525">
        <f t="shared" si="13"/>
        <v>0</v>
      </c>
      <c r="CK11" s="525">
        <f t="shared" si="13"/>
        <v>0</v>
      </c>
      <c r="CL11" s="525">
        <f t="shared" si="13"/>
        <v>0</v>
      </c>
      <c r="CM11" s="525">
        <f t="shared" si="13"/>
        <v>0</v>
      </c>
      <c r="CN11" s="525">
        <f t="shared" si="13"/>
        <v>0</v>
      </c>
      <c r="CO11" s="526">
        <f>CN11/R11</f>
        <v>0</v>
      </c>
      <c r="CP11" s="537">
        <f t="shared" si="14"/>
        <v>0</v>
      </c>
      <c r="CQ11" s="538">
        <f t="shared" si="14"/>
        <v>0</v>
      </c>
      <c r="CR11" s="538">
        <f t="shared" si="14"/>
        <v>0</v>
      </c>
      <c r="CS11" s="538">
        <f t="shared" si="14"/>
        <v>0</v>
      </c>
      <c r="CT11" s="538">
        <f t="shared" si="14"/>
        <v>0</v>
      </c>
      <c r="CU11" s="538">
        <f t="shared" si="14"/>
        <v>0</v>
      </c>
      <c r="CV11" s="539">
        <f>CU11/S11</f>
        <v>0</v>
      </c>
      <c r="CW11" s="540">
        <f>CG11/T11</f>
        <v>0</v>
      </c>
      <c r="CX11" s="529"/>
      <c r="CY11" s="502"/>
      <c r="CZ11" s="530"/>
      <c r="DA11" s="498"/>
      <c r="DB11" s="499"/>
      <c r="DC11" s="499"/>
      <c r="DD11" s="499"/>
      <c r="DE11" s="531">
        <f t="shared" si="15"/>
        <v>0</v>
      </c>
      <c r="DF11" s="532">
        <f t="shared" si="16"/>
        <v>0</v>
      </c>
      <c r="DG11" s="529"/>
      <c r="DH11" s="533"/>
      <c r="DI11" s="533"/>
      <c r="DJ11" s="533"/>
      <c r="DK11" s="533">
        <f t="shared" si="17"/>
        <v>0</v>
      </c>
      <c r="DL11" s="534">
        <f t="shared" si="18"/>
        <v>0</v>
      </c>
      <c r="DM11" s="1138">
        <f t="shared" si="19"/>
        <v>0</v>
      </c>
      <c r="DN11" s="536">
        <f t="shared" si="20"/>
        <v>0</v>
      </c>
      <c r="DO11" s="523">
        <f t="shared" si="21"/>
        <v>0</v>
      </c>
      <c r="DP11" s="525">
        <f t="shared" si="22"/>
        <v>0</v>
      </c>
      <c r="DQ11" s="525">
        <f t="shared" si="23"/>
        <v>0</v>
      </c>
      <c r="DR11" s="525">
        <f t="shared" si="24"/>
        <v>0</v>
      </c>
      <c r="DS11" s="525">
        <f t="shared" si="25"/>
        <v>0</v>
      </c>
      <c r="DT11" s="525">
        <f t="shared" si="26"/>
        <v>0</v>
      </c>
      <c r="DU11" s="526">
        <f>DT11/R11</f>
        <v>0</v>
      </c>
      <c r="DV11" s="537">
        <f t="shared" si="27"/>
        <v>0</v>
      </c>
      <c r="DW11" s="538">
        <f t="shared" si="28"/>
        <v>0</v>
      </c>
      <c r="DX11" s="538">
        <f t="shared" si="29"/>
        <v>0</v>
      </c>
      <c r="DY11" s="538">
        <f t="shared" si="30"/>
        <v>0</v>
      </c>
      <c r="DZ11" s="538">
        <f t="shared" si="31"/>
        <v>0</v>
      </c>
      <c r="EA11" s="538">
        <f t="shared" si="32"/>
        <v>0</v>
      </c>
      <c r="EB11" s="539">
        <f>EA11/S11</f>
        <v>0</v>
      </c>
      <c r="EC11" s="540">
        <f>DM11/T11</f>
        <v>0</v>
      </c>
      <c r="ES11" s="1138">
        <f t="shared" si="33"/>
        <v>0</v>
      </c>
      <c r="ET11" s="536">
        <f t="shared" si="34"/>
        <v>0</v>
      </c>
      <c r="EU11" s="523">
        <f t="shared" si="35"/>
        <v>0</v>
      </c>
      <c r="EV11" s="525">
        <f t="shared" si="36"/>
        <v>0</v>
      </c>
      <c r="EW11" s="525">
        <f t="shared" si="37"/>
        <v>0</v>
      </c>
      <c r="EX11" s="525">
        <f t="shared" si="38"/>
        <v>0</v>
      </c>
      <c r="EY11" s="525">
        <f t="shared" si="39"/>
        <v>0</v>
      </c>
      <c r="EZ11" s="525">
        <f t="shared" si="40"/>
        <v>0</v>
      </c>
      <c r="FA11" s="626">
        <f>EZ11/R11</f>
        <v>0</v>
      </c>
      <c r="FB11" s="537">
        <f t="shared" si="41"/>
        <v>0</v>
      </c>
      <c r="FC11" s="538">
        <f t="shared" si="42"/>
        <v>0</v>
      </c>
      <c r="FD11" s="538">
        <f t="shared" si="43"/>
        <v>0</v>
      </c>
      <c r="FE11" s="538">
        <f t="shared" si="44"/>
        <v>0</v>
      </c>
      <c r="FF11" s="538">
        <f t="shared" si="45"/>
        <v>0</v>
      </c>
      <c r="FG11" s="538">
        <f t="shared" si="46"/>
        <v>0</v>
      </c>
      <c r="FH11" s="1256">
        <f>FG11/S11</f>
        <v>0</v>
      </c>
      <c r="FI11" s="1157">
        <f>ES11/T11</f>
        <v>0</v>
      </c>
      <c r="FY11" s="1138">
        <f t="shared" si="47"/>
        <v>0</v>
      </c>
      <c r="FZ11" s="536">
        <f t="shared" si="48"/>
        <v>0</v>
      </c>
      <c r="GA11" s="523">
        <f t="shared" si="49"/>
        <v>0</v>
      </c>
      <c r="GB11" s="525">
        <f t="shared" si="50"/>
        <v>0</v>
      </c>
      <c r="GC11" s="525">
        <f t="shared" si="51"/>
        <v>0</v>
      </c>
      <c r="GD11" s="525">
        <f t="shared" si="52"/>
        <v>0</v>
      </c>
      <c r="GE11" s="525">
        <f t="shared" si="53"/>
        <v>0</v>
      </c>
      <c r="GF11" s="525">
        <f t="shared" si="54"/>
        <v>0</v>
      </c>
      <c r="GG11" s="626">
        <f>GF11/R11</f>
        <v>0</v>
      </c>
      <c r="GH11" s="537">
        <f t="shared" si="55"/>
        <v>0</v>
      </c>
      <c r="GI11" s="538">
        <f t="shared" si="56"/>
        <v>0</v>
      </c>
      <c r="GJ11" s="538">
        <f t="shared" si="57"/>
        <v>0</v>
      </c>
      <c r="GK11" s="538">
        <f t="shared" si="58"/>
        <v>0</v>
      </c>
      <c r="GL11" s="538">
        <f t="shared" si="59"/>
        <v>0</v>
      </c>
      <c r="GM11" s="538">
        <f t="shared" si="60"/>
        <v>0</v>
      </c>
      <c r="GN11" s="1256">
        <f>GM11/S11</f>
        <v>0</v>
      </c>
      <c r="GO11" s="1157">
        <f>FY11/T11</f>
        <v>0</v>
      </c>
      <c r="HE11" s="1674">
        <f t="shared" si="61"/>
        <v>0</v>
      </c>
      <c r="HF11" s="536">
        <f t="shared" si="62"/>
        <v>0</v>
      </c>
      <c r="HG11" s="523">
        <f t="shared" si="63"/>
        <v>0</v>
      </c>
      <c r="HH11" s="525">
        <f t="shared" si="64"/>
        <v>0</v>
      </c>
      <c r="HI11" s="525">
        <f t="shared" si="65"/>
        <v>0</v>
      </c>
      <c r="HJ11" s="525">
        <f t="shared" si="66"/>
        <v>0</v>
      </c>
      <c r="HK11" s="525">
        <f t="shared" si="67"/>
        <v>0</v>
      </c>
      <c r="HL11" s="525">
        <f t="shared" si="68"/>
        <v>0</v>
      </c>
      <c r="HM11" s="626">
        <f>HL11/R11</f>
        <v>0</v>
      </c>
      <c r="HN11" s="537">
        <f t="shared" si="69"/>
        <v>0</v>
      </c>
      <c r="HO11" s="538">
        <f t="shared" si="70"/>
        <v>0</v>
      </c>
      <c r="HP11" s="538">
        <f t="shared" si="71"/>
        <v>0</v>
      </c>
      <c r="HQ11" s="538">
        <f t="shared" si="72"/>
        <v>0</v>
      </c>
      <c r="HR11" s="538">
        <f t="shared" si="73"/>
        <v>0</v>
      </c>
      <c r="HS11" s="538">
        <f t="shared" si="74"/>
        <v>0</v>
      </c>
      <c r="HT11" s="539">
        <f>HS11/S11</f>
        <v>0</v>
      </c>
      <c r="HU11" s="540">
        <f>HE11/T11</f>
        <v>0</v>
      </c>
    </row>
    <row r="12" spans="1:229" ht="13.5" customHeight="1" outlineLevel="1" x14ac:dyDescent="0.2">
      <c r="A12" s="474"/>
      <c r="B12" s="1412"/>
      <c r="C12" s="511">
        <v>3</v>
      </c>
      <c r="D12" s="541" t="s">
        <v>8</v>
      </c>
      <c r="E12" s="1719">
        <v>27</v>
      </c>
      <c r="F12" s="542">
        <v>1784.09</v>
      </c>
      <c r="G12" s="543">
        <f t="shared" si="0"/>
        <v>66.077407407407406</v>
      </c>
      <c r="H12" s="544">
        <v>0</v>
      </c>
      <c r="I12" s="542">
        <v>0</v>
      </c>
      <c r="J12" s="542">
        <v>0</v>
      </c>
      <c r="K12" s="544">
        <v>6</v>
      </c>
      <c r="L12" s="542">
        <v>349.8</v>
      </c>
      <c r="M12" s="542">
        <f>L12/K12</f>
        <v>58.300000000000004</v>
      </c>
      <c r="N12" s="545">
        <f t="shared" si="1"/>
        <v>2133.89</v>
      </c>
      <c r="O12" s="518">
        <v>0</v>
      </c>
      <c r="P12" s="485">
        <v>11810052.170000002</v>
      </c>
      <c r="Q12" s="484">
        <v>457590.54399999999</v>
      </c>
      <c r="R12" s="519">
        <f t="shared" si="2"/>
        <v>12267642.714000002</v>
      </c>
      <c r="S12" s="546">
        <f t="shared" ref="S12:S75" si="75">R12</f>
        <v>12267642.714000002</v>
      </c>
      <c r="T12" s="521">
        <v>2446332.7799999998</v>
      </c>
      <c r="U12" s="547">
        <v>0</v>
      </c>
      <c r="V12" s="547">
        <v>0</v>
      </c>
      <c r="W12" s="548">
        <v>0</v>
      </c>
      <c r="X12" s="549">
        <v>0</v>
      </c>
      <c r="Y12" s="549">
        <v>0</v>
      </c>
      <c r="Z12" s="549">
        <v>0</v>
      </c>
      <c r="AA12" s="525">
        <f t="shared" ref="AA12:AA75" si="76">W12+Y12</f>
        <v>0</v>
      </c>
      <c r="AB12" s="524">
        <f t="shared" ref="AB12:AB75" si="77">X12+Z12</f>
        <v>0</v>
      </c>
      <c r="AC12" s="526">
        <f t="shared" ref="AC12:AC75" si="78">AB12/R12</f>
        <v>0</v>
      </c>
      <c r="AD12" s="547">
        <v>0</v>
      </c>
      <c r="AE12" s="547">
        <v>0</v>
      </c>
      <c r="AF12" s="547">
        <v>0</v>
      </c>
      <c r="AG12" s="547">
        <v>0</v>
      </c>
      <c r="AH12" s="363">
        <f t="shared" ref="AH12:AH75" si="79">AD12+AF12</f>
        <v>0</v>
      </c>
      <c r="AI12" s="547">
        <f t="shared" ref="AI12:AI75" si="80">AE12+AG12</f>
        <v>0</v>
      </c>
      <c r="AJ12" s="550">
        <f t="shared" ref="AJ12:AJ75" si="81">AI12/S12</f>
        <v>0</v>
      </c>
      <c r="AK12" s="551">
        <f t="shared" ref="AK12:AK75" si="82">U12/T12</f>
        <v>0</v>
      </c>
      <c r="AL12" s="529"/>
      <c r="AM12" s="502"/>
      <c r="AN12" s="530"/>
      <c r="AO12" s="498"/>
      <c r="AP12" s="499"/>
      <c r="AQ12" s="499"/>
      <c r="AR12" s="499"/>
      <c r="AS12" s="531">
        <f t="shared" si="3"/>
        <v>0</v>
      </c>
      <c r="AT12" s="532">
        <f t="shared" si="4"/>
        <v>0</v>
      </c>
      <c r="AU12" s="529">
        <v>0</v>
      </c>
      <c r="AV12" s="533">
        <v>0</v>
      </c>
      <c r="AW12" s="533">
        <v>0</v>
      </c>
      <c r="AX12" s="533">
        <v>0</v>
      </c>
      <c r="AY12" s="533">
        <f t="shared" si="5"/>
        <v>0</v>
      </c>
      <c r="AZ12" s="534">
        <f t="shared" si="6"/>
        <v>0</v>
      </c>
      <c r="BA12" s="535">
        <f t="shared" ref="BA12:BA75" si="83">U12+AM12</f>
        <v>0</v>
      </c>
      <c r="BB12" s="536">
        <f t="shared" ref="BB12:BB75" si="84">V12+AN12</f>
        <v>0</v>
      </c>
      <c r="BC12" s="523">
        <f t="shared" ref="BC12:BC75" si="85">W12+AO12</f>
        <v>0</v>
      </c>
      <c r="BD12" s="525">
        <f t="shared" ref="BD12:BD75" si="86">X12+AP12</f>
        <v>0</v>
      </c>
      <c r="BE12" s="525">
        <f t="shared" ref="BE12:BE75" si="87">Y12+AQ12</f>
        <v>0</v>
      </c>
      <c r="BF12" s="525">
        <f t="shared" ref="BF12:BF75" si="88">Z12+AR12</f>
        <v>0</v>
      </c>
      <c r="BG12" s="525">
        <f t="shared" ref="BG12:BG75" si="89">AA12+AS12</f>
        <v>0</v>
      </c>
      <c r="BH12" s="525">
        <f t="shared" ref="BH12:BH75" si="90">AB12+AT12</f>
        <v>0</v>
      </c>
      <c r="BI12" s="526">
        <f t="shared" ref="BI12:BI75" si="91">BH12/R12</f>
        <v>0</v>
      </c>
      <c r="BJ12" s="537">
        <f t="shared" ref="BJ12:BJ75" si="92">AD12+AU12</f>
        <v>0</v>
      </c>
      <c r="BK12" s="538">
        <f t="shared" ref="BK12:BK75" si="93">AE12+AV12</f>
        <v>0</v>
      </c>
      <c r="BL12" s="538">
        <f t="shared" ref="BL12:BL75" si="94">AF12+AW12</f>
        <v>0</v>
      </c>
      <c r="BM12" s="538">
        <f t="shared" ref="BM12:BM75" si="95">AG12+AX12</f>
        <v>0</v>
      </c>
      <c r="BN12" s="538">
        <f t="shared" ref="BN12:BN75" si="96">AH12+AY12</f>
        <v>0</v>
      </c>
      <c r="BO12" s="538">
        <f t="shared" ref="BO12:BO75" si="97">AI12+AZ12</f>
        <v>0</v>
      </c>
      <c r="BP12" s="539">
        <f t="shared" ref="BP12:BP75" si="98">BO12/S12</f>
        <v>0</v>
      </c>
      <c r="BQ12" s="540">
        <f t="shared" ref="BQ12:BQ75" si="99">BA12/T12</f>
        <v>0</v>
      </c>
      <c r="BR12" s="529"/>
      <c r="BS12" s="502"/>
      <c r="BT12" s="530"/>
      <c r="BU12" s="498"/>
      <c r="BV12" s="499"/>
      <c r="BW12" s="499"/>
      <c r="BX12" s="499"/>
      <c r="BY12" s="531">
        <f t="shared" si="9"/>
        <v>0</v>
      </c>
      <c r="BZ12" s="532">
        <f t="shared" si="10"/>
        <v>0</v>
      </c>
      <c r="CA12" s="529"/>
      <c r="CB12" s="533"/>
      <c r="CC12" s="533"/>
      <c r="CD12" s="533"/>
      <c r="CE12" s="533">
        <f t="shared" si="11"/>
        <v>0</v>
      </c>
      <c r="CF12" s="534">
        <f t="shared" si="12"/>
        <v>0</v>
      </c>
      <c r="CG12" s="774">
        <f t="shared" ref="CG12:CG75" si="100">BA12+BS12</f>
        <v>0</v>
      </c>
      <c r="CH12" s="775">
        <f t="shared" ref="CH12:CH75" si="101">BB12+BT12</f>
        <v>0</v>
      </c>
      <c r="CI12" s="548">
        <f t="shared" ref="CI12:CI75" si="102">BC12+BU12</f>
        <v>0</v>
      </c>
      <c r="CJ12" s="773">
        <f t="shared" ref="CJ12:CJ75" si="103">BD12+BV12</f>
        <v>0</v>
      </c>
      <c r="CK12" s="773">
        <f t="shared" ref="CK12:CK75" si="104">BE12+BW12</f>
        <v>0</v>
      </c>
      <c r="CL12" s="773">
        <f t="shared" ref="CL12:CL75" si="105">BF12+BX12</f>
        <v>0</v>
      </c>
      <c r="CM12" s="773">
        <f t="shared" ref="CM12:CM75" si="106">BG12+BY12</f>
        <v>0</v>
      </c>
      <c r="CN12" s="773">
        <f t="shared" ref="CN12:CN75" si="107">BH12+BZ12</f>
        <v>0</v>
      </c>
      <c r="CO12" s="626">
        <f t="shared" ref="CO12:CO75" si="108">CN12/R12</f>
        <v>0</v>
      </c>
      <c r="CP12" s="1145">
        <f t="shared" ref="CP12:CP75" si="109">BJ12+CA12</f>
        <v>0</v>
      </c>
      <c r="CQ12" s="1146">
        <f t="shared" ref="CQ12:CQ75" si="110">BK12+CB12</f>
        <v>0</v>
      </c>
      <c r="CR12" s="1146">
        <f t="shared" ref="CR12:CR75" si="111">BL12+CC12</f>
        <v>0</v>
      </c>
      <c r="CS12" s="1146">
        <f t="shared" ref="CS12:CS75" si="112">BM12+CD12</f>
        <v>0</v>
      </c>
      <c r="CT12" s="1146">
        <f t="shared" ref="CT12:CT75" si="113">BN12+CE12</f>
        <v>0</v>
      </c>
      <c r="CU12" s="1146">
        <f t="shared" ref="CU12:CU75" si="114">BO12+CF12</f>
        <v>0</v>
      </c>
      <c r="CV12" s="1256">
        <f t="shared" ref="CV12:CV75" si="115">CU12/S12</f>
        <v>0</v>
      </c>
      <c r="CW12" s="1157">
        <f t="shared" ref="CW12:CW75" si="116">CG12/T12</f>
        <v>0</v>
      </c>
      <c r="CX12" s="529"/>
      <c r="CY12" s="502"/>
      <c r="CZ12" s="530"/>
      <c r="DA12" s="498"/>
      <c r="DB12" s="499"/>
      <c r="DC12" s="499"/>
      <c r="DD12" s="499"/>
      <c r="DE12" s="531">
        <f t="shared" si="15"/>
        <v>0</v>
      </c>
      <c r="DF12" s="532">
        <f t="shared" si="16"/>
        <v>0</v>
      </c>
      <c r="DG12" s="529"/>
      <c r="DH12" s="533"/>
      <c r="DI12" s="533"/>
      <c r="DJ12" s="533"/>
      <c r="DK12" s="533">
        <f t="shared" si="17"/>
        <v>0</v>
      </c>
      <c r="DL12" s="534">
        <f t="shared" si="18"/>
        <v>0</v>
      </c>
      <c r="DM12" s="1258">
        <f t="shared" si="19"/>
        <v>0</v>
      </c>
      <c r="DN12" s="775">
        <f t="shared" si="20"/>
        <v>0</v>
      </c>
      <c r="DO12" s="548">
        <f t="shared" si="21"/>
        <v>0</v>
      </c>
      <c r="DP12" s="773">
        <f t="shared" si="22"/>
        <v>0</v>
      </c>
      <c r="DQ12" s="773">
        <f t="shared" si="23"/>
        <v>0</v>
      </c>
      <c r="DR12" s="773">
        <f t="shared" si="24"/>
        <v>0</v>
      </c>
      <c r="DS12" s="773">
        <f t="shared" si="25"/>
        <v>0</v>
      </c>
      <c r="DT12" s="773">
        <f t="shared" si="26"/>
        <v>0</v>
      </c>
      <c r="DU12" s="526">
        <f t="shared" ref="DU12:DU75" si="117">DT12/R12</f>
        <v>0</v>
      </c>
      <c r="DV12" s="1145">
        <f t="shared" si="27"/>
        <v>0</v>
      </c>
      <c r="DW12" s="1146">
        <f t="shared" si="28"/>
        <v>0</v>
      </c>
      <c r="DX12" s="1146">
        <f t="shared" si="29"/>
        <v>0</v>
      </c>
      <c r="DY12" s="1146">
        <f t="shared" si="30"/>
        <v>0</v>
      </c>
      <c r="DZ12" s="1146">
        <f t="shared" si="31"/>
        <v>0</v>
      </c>
      <c r="EA12" s="1146">
        <f t="shared" si="32"/>
        <v>0</v>
      </c>
      <c r="EB12" s="539">
        <f t="shared" ref="EB12:EB75" si="118">EA12/S12</f>
        <v>0</v>
      </c>
      <c r="EC12" s="540">
        <f t="shared" ref="EC12:EC75" si="119">DM12/T12</f>
        <v>0</v>
      </c>
      <c r="ES12" s="1258">
        <f t="shared" si="33"/>
        <v>0</v>
      </c>
      <c r="ET12" s="775">
        <f t="shared" si="34"/>
        <v>0</v>
      </c>
      <c r="EU12" s="548">
        <f t="shared" si="35"/>
        <v>0</v>
      </c>
      <c r="EV12" s="773">
        <f t="shared" si="36"/>
        <v>0</v>
      </c>
      <c r="EW12" s="773">
        <f t="shared" si="37"/>
        <v>0</v>
      </c>
      <c r="EX12" s="773">
        <f t="shared" si="38"/>
        <v>0</v>
      </c>
      <c r="EY12" s="773">
        <f t="shared" si="39"/>
        <v>0</v>
      </c>
      <c r="EZ12" s="773">
        <f t="shared" si="40"/>
        <v>0</v>
      </c>
      <c r="FA12" s="626">
        <f t="shared" ref="FA12:FA75" si="120">EZ12/R12</f>
        <v>0</v>
      </c>
      <c r="FB12" s="1145">
        <f t="shared" si="41"/>
        <v>0</v>
      </c>
      <c r="FC12" s="1146">
        <f t="shared" si="42"/>
        <v>0</v>
      </c>
      <c r="FD12" s="1146">
        <f t="shared" si="43"/>
        <v>0</v>
      </c>
      <c r="FE12" s="1146">
        <f t="shared" si="44"/>
        <v>0</v>
      </c>
      <c r="FF12" s="1146">
        <f t="shared" si="45"/>
        <v>0</v>
      </c>
      <c r="FG12" s="1146">
        <f t="shared" si="46"/>
        <v>0</v>
      </c>
      <c r="FH12" s="1256">
        <f t="shared" ref="FH12:FH75" si="121">FG12/S12</f>
        <v>0</v>
      </c>
      <c r="FI12" s="1157">
        <f t="shared" ref="FI12:FI75" si="122">ES12/T12</f>
        <v>0</v>
      </c>
      <c r="FY12" s="1258">
        <f t="shared" si="47"/>
        <v>0</v>
      </c>
      <c r="FZ12" s="775">
        <f t="shared" si="48"/>
        <v>0</v>
      </c>
      <c r="GA12" s="548">
        <f t="shared" si="49"/>
        <v>0</v>
      </c>
      <c r="GB12" s="773">
        <f t="shared" si="50"/>
        <v>0</v>
      </c>
      <c r="GC12" s="773">
        <f t="shared" si="51"/>
        <v>0</v>
      </c>
      <c r="GD12" s="773">
        <f t="shared" si="52"/>
        <v>0</v>
      </c>
      <c r="GE12" s="773">
        <f t="shared" si="53"/>
        <v>0</v>
      </c>
      <c r="GF12" s="773">
        <f t="shared" si="54"/>
        <v>0</v>
      </c>
      <c r="GG12" s="626">
        <f t="shared" ref="GG12:GG75" si="123">GF12/R12</f>
        <v>0</v>
      </c>
      <c r="GH12" s="1145">
        <f t="shared" si="55"/>
        <v>0</v>
      </c>
      <c r="GI12" s="1146">
        <f t="shared" si="56"/>
        <v>0</v>
      </c>
      <c r="GJ12" s="1146">
        <f t="shared" si="57"/>
        <v>0</v>
      </c>
      <c r="GK12" s="1146">
        <f t="shared" si="58"/>
        <v>0</v>
      </c>
      <c r="GL12" s="1146">
        <f t="shared" si="59"/>
        <v>0</v>
      </c>
      <c r="GM12" s="1146">
        <f t="shared" si="60"/>
        <v>0</v>
      </c>
      <c r="GN12" s="1256">
        <f t="shared" ref="GN12:GN75" si="124">GM12/S12</f>
        <v>0</v>
      </c>
      <c r="GO12" s="1157">
        <f t="shared" ref="GO12:GO75" si="125">FY12/T12</f>
        <v>0</v>
      </c>
      <c r="HE12" s="1675">
        <f t="shared" si="61"/>
        <v>0</v>
      </c>
      <c r="HF12" s="775">
        <f t="shared" si="62"/>
        <v>0</v>
      </c>
      <c r="HG12" s="548">
        <f t="shared" si="63"/>
        <v>0</v>
      </c>
      <c r="HH12" s="773">
        <f t="shared" si="64"/>
        <v>0</v>
      </c>
      <c r="HI12" s="773">
        <f t="shared" si="65"/>
        <v>0</v>
      </c>
      <c r="HJ12" s="773">
        <f t="shared" si="66"/>
        <v>0</v>
      </c>
      <c r="HK12" s="773">
        <f t="shared" si="67"/>
        <v>0</v>
      </c>
      <c r="HL12" s="773">
        <f t="shared" si="68"/>
        <v>0</v>
      </c>
      <c r="HM12" s="626">
        <f t="shared" ref="HM12:HM75" si="126">HL12/R12</f>
        <v>0</v>
      </c>
      <c r="HN12" s="1145">
        <f t="shared" si="69"/>
        <v>0</v>
      </c>
      <c r="HO12" s="1146">
        <f t="shared" si="70"/>
        <v>0</v>
      </c>
      <c r="HP12" s="1146">
        <f t="shared" si="71"/>
        <v>0</v>
      </c>
      <c r="HQ12" s="1146">
        <f t="shared" si="72"/>
        <v>0</v>
      </c>
      <c r="HR12" s="1146">
        <f t="shared" si="73"/>
        <v>0</v>
      </c>
      <c r="HS12" s="1146">
        <f t="shared" si="74"/>
        <v>0</v>
      </c>
      <c r="HT12" s="1256">
        <f t="shared" ref="HT12:HT75" si="127">HS12/S12</f>
        <v>0</v>
      </c>
      <c r="HU12" s="1157">
        <f t="shared" ref="HU12:HU75" si="128">HE12/T12</f>
        <v>0</v>
      </c>
    </row>
    <row r="13" spans="1:229" ht="13.5" customHeight="1" outlineLevel="1" x14ac:dyDescent="0.2">
      <c r="A13" s="474"/>
      <c r="B13" s="1412"/>
      <c r="C13" s="511">
        <v>4</v>
      </c>
      <c r="D13" s="512" t="s">
        <v>76</v>
      </c>
      <c r="E13" s="552">
        <v>6</v>
      </c>
      <c r="F13" s="515">
        <v>416.47</v>
      </c>
      <c r="G13" s="543">
        <f t="shared" si="0"/>
        <v>69.411666666666676</v>
      </c>
      <c r="H13" s="553">
        <v>0</v>
      </c>
      <c r="I13" s="178">
        <v>0</v>
      </c>
      <c r="J13" s="542">
        <v>0</v>
      </c>
      <c r="K13" s="553">
        <v>0</v>
      </c>
      <c r="L13" s="178">
        <v>0</v>
      </c>
      <c r="M13" s="542">
        <v>0</v>
      </c>
      <c r="N13" s="545">
        <f t="shared" si="1"/>
        <v>416.47</v>
      </c>
      <c r="O13" s="518">
        <v>0</v>
      </c>
      <c r="P13" s="485">
        <v>3696679.4</v>
      </c>
      <c r="Q13" s="518">
        <v>92454.12</v>
      </c>
      <c r="R13" s="519">
        <f t="shared" si="2"/>
        <v>3789133.52</v>
      </c>
      <c r="S13" s="546">
        <f t="shared" si="75"/>
        <v>3789133.52</v>
      </c>
      <c r="T13" s="521">
        <v>568194.64</v>
      </c>
      <c r="U13" s="547">
        <v>0</v>
      </c>
      <c r="V13" s="547">
        <v>0</v>
      </c>
      <c r="W13" s="548">
        <v>0</v>
      </c>
      <c r="X13" s="549">
        <v>0</v>
      </c>
      <c r="Y13" s="549">
        <v>0</v>
      </c>
      <c r="Z13" s="549">
        <v>0</v>
      </c>
      <c r="AA13" s="525">
        <f t="shared" si="76"/>
        <v>0</v>
      </c>
      <c r="AB13" s="524">
        <f t="shared" si="77"/>
        <v>0</v>
      </c>
      <c r="AC13" s="526">
        <f t="shared" si="78"/>
        <v>0</v>
      </c>
      <c r="AD13" s="547">
        <v>0</v>
      </c>
      <c r="AE13" s="547">
        <v>0</v>
      </c>
      <c r="AF13" s="547">
        <v>0</v>
      </c>
      <c r="AG13" s="547">
        <v>0</v>
      </c>
      <c r="AH13" s="363">
        <f t="shared" si="79"/>
        <v>0</v>
      </c>
      <c r="AI13" s="547">
        <f t="shared" si="80"/>
        <v>0</v>
      </c>
      <c r="AJ13" s="550">
        <f t="shared" si="81"/>
        <v>0</v>
      </c>
      <c r="AK13" s="551">
        <f t="shared" si="82"/>
        <v>0</v>
      </c>
      <c r="AL13" s="529"/>
      <c r="AM13" s="502"/>
      <c r="AN13" s="530"/>
      <c r="AO13" s="498"/>
      <c r="AP13" s="499"/>
      <c r="AQ13" s="499"/>
      <c r="AR13" s="499"/>
      <c r="AS13" s="531">
        <f t="shared" si="3"/>
        <v>0</v>
      </c>
      <c r="AT13" s="532">
        <f t="shared" si="4"/>
        <v>0</v>
      </c>
      <c r="AU13" s="529">
        <v>0</v>
      </c>
      <c r="AV13" s="533">
        <v>0</v>
      </c>
      <c r="AW13" s="533">
        <v>0</v>
      </c>
      <c r="AX13" s="533">
        <v>0</v>
      </c>
      <c r="AY13" s="533">
        <f t="shared" si="5"/>
        <v>0</v>
      </c>
      <c r="AZ13" s="534">
        <f t="shared" si="6"/>
        <v>0</v>
      </c>
      <c r="BA13" s="535">
        <f t="shared" si="83"/>
        <v>0</v>
      </c>
      <c r="BB13" s="536">
        <f t="shared" si="84"/>
        <v>0</v>
      </c>
      <c r="BC13" s="523">
        <f t="shared" si="85"/>
        <v>0</v>
      </c>
      <c r="BD13" s="525">
        <f t="shared" si="86"/>
        <v>0</v>
      </c>
      <c r="BE13" s="525">
        <f t="shared" si="87"/>
        <v>0</v>
      </c>
      <c r="BF13" s="525">
        <f t="shared" si="88"/>
        <v>0</v>
      </c>
      <c r="BG13" s="525">
        <f t="shared" si="89"/>
        <v>0</v>
      </c>
      <c r="BH13" s="525">
        <f t="shared" si="90"/>
        <v>0</v>
      </c>
      <c r="BI13" s="526">
        <f t="shared" si="91"/>
        <v>0</v>
      </c>
      <c r="BJ13" s="537">
        <f t="shared" si="92"/>
        <v>0</v>
      </c>
      <c r="BK13" s="538">
        <f t="shared" si="93"/>
        <v>0</v>
      </c>
      <c r="BL13" s="538">
        <f t="shared" si="94"/>
        <v>0</v>
      </c>
      <c r="BM13" s="538">
        <f t="shared" si="95"/>
        <v>0</v>
      </c>
      <c r="BN13" s="538">
        <f t="shared" si="96"/>
        <v>0</v>
      </c>
      <c r="BO13" s="538">
        <f t="shared" si="97"/>
        <v>0</v>
      </c>
      <c r="BP13" s="539">
        <f t="shared" si="98"/>
        <v>0</v>
      </c>
      <c r="BQ13" s="540">
        <f t="shared" si="99"/>
        <v>0</v>
      </c>
      <c r="BR13" s="529"/>
      <c r="BS13" s="502"/>
      <c r="BT13" s="530"/>
      <c r="BU13" s="498"/>
      <c r="BV13" s="499"/>
      <c r="BW13" s="499"/>
      <c r="BX13" s="499"/>
      <c r="BY13" s="531">
        <f t="shared" si="9"/>
        <v>0</v>
      </c>
      <c r="BZ13" s="532">
        <f t="shared" si="10"/>
        <v>0</v>
      </c>
      <c r="CA13" s="529"/>
      <c r="CB13" s="533"/>
      <c r="CC13" s="533"/>
      <c r="CD13" s="533"/>
      <c r="CE13" s="533">
        <f t="shared" si="11"/>
        <v>0</v>
      </c>
      <c r="CF13" s="534">
        <f t="shared" si="12"/>
        <v>0</v>
      </c>
      <c r="CG13" s="774">
        <f t="shared" si="100"/>
        <v>0</v>
      </c>
      <c r="CH13" s="775">
        <f t="shared" si="101"/>
        <v>0</v>
      </c>
      <c r="CI13" s="548">
        <f t="shared" si="102"/>
        <v>0</v>
      </c>
      <c r="CJ13" s="773">
        <f t="shared" si="103"/>
        <v>0</v>
      </c>
      <c r="CK13" s="773">
        <f t="shared" si="104"/>
        <v>0</v>
      </c>
      <c r="CL13" s="773">
        <f t="shared" si="105"/>
        <v>0</v>
      </c>
      <c r="CM13" s="773">
        <f t="shared" si="106"/>
        <v>0</v>
      </c>
      <c r="CN13" s="773">
        <f t="shared" si="107"/>
        <v>0</v>
      </c>
      <c r="CO13" s="626">
        <f t="shared" si="108"/>
        <v>0</v>
      </c>
      <c r="CP13" s="1145">
        <f t="shared" si="109"/>
        <v>0</v>
      </c>
      <c r="CQ13" s="1146">
        <f t="shared" si="110"/>
        <v>0</v>
      </c>
      <c r="CR13" s="1146">
        <f t="shared" si="111"/>
        <v>0</v>
      </c>
      <c r="CS13" s="1146">
        <f t="shared" si="112"/>
        <v>0</v>
      </c>
      <c r="CT13" s="1146">
        <f t="shared" si="113"/>
        <v>0</v>
      </c>
      <c r="CU13" s="1146">
        <f t="shared" si="114"/>
        <v>0</v>
      </c>
      <c r="CV13" s="1256">
        <f t="shared" si="115"/>
        <v>0</v>
      </c>
      <c r="CW13" s="1157">
        <f t="shared" si="116"/>
        <v>0</v>
      </c>
      <c r="CX13" s="529"/>
      <c r="CY13" s="502"/>
      <c r="CZ13" s="530"/>
      <c r="DA13" s="498"/>
      <c r="DB13" s="499"/>
      <c r="DC13" s="499"/>
      <c r="DD13" s="499"/>
      <c r="DE13" s="531">
        <f t="shared" si="15"/>
        <v>0</v>
      </c>
      <c r="DF13" s="532">
        <f t="shared" si="16"/>
        <v>0</v>
      </c>
      <c r="DG13" s="529"/>
      <c r="DH13" s="533"/>
      <c r="DI13" s="533"/>
      <c r="DJ13" s="533"/>
      <c r="DK13" s="533">
        <f t="shared" si="17"/>
        <v>0</v>
      </c>
      <c r="DL13" s="534">
        <f t="shared" si="18"/>
        <v>0</v>
      </c>
      <c r="DM13" s="1258">
        <f t="shared" si="19"/>
        <v>0</v>
      </c>
      <c r="DN13" s="775">
        <f t="shared" si="20"/>
        <v>0</v>
      </c>
      <c r="DO13" s="548">
        <f t="shared" si="21"/>
        <v>0</v>
      </c>
      <c r="DP13" s="773">
        <f t="shared" si="22"/>
        <v>0</v>
      </c>
      <c r="DQ13" s="773">
        <f t="shared" si="23"/>
        <v>0</v>
      </c>
      <c r="DR13" s="773">
        <f t="shared" si="24"/>
        <v>0</v>
      </c>
      <c r="DS13" s="773">
        <f t="shared" si="25"/>
        <v>0</v>
      </c>
      <c r="DT13" s="773">
        <f t="shared" si="26"/>
        <v>0</v>
      </c>
      <c r="DU13" s="526">
        <f t="shared" si="117"/>
        <v>0</v>
      </c>
      <c r="DV13" s="1145">
        <f t="shared" si="27"/>
        <v>0</v>
      </c>
      <c r="DW13" s="1146">
        <f t="shared" si="28"/>
        <v>0</v>
      </c>
      <c r="DX13" s="1146">
        <f t="shared" si="29"/>
        <v>0</v>
      </c>
      <c r="DY13" s="1146">
        <f t="shared" si="30"/>
        <v>0</v>
      </c>
      <c r="DZ13" s="1146">
        <f t="shared" si="31"/>
        <v>0</v>
      </c>
      <c r="EA13" s="1146">
        <f t="shared" si="32"/>
        <v>0</v>
      </c>
      <c r="EB13" s="539">
        <f t="shared" si="118"/>
        <v>0</v>
      </c>
      <c r="EC13" s="540">
        <f t="shared" si="119"/>
        <v>0</v>
      </c>
      <c r="ES13" s="1258">
        <f t="shared" si="33"/>
        <v>0</v>
      </c>
      <c r="ET13" s="775">
        <f t="shared" si="34"/>
        <v>0</v>
      </c>
      <c r="EU13" s="548">
        <f t="shared" si="35"/>
        <v>0</v>
      </c>
      <c r="EV13" s="773">
        <f t="shared" si="36"/>
        <v>0</v>
      </c>
      <c r="EW13" s="773">
        <f t="shared" si="37"/>
        <v>0</v>
      </c>
      <c r="EX13" s="773">
        <f t="shared" si="38"/>
        <v>0</v>
      </c>
      <c r="EY13" s="773">
        <f t="shared" si="39"/>
        <v>0</v>
      </c>
      <c r="EZ13" s="773">
        <f t="shared" si="40"/>
        <v>0</v>
      </c>
      <c r="FA13" s="626">
        <f t="shared" si="120"/>
        <v>0</v>
      </c>
      <c r="FB13" s="1145">
        <f t="shared" si="41"/>
        <v>0</v>
      </c>
      <c r="FC13" s="1146">
        <f t="shared" si="42"/>
        <v>0</v>
      </c>
      <c r="FD13" s="1146">
        <f t="shared" si="43"/>
        <v>0</v>
      </c>
      <c r="FE13" s="1146">
        <f t="shared" si="44"/>
        <v>0</v>
      </c>
      <c r="FF13" s="1146">
        <f t="shared" si="45"/>
        <v>0</v>
      </c>
      <c r="FG13" s="1146">
        <f t="shared" si="46"/>
        <v>0</v>
      </c>
      <c r="FH13" s="1256">
        <f t="shared" si="121"/>
        <v>0</v>
      </c>
      <c r="FI13" s="1157">
        <f t="shared" si="122"/>
        <v>0</v>
      </c>
      <c r="FY13" s="1258">
        <f t="shared" si="47"/>
        <v>0</v>
      </c>
      <c r="FZ13" s="775">
        <f t="shared" si="48"/>
        <v>0</v>
      </c>
      <c r="GA13" s="548">
        <f t="shared" si="49"/>
        <v>0</v>
      </c>
      <c r="GB13" s="773">
        <f t="shared" si="50"/>
        <v>0</v>
      </c>
      <c r="GC13" s="773">
        <f t="shared" si="51"/>
        <v>0</v>
      </c>
      <c r="GD13" s="773">
        <f t="shared" si="52"/>
        <v>0</v>
      </c>
      <c r="GE13" s="773">
        <f t="shared" si="53"/>
        <v>0</v>
      </c>
      <c r="GF13" s="773">
        <f t="shared" si="54"/>
        <v>0</v>
      </c>
      <c r="GG13" s="626">
        <f t="shared" si="123"/>
        <v>0</v>
      </c>
      <c r="GH13" s="1145">
        <f t="shared" si="55"/>
        <v>0</v>
      </c>
      <c r="GI13" s="1146">
        <f t="shared" si="56"/>
        <v>0</v>
      </c>
      <c r="GJ13" s="1146">
        <f t="shared" si="57"/>
        <v>0</v>
      </c>
      <c r="GK13" s="1146">
        <f t="shared" si="58"/>
        <v>0</v>
      </c>
      <c r="GL13" s="1146">
        <f t="shared" si="59"/>
        <v>0</v>
      </c>
      <c r="GM13" s="1146">
        <f t="shared" si="60"/>
        <v>0</v>
      </c>
      <c r="GN13" s="1256">
        <f t="shared" si="124"/>
        <v>0</v>
      </c>
      <c r="GO13" s="1157">
        <f t="shared" si="125"/>
        <v>0</v>
      </c>
      <c r="HE13" s="1675">
        <f t="shared" si="61"/>
        <v>0</v>
      </c>
      <c r="HF13" s="775">
        <f t="shared" si="62"/>
        <v>0</v>
      </c>
      <c r="HG13" s="548">
        <f t="shared" si="63"/>
        <v>0</v>
      </c>
      <c r="HH13" s="773">
        <f t="shared" si="64"/>
        <v>0</v>
      </c>
      <c r="HI13" s="773">
        <f t="shared" si="65"/>
        <v>0</v>
      </c>
      <c r="HJ13" s="773">
        <f t="shared" si="66"/>
        <v>0</v>
      </c>
      <c r="HK13" s="773">
        <f t="shared" si="67"/>
        <v>0</v>
      </c>
      <c r="HL13" s="773">
        <f t="shared" si="68"/>
        <v>0</v>
      </c>
      <c r="HM13" s="626">
        <f t="shared" si="126"/>
        <v>0</v>
      </c>
      <c r="HN13" s="1145">
        <f t="shared" si="69"/>
        <v>0</v>
      </c>
      <c r="HO13" s="1146">
        <f t="shared" si="70"/>
        <v>0</v>
      </c>
      <c r="HP13" s="1146">
        <f t="shared" si="71"/>
        <v>0</v>
      </c>
      <c r="HQ13" s="1146">
        <f t="shared" si="72"/>
        <v>0</v>
      </c>
      <c r="HR13" s="1146">
        <f t="shared" si="73"/>
        <v>0</v>
      </c>
      <c r="HS13" s="1146">
        <f t="shared" si="74"/>
        <v>0</v>
      </c>
      <c r="HT13" s="1256">
        <f t="shared" si="127"/>
        <v>0</v>
      </c>
      <c r="HU13" s="1157">
        <f t="shared" si="128"/>
        <v>0</v>
      </c>
    </row>
    <row r="14" spans="1:229" ht="13.5" customHeight="1" outlineLevel="1" x14ac:dyDescent="0.2">
      <c r="A14" s="474"/>
      <c r="B14" s="1412"/>
      <c r="C14" s="511">
        <v>5</v>
      </c>
      <c r="D14" s="554" t="s">
        <v>9</v>
      </c>
      <c r="E14" s="1720">
        <v>12</v>
      </c>
      <c r="F14" s="555">
        <v>909.28</v>
      </c>
      <c r="G14" s="543">
        <f t="shared" si="0"/>
        <v>75.773333333333326</v>
      </c>
      <c r="H14" s="556">
        <v>8</v>
      </c>
      <c r="I14" s="555">
        <v>157.52000000000001</v>
      </c>
      <c r="J14" s="542">
        <f>I14/H14</f>
        <v>19.690000000000001</v>
      </c>
      <c r="K14" s="556">
        <v>4</v>
      </c>
      <c r="L14" s="555">
        <v>180.48</v>
      </c>
      <c r="M14" s="542">
        <f>L14/K14</f>
        <v>45.12</v>
      </c>
      <c r="N14" s="545">
        <f t="shared" si="1"/>
        <v>1247.28</v>
      </c>
      <c r="O14" s="518">
        <v>0</v>
      </c>
      <c r="P14" s="485">
        <v>5178557.8600000003</v>
      </c>
      <c r="Q14" s="518">
        <v>823087.34800000011</v>
      </c>
      <c r="R14" s="519">
        <f t="shared" si="2"/>
        <v>6001645.2080000006</v>
      </c>
      <c r="S14" s="546">
        <f t="shared" si="75"/>
        <v>6001645.2080000006</v>
      </c>
      <c r="T14" s="521">
        <v>1204647.98</v>
      </c>
      <c r="U14" s="547">
        <v>0</v>
      </c>
      <c r="V14" s="547">
        <v>0</v>
      </c>
      <c r="W14" s="548">
        <v>0</v>
      </c>
      <c r="X14" s="549">
        <v>0</v>
      </c>
      <c r="Y14" s="549">
        <v>0</v>
      </c>
      <c r="Z14" s="549">
        <v>0</v>
      </c>
      <c r="AA14" s="525">
        <f t="shared" si="76"/>
        <v>0</v>
      </c>
      <c r="AB14" s="524">
        <f t="shared" si="77"/>
        <v>0</v>
      </c>
      <c r="AC14" s="526">
        <f t="shared" si="78"/>
        <v>0</v>
      </c>
      <c r="AD14" s="547">
        <v>0</v>
      </c>
      <c r="AE14" s="547">
        <v>0</v>
      </c>
      <c r="AF14" s="547">
        <v>0</v>
      </c>
      <c r="AG14" s="547">
        <v>0</v>
      </c>
      <c r="AH14" s="363">
        <f t="shared" si="79"/>
        <v>0</v>
      </c>
      <c r="AI14" s="547">
        <f t="shared" si="80"/>
        <v>0</v>
      </c>
      <c r="AJ14" s="550">
        <f t="shared" si="81"/>
        <v>0</v>
      </c>
      <c r="AK14" s="551">
        <f t="shared" si="82"/>
        <v>0</v>
      </c>
      <c r="AL14" s="529"/>
      <c r="AM14" s="502"/>
      <c r="AN14" s="530"/>
      <c r="AO14" s="498"/>
      <c r="AP14" s="499"/>
      <c r="AQ14" s="499"/>
      <c r="AR14" s="499"/>
      <c r="AS14" s="531">
        <f t="shared" si="3"/>
        <v>0</v>
      </c>
      <c r="AT14" s="532">
        <f t="shared" si="4"/>
        <v>0</v>
      </c>
      <c r="AU14" s="529">
        <v>0</v>
      </c>
      <c r="AV14" s="533">
        <v>0</v>
      </c>
      <c r="AW14" s="533">
        <v>0</v>
      </c>
      <c r="AX14" s="533">
        <v>0</v>
      </c>
      <c r="AY14" s="533">
        <f t="shared" si="5"/>
        <v>0</v>
      </c>
      <c r="AZ14" s="534">
        <f t="shared" si="6"/>
        <v>0</v>
      </c>
      <c r="BA14" s="535">
        <f t="shared" si="83"/>
        <v>0</v>
      </c>
      <c r="BB14" s="536">
        <f t="shared" si="84"/>
        <v>0</v>
      </c>
      <c r="BC14" s="523">
        <f t="shared" si="85"/>
        <v>0</v>
      </c>
      <c r="BD14" s="525">
        <f t="shared" si="86"/>
        <v>0</v>
      </c>
      <c r="BE14" s="525">
        <f t="shared" si="87"/>
        <v>0</v>
      </c>
      <c r="BF14" s="525">
        <f t="shared" si="88"/>
        <v>0</v>
      </c>
      <c r="BG14" s="525">
        <f t="shared" si="89"/>
        <v>0</v>
      </c>
      <c r="BH14" s="525">
        <f t="shared" si="90"/>
        <v>0</v>
      </c>
      <c r="BI14" s="526">
        <f t="shared" si="91"/>
        <v>0</v>
      </c>
      <c r="BJ14" s="537">
        <f t="shared" si="92"/>
        <v>0</v>
      </c>
      <c r="BK14" s="538">
        <f t="shared" si="93"/>
        <v>0</v>
      </c>
      <c r="BL14" s="538">
        <f t="shared" si="94"/>
        <v>0</v>
      </c>
      <c r="BM14" s="538">
        <f t="shared" si="95"/>
        <v>0</v>
      </c>
      <c r="BN14" s="538">
        <f t="shared" si="96"/>
        <v>0</v>
      </c>
      <c r="BO14" s="538">
        <f t="shared" si="97"/>
        <v>0</v>
      </c>
      <c r="BP14" s="539">
        <f t="shared" si="98"/>
        <v>0</v>
      </c>
      <c r="BQ14" s="540">
        <f t="shared" si="99"/>
        <v>0</v>
      </c>
      <c r="BR14" s="529"/>
      <c r="BS14" s="502"/>
      <c r="BT14" s="530"/>
      <c r="BU14" s="498"/>
      <c r="BV14" s="499"/>
      <c r="BW14" s="499"/>
      <c r="BX14" s="499"/>
      <c r="BY14" s="531">
        <f t="shared" si="9"/>
        <v>0</v>
      </c>
      <c r="BZ14" s="532">
        <f t="shared" si="10"/>
        <v>0</v>
      </c>
      <c r="CA14" s="529"/>
      <c r="CB14" s="533"/>
      <c r="CC14" s="533"/>
      <c r="CD14" s="533"/>
      <c r="CE14" s="533">
        <f t="shared" si="11"/>
        <v>0</v>
      </c>
      <c r="CF14" s="534">
        <f t="shared" si="12"/>
        <v>0</v>
      </c>
      <c r="CG14" s="774">
        <f t="shared" si="100"/>
        <v>0</v>
      </c>
      <c r="CH14" s="775">
        <f t="shared" si="101"/>
        <v>0</v>
      </c>
      <c r="CI14" s="548">
        <f t="shared" si="102"/>
        <v>0</v>
      </c>
      <c r="CJ14" s="773">
        <f t="shared" si="103"/>
        <v>0</v>
      </c>
      <c r="CK14" s="773">
        <f t="shared" si="104"/>
        <v>0</v>
      </c>
      <c r="CL14" s="773">
        <f t="shared" si="105"/>
        <v>0</v>
      </c>
      <c r="CM14" s="773">
        <f t="shared" si="106"/>
        <v>0</v>
      </c>
      <c r="CN14" s="773">
        <f t="shared" si="107"/>
        <v>0</v>
      </c>
      <c r="CO14" s="626">
        <f t="shared" si="108"/>
        <v>0</v>
      </c>
      <c r="CP14" s="1145">
        <f t="shared" si="109"/>
        <v>0</v>
      </c>
      <c r="CQ14" s="1146">
        <f t="shared" si="110"/>
        <v>0</v>
      </c>
      <c r="CR14" s="1146">
        <f t="shared" si="111"/>
        <v>0</v>
      </c>
      <c r="CS14" s="1146">
        <f t="shared" si="112"/>
        <v>0</v>
      </c>
      <c r="CT14" s="1146">
        <f t="shared" si="113"/>
        <v>0</v>
      </c>
      <c r="CU14" s="1146">
        <f t="shared" si="114"/>
        <v>0</v>
      </c>
      <c r="CV14" s="1256">
        <f t="shared" si="115"/>
        <v>0</v>
      </c>
      <c r="CW14" s="1157">
        <f t="shared" si="116"/>
        <v>0</v>
      </c>
      <c r="CX14" s="529"/>
      <c r="CY14" s="502"/>
      <c r="CZ14" s="530"/>
      <c r="DA14" s="498"/>
      <c r="DB14" s="499"/>
      <c r="DC14" s="499"/>
      <c r="DD14" s="499"/>
      <c r="DE14" s="531">
        <f t="shared" si="15"/>
        <v>0</v>
      </c>
      <c r="DF14" s="532">
        <f t="shared" si="16"/>
        <v>0</v>
      </c>
      <c r="DG14" s="529"/>
      <c r="DH14" s="533"/>
      <c r="DI14" s="533"/>
      <c r="DJ14" s="533"/>
      <c r="DK14" s="533">
        <f t="shared" si="17"/>
        <v>0</v>
      </c>
      <c r="DL14" s="534">
        <f t="shared" si="18"/>
        <v>0</v>
      </c>
      <c r="DM14" s="1258">
        <f t="shared" si="19"/>
        <v>0</v>
      </c>
      <c r="DN14" s="775">
        <f t="shared" si="20"/>
        <v>0</v>
      </c>
      <c r="DO14" s="548">
        <f t="shared" si="21"/>
        <v>0</v>
      </c>
      <c r="DP14" s="773">
        <f t="shared" si="22"/>
        <v>0</v>
      </c>
      <c r="DQ14" s="773">
        <f t="shared" si="23"/>
        <v>0</v>
      </c>
      <c r="DR14" s="773">
        <f t="shared" si="24"/>
        <v>0</v>
      </c>
      <c r="DS14" s="773">
        <f t="shared" si="25"/>
        <v>0</v>
      </c>
      <c r="DT14" s="773">
        <f t="shared" si="26"/>
        <v>0</v>
      </c>
      <c r="DU14" s="526">
        <f t="shared" si="117"/>
        <v>0</v>
      </c>
      <c r="DV14" s="1145">
        <f t="shared" si="27"/>
        <v>0</v>
      </c>
      <c r="DW14" s="1146">
        <f t="shared" si="28"/>
        <v>0</v>
      </c>
      <c r="DX14" s="1146">
        <f t="shared" si="29"/>
        <v>0</v>
      </c>
      <c r="DY14" s="1146">
        <f t="shared" si="30"/>
        <v>0</v>
      </c>
      <c r="DZ14" s="1146">
        <f t="shared" si="31"/>
        <v>0</v>
      </c>
      <c r="EA14" s="1146">
        <f t="shared" si="32"/>
        <v>0</v>
      </c>
      <c r="EB14" s="539">
        <f t="shared" si="118"/>
        <v>0</v>
      </c>
      <c r="EC14" s="540">
        <f t="shared" si="119"/>
        <v>0</v>
      </c>
      <c r="ES14" s="1258">
        <f t="shared" si="33"/>
        <v>0</v>
      </c>
      <c r="ET14" s="775">
        <f t="shared" si="34"/>
        <v>0</v>
      </c>
      <c r="EU14" s="548">
        <f t="shared" si="35"/>
        <v>0</v>
      </c>
      <c r="EV14" s="773">
        <f t="shared" si="36"/>
        <v>0</v>
      </c>
      <c r="EW14" s="773">
        <f t="shared" si="37"/>
        <v>0</v>
      </c>
      <c r="EX14" s="773">
        <f t="shared" si="38"/>
        <v>0</v>
      </c>
      <c r="EY14" s="773">
        <f t="shared" si="39"/>
        <v>0</v>
      </c>
      <c r="EZ14" s="773">
        <f t="shared" si="40"/>
        <v>0</v>
      </c>
      <c r="FA14" s="626">
        <f t="shared" si="120"/>
        <v>0</v>
      </c>
      <c r="FB14" s="1145">
        <f t="shared" si="41"/>
        <v>0</v>
      </c>
      <c r="FC14" s="1146">
        <f t="shared" si="42"/>
        <v>0</v>
      </c>
      <c r="FD14" s="1146">
        <f t="shared" si="43"/>
        <v>0</v>
      </c>
      <c r="FE14" s="1146">
        <f t="shared" si="44"/>
        <v>0</v>
      </c>
      <c r="FF14" s="1146">
        <f t="shared" si="45"/>
        <v>0</v>
      </c>
      <c r="FG14" s="1146">
        <f t="shared" si="46"/>
        <v>0</v>
      </c>
      <c r="FH14" s="1256">
        <f t="shared" si="121"/>
        <v>0</v>
      </c>
      <c r="FI14" s="1157">
        <f t="shared" si="122"/>
        <v>0</v>
      </c>
      <c r="FY14" s="1258">
        <f t="shared" si="47"/>
        <v>0</v>
      </c>
      <c r="FZ14" s="775">
        <f t="shared" si="48"/>
        <v>0</v>
      </c>
      <c r="GA14" s="548">
        <f t="shared" si="49"/>
        <v>0</v>
      </c>
      <c r="GB14" s="773">
        <f t="shared" si="50"/>
        <v>0</v>
      </c>
      <c r="GC14" s="773">
        <f t="shared" si="51"/>
        <v>0</v>
      </c>
      <c r="GD14" s="773">
        <f t="shared" si="52"/>
        <v>0</v>
      </c>
      <c r="GE14" s="773">
        <f t="shared" si="53"/>
        <v>0</v>
      </c>
      <c r="GF14" s="773">
        <f t="shared" si="54"/>
        <v>0</v>
      </c>
      <c r="GG14" s="626">
        <f t="shared" si="123"/>
        <v>0</v>
      </c>
      <c r="GH14" s="1145">
        <f t="shared" si="55"/>
        <v>0</v>
      </c>
      <c r="GI14" s="1146">
        <f t="shared" si="56"/>
        <v>0</v>
      </c>
      <c r="GJ14" s="1146">
        <f t="shared" si="57"/>
        <v>0</v>
      </c>
      <c r="GK14" s="1146">
        <f t="shared" si="58"/>
        <v>0</v>
      </c>
      <c r="GL14" s="1146">
        <f t="shared" si="59"/>
        <v>0</v>
      </c>
      <c r="GM14" s="1146">
        <f t="shared" si="60"/>
        <v>0</v>
      </c>
      <c r="GN14" s="1256">
        <f t="shared" si="124"/>
        <v>0</v>
      </c>
      <c r="GO14" s="1157">
        <f t="shared" si="125"/>
        <v>0</v>
      </c>
      <c r="HE14" s="1675">
        <f t="shared" si="61"/>
        <v>0</v>
      </c>
      <c r="HF14" s="775">
        <f t="shared" si="62"/>
        <v>0</v>
      </c>
      <c r="HG14" s="548">
        <f t="shared" si="63"/>
        <v>0</v>
      </c>
      <c r="HH14" s="773">
        <f t="shared" si="64"/>
        <v>0</v>
      </c>
      <c r="HI14" s="773">
        <f t="shared" si="65"/>
        <v>0</v>
      </c>
      <c r="HJ14" s="773">
        <f t="shared" si="66"/>
        <v>0</v>
      </c>
      <c r="HK14" s="773">
        <f t="shared" si="67"/>
        <v>0</v>
      </c>
      <c r="HL14" s="773">
        <f t="shared" si="68"/>
        <v>0</v>
      </c>
      <c r="HM14" s="626">
        <f t="shared" si="126"/>
        <v>0</v>
      </c>
      <c r="HN14" s="1145">
        <f t="shared" si="69"/>
        <v>0</v>
      </c>
      <c r="HO14" s="1146">
        <f t="shared" si="70"/>
        <v>0</v>
      </c>
      <c r="HP14" s="1146">
        <f t="shared" si="71"/>
        <v>0</v>
      </c>
      <c r="HQ14" s="1146">
        <f t="shared" si="72"/>
        <v>0</v>
      </c>
      <c r="HR14" s="1146">
        <f t="shared" si="73"/>
        <v>0</v>
      </c>
      <c r="HS14" s="1146">
        <f t="shared" si="74"/>
        <v>0</v>
      </c>
      <c r="HT14" s="1256">
        <f t="shared" si="127"/>
        <v>0</v>
      </c>
      <c r="HU14" s="1157">
        <f t="shared" si="128"/>
        <v>0</v>
      </c>
    </row>
    <row r="15" spans="1:229" ht="13.5" customHeight="1" outlineLevel="1" x14ac:dyDescent="0.2">
      <c r="A15" s="474"/>
      <c r="B15" s="1412"/>
      <c r="C15" s="511">
        <v>6</v>
      </c>
      <c r="D15" s="557" t="s">
        <v>10</v>
      </c>
      <c r="E15" s="1721">
        <v>10</v>
      </c>
      <c r="F15" s="558">
        <v>594.70000000000005</v>
      </c>
      <c r="G15" s="543">
        <f t="shared" si="0"/>
        <v>59.470000000000006</v>
      </c>
      <c r="H15" s="559">
        <v>0</v>
      </c>
      <c r="I15" s="558">
        <v>0</v>
      </c>
      <c r="J15" s="542">
        <v>0</v>
      </c>
      <c r="K15" s="559">
        <v>8</v>
      </c>
      <c r="L15" s="558">
        <v>289.7</v>
      </c>
      <c r="M15" s="542">
        <f>L15/K15</f>
        <v>36.212499999999999</v>
      </c>
      <c r="N15" s="545">
        <f t="shared" si="1"/>
        <v>884.40000000000009</v>
      </c>
      <c r="O15" s="518">
        <v>0</v>
      </c>
      <c r="P15" s="485">
        <v>4225477.66</v>
      </c>
      <c r="Q15" s="518">
        <v>720908</v>
      </c>
      <c r="R15" s="519">
        <f t="shared" si="2"/>
        <v>4946385.66</v>
      </c>
      <c r="S15" s="546">
        <f t="shared" si="75"/>
        <v>4946385.66</v>
      </c>
      <c r="T15" s="521">
        <v>806062.27</v>
      </c>
      <c r="U15" s="547">
        <v>0</v>
      </c>
      <c r="V15" s="547">
        <v>0</v>
      </c>
      <c r="W15" s="548">
        <v>0</v>
      </c>
      <c r="X15" s="549">
        <v>0</v>
      </c>
      <c r="Y15" s="549">
        <v>0</v>
      </c>
      <c r="Z15" s="549">
        <v>0</v>
      </c>
      <c r="AA15" s="525">
        <f t="shared" si="76"/>
        <v>0</v>
      </c>
      <c r="AB15" s="524">
        <f t="shared" si="77"/>
        <v>0</v>
      </c>
      <c r="AC15" s="526">
        <f t="shared" si="78"/>
        <v>0</v>
      </c>
      <c r="AD15" s="547">
        <v>0</v>
      </c>
      <c r="AE15" s="547">
        <v>0</v>
      </c>
      <c r="AF15" s="547">
        <v>0</v>
      </c>
      <c r="AG15" s="547">
        <v>0</v>
      </c>
      <c r="AH15" s="363">
        <f t="shared" si="79"/>
        <v>0</v>
      </c>
      <c r="AI15" s="547">
        <f t="shared" si="80"/>
        <v>0</v>
      </c>
      <c r="AJ15" s="550">
        <f t="shared" si="81"/>
        <v>0</v>
      </c>
      <c r="AK15" s="551">
        <f t="shared" si="82"/>
        <v>0</v>
      </c>
      <c r="AL15" s="529"/>
      <c r="AM15" s="502"/>
      <c r="AN15" s="530"/>
      <c r="AO15" s="498"/>
      <c r="AP15" s="499"/>
      <c r="AQ15" s="499"/>
      <c r="AR15" s="499"/>
      <c r="AS15" s="531">
        <f t="shared" si="3"/>
        <v>0</v>
      </c>
      <c r="AT15" s="532">
        <f t="shared" si="4"/>
        <v>0</v>
      </c>
      <c r="AU15" s="529">
        <v>0</v>
      </c>
      <c r="AV15" s="533">
        <v>0</v>
      </c>
      <c r="AW15" s="533">
        <v>0</v>
      </c>
      <c r="AX15" s="533">
        <v>0</v>
      </c>
      <c r="AY15" s="533">
        <f t="shared" si="5"/>
        <v>0</v>
      </c>
      <c r="AZ15" s="534">
        <f t="shared" si="6"/>
        <v>0</v>
      </c>
      <c r="BA15" s="535">
        <f t="shared" si="83"/>
        <v>0</v>
      </c>
      <c r="BB15" s="536">
        <f t="shared" si="84"/>
        <v>0</v>
      </c>
      <c r="BC15" s="523">
        <f t="shared" si="85"/>
        <v>0</v>
      </c>
      <c r="BD15" s="525">
        <f t="shared" si="86"/>
        <v>0</v>
      </c>
      <c r="BE15" s="525">
        <f t="shared" si="87"/>
        <v>0</v>
      </c>
      <c r="BF15" s="525">
        <f t="shared" si="88"/>
        <v>0</v>
      </c>
      <c r="BG15" s="525">
        <f t="shared" si="89"/>
        <v>0</v>
      </c>
      <c r="BH15" s="525">
        <f t="shared" si="90"/>
        <v>0</v>
      </c>
      <c r="BI15" s="526">
        <f t="shared" si="91"/>
        <v>0</v>
      </c>
      <c r="BJ15" s="537">
        <f t="shared" si="92"/>
        <v>0</v>
      </c>
      <c r="BK15" s="538">
        <f t="shared" si="93"/>
        <v>0</v>
      </c>
      <c r="BL15" s="538">
        <f t="shared" si="94"/>
        <v>0</v>
      </c>
      <c r="BM15" s="538">
        <f t="shared" si="95"/>
        <v>0</v>
      </c>
      <c r="BN15" s="538">
        <f t="shared" si="96"/>
        <v>0</v>
      </c>
      <c r="BO15" s="538">
        <f t="shared" si="97"/>
        <v>0</v>
      </c>
      <c r="BP15" s="539">
        <f t="shared" si="98"/>
        <v>0</v>
      </c>
      <c r="BQ15" s="540">
        <f t="shared" si="99"/>
        <v>0</v>
      </c>
      <c r="BR15" s="529"/>
      <c r="BS15" s="502"/>
      <c r="BT15" s="530"/>
      <c r="BU15" s="498"/>
      <c r="BV15" s="499"/>
      <c r="BW15" s="499"/>
      <c r="BX15" s="499"/>
      <c r="BY15" s="531">
        <f t="shared" si="9"/>
        <v>0</v>
      </c>
      <c r="BZ15" s="532">
        <f t="shared" si="10"/>
        <v>0</v>
      </c>
      <c r="CA15" s="529"/>
      <c r="CB15" s="533"/>
      <c r="CC15" s="533"/>
      <c r="CD15" s="533"/>
      <c r="CE15" s="533">
        <f t="shared" si="11"/>
        <v>0</v>
      </c>
      <c r="CF15" s="534">
        <f t="shared" si="12"/>
        <v>0</v>
      </c>
      <c r="CG15" s="774">
        <f t="shared" si="100"/>
        <v>0</v>
      </c>
      <c r="CH15" s="775">
        <f t="shared" si="101"/>
        <v>0</v>
      </c>
      <c r="CI15" s="548">
        <f t="shared" si="102"/>
        <v>0</v>
      </c>
      <c r="CJ15" s="773">
        <f t="shared" si="103"/>
        <v>0</v>
      </c>
      <c r="CK15" s="773">
        <f t="shared" si="104"/>
        <v>0</v>
      </c>
      <c r="CL15" s="773">
        <f t="shared" si="105"/>
        <v>0</v>
      </c>
      <c r="CM15" s="773">
        <f t="shared" si="106"/>
        <v>0</v>
      </c>
      <c r="CN15" s="773">
        <f t="shared" si="107"/>
        <v>0</v>
      </c>
      <c r="CO15" s="626">
        <f t="shared" si="108"/>
        <v>0</v>
      </c>
      <c r="CP15" s="1145">
        <f t="shared" si="109"/>
        <v>0</v>
      </c>
      <c r="CQ15" s="1146">
        <f t="shared" si="110"/>
        <v>0</v>
      </c>
      <c r="CR15" s="1146">
        <f t="shared" si="111"/>
        <v>0</v>
      </c>
      <c r="CS15" s="1146">
        <f t="shared" si="112"/>
        <v>0</v>
      </c>
      <c r="CT15" s="1146">
        <f t="shared" si="113"/>
        <v>0</v>
      </c>
      <c r="CU15" s="1146">
        <f t="shared" si="114"/>
        <v>0</v>
      </c>
      <c r="CV15" s="1256">
        <f t="shared" si="115"/>
        <v>0</v>
      </c>
      <c r="CW15" s="1157">
        <f t="shared" si="116"/>
        <v>0</v>
      </c>
      <c r="CX15" s="529"/>
      <c r="CY15" s="502"/>
      <c r="CZ15" s="530"/>
      <c r="DA15" s="498"/>
      <c r="DB15" s="499"/>
      <c r="DC15" s="499"/>
      <c r="DD15" s="499"/>
      <c r="DE15" s="531">
        <f t="shared" si="15"/>
        <v>0</v>
      </c>
      <c r="DF15" s="532">
        <f t="shared" si="16"/>
        <v>0</v>
      </c>
      <c r="DG15" s="529"/>
      <c r="DH15" s="533"/>
      <c r="DI15" s="533"/>
      <c r="DJ15" s="533"/>
      <c r="DK15" s="533">
        <f t="shared" si="17"/>
        <v>0</v>
      </c>
      <c r="DL15" s="534">
        <f t="shared" si="18"/>
        <v>0</v>
      </c>
      <c r="DM15" s="1258">
        <f t="shared" si="19"/>
        <v>0</v>
      </c>
      <c r="DN15" s="775">
        <f t="shared" si="20"/>
        <v>0</v>
      </c>
      <c r="DO15" s="548">
        <f t="shared" si="21"/>
        <v>0</v>
      </c>
      <c r="DP15" s="773">
        <f t="shared" si="22"/>
        <v>0</v>
      </c>
      <c r="DQ15" s="773">
        <f t="shared" si="23"/>
        <v>0</v>
      </c>
      <c r="DR15" s="773">
        <f t="shared" si="24"/>
        <v>0</v>
      </c>
      <c r="DS15" s="773">
        <f t="shared" si="25"/>
        <v>0</v>
      </c>
      <c r="DT15" s="773">
        <f t="shared" si="26"/>
        <v>0</v>
      </c>
      <c r="DU15" s="526">
        <f t="shared" si="117"/>
        <v>0</v>
      </c>
      <c r="DV15" s="1145">
        <f t="shared" si="27"/>
        <v>0</v>
      </c>
      <c r="DW15" s="1146">
        <f t="shared" si="28"/>
        <v>0</v>
      </c>
      <c r="DX15" s="1146">
        <f t="shared" si="29"/>
        <v>0</v>
      </c>
      <c r="DY15" s="1146">
        <f t="shared" si="30"/>
        <v>0</v>
      </c>
      <c r="DZ15" s="1146">
        <f t="shared" si="31"/>
        <v>0</v>
      </c>
      <c r="EA15" s="1146">
        <f t="shared" si="32"/>
        <v>0</v>
      </c>
      <c r="EB15" s="539">
        <f t="shared" si="118"/>
        <v>0</v>
      </c>
      <c r="EC15" s="540">
        <f t="shared" si="119"/>
        <v>0</v>
      </c>
      <c r="ES15" s="1258">
        <f t="shared" si="33"/>
        <v>0</v>
      </c>
      <c r="ET15" s="775">
        <f t="shared" si="34"/>
        <v>0</v>
      </c>
      <c r="EU15" s="548">
        <f t="shared" si="35"/>
        <v>0</v>
      </c>
      <c r="EV15" s="773">
        <f t="shared" si="36"/>
        <v>0</v>
      </c>
      <c r="EW15" s="773">
        <f t="shared" si="37"/>
        <v>0</v>
      </c>
      <c r="EX15" s="773">
        <f t="shared" si="38"/>
        <v>0</v>
      </c>
      <c r="EY15" s="773">
        <f t="shared" si="39"/>
        <v>0</v>
      </c>
      <c r="EZ15" s="773">
        <f t="shared" si="40"/>
        <v>0</v>
      </c>
      <c r="FA15" s="626">
        <f t="shared" si="120"/>
        <v>0</v>
      </c>
      <c r="FB15" s="1145">
        <f t="shared" si="41"/>
        <v>0</v>
      </c>
      <c r="FC15" s="1146">
        <f t="shared" si="42"/>
        <v>0</v>
      </c>
      <c r="FD15" s="1146">
        <f t="shared" si="43"/>
        <v>0</v>
      </c>
      <c r="FE15" s="1146">
        <f t="shared" si="44"/>
        <v>0</v>
      </c>
      <c r="FF15" s="1146">
        <f t="shared" si="45"/>
        <v>0</v>
      </c>
      <c r="FG15" s="1146">
        <f t="shared" si="46"/>
        <v>0</v>
      </c>
      <c r="FH15" s="1256">
        <f t="shared" si="121"/>
        <v>0</v>
      </c>
      <c r="FI15" s="1157">
        <f t="shared" si="122"/>
        <v>0</v>
      </c>
      <c r="FY15" s="1258">
        <f t="shared" si="47"/>
        <v>0</v>
      </c>
      <c r="FZ15" s="775">
        <f t="shared" si="48"/>
        <v>0</v>
      </c>
      <c r="GA15" s="548">
        <f t="shared" si="49"/>
        <v>0</v>
      </c>
      <c r="GB15" s="773">
        <f t="shared" si="50"/>
        <v>0</v>
      </c>
      <c r="GC15" s="773">
        <f t="shared" si="51"/>
        <v>0</v>
      </c>
      <c r="GD15" s="773">
        <f t="shared" si="52"/>
        <v>0</v>
      </c>
      <c r="GE15" s="773">
        <f t="shared" si="53"/>
        <v>0</v>
      </c>
      <c r="GF15" s="773">
        <f t="shared" si="54"/>
        <v>0</v>
      </c>
      <c r="GG15" s="626">
        <f t="shared" si="123"/>
        <v>0</v>
      </c>
      <c r="GH15" s="1145">
        <f t="shared" si="55"/>
        <v>0</v>
      </c>
      <c r="GI15" s="1146">
        <f t="shared" si="56"/>
        <v>0</v>
      </c>
      <c r="GJ15" s="1146">
        <f t="shared" si="57"/>
        <v>0</v>
      </c>
      <c r="GK15" s="1146">
        <f t="shared" si="58"/>
        <v>0</v>
      </c>
      <c r="GL15" s="1146">
        <f t="shared" si="59"/>
        <v>0</v>
      </c>
      <c r="GM15" s="1146">
        <f t="shared" si="60"/>
        <v>0</v>
      </c>
      <c r="GN15" s="1256">
        <f t="shared" si="124"/>
        <v>0</v>
      </c>
      <c r="GO15" s="1157">
        <f t="shared" si="125"/>
        <v>0</v>
      </c>
      <c r="HE15" s="1675">
        <f t="shared" si="61"/>
        <v>0</v>
      </c>
      <c r="HF15" s="775">
        <f t="shared" si="62"/>
        <v>0</v>
      </c>
      <c r="HG15" s="548">
        <f t="shared" si="63"/>
        <v>0</v>
      </c>
      <c r="HH15" s="773">
        <f t="shared" si="64"/>
        <v>0</v>
      </c>
      <c r="HI15" s="773">
        <f t="shared" si="65"/>
        <v>0</v>
      </c>
      <c r="HJ15" s="773">
        <f t="shared" si="66"/>
        <v>0</v>
      </c>
      <c r="HK15" s="773">
        <f t="shared" si="67"/>
        <v>0</v>
      </c>
      <c r="HL15" s="773">
        <f t="shared" si="68"/>
        <v>0</v>
      </c>
      <c r="HM15" s="626">
        <f t="shared" si="126"/>
        <v>0</v>
      </c>
      <c r="HN15" s="1145">
        <f t="shared" si="69"/>
        <v>0</v>
      </c>
      <c r="HO15" s="1146">
        <f t="shared" si="70"/>
        <v>0</v>
      </c>
      <c r="HP15" s="1146">
        <f t="shared" si="71"/>
        <v>0</v>
      </c>
      <c r="HQ15" s="1146">
        <f t="shared" si="72"/>
        <v>0</v>
      </c>
      <c r="HR15" s="1146">
        <f t="shared" si="73"/>
        <v>0</v>
      </c>
      <c r="HS15" s="1146">
        <f t="shared" si="74"/>
        <v>0</v>
      </c>
      <c r="HT15" s="1256">
        <f t="shared" si="127"/>
        <v>0</v>
      </c>
      <c r="HU15" s="1157">
        <f t="shared" si="128"/>
        <v>0</v>
      </c>
    </row>
    <row r="16" spans="1:229" ht="13.5" customHeight="1" outlineLevel="1" x14ac:dyDescent="0.2">
      <c r="A16" s="474"/>
      <c r="B16" s="1412"/>
      <c r="C16" s="511">
        <v>7</v>
      </c>
      <c r="D16" s="560" t="s">
        <v>11</v>
      </c>
      <c r="E16" s="1721">
        <v>37</v>
      </c>
      <c r="F16" s="558">
        <v>2828.17</v>
      </c>
      <c r="G16" s="543">
        <f t="shared" si="0"/>
        <v>76.437027027027028</v>
      </c>
      <c r="H16" s="559">
        <v>29</v>
      </c>
      <c r="I16" s="558">
        <v>370.14</v>
      </c>
      <c r="J16" s="542">
        <f>I16/H16</f>
        <v>12.763448275862068</v>
      </c>
      <c r="K16" s="559">
        <v>3</v>
      </c>
      <c r="L16" s="558">
        <v>271.77</v>
      </c>
      <c r="M16" s="542">
        <f>L16/K16</f>
        <v>90.589999999999989</v>
      </c>
      <c r="N16" s="545">
        <f t="shared" si="1"/>
        <v>3470.08</v>
      </c>
      <c r="O16" s="518">
        <v>0</v>
      </c>
      <c r="P16" s="485">
        <v>17678656.909999996</v>
      </c>
      <c r="Q16" s="518">
        <v>4394680.92</v>
      </c>
      <c r="R16" s="519">
        <f t="shared" si="2"/>
        <v>22073337.829999998</v>
      </c>
      <c r="S16" s="546">
        <f t="shared" si="75"/>
        <v>22073337.829999998</v>
      </c>
      <c r="T16" s="521">
        <v>3753722.82</v>
      </c>
      <c r="U16" s="547">
        <v>0</v>
      </c>
      <c r="V16" s="547">
        <v>0</v>
      </c>
      <c r="W16" s="548">
        <v>0</v>
      </c>
      <c r="X16" s="549">
        <v>0</v>
      </c>
      <c r="Y16" s="549">
        <v>0</v>
      </c>
      <c r="Z16" s="549">
        <v>0</v>
      </c>
      <c r="AA16" s="525">
        <f t="shared" si="76"/>
        <v>0</v>
      </c>
      <c r="AB16" s="524">
        <f t="shared" si="77"/>
        <v>0</v>
      </c>
      <c r="AC16" s="526">
        <f t="shared" si="78"/>
        <v>0</v>
      </c>
      <c r="AD16" s="547">
        <v>0</v>
      </c>
      <c r="AE16" s="547">
        <v>0</v>
      </c>
      <c r="AF16" s="547">
        <v>0</v>
      </c>
      <c r="AG16" s="547">
        <v>0</v>
      </c>
      <c r="AH16" s="363">
        <f t="shared" si="79"/>
        <v>0</v>
      </c>
      <c r="AI16" s="547">
        <f t="shared" si="80"/>
        <v>0</v>
      </c>
      <c r="AJ16" s="550">
        <f t="shared" si="81"/>
        <v>0</v>
      </c>
      <c r="AK16" s="551">
        <f t="shared" si="82"/>
        <v>0</v>
      </c>
      <c r="AL16" s="529"/>
      <c r="AM16" s="502"/>
      <c r="AN16" s="530"/>
      <c r="AO16" s="498"/>
      <c r="AP16" s="499"/>
      <c r="AQ16" s="499"/>
      <c r="AR16" s="499"/>
      <c r="AS16" s="531">
        <f t="shared" si="3"/>
        <v>0</v>
      </c>
      <c r="AT16" s="532">
        <f t="shared" si="4"/>
        <v>0</v>
      </c>
      <c r="AU16" s="529">
        <v>0</v>
      </c>
      <c r="AV16" s="533">
        <v>0</v>
      </c>
      <c r="AW16" s="533">
        <v>0</v>
      </c>
      <c r="AX16" s="533">
        <v>0</v>
      </c>
      <c r="AY16" s="533">
        <f t="shared" si="5"/>
        <v>0</v>
      </c>
      <c r="AZ16" s="534">
        <f t="shared" si="6"/>
        <v>0</v>
      </c>
      <c r="BA16" s="535">
        <f t="shared" si="83"/>
        <v>0</v>
      </c>
      <c r="BB16" s="536">
        <f t="shared" si="84"/>
        <v>0</v>
      </c>
      <c r="BC16" s="523">
        <f t="shared" si="85"/>
        <v>0</v>
      </c>
      <c r="BD16" s="525">
        <f t="shared" si="86"/>
        <v>0</v>
      </c>
      <c r="BE16" s="525">
        <f t="shared" si="87"/>
        <v>0</v>
      </c>
      <c r="BF16" s="525">
        <f t="shared" si="88"/>
        <v>0</v>
      </c>
      <c r="BG16" s="525">
        <f t="shared" si="89"/>
        <v>0</v>
      </c>
      <c r="BH16" s="525">
        <f t="shared" si="90"/>
        <v>0</v>
      </c>
      <c r="BI16" s="526">
        <f t="shared" si="91"/>
        <v>0</v>
      </c>
      <c r="BJ16" s="537">
        <f t="shared" si="92"/>
        <v>0</v>
      </c>
      <c r="BK16" s="538">
        <f t="shared" si="93"/>
        <v>0</v>
      </c>
      <c r="BL16" s="538">
        <f t="shared" si="94"/>
        <v>0</v>
      </c>
      <c r="BM16" s="538">
        <f t="shared" si="95"/>
        <v>0</v>
      </c>
      <c r="BN16" s="538">
        <f t="shared" si="96"/>
        <v>0</v>
      </c>
      <c r="BO16" s="538">
        <f t="shared" si="97"/>
        <v>0</v>
      </c>
      <c r="BP16" s="539">
        <f t="shared" si="98"/>
        <v>0</v>
      </c>
      <c r="BQ16" s="540">
        <f t="shared" si="99"/>
        <v>0</v>
      </c>
      <c r="BR16" s="529"/>
      <c r="BS16" s="502"/>
      <c r="BT16" s="530"/>
      <c r="BU16" s="498"/>
      <c r="BV16" s="499"/>
      <c r="BW16" s="499"/>
      <c r="BX16" s="499"/>
      <c r="BY16" s="531">
        <f t="shared" si="9"/>
        <v>0</v>
      </c>
      <c r="BZ16" s="532">
        <f t="shared" si="10"/>
        <v>0</v>
      </c>
      <c r="CA16" s="529"/>
      <c r="CB16" s="533"/>
      <c r="CC16" s="533"/>
      <c r="CD16" s="533"/>
      <c r="CE16" s="533">
        <f t="shared" si="11"/>
        <v>0</v>
      </c>
      <c r="CF16" s="534">
        <f t="shared" si="12"/>
        <v>0</v>
      </c>
      <c r="CG16" s="774">
        <f t="shared" si="100"/>
        <v>0</v>
      </c>
      <c r="CH16" s="775">
        <f t="shared" si="101"/>
        <v>0</v>
      </c>
      <c r="CI16" s="548">
        <f t="shared" si="102"/>
        <v>0</v>
      </c>
      <c r="CJ16" s="773">
        <f t="shared" si="103"/>
        <v>0</v>
      </c>
      <c r="CK16" s="773">
        <f t="shared" si="104"/>
        <v>0</v>
      </c>
      <c r="CL16" s="773">
        <f t="shared" si="105"/>
        <v>0</v>
      </c>
      <c r="CM16" s="773">
        <f t="shared" si="106"/>
        <v>0</v>
      </c>
      <c r="CN16" s="773">
        <f t="shared" si="107"/>
        <v>0</v>
      </c>
      <c r="CO16" s="626">
        <f t="shared" si="108"/>
        <v>0</v>
      </c>
      <c r="CP16" s="1145">
        <f t="shared" si="109"/>
        <v>0</v>
      </c>
      <c r="CQ16" s="1146">
        <f t="shared" si="110"/>
        <v>0</v>
      </c>
      <c r="CR16" s="1146">
        <f t="shared" si="111"/>
        <v>0</v>
      </c>
      <c r="CS16" s="1146">
        <f t="shared" si="112"/>
        <v>0</v>
      </c>
      <c r="CT16" s="1146">
        <f t="shared" si="113"/>
        <v>0</v>
      </c>
      <c r="CU16" s="1146">
        <f t="shared" si="114"/>
        <v>0</v>
      </c>
      <c r="CV16" s="1256">
        <f t="shared" si="115"/>
        <v>0</v>
      </c>
      <c r="CW16" s="1157">
        <f t="shared" si="116"/>
        <v>0</v>
      </c>
      <c r="CX16" s="529"/>
      <c r="CY16" s="502"/>
      <c r="CZ16" s="530"/>
      <c r="DA16" s="498"/>
      <c r="DB16" s="499"/>
      <c r="DC16" s="499"/>
      <c r="DD16" s="499"/>
      <c r="DE16" s="531">
        <f t="shared" si="15"/>
        <v>0</v>
      </c>
      <c r="DF16" s="532">
        <f t="shared" si="16"/>
        <v>0</v>
      </c>
      <c r="DG16" s="529"/>
      <c r="DH16" s="533"/>
      <c r="DI16" s="533"/>
      <c r="DJ16" s="533"/>
      <c r="DK16" s="533">
        <f t="shared" si="17"/>
        <v>0</v>
      </c>
      <c r="DL16" s="534">
        <f t="shared" si="18"/>
        <v>0</v>
      </c>
      <c r="DM16" s="1258">
        <f t="shared" si="19"/>
        <v>0</v>
      </c>
      <c r="DN16" s="775">
        <f t="shared" si="20"/>
        <v>0</v>
      </c>
      <c r="DO16" s="548">
        <f t="shared" si="21"/>
        <v>0</v>
      </c>
      <c r="DP16" s="773">
        <f t="shared" si="22"/>
        <v>0</v>
      </c>
      <c r="DQ16" s="773">
        <f t="shared" si="23"/>
        <v>0</v>
      </c>
      <c r="DR16" s="773">
        <f t="shared" si="24"/>
        <v>0</v>
      </c>
      <c r="DS16" s="773">
        <f t="shared" si="25"/>
        <v>0</v>
      </c>
      <c r="DT16" s="773">
        <f t="shared" si="26"/>
        <v>0</v>
      </c>
      <c r="DU16" s="526">
        <f t="shared" si="117"/>
        <v>0</v>
      </c>
      <c r="DV16" s="1145">
        <f t="shared" si="27"/>
        <v>0</v>
      </c>
      <c r="DW16" s="1146">
        <f t="shared" si="28"/>
        <v>0</v>
      </c>
      <c r="DX16" s="1146">
        <f t="shared" si="29"/>
        <v>0</v>
      </c>
      <c r="DY16" s="1146">
        <f t="shared" si="30"/>
        <v>0</v>
      </c>
      <c r="DZ16" s="1146">
        <f t="shared" si="31"/>
        <v>0</v>
      </c>
      <c r="EA16" s="1146">
        <f t="shared" si="32"/>
        <v>0</v>
      </c>
      <c r="EB16" s="539">
        <f t="shared" si="118"/>
        <v>0</v>
      </c>
      <c r="EC16" s="540">
        <f t="shared" si="119"/>
        <v>0</v>
      </c>
      <c r="ES16" s="1258">
        <f t="shared" si="33"/>
        <v>0</v>
      </c>
      <c r="ET16" s="775">
        <f t="shared" si="34"/>
        <v>0</v>
      </c>
      <c r="EU16" s="548">
        <f t="shared" si="35"/>
        <v>0</v>
      </c>
      <c r="EV16" s="773">
        <f t="shared" si="36"/>
        <v>0</v>
      </c>
      <c r="EW16" s="773">
        <f t="shared" si="37"/>
        <v>0</v>
      </c>
      <c r="EX16" s="773">
        <f t="shared" si="38"/>
        <v>0</v>
      </c>
      <c r="EY16" s="773">
        <f t="shared" si="39"/>
        <v>0</v>
      </c>
      <c r="EZ16" s="773">
        <f t="shared" si="40"/>
        <v>0</v>
      </c>
      <c r="FA16" s="626">
        <f t="shared" si="120"/>
        <v>0</v>
      </c>
      <c r="FB16" s="1145">
        <f t="shared" si="41"/>
        <v>0</v>
      </c>
      <c r="FC16" s="1146">
        <f t="shared" si="42"/>
        <v>0</v>
      </c>
      <c r="FD16" s="1146">
        <f t="shared" si="43"/>
        <v>0</v>
      </c>
      <c r="FE16" s="1146">
        <f t="shared" si="44"/>
        <v>0</v>
      </c>
      <c r="FF16" s="1146">
        <f t="shared" si="45"/>
        <v>0</v>
      </c>
      <c r="FG16" s="1146">
        <f t="shared" si="46"/>
        <v>0</v>
      </c>
      <c r="FH16" s="1256">
        <f t="shared" si="121"/>
        <v>0</v>
      </c>
      <c r="FI16" s="1157">
        <f t="shared" si="122"/>
        <v>0</v>
      </c>
      <c r="FY16" s="1258">
        <f t="shared" si="47"/>
        <v>0</v>
      </c>
      <c r="FZ16" s="775">
        <f t="shared" si="48"/>
        <v>0</v>
      </c>
      <c r="GA16" s="548">
        <f t="shared" si="49"/>
        <v>0</v>
      </c>
      <c r="GB16" s="773">
        <f t="shared" si="50"/>
        <v>0</v>
      </c>
      <c r="GC16" s="773">
        <f t="shared" si="51"/>
        <v>0</v>
      </c>
      <c r="GD16" s="773">
        <f t="shared" si="52"/>
        <v>0</v>
      </c>
      <c r="GE16" s="773">
        <f t="shared" si="53"/>
        <v>0</v>
      </c>
      <c r="GF16" s="773">
        <f t="shared" si="54"/>
        <v>0</v>
      </c>
      <c r="GG16" s="626">
        <f t="shared" si="123"/>
        <v>0</v>
      </c>
      <c r="GH16" s="1145">
        <f t="shared" si="55"/>
        <v>0</v>
      </c>
      <c r="GI16" s="1146">
        <f t="shared" si="56"/>
        <v>0</v>
      </c>
      <c r="GJ16" s="1146">
        <f t="shared" si="57"/>
        <v>0</v>
      </c>
      <c r="GK16" s="1146">
        <f t="shared" si="58"/>
        <v>0</v>
      </c>
      <c r="GL16" s="1146">
        <f t="shared" si="59"/>
        <v>0</v>
      </c>
      <c r="GM16" s="1146">
        <f t="shared" si="60"/>
        <v>0</v>
      </c>
      <c r="GN16" s="1256">
        <f t="shared" si="124"/>
        <v>0</v>
      </c>
      <c r="GO16" s="1157">
        <f t="shared" si="125"/>
        <v>0</v>
      </c>
      <c r="HE16" s="1675">
        <f t="shared" si="61"/>
        <v>0</v>
      </c>
      <c r="HF16" s="775">
        <f t="shared" si="62"/>
        <v>0</v>
      </c>
      <c r="HG16" s="548">
        <f t="shared" si="63"/>
        <v>0</v>
      </c>
      <c r="HH16" s="773">
        <f t="shared" si="64"/>
        <v>0</v>
      </c>
      <c r="HI16" s="773">
        <f t="shared" si="65"/>
        <v>0</v>
      </c>
      <c r="HJ16" s="773">
        <f t="shared" si="66"/>
        <v>0</v>
      </c>
      <c r="HK16" s="773">
        <f t="shared" si="67"/>
        <v>0</v>
      </c>
      <c r="HL16" s="773">
        <f t="shared" si="68"/>
        <v>0</v>
      </c>
      <c r="HM16" s="626">
        <f t="shared" si="126"/>
        <v>0</v>
      </c>
      <c r="HN16" s="1145">
        <f t="shared" si="69"/>
        <v>0</v>
      </c>
      <c r="HO16" s="1146">
        <f t="shared" si="70"/>
        <v>0</v>
      </c>
      <c r="HP16" s="1146">
        <f t="shared" si="71"/>
        <v>0</v>
      </c>
      <c r="HQ16" s="1146">
        <f t="shared" si="72"/>
        <v>0</v>
      </c>
      <c r="HR16" s="1146">
        <f t="shared" si="73"/>
        <v>0</v>
      </c>
      <c r="HS16" s="1146">
        <f t="shared" si="74"/>
        <v>0</v>
      </c>
      <c r="HT16" s="1256">
        <f t="shared" si="127"/>
        <v>0</v>
      </c>
      <c r="HU16" s="1157">
        <f t="shared" si="128"/>
        <v>0</v>
      </c>
    </row>
    <row r="17" spans="1:229" ht="13.5" customHeight="1" outlineLevel="1" x14ac:dyDescent="0.2">
      <c r="A17" s="474"/>
      <c r="B17" s="1412"/>
      <c r="C17" s="511">
        <v>8</v>
      </c>
      <c r="D17" s="557" t="s">
        <v>12</v>
      </c>
      <c r="E17" s="1721">
        <v>27</v>
      </c>
      <c r="F17" s="558">
        <v>1936.54</v>
      </c>
      <c r="G17" s="543">
        <f t="shared" si="0"/>
        <v>71.723703703703706</v>
      </c>
      <c r="H17" s="559">
        <v>0</v>
      </c>
      <c r="I17" s="558">
        <v>0</v>
      </c>
      <c r="J17" s="542">
        <v>0</v>
      </c>
      <c r="K17" s="559">
        <v>6</v>
      </c>
      <c r="L17" s="558">
        <v>112.92</v>
      </c>
      <c r="M17" s="542">
        <f>L17/K17</f>
        <v>18.82</v>
      </c>
      <c r="N17" s="545">
        <f t="shared" si="1"/>
        <v>2049.46</v>
      </c>
      <c r="O17" s="518">
        <v>0</v>
      </c>
      <c r="P17" s="485">
        <v>9152483.7699999996</v>
      </c>
      <c r="Q17" s="518">
        <v>2308727.0360000003</v>
      </c>
      <c r="R17" s="519">
        <f t="shared" si="2"/>
        <v>11461210.806</v>
      </c>
      <c r="S17" s="546">
        <f t="shared" si="75"/>
        <v>11461210.806</v>
      </c>
      <c r="T17" s="521">
        <v>2001611.15</v>
      </c>
      <c r="U17" s="547">
        <v>0</v>
      </c>
      <c r="V17" s="547">
        <v>0</v>
      </c>
      <c r="W17" s="548">
        <v>0</v>
      </c>
      <c r="X17" s="549">
        <v>0</v>
      </c>
      <c r="Y17" s="549">
        <v>0</v>
      </c>
      <c r="Z17" s="549">
        <v>0</v>
      </c>
      <c r="AA17" s="525">
        <f t="shared" si="76"/>
        <v>0</v>
      </c>
      <c r="AB17" s="524">
        <f t="shared" si="77"/>
        <v>0</v>
      </c>
      <c r="AC17" s="526">
        <f t="shared" si="78"/>
        <v>0</v>
      </c>
      <c r="AD17" s="547">
        <v>0</v>
      </c>
      <c r="AE17" s="547">
        <v>0</v>
      </c>
      <c r="AF17" s="547">
        <v>0</v>
      </c>
      <c r="AG17" s="547">
        <v>0</v>
      </c>
      <c r="AH17" s="363">
        <f t="shared" si="79"/>
        <v>0</v>
      </c>
      <c r="AI17" s="547">
        <f t="shared" si="80"/>
        <v>0</v>
      </c>
      <c r="AJ17" s="550">
        <f t="shared" si="81"/>
        <v>0</v>
      </c>
      <c r="AK17" s="551">
        <f t="shared" si="82"/>
        <v>0</v>
      </c>
      <c r="AL17" s="529"/>
      <c r="AM17" s="502"/>
      <c r="AN17" s="530"/>
      <c r="AO17" s="498"/>
      <c r="AP17" s="499"/>
      <c r="AQ17" s="499"/>
      <c r="AR17" s="499"/>
      <c r="AS17" s="531">
        <f t="shared" si="3"/>
        <v>0</v>
      </c>
      <c r="AT17" s="532">
        <f t="shared" si="4"/>
        <v>0</v>
      </c>
      <c r="AU17" s="529">
        <v>0</v>
      </c>
      <c r="AV17" s="533">
        <v>0</v>
      </c>
      <c r="AW17" s="533">
        <v>0</v>
      </c>
      <c r="AX17" s="533">
        <v>0</v>
      </c>
      <c r="AY17" s="533">
        <f t="shared" si="5"/>
        <v>0</v>
      </c>
      <c r="AZ17" s="534">
        <f t="shared" si="6"/>
        <v>0</v>
      </c>
      <c r="BA17" s="535">
        <f t="shared" si="83"/>
        <v>0</v>
      </c>
      <c r="BB17" s="536">
        <f t="shared" si="84"/>
        <v>0</v>
      </c>
      <c r="BC17" s="523">
        <f t="shared" si="85"/>
        <v>0</v>
      </c>
      <c r="BD17" s="525">
        <f t="shared" si="86"/>
        <v>0</v>
      </c>
      <c r="BE17" s="525">
        <f t="shared" si="87"/>
        <v>0</v>
      </c>
      <c r="BF17" s="525">
        <f t="shared" si="88"/>
        <v>0</v>
      </c>
      <c r="BG17" s="525">
        <f t="shared" si="89"/>
        <v>0</v>
      </c>
      <c r="BH17" s="525">
        <f t="shared" si="90"/>
        <v>0</v>
      </c>
      <c r="BI17" s="526">
        <f t="shared" si="91"/>
        <v>0</v>
      </c>
      <c r="BJ17" s="537">
        <f t="shared" si="92"/>
        <v>0</v>
      </c>
      <c r="BK17" s="538">
        <f t="shared" si="93"/>
        <v>0</v>
      </c>
      <c r="BL17" s="538">
        <f t="shared" si="94"/>
        <v>0</v>
      </c>
      <c r="BM17" s="538">
        <f t="shared" si="95"/>
        <v>0</v>
      </c>
      <c r="BN17" s="538">
        <f t="shared" si="96"/>
        <v>0</v>
      </c>
      <c r="BO17" s="538">
        <f t="shared" si="97"/>
        <v>0</v>
      </c>
      <c r="BP17" s="539">
        <f t="shared" si="98"/>
        <v>0</v>
      </c>
      <c r="BQ17" s="540">
        <f t="shared" si="99"/>
        <v>0</v>
      </c>
      <c r="BR17" s="529"/>
      <c r="BS17" s="502"/>
      <c r="BT17" s="530"/>
      <c r="BU17" s="498"/>
      <c r="BV17" s="499"/>
      <c r="BW17" s="499"/>
      <c r="BX17" s="499"/>
      <c r="BY17" s="531">
        <f t="shared" si="9"/>
        <v>0</v>
      </c>
      <c r="BZ17" s="532">
        <f t="shared" si="10"/>
        <v>0</v>
      </c>
      <c r="CA17" s="529"/>
      <c r="CB17" s="533"/>
      <c r="CC17" s="533"/>
      <c r="CD17" s="533"/>
      <c r="CE17" s="533">
        <f t="shared" si="11"/>
        <v>0</v>
      </c>
      <c r="CF17" s="534">
        <f t="shared" si="12"/>
        <v>0</v>
      </c>
      <c r="CG17" s="774">
        <f t="shared" si="100"/>
        <v>0</v>
      </c>
      <c r="CH17" s="775">
        <f t="shared" si="101"/>
        <v>0</v>
      </c>
      <c r="CI17" s="548">
        <f t="shared" si="102"/>
        <v>0</v>
      </c>
      <c r="CJ17" s="773">
        <f t="shared" si="103"/>
        <v>0</v>
      </c>
      <c r="CK17" s="773">
        <f t="shared" si="104"/>
        <v>0</v>
      </c>
      <c r="CL17" s="773">
        <f t="shared" si="105"/>
        <v>0</v>
      </c>
      <c r="CM17" s="773">
        <f t="shared" si="106"/>
        <v>0</v>
      </c>
      <c r="CN17" s="773">
        <f t="shared" si="107"/>
        <v>0</v>
      </c>
      <c r="CO17" s="626">
        <f t="shared" si="108"/>
        <v>0</v>
      </c>
      <c r="CP17" s="1145">
        <f t="shared" si="109"/>
        <v>0</v>
      </c>
      <c r="CQ17" s="1146">
        <f t="shared" si="110"/>
        <v>0</v>
      </c>
      <c r="CR17" s="1146">
        <f t="shared" si="111"/>
        <v>0</v>
      </c>
      <c r="CS17" s="1146">
        <f t="shared" si="112"/>
        <v>0</v>
      </c>
      <c r="CT17" s="1146">
        <f t="shared" si="113"/>
        <v>0</v>
      </c>
      <c r="CU17" s="1146">
        <f t="shared" si="114"/>
        <v>0</v>
      </c>
      <c r="CV17" s="1256">
        <f t="shared" si="115"/>
        <v>0</v>
      </c>
      <c r="CW17" s="1157">
        <f t="shared" si="116"/>
        <v>0</v>
      </c>
      <c r="CX17" s="529"/>
      <c r="CY17" s="502"/>
      <c r="CZ17" s="530"/>
      <c r="DA17" s="498"/>
      <c r="DB17" s="499"/>
      <c r="DC17" s="499"/>
      <c r="DD17" s="499"/>
      <c r="DE17" s="531">
        <f t="shared" si="15"/>
        <v>0</v>
      </c>
      <c r="DF17" s="532">
        <f t="shared" si="16"/>
        <v>0</v>
      </c>
      <c r="DG17" s="529"/>
      <c r="DH17" s="533"/>
      <c r="DI17" s="533"/>
      <c r="DJ17" s="533"/>
      <c r="DK17" s="533">
        <f t="shared" si="17"/>
        <v>0</v>
      </c>
      <c r="DL17" s="534">
        <f t="shared" si="18"/>
        <v>0</v>
      </c>
      <c r="DM17" s="1258">
        <f t="shared" si="19"/>
        <v>0</v>
      </c>
      <c r="DN17" s="775">
        <f t="shared" si="20"/>
        <v>0</v>
      </c>
      <c r="DO17" s="548">
        <f t="shared" si="21"/>
        <v>0</v>
      </c>
      <c r="DP17" s="773">
        <f t="shared" si="22"/>
        <v>0</v>
      </c>
      <c r="DQ17" s="773">
        <f t="shared" si="23"/>
        <v>0</v>
      </c>
      <c r="DR17" s="773">
        <f t="shared" si="24"/>
        <v>0</v>
      </c>
      <c r="DS17" s="773">
        <f t="shared" si="25"/>
        <v>0</v>
      </c>
      <c r="DT17" s="773">
        <f t="shared" si="26"/>
        <v>0</v>
      </c>
      <c r="DU17" s="526">
        <f t="shared" si="117"/>
        <v>0</v>
      </c>
      <c r="DV17" s="1145">
        <f t="shared" si="27"/>
        <v>0</v>
      </c>
      <c r="DW17" s="1146">
        <f t="shared" si="28"/>
        <v>0</v>
      </c>
      <c r="DX17" s="1146">
        <f t="shared" si="29"/>
        <v>0</v>
      </c>
      <c r="DY17" s="1146">
        <f t="shared" si="30"/>
        <v>0</v>
      </c>
      <c r="DZ17" s="1146">
        <f t="shared" si="31"/>
        <v>0</v>
      </c>
      <c r="EA17" s="1146">
        <f t="shared" si="32"/>
        <v>0</v>
      </c>
      <c r="EB17" s="539">
        <f t="shared" si="118"/>
        <v>0</v>
      </c>
      <c r="EC17" s="540">
        <f t="shared" si="119"/>
        <v>0</v>
      </c>
      <c r="ES17" s="1258">
        <f t="shared" si="33"/>
        <v>0</v>
      </c>
      <c r="ET17" s="775">
        <f t="shared" si="34"/>
        <v>0</v>
      </c>
      <c r="EU17" s="548">
        <f t="shared" si="35"/>
        <v>0</v>
      </c>
      <c r="EV17" s="773">
        <f t="shared" si="36"/>
        <v>0</v>
      </c>
      <c r="EW17" s="773">
        <f t="shared" si="37"/>
        <v>0</v>
      </c>
      <c r="EX17" s="773">
        <f t="shared" si="38"/>
        <v>0</v>
      </c>
      <c r="EY17" s="773">
        <f t="shared" si="39"/>
        <v>0</v>
      </c>
      <c r="EZ17" s="773">
        <f t="shared" si="40"/>
        <v>0</v>
      </c>
      <c r="FA17" s="626">
        <f t="shared" si="120"/>
        <v>0</v>
      </c>
      <c r="FB17" s="1145">
        <f t="shared" si="41"/>
        <v>0</v>
      </c>
      <c r="FC17" s="1146">
        <f t="shared" si="42"/>
        <v>0</v>
      </c>
      <c r="FD17" s="1146">
        <f t="shared" si="43"/>
        <v>0</v>
      </c>
      <c r="FE17" s="1146">
        <f t="shared" si="44"/>
        <v>0</v>
      </c>
      <c r="FF17" s="1146">
        <f t="shared" si="45"/>
        <v>0</v>
      </c>
      <c r="FG17" s="1146">
        <f t="shared" si="46"/>
        <v>0</v>
      </c>
      <c r="FH17" s="1256">
        <f t="shared" si="121"/>
        <v>0</v>
      </c>
      <c r="FI17" s="1157">
        <f t="shared" si="122"/>
        <v>0</v>
      </c>
      <c r="FY17" s="1258">
        <f t="shared" si="47"/>
        <v>0</v>
      </c>
      <c r="FZ17" s="775">
        <f t="shared" si="48"/>
        <v>0</v>
      </c>
      <c r="GA17" s="548">
        <f t="shared" si="49"/>
        <v>0</v>
      </c>
      <c r="GB17" s="773">
        <f t="shared" si="50"/>
        <v>0</v>
      </c>
      <c r="GC17" s="773">
        <f t="shared" si="51"/>
        <v>0</v>
      </c>
      <c r="GD17" s="773">
        <f t="shared" si="52"/>
        <v>0</v>
      </c>
      <c r="GE17" s="773">
        <f t="shared" si="53"/>
        <v>0</v>
      </c>
      <c r="GF17" s="773">
        <f t="shared" si="54"/>
        <v>0</v>
      </c>
      <c r="GG17" s="626">
        <f t="shared" si="123"/>
        <v>0</v>
      </c>
      <c r="GH17" s="1145">
        <f t="shared" si="55"/>
        <v>0</v>
      </c>
      <c r="GI17" s="1146">
        <f t="shared" si="56"/>
        <v>0</v>
      </c>
      <c r="GJ17" s="1146">
        <f t="shared" si="57"/>
        <v>0</v>
      </c>
      <c r="GK17" s="1146">
        <f t="shared" si="58"/>
        <v>0</v>
      </c>
      <c r="GL17" s="1146">
        <f t="shared" si="59"/>
        <v>0</v>
      </c>
      <c r="GM17" s="1146">
        <f t="shared" si="60"/>
        <v>0</v>
      </c>
      <c r="GN17" s="1256">
        <f t="shared" si="124"/>
        <v>0</v>
      </c>
      <c r="GO17" s="1157">
        <f t="shared" si="125"/>
        <v>0</v>
      </c>
      <c r="HE17" s="1675">
        <f t="shared" si="61"/>
        <v>0</v>
      </c>
      <c r="HF17" s="775">
        <f t="shared" si="62"/>
        <v>0</v>
      </c>
      <c r="HG17" s="548">
        <f t="shared" si="63"/>
        <v>0</v>
      </c>
      <c r="HH17" s="773">
        <f t="shared" si="64"/>
        <v>0</v>
      </c>
      <c r="HI17" s="773">
        <f t="shared" si="65"/>
        <v>0</v>
      </c>
      <c r="HJ17" s="773">
        <f t="shared" si="66"/>
        <v>0</v>
      </c>
      <c r="HK17" s="773">
        <f t="shared" si="67"/>
        <v>0</v>
      </c>
      <c r="HL17" s="773">
        <f t="shared" si="68"/>
        <v>0</v>
      </c>
      <c r="HM17" s="626">
        <f t="shared" si="126"/>
        <v>0</v>
      </c>
      <c r="HN17" s="1145">
        <f t="shared" si="69"/>
        <v>0</v>
      </c>
      <c r="HO17" s="1146">
        <f t="shared" si="70"/>
        <v>0</v>
      </c>
      <c r="HP17" s="1146">
        <f t="shared" si="71"/>
        <v>0</v>
      </c>
      <c r="HQ17" s="1146">
        <f t="shared" si="72"/>
        <v>0</v>
      </c>
      <c r="HR17" s="1146">
        <f t="shared" si="73"/>
        <v>0</v>
      </c>
      <c r="HS17" s="1146">
        <f t="shared" si="74"/>
        <v>0</v>
      </c>
      <c r="HT17" s="1256">
        <f t="shared" si="127"/>
        <v>0</v>
      </c>
      <c r="HU17" s="1157">
        <f t="shared" si="128"/>
        <v>0</v>
      </c>
    </row>
    <row r="18" spans="1:229" ht="13.5" customHeight="1" outlineLevel="1" x14ac:dyDescent="0.2">
      <c r="A18" s="474"/>
      <c r="B18" s="1412"/>
      <c r="C18" s="511">
        <v>9</v>
      </c>
      <c r="D18" s="557" t="s">
        <v>13</v>
      </c>
      <c r="E18" s="1721">
        <v>19</v>
      </c>
      <c r="F18" s="558">
        <v>1356.65</v>
      </c>
      <c r="G18" s="543">
        <f t="shared" si="0"/>
        <v>71.402631578947378</v>
      </c>
      <c r="H18" s="559">
        <v>0</v>
      </c>
      <c r="I18" s="558">
        <v>0</v>
      </c>
      <c r="J18" s="542">
        <v>0</v>
      </c>
      <c r="K18" s="559">
        <v>0</v>
      </c>
      <c r="L18" s="558">
        <v>0</v>
      </c>
      <c r="M18" s="542">
        <v>0</v>
      </c>
      <c r="N18" s="545">
        <f t="shared" si="1"/>
        <v>1356.65</v>
      </c>
      <c r="O18" s="518">
        <v>0</v>
      </c>
      <c r="P18" s="485">
        <v>5801172.3599999994</v>
      </c>
      <c r="Q18" s="518">
        <v>1109760.7580000001</v>
      </c>
      <c r="R18" s="519">
        <f t="shared" si="2"/>
        <v>6910933.1179999998</v>
      </c>
      <c r="S18" s="546">
        <f t="shared" si="75"/>
        <v>6910933.1179999998</v>
      </c>
      <c r="T18" s="521">
        <v>1790821.52</v>
      </c>
      <c r="U18" s="547">
        <v>0</v>
      </c>
      <c r="V18" s="547">
        <v>0</v>
      </c>
      <c r="W18" s="548">
        <v>0</v>
      </c>
      <c r="X18" s="549">
        <v>0</v>
      </c>
      <c r="Y18" s="549">
        <v>0</v>
      </c>
      <c r="Z18" s="549">
        <v>0</v>
      </c>
      <c r="AA18" s="525">
        <f t="shared" si="76"/>
        <v>0</v>
      </c>
      <c r="AB18" s="524">
        <f t="shared" si="77"/>
        <v>0</v>
      </c>
      <c r="AC18" s="526">
        <f t="shared" si="78"/>
        <v>0</v>
      </c>
      <c r="AD18" s="547">
        <v>0</v>
      </c>
      <c r="AE18" s="547">
        <v>0</v>
      </c>
      <c r="AF18" s="547">
        <v>0</v>
      </c>
      <c r="AG18" s="547">
        <v>0</v>
      </c>
      <c r="AH18" s="363">
        <f t="shared" si="79"/>
        <v>0</v>
      </c>
      <c r="AI18" s="547">
        <f t="shared" si="80"/>
        <v>0</v>
      </c>
      <c r="AJ18" s="550">
        <f t="shared" si="81"/>
        <v>0</v>
      </c>
      <c r="AK18" s="551">
        <f t="shared" si="82"/>
        <v>0</v>
      </c>
      <c r="AL18" s="529"/>
      <c r="AM18" s="502"/>
      <c r="AN18" s="530"/>
      <c r="AO18" s="498"/>
      <c r="AP18" s="499"/>
      <c r="AQ18" s="499"/>
      <c r="AR18" s="499"/>
      <c r="AS18" s="531">
        <f t="shared" si="3"/>
        <v>0</v>
      </c>
      <c r="AT18" s="532">
        <f t="shared" si="4"/>
        <v>0</v>
      </c>
      <c r="AU18" s="529">
        <v>0</v>
      </c>
      <c r="AV18" s="533">
        <v>0</v>
      </c>
      <c r="AW18" s="533">
        <v>0</v>
      </c>
      <c r="AX18" s="533">
        <v>0</v>
      </c>
      <c r="AY18" s="533">
        <f t="shared" si="5"/>
        <v>0</v>
      </c>
      <c r="AZ18" s="534">
        <f t="shared" si="6"/>
        <v>0</v>
      </c>
      <c r="BA18" s="535">
        <f t="shared" si="83"/>
        <v>0</v>
      </c>
      <c r="BB18" s="536">
        <f t="shared" si="84"/>
        <v>0</v>
      </c>
      <c r="BC18" s="523">
        <f t="shared" si="85"/>
        <v>0</v>
      </c>
      <c r="BD18" s="525">
        <f t="shared" si="86"/>
        <v>0</v>
      </c>
      <c r="BE18" s="525">
        <f t="shared" si="87"/>
        <v>0</v>
      </c>
      <c r="BF18" s="525">
        <f t="shared" si="88"/>
        <v>0</v>
      </c>
      <c r="BG18" s="525">
        <f t="shared" si="89"/>
        <v>0</v>
      </c>
      <c r="BH18" s="525">
        <f t="shared" si="90"/>
        <v>0</v>
      </c>
      <c r="BI18" s="526">
        <f t="shared" si="91"/>
        <v>0</v>
      </c>
      <c r="BJ18" s="537">
        <f t="shared" si="92"/>
        <v>0</v>
      </c>
      <c r="BK18" s="538">
        <f t="shared" si="93"/>
        <v>0</v>
      </c>
      <c r="BL18" s="538">
        <f t="shared" si="94"/>
        <v>0</v>
      </c>
      <c r="BM18" s="538">
        <f t="shared" si="95"/>
        <v>0</v>
      </c>
      <c r="BN18" s="538">
        <f t="shared" si="96"/>
        <v>0</v>
      </c>
      <c r="BO18" s="538">
        <f t="shared" si="97"/>
        <v>0</v>
      </c>
      <c r="BP18" s="539">
        <f t="shared" si="98"/>
        <v>0</v>
      </c>
      <c r="BQ18" s="540">
        <f t="shared" si="99"/>
        <v>0</v>
      </c>
      <c r="BR18" s="529"/>
      <c r="BS18" s="502"/>
      <c r="BT18" s="530"/>
      <c r="BU18" s="498"/>
      <c r="BV18" s="499"/>
      <c r="BW18" s="499"/>
      <c r="BX18" s="499"/>
      <c r="BY18" s="531">
        <f t="shared" si="9"/>
        <v>0</v>
      </c>
      <c r="BZ18" s="532">
        <f t="shared" si="10"/>
        <v>0</v>
      </c>
      <c r="CA18" s="529"/>
      <c r="CB18" s="533"/>
      <c r="CC18" s="533"/>
      <c r="CD18" s="533"/>
      <c r="CE18" s="533">
        <f t="shared" si="11"/>
        <v>0</v>
      </c>
      <c r="CF18" s="534">
        <f t="shared" si="12"/>
        <v>0</v>
      </c>
      <c r="CG18" s="774">
        <f t="shared" si="100"/>
        <v>0</v>
      </c>
      <c r="CH18" s="775">
        <f t="shared" si="101"/>
        <v>0</v>
      </c>
      <c r="CI18" s="548">
        <f t="shared" si="102"/>
        <v>0</v>
      </c>
      <c r="CJ18" s="773">
        <f t="shared" si="103"/>
        <v>0</v>
      </c>
      <c r="CK18" s="773">
        <f t="shared" si="104"/>
        <v>0</v>
      </c>
      <c r="CL18" s="773">
        <f t="shared" si="105"/>
        <v>0</v>
      </c>
      <c r="CM18" s="773">
        <f t="shared" si="106"/>
        <v>0</v>
      </c>
      <c r="CN18" s="773">
        <f t="shared" si="107"/>
        <v>0</v>
      </c>
      <c r="CO18" s="626">
        <f t="shared" si="108"/>
        <v>0</v>
      </c>
      <c r="CP18" s="1145">
        <f t="shared" si="109"/>
        <v>0</v>
      </c>
      <c r="CQ18" s="1146">
        <f t="shared" si="110"/>
        <v>0</v>
      </c>
      <c r="CR18" s="1146">
        <f t="shared" si="111"/>
        <v>0</v>
      </c>
      <c r="CS18" s="1146">
        <f t="shared" si="112"/>
        <v>0</v>
      </c>
      <c r="CT18" s="1146">
        <f t="shared" si="113"/>
        <v>0</v>
      </c>
      <c r="CU18" s="1146">
        <f t="shared" si="114"/>
        <v>0</v>
      </c>
      <c r="CV18" s="1256">
        <f t="shared" si="115"/>
        <v>0</v>
      </c>
      <c r="CW18" s="1157">
        <f t="shared" si="116"/>
        <v>0</v>
      </c>
      <c r="CX18" s="529"/>
      <c r="CY18" s="502"/>
      <c r="CZ18" s="530"/>
      <c r="DA18" s="498"/>
      <c r="DB18" s="499"/>
      <c r="DC18" s="499"/>
      <c r="DD18" s="499"/>
      <c r="DE18" s="531">
        <f t="shared" si="15"/>
        <v>0</v>
      </c>
      <c r="DF18" s="532">
        <f t="shared" si="16"/>
        <v>0</v>
      </c>
      <c r="DG18" s="529"/>
      <c r="DH18" s="533"/>
      <c r="DI18" s="533"/>
      <c r="DJ18" s="533"/>
      <c r="DK18" s="533">
        <f t="shared" si="17"/>
        <v>0</v>
      </c>
      <c r="DL18" s="534">
        <f t="shared" si="18"/>
        <v>0</v>
      </c>
      <c r="DM18" s="1258">
        <f t="shared" si="19"/>
        <v>0</v>
      </c>
      <c r="DN18" s="775">
        <f t="shared" si="20"/>
        <v>0</v>
      </c>
      <c r="DO18" s="548">
        <f t="shared" si="21"/>
        <v>0</v>
      </c>
      <c r="DP18" s="773">
        <f t="shared" si="22"/>
        <v>0</v>
      </c>
      <c r="DQ18" s="773">
        <f t="shared" si="23"/>
        <v>0</v>
      </c>
      <c r="DR18" s="773">
        <f t="shared" si="24"/>
        <v>0</v>
      </c>
      <c r="DS18" s="773">
        <f t="shared" si="25"/>
        <v>0</v>
      </c>
      <c r="DT18" s="773">
        <f t="shared" si="26"/>
        <v>0</v>
      </c>
      <c r="DU18" s="526">
        <f t="shared" si="117"/>
        <v>0</v>
      </c>
      <c r="DV18" s="1145">
        <f t="shared" si="27"/>
        <v>0</v>
      </c>
      <c r="DW18" s="1146">
        <f t="shared" si="28"/>
        <v>0</v>
      </c>
      <c r="DX18" s="1146">
        <f t="shared" si="29"/>
        <v>0</v>
      </c>
      <c r="DY18" s="1146">
        <f t="shared" si="30"/>
        <v>0</v>
      </c>
      <c r="DZ18" s="1146">
        <f t="shared" si="31"/>
        <v>0</v>
      </c>
      <c r="EA18" s="1146">
        <f t="shared" si="32"/>
        <v>0</v>
      </c>
      <c r="EB18" s="539">
        <f t="shared" si="118"/>
        <v>0</v>
      </c>
      <c r="EC18" s="540">
        <f t="shared" si="119"/>
        <v>0</v>
      </c>
      <c r="ES18" s="1258">
        <f t="shared" si="33"/>
        <v>0</v>
      </c>
      <c r="ET18" s="775">
        <f t="shared" si="34"/>
        <v>0</v>
      </c>
      <c r="EU18" s="548">
        <f t="shared" si="35"/>
        <v>0</v>
      </c>
      <c r="EV18" s="773">
        <f t="shared" si="36"/>
        <v>0</v>
      </c>
      <c r="EW18" s="773">
        <f t="shared" si="37"/>
        <v>0</v>
      </c>
      <c r="EX18" s="773">
        <f t="shared" si="38"/>
        <v>0</v>
      </c>
      <c r="EY18" s="773">
        <f t="shared" si="39"/>
        <v>0</v>
      </c>
      <c r="EZ18" s="773">
        <f t="shared" si="40"/>
        <v>0</v>
      </c>
      <c r="FA18" s="626">
        <f t="shared" si="120"/>
        <v>0</v>
      </c>
      <c r="FB18" s="1145">
        <f t="shared" si="41"/>
        <v>0</v>
      </c>
      <c r="FC18" s="1146">
        <f t="shared" si="42"/>
        <v>0</v>
      </c>
      <c r="FD18" s="1146">
        <f t="shared" si="43"/>
        <v>0</v>
      </c>
      <c r="FE18" s="1146">
        <f t="shared" si="44"/>
        <v>0</v>
      </c>
      <c r="FF18" s="1146">
        <f t="shared" si="45"/>
        <v>0</v>
      </c>
      <c r="FG18" s="1146">
        <f t="shared" si="46"/>
        <v>0</v>
      </c>
      <c r="FH18" s="1256">
        <f t="shared" si="121"/>
        <v>0</v>
      </c>
      <c r="FI18" s="1157">
        <f t="shared" si="122"/>
        <v>0</v>
      </c>
      <c r="FY18" s="1258">
        <f t="shared" si="47"/>
        <v>0</v>
      </c>
      <c r="FZ18" s="775">
        <f t="shared" si="48"/>
        <v>0</v>
      </c>
      <c r="GA18" s="548">
        <f t="shared" si="49"/>
        <v>0</v>
      </c>
      <c r="GB18" s="773">
        <f t="shared" si="50"/>
        <v>0</v>
      </c>
      <c r="GC18" s="773">
        <f t="shared" si="51"/>
        <v>0</v>
      </c>
      <c r="GD18" s="773">
        <f t="shared" si="52"/>
        <v>0</v>
      </c>
      <c r="GE18" s="773">
        <f t="shared" si="53"/>
        <v>0</v>
      </c>
      <c r="GF18" s="773">
        <f t="shared" si="54"/>
        <v>0</v>
      </c>
      <c r="GG18" s="626">
        <f t="shared" si="123"/>
        <v>0</v>
      </c>
      <c r="GH18" s="1145">
        <f t="shared" si="55"/>
        <v>0</v>
      </c>
      <c r="GI18" s="1146">
        <f t="shared" si="56"/>
        <v>0</v>
      </c>
      <c r="GJ18" s="1146">
        <f t="shared" si="57"/>
        <v>0</v>
      </c>
      <c r="GK18" s="1146">
        <f t="shared" si="58"/>
        <v>0</v>
      </c>
      <c r="GL18" s="1146">
        <f t="shared" si="59"/>
        <v>0</v>
      </c>
      <c r="GM18" s="1146">
        <f t="shared" si="60"/>
        <v>0</v>
      </c>
      <c r="GN18" s="1256">
        <f t="shared" si="124"/>
        <v>0</v>
      </c>
      <c r="GO18" s="1157">
        <f t="shared" si="125"/>
        <v>0</v>
      </c>
      <c r="HE18" s="1675">
        <f t="shared" si="61"/>
        <v>0</v>
      </c>
      <c r="HF18" s="775">
        <f t="shared" si="62"/>
        <v>0</v>
      </c>
      <c r="HG18" s="548">
        <f t="shared" si="63"/>
        <v>0</v>
      </c>
      <c r="HH18" s="773">
        <f t="shared" si="64"/>
        <v>0</v>
      </c>
      <c r="HI18" s="773">
        <f t="shared" si="65"/>
        <v>0</v>
      </c>
      <c r="HJ18" s="773">
        <f t="shared" si="66"/>
        <v>0</v>
      </c>
      <c r="HK18" s="773">
        <f t="shared" si="67"/>
        <v>0</v>
      </c>
      <c r="HL18" s="773">
        <f t="shared" si="68"/>
        <v>0</v>
      </c>
      <c r="HM18" s="626">
        <f t="shared" si="126"/>
        <v>0</v>
      </c>
      <c r="HN18" s="1145">
        <f t="shared" si="69"/>
        <v>0</v>
      </c>
      <c r="HO18" s="1146">
        <f t="shared" si="70"/>
        <v>0</v>
      </c>
      <c r="HP18" s="1146">
        <f t="shared" si="71"/>
        <v>0</v>
      </c>
      <c r="HQ18" s="1146">
        <f t="shared" si="72"/>
        <v>0</v>
      </c>
      <c r="HR18" s="1146">
        <f t="shared" si="73"/>
        <v>0</v>
      </c>
      <c r="HS18" s="1146">
        <f t="shared" si="74"/>
        <v>0</v>
      </c>
      <c r="HT18" s="1256">
        <f t="shared" si="127"/>
        <v>0</v>
      </c>
      <c r="HU18" s="1157">
        <f t="shared" si="128"/>
        <v>0</v>
      </c>
    </row>
    <row r="19" spans="1:229" ht="13.5" customHeight="1" outlineLevel="1" x14ac:dyDescent="0.2">
      <c r="A19" s="474"/>
      <c r="B19" s="1412"/>
      <c r="C19" s="511">
        <v>10</v>
      </c>
      <c r="D19" s="560" t="s">
        <v>14</v>
      </c>
      <c r="E19" s="1721">
        <v>30</v>
      </c>
      <c r="F19" s="558">
        <v>2494.12</v>
      </c>
      <c r="G19" s="543">
        <f t="shared" si="0"/>
        <v>83.137333333333331</v>
      </c>
      <c r="H19" s="559">
        <v>0</v>
      </c>
      <c r="I19" s="558">
        <v>0</v>
      </c>
      <c r="J19" s="542">
        <v>0</v>
      </c>
      <c r="K19" s="559">
        <v>0</v>
      </c>
      <c r="L19" s="558">
        <v>0</v>
      </c>
      <c r="M19" s="542">
        <v>0</v>
      </c>
      <c r="N19" s="545">
        <f t="shared" si="1"/>
        <v>2494.12</v>
      </c>
      <c r="O19" s="518">
        <v>0</v>
      </c>
      <c r="P19" s="485">
        <v>12586626.009999998</v>
      </c>
      <c r="Q19" s="518">
        <v>64804.167999999998</v>
      </c>
      <c r="R19" s="519">
        <f t="shared" si="2"/>
        <v>12651430.177999998</v>
      </c>
      <c r="S19" s="546">
        <f t="shared" si="75"/>
        <v>12651430.177999998</v>
      </c>
      <c r="T19" s="521">
        <v>3098468.24</v>
      </c>
      <c r="U19" s="547">
        <v>0</v>
      </c>
      <c r="V19" s="547">
        <v>0</v>
      </c>
      <c r="W19" s="548">
        <v>0</v>
      </c>
      <c r="X19" s="549">
        <v>0</v>
      </c>
      <c r="Y19" s="549">
        <v>0</v>
      </c>
      <c r="Z19" s="549">
        <v>0</v>
      </c>
      <c r="AA19" s="525">
        <f t="shared" si="76"/>
        <v>0</v>
      </c>
      <c r="AB19" s="524">
        <f t="shared" si="77"/>
        <v>0</v>
      </c>
      <c r="AC19" s="526">
        <f t="shared" si="78"/>
        <v>0</v>
      </c>
      <c r="AD19" s="547">
        <v>0</v>
      </c>
      <c r="AE19" s="547">
        <v>0</v>
      </c>
      <c r="AF19" s="547">
        <v>0</v>
      </c>
      <c r="AG19" s="547">
        <v>0</v>
      </c>
      <c r="AH19" s="363">
        <f t="shared" si="79"/>
        <v>0</v>
      </c>
      <c r="AI19" s="547">
        <f t="shared" si="80"/>
        <v>0</v>
      </c>
      <c r="AJ19" s="550">
        <f t="shared" si="81"/>
        <v>0</v>
      </c>
      <c r="AK19" s="551">
        <f t="shared" si="82"/>
        <v>0</v>
      </c>
      <c r="AL19" s="529"/>
      <c r="AM19" s="502"/>
      <c r="AN19" s="530"/>
      <c r="AO19" s="498"/>
      <c r="AP19" s="499"/>
      <c r="AQ19" s="499"/>
      <c r="AR19" s="499"/>
      <c r="AS19" s="531">
        <f t="shared" si="3"/>
        <v>0</v>
      </c>
      <c r="AT19" s="532">
        <f t="shared" si="4"/>
        <v>0</v>
      </c>
      <c r="AU19" s="529">
        <v>0</v>
      </c>
      <c r="AV19" s="533">
        <v>0</v>
      </c>
      <c r="AW19" s="533">
        <v>0</v>
      </c>
      <c r="AX19" s="533">
        <v>0</v>
      </c>
      <c r="AY19" s="533">
        <f t="shared" si="5"/>
        <v>0</v>
      </c>
      <c r="AZ19" s="534">
        <f t="shared" si="6"/>
        <v>0</v>
      </c>
      <c r="BA19" s="535">
        <f t="shared" si="83"/>
        <v>0</v>
      </c>
      <c r="BB19" s="536">
        <f t="shared" si="84"/>
        <v>0</v>
      </c>
      <c r="BC19" s="523">
        <f t="shared" si="85"/>
        <v>0</v>
      </c>
      <c r="BD19" s="525">
        <f t="shared" si="86"/>
        <v>0</v>
      </c>
      <c r="BE19" s="525">
        <f t="shared" si="87"/>
        <v>0</v>
      </c>
      <c r="BF19" s="525">
        <f t="shared" si="88"/>
        <v>0</v>
      </c>
      <c r="BG19" s="525">
        <f t="shared" si="89"/>
        <v>0</v>
      </c>
      <c r="BH19" s="525">
        <f t="shared" si="90"/>
        <v>0</v>
      </c>
      <c r="BI19" s="526">
        <f t="shared" si="91"/>
        <v>0</v>
      </c>
      <c r="BJ19" s="537">
        <f t="shared" si="92"/>
        <v>0</v>
      </c>
      <c r="BK19" s="538">
        <f t="shared" si="93"/>
        <v>0</v>
      </c>
      <c r="BL19" s="538">
        <f t="shared" si="94"/>
        <v>0</v>
      </c>
      <c r="BM19" s="538">
        <f t="shared" si="95"/>
        <v>0</v>
      </c>
      <c r="BN19" s="538">
        <f t="shared" si="96"/>
        <v>0</v>
      </c>
      <c r="BO19" s="538">
        <f t="shared" si="97"/>
        <v>0</v>
      </c>
      <c r="BP19" s="539">
        <f t="shared" si="98"/>
        <v>0</v>
      </c>
      <c r="BQ19" s="540">
        <f t="shared" si="99"/>
        <v>0</v>
      </c>
      <c r="BR19" s="529"/>
      <c r="BS19" s="502"/>
      <c r="BT19" s="530"/>
      <c r="BU19" s="498"/>
      <c r="BV19" s="499"/>
      <c r="BW19" s="499"/>
      <c r="BX19" s="499"/>
      <c r="BY19" s="531">
        <f t="shared" si="9"/>
        <v>0</v>
      </c>
      <c r="BZ19" s="532">
        <f t="shared" si="10"/>
        <v>0</v>
      </c>
      <c r="CA19" s="529"/>
      <c r="CB19" s="533"/>
      <c r="CC19" s="533"/>
      <c r="CD19" s="533"/>
      <c r="CE19" s="533">
        <f t="shared" si="11"/>
        <v>0</v>
      </c>
      <c r="CF19" s="534">
        <f t="shared" si="12"/>
        <v>0</v>
      </c>
      <c r="CG19" s="774">
        <f t="shared" si="100"/>
        <v>0</v>
      </c>
      <c r="CH19" s="775">
        <f t="shared" si="101"/>
        <v>0</v>
      </c>
      <c r="CI19" s="548">
        <f t="shared" si="102"/>
        <v>0</v>
      </c>
      <c r="CJ19" s="773">
        <f t="shared" si="103"/>
        <v>0</v>
      </c>
      <c r="CK19" s="773">
        <f t="shared" si="104"/>
        <v>0</v>
      </c>
      <c r="CL19" s="773">
        <f t="shared" si="105"/>
        <v>0</v>
      </c>
      <c r="CM19" s="773">
        <f t="shared" si="106"/>
        <v>0</v>
      </c>
      <c r="CN19" s="773">
        <f t="shared" si="107"/>
        <v>0</v>
      </c>
      <c r="CO19" s="626">
        <f t="shared" si="108"/>
        <v>0</v>
      </c>
      <c r="CP19" s="1145">
        <f t="shared" si="109"/>
        <v>0</v>
      </c>
      <c r="CQ19" s="1146">
        <f t="shared" si="110"/>
        <v>0</v>
      </c>
      <c r="CR19" s="1146">
        <f t="shared" si="111"/>
        <v>0</v>
      </c>
      <c r="CS19" s="1146">
        <f t="shared" si="112"/>
        <v>0</v>
      </c>
      <c r="CT19" s="1146">
        <f t="shared" si="113"/>
        <v>0</v>
      </c>
      <c r="CU19" s="1146">
        <f t="shared" si="114"/>
        <v>0</v>
      </c>
      <c r="CV19" s="1256">
        <f t="shared" si="115"/>
        <v>0</v>
      </c>
      <c r="CW19" s="1157">
        <f t="shared" si="116"/>
        <v>0</v>
      </c>
      <c r="CX19" s="529"/>
      <c r="CY19" s="502"/>
      <c r="CZ19" s="530"/>
      <c r="DA19" s="498"/>
      <c r="DB19" s="499"/>
      <c r="DC19" s="499"/>
      <c r="DD19" s="499"/>
      <c r="DE19" s="531">
        <f t="shared" si="15"/>
        <v>0</v>
      </c>
      <c r="DF19" s="532">
        <f t="shared" si="16"/>
        <v>0</v>
      </c>
      <c r="DG19" s="529"/>
      <c r="DH19" s="533"/>
      <c r="DI19" s="533"/>
      <c r="DJ19" s="533"/>
      <c r="DK19" s="533">
        <f t="shared" si="17"/>
        <v>0</v>
      </c>
      <c r="DL19" s="534">
        <f t="shared" si="18"/>
        <v>0</v>
      </c>
      <c r="DM19" s="1258">
        <f t="shared" si="19"/>
        <v>0</v>
      </c>
      <c r="DN19" s="775">
        <f t="shared" si="20"/>
        <v>0</v>
      </c>
      <c r="DO19" s="548">
        <f t="shared" si="21"/>
        <v>0</v>
      </c>
      <c r="DP19" s="773">
        <f t="shared" si="22"/>
        <v>0</v>
      </c>
      <c r="DQ19" s="773">
        <f t="shared" si="23"/>
        <v>0</v>
      </c>
      <c r="DR19" s="773">
        <f t="shared" si="24"/>
        <v>0</v>
      </c>
      <c r="DS19" s="773">
        <f t="shared" si="25"/>
        <v>0</v>
      </c>
      <c r="DT19" s="773">
        <f t="shared" si="26"/>
        <v>0</v>
      </c>
      <c r="DU19" s="526">
        <f t="shared" si="117"/>
        <v>0</v>
      </c>
      <c r="DV19" s="1145">
        <f t="shared" si="27"/>
        <v>0</v>
      </c>
      <c r="DW19" s="1146">
        <f t="shared" si="28"/>
        <v>0</v>
      </c>
      <c r="DX19" s="1146">
        <f t="shared" si="29"/>
        <v>0</v>
      </c>
      <c r="DY19" s="1146">
        <f t="shared" si="30"/>
        <v>0</v>
      </c>
      <c r="DZ19" s="1146">
        <f t="shared" si="31"/>
        <v>0</v>
      </c>
      <c r="EA19" s="1146">
        <f t="shared" si="32"/>
        <v>0</v>
      </c>
      <c r="EB19" s="539">
        <f t="shared" si="118"/>
        <v>0</v>
      </c>
      <c r="EC19" s="540">
        <f t="shared" si="119"/>
        <v>0</v>
      </c>
      <c r="ES19" s="1258">
        <f t="shared" si="33"/>
        <v>0</v>
      </c>
      <c r="ET19" s="775">
        <f t="shared" si="34"/>
        <v>0</v>
      </c>
      <c r="EU19" s="548">
        <f t="shared" si="35"/>
        <v>0</v>
      </c>
      <c r="EV19" s="773">
        <f t="shared" si="36"/>
        <v>0</v>
      </c>
      <c r="EW19" s="773">
        <f t="shared" si="37"/>
        <v>0</v>
      </c>
      <c r="EX19" s="773">
        <f t="shared" si="38"/>
        <v>0</v>
      </c>
      <c r="EY19" s="773">
        <f t="shared" si="39"/>
        <v>0</v>
      </c>
      <c r="EZ19" s="773">
        <f t="shared" si="40"/>
        <v>0</v>
      </c>
      <c r="FA19" s="626">
        <f t="shared" si="120"/>
        <v>0</v>
      </c>
      <c r="FB19" s="1145">
        <f t="shared" si="41"/>
        <v>0</v>
      </c>
      <c r="FC19" s="1146">
        <f t="shared" si="42"/>
        <v>0</v>
      </c>
      <c r="FD19" s="1146">
        <f t="shared" si="43"/>
        <v>0</v>
      </c>
      <c r="FE19" s="1146">
        <f t="shared" si="44"/>
        <v>0</v>
      </c>
      <c r="FF19" s="1146">
        <f t="shared" si="45"/>
        <v>0</v>
      </c>
      <c r="FG19" s="1146">
        <f t="shared" si="46"/>
        <v>0</v>
      </c>
      <c r="FH19" s="1256">
        <f t="shared" si="121"/>
        <v>0</v>
      </c>
      <c r="FI19" s="1157">
        <f t="shared" si="122"/>
        <v>0</v>
      </c>
      <c r="FY19" s="1258">
        <f t="shared" si="47"/>
        <v>0</v>
      </c>
      <c r="FZ19" s="775">
        <f t="shared" si="48"/>
        <v>0</v>
      </c>
      <c r="GA19" s="548">
        <f t="shared" si="49"/>
        <v>0</v>
      </c>
      <c r="GB19" s="773">
        <f t="shared" si="50"/>
        <v>0</v>
      </c>
      <c r="GC19" s="773">
        <f t="shared" si="51"/>
        <v>0</v>
      </c>
      <c r="GD19" s="773">
        <f t="shared" si="52"/>
        <v>0</v>
      </c>
      <c r="GE19" s="773">
        <f t="shared" si="53"/>
        <v>0</v>
      </c>
      <c r="GF19" s="773">
        <f t="shared" si="54"/>
        <v>0</v>
      </c>
      <c r="GG19" s="626">
        <f t="shared" si="123"/>
        <v>0</v>
      </c>
      <c r="GH19" s="1145">
        <f t="shared" si="55"/>
        <v>0</v>
      </c>
      <c r="GI19" s="1146">
        <f t="shared" si="56"/>
        <v>0</v>
      </c>
      <c r="GJ19" s="1146">
        <f t="shared" si="57"/>
        <v>0</v>
      </c>
      <c r="GK19" s="1146">
        <f t="shared" si="58"/>
        <v>0</v>
      </c>
      <c r="GL19" s="1146">
        <f t="shared" si="59"/>
        <v>0</v>
      </c>
      <c r="GM19" s="1146">
        <f t="shared" si="60"/>
        <v>0</v>
      </c>
      <c r="GN19" s="1256">
        <f t="shared" si="124"/>
        <v>0</v>
      </c>
      <c r="GO19" s="1157">
        <f t="shared" si="125"/>
        <v>0</v>
      </c>
      <c r="HE19" s="1675">
        <f t="shared" si="61"/>
        <v>0</v>
      </c>
      <c r="HF19" s="775">
        <f t="shared" si="62"/>
        <v>0</v>
      </c>
      <c r="HG19" s="548">
        <f t="shared" si="63"/>
        <v>0</v>
      </c>
      <c r="HH19" s="773">
        <f t="shared" si="64"/>
        <v>0</v>
      </c>
      <c r="HI19" s="773">
        <f t="shared" si="65"/>
        <v>0</v>
      </c>
      <c r="HJ19" s="773">
        <f t="shared" si="66"/>
        <v>0</v>
      </c>
      <c r="HK19" s="773">
        <f t="shared" si="67"/>
        <v>0</v>
      </c>
      <c r="HL19" s="773">
        <f t="shared" si="68"/>
        <v>0</v>
      </c>
      <c r="HM19" s="626">
        <f t="shared" si="126"/>
        <v>0</v>
      </c>
      <c r="HN19" s="1145">
        <f t="shared" si="69"/>
        <v>0</v>
      </c>
      <c r="HO19" s="1146">
        <f t="shared" si="70"/>
        <v>0</v>
      </c>
      <c r="HP19" s="1146">
        <f t="shared" si="71"/>
        <v>0</v>
      </c>
      <c r="HQ19" s="1146">
        <f t="shared" si="72"/>
        <v>0</v>
      </c>
      <c r="HR19" s="1146">
        <f t="shared" si="73"/>
        <v>0</v>
      </c>
      <c r="HS19" s="1146">
        <f t="shared" si="74"/>
        <v>0</v>
      </c>
      <c r="HT19" s="1256">
        <f t="shared" si="127"/>
        <v>0</v>
      </c>
      <c r="HU19" s="1157">
        <f t="shared" si="128"/>
        <v>0</v>
      </c>
    </row>
    <row r="20" spans="1:229" ht="13.5" customHeight="1" outlineLevel="1" x14ac:dyDescent="0.2">
      <c r="A20" s="474"/>
      <c r="B20" s="1412"/>
      <c r="C20" s="511">
        <v>11</v>
      </c>
      <c r="D20" s="557" t="s">
        <v>15</v>
      </c>
      <c r="E20" s="1721">
        <v>24</v>
      </c>
      <c r="F20" s="558">
        <v>1645.61</v>
      </c>
      <c r="G20" s="543">
        <f t="shared" si="0"/>
        <v>68.567083333333329</v>
      </c>
      <c r="H20" s="559">
        <v>0</v>
      </c>
      <c r="I20" s="558">
        <v>0</v>
      </c>
      <c r="J20" s="542">
        <v>0</v>
      </c>
      <c r="K20" s="559">
        <v>0</v>
      </c>
      <c r="L20" s="558">
        <v>0</v>
      </c>
      <c r="M20" s="542">
        <v>0</v>
      </c>
      <c r="N20" s="545">
        <f t="shared" si="1"/>
        <v>1645.61</v>
      </c>
      <c r="O20" s="518">
        <v>0</v>
      </c>
      <c r="P20" s="485">
        <v>8100290.2500000009</v>
      </c>
      <c r="Q20" s="518">
        <v>402973.66</v>
      </c>
      <c r="R20" s="519">
        <f t="shared" si="2"/>
        <v>8503263.9100000001</v>
      </c>
      <c r="S20" s="546">
        <f t="shared" si="75"/>
        <v>8503263.9100000001</v>
      </c>
      <c r="T20" s="521">
        <v>2174558.98</v>
      </c>
      <c r="U20" s="547">
        <v>0</v>
      </c>
      <c r="V20" s="547">
        <v>0</v>
      </c>
      <c r="W20" s="548">
        <v>0</v>
      </c>
      <c r="X20" s="549">
        <v>0</v>
      </c>
      <c r="Y20" s="549">
        <v>0</v>
      </c>
      <c r="Z20" s="549">
        <v>0</v>
      </c>
      <c r="AA20" s="525">
        <f t="shared" si="76"/>
        <v>0</v>
      </c>
      <c r="AB20" s="524">
        <f t="shared" si="77"/>
        <v>0</v>
      </c>
      <c r="AC20" s="526">
        <f t="shared" si="78"/>
        <v>0</v>
      </c>
      <c r="AD20" s="547">
        <v>0</v>
      </c>
      <c r="AE20" s="547">
        <v>0</v>
      </c>
      <c r="AF20" s="547">
        <v>0</v>
      </c>
      <c r="AG20" s="547">
        <v>0</v>
      </c>
      <c r="AH20" s="363">
        <f t="shared" si="79"/>
        <v>0</v>
      </c>
      <c r="AI20" s="547">
        <f t="shared" si="80"/>
        <v>0</v>
      </c>
      <c r="AJ20" s="550">
        <f t="shared" si="81"/>
        <v>0</v>
      </c>
      <c r="AK20" s="551">
        <f t="shared" si="82"/>
        <v>0</v>
      </c>
      <c r="AL20" s="529"/>
      <c r="AM20" s="502"/>
      <c r="AN20" s="530"/>
      <c r="AO20" s="498"/>
      <c r="AP20" s="499"/>
      <c r="AQ20" s="499"/>
      <c r="AR20" s="499"/>
      <c r="AS20" s="531">
        <f t="shared" si="3"/>
        <v>0</v>
      </c>
      <c r="AT20" s="532">
        <f t="shared" si="4"/>
        <v>0</v>
      </c>
      <c r="AU20" s="529">
        <v>0</v>
      </c>
      <c r="AV20" s="533">
        <v>0</v>
      </c>
      <c r="AW20" s="533">
        <v>0</v>
      </c>
      <c r="AX20" s="533">
        <v>0</v>
      </c>
      <c r="AY20" s="533">
        <f t="shared" si="5"/>
        <v>0</v>
      </c>
      <c r="AZ20" s="534">
        <f t="shared" si="6"/>
        <v>0</v>
      </c>
      <c r="BA20" s="535">
        <f t="shared" si="83"/>
        <v>0</v>
      </c>
      <c r="BB20" s="536">
        <f t="shared" si="84"/>
        <v>0</v>
      </c>
      <c r="BC20" s="523">
        <f t="shared" si="85"/>
        <v>0</v>
      </c>
      <c r="BD20" s="525">
        <f t="shared" si="86"/>
        <v>0</v>
      </c>
      <c r="BE20" s="525">
        <f t="shared" si="87"/>
        <v>0</v>
      </c>
      <c r="BF20" s="525">
        <f t="shared" si="88"/>
        <v>0</v>
      </c>
      <c r="BG20" s="525">
        <f t="shared" si="89"/>
        <v>0</v>
      </c>
      <c r="BH20" s="525">
        <f t="shared" si="90"/>
        <v>0</v>
      </c>
      <c r="BI20" s="526">
        <f t="shared" si="91"/>
        <v>0</v>
      </c>
      <c r="BJ20" s="537">
        <f t="shared" si="92"/>
        <v>0</v>
      </c>
      <c r="BK20" s="538">
        <f t="shared" si="93"/>
        <v>0</v>
      </c>
      <c r="BL20" s="538">
        <f t="shared" si="94"/>
        <v>0</v>
      </c>
      <c r="BM20" s="538">
        <f t="shared" si="95"/>
        <v>0</v>
      </c>
      <c r="BN20" s="538">
        <f t="shared" si="96"/>
        <v>0</v>
      </c>
      <c r="BO20" s="538">
        <f t="shared" si="97"/>
        <v>0</v>
      </c>
      <c r="BP20" s="539">
        <f t="shared" si="98"/>
        <v>0</v>
      </c>
      <c r="BQ20" s="540">
        <f t="shared" si="99"/>
        <v>0</v>
      </c>
      <c r="BR20" s="529"/>
      <c r="BS20" s="502"/>
      <c r="BT20" s="530"/>
      <c r="BU20" s="498"/>
      <c r="BV20" s="499"/>
      <c r="BW20" s="499"/>
      <c r="BX20" s="499"/>
      <c r="BY20" s="531">
        <f t="shared" si="9"/>
        <v>0</v>
      </c>
      <c r="BZ20" s="532">
        <f t="shared" si="10"/>
        <v>0</v>
      </c>
      <c r="CA20" s="529"/>
      <c r="CB20" s="533"/>
      <c r="CC20" s="533"/>
      <c r="CD20" s="533"/>
      <c r="CE20" s="533">
        <f t="shared" si="11"/>
        <v>0</v>
      </c>
      <c r="CF20" s="534">
        <f t="shared" si="12"/>
        <v>0</v>
      </c>
      <c r="CG20" s="774">
        <f t="shared" si="100"/>
        <v>0</v>
      </c>
      <c r="CH20" s="775">
        <f t="shared" si="101"/>
        <v>0</v>
      </c>
      <c r="CI20" s="548">
        <f t="shared" si="102"/>
        <v>0</v>
      </c>
      <c r="CJ20" s="773">
        <f t="shared" si="103"/>
        <v>0</v>
      </c>
      <c r="CK20" s="773">
        <f t="shared" si="104"/>
        <v>0</v>
      </c>
      <c r="CL20" s="773">
        <f t="shared" si="105"/>
        <v>0</v>
      </c>
      <c r="CM20" s="773">
        <f t="shared" si="106"/>
        <v>0</v>
      </c>
      <c r="CN20" s="773">
        <f t="shared" si="107"/>
        <v>0</v>
      </c>
      <c r="CO20" s="626">
        <f t="shared" si="108"/>
        <v>0</v>
      </c>
      <c r="CP20" s="1145">
        <f t="shared" si="109"/>
        <v>0</v>
      </c>
      <c r="CQ20" s="1146">
        <f t="shared" si="110"/>
        <v>0</v>
      </c>
      <c r="CR20" s="1146">
        <f t="shared" si="111"/>
        <v>0</v>
      </c>
      <c r="CS20" s="1146">
        <f t="shared" si="112"/>
        <v>0</v>
      </c>
      <c r="CT20" s="1146">
        <f t="shared" si="113"/>
        <v>0</v>
      </c>
      <c r="CU20" s="1146">
        <f t="shared" si="114"/>
        <v>0</v>
      </c>
      <c r="CV20" s="1256">
        <f t="shared" si="115"/>
        <v>0</v>
      </c>
      <c r="CW20" s="1157">
        <f t="shared" si="116"/>
        <v>0</v>
      </c>
      <c r="CX20" s="529"/>
      <c r="CY20" s="502"/>
      <c r="CZ20" s="530"/>
      <c r="DA20" s="498"/>
      <c r="DB20" s="499"/>
      <c r="DC20" s="499"/>
      <c r="DD20" s="499"/>
      <c r="DE20" s="531">
        <f t="shared" si="15"/>
        <v>0</v>
      </c>
      <c r="DF20" s="532">
        <f t="shared" si="16"/>
        <v>0</v>
      </c>
      <c r="DG20" s="529"/>
      <c r="DH20" s="533"/>
      <c r="DI20" s="533"/>
      <c r="DJ20" s="533"/>
      <c r="DK20" s="533">
        <f t="shared" si="17"/>
        <v>0</v>
      </c>
      <c r="DL20" s="534">
        <f t="shared" si="18"/>
        <v>0</v>
      </c>
      <c r="DM20" s="1258">
        <f t="shared" si="19"/>
        <v>0</v>
      </c>
      <c r="DN20" s="775">
        <f t="shared" si="20"/>
        <v>0</v>
      </c>
      <c r="DO20" s="548">
        <f t="shared" si="21"/>
        <v>0</v>
      </c>
      <c r="DP20" s="773">
        <f t="shared" si="22"/>
        <v>0</v>
      </c>
      <c r="DQ20" s="773">
        <f t="shared" si="23"/>
        <v>0</v>
      </c>
      <c r="DR20" s="773">
        <f t="shared" si="24"/>
        <v>0</v>
      </c>
      <c r="DS20" s="773">
        <f t="shared" si="25"/>
        <v>0</v>
      </c>
      <c r="DT20" s="773">
        <f t="shared" si="26"/>
        <v>0</v>
      </c>
      <c r="DU20" s="526">
        <f t="shared" si="117"/>
        <v>0</v>
      </c>
      <c r="DV20" s="1145">
        <f t="shared" si="27"/>
        <v>0</v>
      </c>
      <c r="DW20" s="1146">
        <f t="shared" si="28"/>
        <v>0</v>
      </c>
      <c r="DX20" s="1146">
        <f t="shared" si="29"/>
        <v>0</v>
      </c>
      <c r="DY20" s="1146">
        <f t="shared" si="30"/>
        <v>0</v>
      </c>
      <c r="DZ20" s="1146">
        <f t="shared" si="31"/>
        <v>0</v>
      </c>
      <c r="EA20" s="1146">
        <f t="shared" si="32"/>
        <v>0</v>
      </c>
      <c r="EB20" s="539">
        <f t="shared" si="118"/>
        <v>0</v>
      </c>
      <c r="EC20" s="540">
        <f t="shared" si="119"/>
        <v>0</v>
      </c>
      <c r="ES20" s="1258">
        <f t="shared" si="33"/>
        <v>0</v>
      </c>
      <c r="ET20" s="775">
        <f t="shared" si="34"/>
        <v>0</v>
      </c>
      <c r="EU20" s="548">
        <f t="shared" si="35"/>
        <v>0</v>
      </c>
      <c r="EV20" s="773">
        <f t="shared" si="36"/>
        <v>0</v>
      </c>
      <c r="EW20" s="773">
        <f t="shared" si="37"/>
        <v>0</v>
      </c>
      <c r="EX20" s="773">
        <f t="shared" si="38"/>
        <v>0</v>
      </c>
      <c r="EY20" s="773">
        <f t="shared" si="39"/>
        <v>0</v>
      </c>
      <c r="EZ20" s="773">
        <f t="shared" si="40"/>
        <v>0</v>
      </c>
      <c r="FA20" s="626">
        <f t="shared" si="120"/>
        <v>0</v>
      </c>
      <c r="FB20" s="1145">
        <f t="shared" si="41"/>
        <v>0</v>
      </c>
      <c r="FC20" s="1146">
        <f t="shared" si="42"/>
        <v>0</v>
      </c>
      <c r="FD20" s="1146">
        <f t="shared" si="43"/>
        <v>0</v>
      </c>
      <c r="FE20" s="1146">
        <f t="shared" si="44"/>
        <v>0</v>
      </c>
      <c r="FF20" s="1146">
        <f t="shared" si="45"/>
        <v>0</v>
      </c>
      <c r="FG20" s="1146">
        <f t="shared" si="46"/>
        <v>0</v>
      </c>
      <c r="FH20" s="1256">
        <f t="shared" si="121"/>
        <v>0</v>
      </c>
      <c r="FI20" s="1157">
        <f t="shared" si="122"/>
        <v>0</v>
      </c>
      <c r="FY20" s="1258">
        <f t="shared" si="47"/>
        <v>0</v>
      </c>
      <c r="FZ20" s="775">
        <f t="shared" si="48"/>
        <v>0</v>
      </c>
      <c r="GA20" s="548">
        <f t="shared" si="49"/>
        <v>0</v>
      </c>
      <c r="GB20" s="773">
        <f t="shared" si="50"/>
        <v>0</v>
      </c>
      <c r="GC20" s="773">
        <f t="shared" si="51"/>
        <v>0</v>
      </c>
      <c r="GD20" s="773">
        <f t="shared" si="52"/>
        <v>0</v>
      </c>
      <c r="GE20" s="773">
        <f t="shared" si="53"/>
        <v>0</v>
      </c>
      <c r="GF20" s="773">
        <f t="shared" si="54"/>
        <v>0</v>
      </c>
      <c r="GG20" s="626">
        <f t="shared" si="123"/>
        <v>0</v>
      </c>
      <c r="GH20" s="1145">
        <f t="shared" si="55"/>
        <v>0</v>
      </c>
      <c r="GI20" s="1146">
        <f t="shared" si="56"/>
        <v>0</v>
      </c>
      <c r="GJ20" s="1146">
        <f t="shared" si="57"/>
        <v>0</v>
      </c>
      <c r="GK20" s="1146">
        <f t="shared" si="58"/>
        <v>0</v>
      </c>
      <c r="GL20" s="1146">
        <f t="shared" si="59"/>
        <v>0</v>
      </c>
      <c r="GM20" s="1146">
        <f t="shared" si="60"/>
        <v>0</v>
      </c>
      <c r="GN20" s="1256">
        <f t="shared" si="124"/>
        <v>0</v>
      </c>
      <c r="GO20" s="1157">
        <f t="shared" si="125"/>
        <v>0</v>
      </c>
      <c r="HE20" s="1675">
        <f t="shared" si="61"/>
        <v>0</v>
      </c>
      <c r="HF20" s="775">
        <f t="shared" si="62"/>
        <v>0</v>
      </c>
      <c r="HG20" s="548">
        <f t="shared" si="63"/>
        <v>0</v>
      </c>
      <c r="HH20" s="773">
        <f t="shared" si="64"/>
        <v>0</v>
      </c>
      <c r="HI20" s="773">
        <f t="shared" si="65"/>
        <v>0</v>
      </c>
      <c r="HJ20" s="773">
        <f t="shared" si="66"/>
        <v>0</v>
      </c>
      <c r="HK20" s="773">
        <f t="shared" si="67"/>
        <v>0</v>
      </c>
      <c r="HL20" s="773">
        <f t="shared" si="68"/>
        <v>0</v>
      </c>
      <c r="HM20" s="626">
        <f t="shared" si="126"/>
        <v>0</v>
      </c>
      <c r="HN20" s="1145">
        <f t="shared" si="69"/>
        <v>0</v>
      </c>
      <c r="HO20" s="1146">
        <f t="shared" si="70"/>
        <v>0</v>
      </c>
      <c r="HP20" s="1146">
        <f t="shared" si="71"/>
        <v>0</v>
      </c>
      <c r="HQ20" s="1146">
        <f t="shared" si="72"/>
        <v>0</v>
      </c>
      <c r="HR20" s="1146">
        <f t="shared" si="73"/>
        <v>0</v>
      </c>
      <c r="HS20" s="1146">
        <f t="shared" si="74"/>
        <v>0</v>
      </c>
      <c r="HT20" s="1256">
        <f t="shared" si="127"/>
        <v>0</v>
      </c>
      <c r="HU20" s="1157">
        <f t="shared" si="128"/>
        <v>0</v>
      </c>
    </row>
    <row r="21" spans="1:229" ht="13.5" customHeight="1" outlineLevel="1" x14ac:dyDescent="0.2">
      <c r="A21" s="474"/>
      <c r="B21" s="1412"/>
      <c r="C21" s="511">
        <v>12</v>
      </c>
      <c r="D21" s="561" t="s">
        <v>77</v>
      </c>
      <c r="E21" s="552">
        <v>22</v>
      </c>
      <c r="F21" s="515">
        <v>1574.95</v>
      </c>
      <c r="G21" s="479">
        <f t="shared" si="0"/>
        <v>71.588636363636368</v>
      </c>
      <c r="H21" s="553">
        <v>0</v>
      </c>
      <c r="I21" s="178">
        <v>0</v>
      </c>
      <c r="J21" s="481">
        <v>0</v>
      </c>
      <c r="K21" s="553">
        <v>3</v>
      </c>
      <c r="L21" s="178">
        <v>445.11</v>
      </c>
      <c r="M21" s="178">
        <f>L21/K21</f>
        <v>148.37</v>
      </c>
      <c r="N21" s="483">
        <f t="shared" si="1"/>
        <v>2020.06</v>
      </c>
      <c r="O21" s="518">
        <v>0</v>
      </c>
      <c r="P21" s="485">
        <v>9325616.8900000006</v>
      </c>
      <c r="Q21" s="518">
        <v>2012660.1396300001</v>
      </c>
      <c r="R21" s="519">
        <f t="shared" si="2"/>
        <v>11338277.029630002</v>
      </c>
      <c r="S21" s="546">
        <f t="shared" si="75"/>
        <v>11338277.029630002</v>
      </c>
      <c r="T21" s="521">
        <v>2034009.06</v>
      </c>
      <c r="U21" s="547">
        <v>0</v>
      </c>
      <c r="V21" s="547">
        <v>0</v>
      </c>
      <c r="W21" s="548">
        <v>0</v>
      </c>
      <c r="X21" s="549">
        <v>0</v>
      </c>
      <c r="Y21" s="549">
        <v>0</v>
      </c>
      <c r="Z21" s="549">
        <v>0</v>
      </c>
      <c r="AA21" s="525">
        <f t="shared" si="76"/>
        <v>0</v>
      </c>
      <c r="AB21" s="524">
        <f t="shared" si="77"/>
        <v>0</v>
      </c>
      <c r="AC21" s="526">
        <f t="shared" si="78"/>
        <v>0</v>
      </c>
      <c r="AD21" s="547">
        <v>0</v>
      </c>
      <c r="AE21" s="547">
        <v>0</v>
      </c>
      <c r="AF21" s="547">
        <v>0</v>
      </c>
      <c r="AG21" s="547">
        <v>0</v>
      </c>
      <c r="AH21" s="363">
        <f t="shared" si="79"/>
        <v>0</v>
      </c>
      <c r="AI21" s="547">
        <f t="shared" si="80"/>
        <v>0</v>
      </c>
      <c r="AJ21" s="550">
        <f t="shared" si="81"/>
        <v>0</v>
      </c>
      <c r="AK21" s="551">
        <f t="shared" si="82"/>
        <v>0</v>
      </c>
      <c r="AL21" s="529"/>
      <c r="AM21" s="502"/>
      <c r="AN21" s="530"/>
      <c r="AO21" s="498"/>
      <c r="AP21" s="499"/>
      <c r="AQ21" s="499"/>
      <c r="AR21" s="499"/>
      <c r="AS21" s="531">
        <f t="shared" si="3"/>
        <v>0</v>
      </c>
      <c r="AT21" s="532">
        <f t="shared" si="4"/>
        <v>0</v>
      </c>
      <c r="AU21" s="529">
        <v>0</v>
      </c>
      <c r="AV21" s="533">
        <v>0</v>
      </c>
      <c r="AW21" s="533">
        <v>0</v>
      </c>
      <c r="AX21" s="533">
        <v>0</v>
      </c>
      <c r="AY21" s="533">
        <f t="shared" si="5"/>
        <v>0</v>
      </c>
      <c r="AZ21" s="534">
        <f t="shared" si="6"/>
        <v>0</v>
      </c>
      <c r="BA21" s="535">
        <f t="shared" si="83"/>
        <v>0</v>
      </c>
      <c r="BB21" s="536">
        <f t="shared" si="84"/>
        <v>0</v>
      </c>
      <c r="BC21" s="523">
        <f t="shared" si="85"/>
        <v>0</v>
      </c>
      <c r="BD21" s="525">
        <f t="shared" si="86"/>
        <v>0</v>
      </c>
      <c r="BE21" s="525">
        <f t="shared" si="87"/>
        <v>0</v>
      </c>
      <c r="BF21" s="525">
        <f t="shared" si="88"/>
        <v>0</v>
      </c>
      <c r="BG21" s="525">
        <f t="shared" si="89"/>
        <v>0</v>
      </c>
      <c r="BH21" s="525">
        <f t="shared" si="90"/>
        <v>0</v>
      </c>
      <c r="BI21" s="526">
        <f t="shared" si="91"/>
        <v>0</v>
      </c>
      <c r="BJ21" s="537">
        <f t="shared" si="92"/>
        <v>0</v>
      </c>
      <c r="BK21" s="538">
        <f t="shared" si="93"/>
        <v>0</v>
      </c>
      <c r="BL21" s="538">
        <f t="shared" si="94"/>
        <v>0</v>
      </c>
      <c r="BM21" s="538">
        <f t="shared" si="95"/>
        <v>0</v>
      </c>
      <c r="BN21" s="538">
        <f t="shared" si="96"/>
        <v>0</v>
      </c>
      <c r="BO21" s="538">
        <f t="shared" si="97"/>
        <v>0</v>
      </c>
      <c r="BP21" s="539">
        <f t="shared" si="98"/>
        <v>0</v>
      </c>
      <c r="BQ21" s="540">
        <f t="shared" si="99"/>
        <v>0</v>
      </c>
      <c r="BR21" s="529"/>
      <c r="BS21" s="502"/>
      <c r="BT21" s="530"/>
      <c r="BU21" s="498"/>
      <c r="BV21" s="499"/>
      <c r="BW21" s="499"/>
      <c r="BX21" s="499"/>
      <c r="BY21" s="531">
        <f t="shared" si="9"/>
        <v>0</v>
      </c>
      <c r="BZ21" s="532">
        <f t="shared" si="10"/>
        <v>0</v>
      </c>
      <c r="CA21" s="529"/>
      <c r="CB21" s="533"/>
      <c r="CC21" s="533"/>
      <c r="CD21" s="533"/>
      <c r="CE21" s="533">
        <f t="shared" si="11"/>
        <v>0</v>
      </c>
      <c r="CF21" s="534">
        <f t="shared" si="12"/>
        <v>0</v>
      </c>
      <c r="CG21" s="774">
        <f t="shared" si="100"/>
        <v>0</v>
      </c>
      <c r="CH21" s="775">
        <f t="shared" si="101"/>
        <v>0</v>
      </c>
      <c r="CI21" s="548">
        <f t="shared" si="102"/>
        <v>0</v>
      </c>
      <c r="CJ21" s="773">
        <f t="shared" si="103"/>
        <v>0</v>
      </c>
      <c r="CK21" s="773">
        <f t="shared" si="104"/>
        <v>0</v>
      </c>
      <c r="CL21" s="773">
        <f t="shared" si="105"/>
        <v>0</v>
      </c>
      <c r="CM21" s="773">
        <f t="shared" si="106"/>
        <v>0</v>
      </c>
      <c r="CN21" s="773">
        <f t="shared" si="107"/>
        <v>0</v>
      </c>
      <c r="CO21" s="626">
        <f t="shared" si="108"/>
        <v>0</v>
      </c>
      <c r="CP21" s="1145">
        <f t="shared" si="109"/>
        <v>0</v>
      </c>
      <c r="CQ21" s="1146">
        <f t="shared" si="110"/>
        <v>0</v>
      </c>
      <c r="CR21" s="1146">
        <f t="shared" si="111"/>
        <v>0</v>
      </c>
      <c r="CS21" s="1146">
        <f t="shared" si="112"/>
        <v>0</v>
      </c>
      <c r="CT21" s="1146">
        <f t="shared" si="113"/>
        <v>0</v>
      </c>
      <c r="CU21" s="1146">
        <f t="shared" si="114"/>
        <v>0</v>
      </c>
      <c r="CV21" s="1256">
        <f t="shared" si="115"/>
        <v>0</v>
      </c>
      <c r="CW21" s="1157">
        <f t="shared" si="116"/>
        <v>0</v>
      </c>
      <c r="CX21" s="529"/>
      <c r="CY21" s="502"/>
      <c r="CZ21" s="530"/>
      <c r="DA21" s="498"/>
      <c r="DB21" s="499"/>
      <c r="DC21" s="499"/>
      <c r="DD21" s="499"/>
      <c r="DE21" s="531">
        <f t="shared" si="15"/>
        <v>0</v>
      </c>
      <c r="DF21" s="532">
        <f t="shared" si="16"/>
        <v>0</v>
      </c>
      <c r="DG21" s="529"/>
      <c r="DH21" s="533"/>
      <c r="DI21" s="533"/>
      <c r="DJ21" s="533"/>
      <c r="DK21" s="533">
        <f t="shared" si="17"/>
        <v>0</v>
      </c>
      <c r="DL21" s="534">
        <f t="shared" si="18"/>
        <v>0</v>
      </c>
      <c r="DM21" s="1258">
        <f t="shared" si="19"/>
        <v>0</v>
      </c>
      <c r="DN21" s="775">
        <f t="shared" si="20"/>
        <v>0</v>
      </c>
      <c r="DO21" s="548">
        <f t="shared" si="21"/>
        <v>0</v>
      </c>
      <c r="DP21" s="773">
        <f t="shared" si="22"/>
        <v>0</v>
      </c>
      <c r="DQ21" s="773">
        <f t="shared" si="23"/>
        <v>0</v>
      </c>
      <c r="DR21" s="773">
        <f t="shared" si="24"/>
        <v>0</v>
      </c>
      <c r="DS21" s="773">
        <f t="shared" si="25"/>
        <v>0</v>
      </c>
      <c r="DT21" s="773">
        <f t="shared" si="26"/>
        <v>0</v>
      </c>
      <c r="DU21" s="526">
        <f t="shared" si="117"/>
        <v>0</v>
      </c>
      <c r="DV21" s="1145">
        <f t="shared" si="27"/>
        <v>0</v>
      </c>
      <c r="DW21" s="1146">
        <f t="shared" si="28"/>
        <v>0</v>
      </c>
      <c r="DX21" s="1146">
        <f t="shared" si="29"/>
        <v>0</v>
      </c>
      <c r="DY21" s="1146">
        <f t="shared" si="30"/>
        <v>0</v>
      </c>
      <c r="DZ21" s="1146">
        <f t="shared" si="31"/>
        <v>0</v>
      </c>
      <c r="EA21" s="1146">
        <f t="shared" si="32"/>
        <v>0</v>
      </c>
      <c r="EB21" s="539">
        <f t="shared" si="118"/>
        <v>0</v>
      </c>
      <c r="EC21" s="540">
        <f t="shared" si="119"/>
        <v>0</v>
      </c>
      <c r="ES21" s="1258">
        <f t="shared" si="33"/>
        <v>0</v>
      </c>
      <c r="ET21" s="775">
        <f t="shared" si="34"/>
        <v>0</v>
      </c>
      <c r="EU21" s="548">
        <f t="shared" si="35"/>
        <v>0</v>
      </c>
      <c r="EV21" s="773">
        <f t="shared" si="36"/>
        <v>0</v>
      </c>
      <c r="EW21" s="773">
        <f t="shared" si="37"/>
        <v>0</v>
      </c>
      <c r="EX21" s="773">
        <f t="shared" si="38"/>
        <v>0</v>
      </c>
      <c r="EY21" s="773">
        <f t="shared" si="39"/>
        <v>0</v>
      </c>
      <c r="EZ21" s="773">
        <f t="shared" si="40"/>
        <v>0</v>
      </c>
      <c r="FA21" s="626">
        <f t="shared" si="120"/>
        <v>0</v>
      </c>
      <c r="FB21" s="1145">
        <f t="shared" si="41"/>
        <v>0</v>
      </c>
      <c r="FC21" s="1146">
        <f t="shared" si="42"/>
        <v>0</v>
      </c>
      <c r="FD21" s="1146">
        <f t="shared" si="43"/>
        <v>0</v>
      </c>
      <c r="FE21" s="1146">
        <f t="shared" si="44"/>
        <v>0</v>
      </c>
      <c r="FF21" s="1146">
        <f t="shared" si="45"/>
        <v>0</v>
      </c>
      <c r="FG21" s="1146">
        <f t="shared" si="46"/>
        <v>0</v>
      </c>
      <c r="FH21" s="1256">
        <f t="shared" si="121"/>
        <v>0</v>
      </c>
      <c r="FI21" s="1157">
        <f t="shared" si="122"/>
        <v>0</v>
      </c>
      <c r="FY21" s="1258">
        <f t="shared" si="47"/>
        <v>0</v>
      </c>
      <c r="FZ21" s="775">
        <f t="shared" si="48"/>
        <v>0</v>
      </c>
      <c r="GA21" s="548">
        <f t="shared" si="49"/>
        <v>0</v>
      </c>
      <c r="GB21" s="773">
        <f t="shared" si="50"/>
        <v>0</v>
      </c>
      <c r="GC21" s="773">
        <f t="shared" si="51"/>
        <v>0</v>
      </c>
      <c r="GD21" s="773">
        <f t="shared" si="52"/>
        <v>0</v>
      </c>
      <c r="GE21" s="773">
        <f t="shared" si="53"/>
        <v>0</v>
      </c>
      <c r="GF21" s="773">
        <f t="shared" si="54"/>
        <v>0</v>
      </c>
      <c r="GG21" s="626">
        <f t="shared" si="123"/>
        <v>0</v>
      </c>
      <c r="GH21" s="1145">
        <f t="shared" si="55"/>
        <v>0</v>
      </c>
      <c r="GI21" s="1146">
        <f t="shared" si="56"/>
        <v>0</v>
      </c>
      <c r="GJ21" s="1146">
        <f t="shared" si="57"/>
        <v>0</v>
      </c>
      <c r="GK21" s="1146">
        <f t="shared" si="58"/>
        <v>0</v>
      </c>
      <c r="GL21" s="1146">
        <f t="shared" si="59"/>
        <v>0</v>
      </c>
      <c r="GM21" s="1146">
        <f t="shared" si="60"/>
        <v>0</v>
      </c>
      <c r="GN21" s="1256">
        <f t="shared" si="124"/>
        <v>0</v>
      </c>
      <c r="GO21" s="1157">
        <f t="shared" si="125"/>
        <v>0</v>
      </c>
      <c r="HE21" s="1675">
        <f t="shared" si="61"/>
        <v>0</v>
      </c>
      <c r="HF21" s="775">
        <f t="shared" si="62"/>
        <v>0</v>
      </c>
      <c r="HG21" s="548">
        <f t="shared" si="63"/>
        <v>0</v>
      </c>
      <c r="HH21" s="773">
        <f t="shared" si="64"/>
        <v>0</v>
      </c>
      <c r="HI21" s="773">
        <f t="shared" si="65"/>
        <v>0</v>
      </c>
      <c r="HJ21" s="773">
        <f t="shared" si="66"/>
        <v>0</v>
      </c>
      <c r="HK21" s="773">
        <f t="shared" si="67"/>
        <v>0</v>
      </c>
      <c r="HL21" s="773">
        <f t="shared" si="68"/>
        <v>0</v>
      </c>
      <c r="HM21" s="626">
        <f t="shared" si="126"/>
        <v>0</v>
      </c>
      <c r="HN21" s="1145">
        <f t="shared" si="69"/>
        <v>0</v>
      </c>
      <c r="HO21" s="1146">
        <f t="shared" si="70"/>
        <v>0</v>
      </c>
      <c r="HP21" s="1146">
        <f t="shared" si="71"/>
        <v>0</v>
      </c>
      <c r="HQ21" s="1146">
        <f t="shared" si="72"/>
        <v>0</v>
      </c>
      <c r="HR21" s="1146">
        <f t="shared" si="73"/>
        <v>0</v>
      </c>
      <c r="HS21" s="1146">
        <f t="shared" si="74"/>
        <v>0</v>
      </c>
      <c r="HT21" s="1256">
        <f t="shared" si="127"/>
        <v>0</v>
      </c>
      <c r="HU21" s="1157">
        <f t="shared" si="128"/>
        <v>0</v>
      </c>
    </row>
    <row r="22" spans="1:229" ht="13.5" customHeight="1" outlineLevel="1" x14ac:dyDescent="0.2">
      <c r="A22" s="474"/>
      <c r="B22" s="1412"/>
      <c r="C22" s="511">
        <v>13</v>
      </c>
      <c r="D22" s="561" t="s">
        <v>86</v>
      </c>
      <c r="E22" s="552">
        <v>45</v>
      </c>
      <c r="F22" s="515">
        <v>3221.72</v>
      </c>
      <c r="G22" s="479">
        <f t="shared" si="0"/>
        <v>71.593777777777774</v>
      </c>
      <c r="H22" s="553">
        <v>22</v>
      </c>
      <c r="I22" s="178">
        <v>388.59</v>
      </c>
      <c r="J22" s="481">
        <f>I22/H22</f>
        <v>17.663181818181815</v>
      </c>
      <c r="K22" s="553">
        <v>16</v>
      </c>
      <c r="L22" s="178">
        <v>973.42</v>
      </c>
      <c r="M22" s="481">
        <f>L22/K22</f>
        <v>60.838749999999997</v>
      </c>
      <c r="N22" s="483">
        <f t="shared" si="1"/>
        <v>4583.7299999999996</v>
      </c>
      <c r="O22" s="518">
        <v>0</v>
      </c>
      <c r="P22" s="485">
        <v>16717976.890000001</v>
      </c>
      <c r="Q22" s="518">
        <v>4549648.7603700003</v>
      </c>
      <c r="R22" s="519">
        <f t="shared" si="2"/>
        <v>21267625.650370002</v>
      </c>
      <c r="S22" s="546">
        <f t="shared" si="75"/>
        <v>21267625.650370002</v>
      </c>
      <c r="T22" s="521">
        <v>4160771.88</v>
      </c>
      <c r="U22" s="547">
        <v>0</v>
      </c>
      <c r="V22" s="547">
        <v>0</v>
      </c>
      <c r="W22" s="548">
        <v>0</v>
      </c>
      <c r="X22" s="549">
        <v>0</v>
      </c>
      <c r="Y22" s="549">
        <v>0</v>
      </c>
      <c r="Z22" s="549">
        <v>0</v>
      </c>
      <c r="AA22" s="525">
        <f t="shared" si="76"/>
        <v>0</v>
      </c>
      <c r="AB22" s="524">
        <f t="shared" si="77"/>
        <v>0</v>
      </c>
      <c r="AC22" s="526">
        <f t="shared" si="78"/>
        <v>0</v>
      </c>
      <c r="AD22" s="547">
        <v>0</v>
      </c>
      <c r="AE22" s="547">
        <v>0</v>
      </c>
      <c r="AF22" s="547">
        <v>0</v>
      </c>
      <c r="AG22" s="547">
        <v>0</v>
      </c>
      <c r="AH22" s="363">
        <f t="shared" si="79"/>
        <v>0</v>
      </c>
      <c r="AI22" s="547">
        <f t="shared" si="80"/>
        <v>0</v>
      </c>
      <c r="AJ22" s="550">
        <f t="shared" si="81"/>
        <v>0</v>
      </c>
      <c r="AK22" s="551">
        <f t="shared" si="82"/>
        <v>0</v>
      </c>
      <c r="AL22" s="529"/>
      <c r="AM22" s="502"/>
      <c r="AN22" s="530"/>
      <c r="AO22" s="498"/>
      <c r="AP22" s="499"/>
      <c r="AQ22" s="499"/>
      <c r="AR22" s="499"/>
      <c r="AS22" s="531">
        <f t="shared" si="3"/>
        <v>0</v>
      </c>
      <c r="AT22" s="532">
        <f t="shared" si="4"/>
        <v>0</v>
      </c>
      <c r="AU22" s="529">
        <v>0</v>
      </c>
      <c r="AV22" s="533">
        <v>0</v>
      </c>
      <c r="AW22" s="533">
        <v>0</v>
      </c>
      <c r="AX22" s="533">
        <v>0</v>
      </c>
      <c r="AY22" s="533">
        <f t="shared" si="5"/>
        <v>0</v>
      </c>
      <c r="AZ22" s="534">
        <f t="shared" si="6"/>
        <v>0</v>
      </c>
      <c r="BA22" s="535">
        <f t="shared" si="83"/>
        <v>0</v>
      </c>
      <c r="BB22" s="536">
        <f t="shared" si="84"/>
        <v>0</v>
      </c>
      <c r="BC22" s="523">
        <f t="shared" si="85"/>
        <v>0</v>
      </c>
      <c r="BD22" s="525">
        <f t="shared" si="86"/>
        <v>0</v>
      </c>
      <c r="BE22" s="525">
        <f t="shared" si="87"/>
        <v>0</v>
      </c>
      <c r="BF22" s="525">
        <f t="shared" si="88"/>
        <v>0</v>
      </c>
      <c r="BG22" s="525">
        <f t="shared" si="89"/>
        <v>0</v>
      </c>
      <c r="BH22" s="525">
        <f t="shared" si="90"/>
        <v>0</v>
      </c>
      <c r="BI22" s="526">
        <f t="shared" si="91"/>
        <v>0</v>
      </c>
      <c r="BJ22" s="537">
        <f t="shared" si="92"/>
        <v>0</v>
      </c>
      <c r="BK22" s="538">
        <f t="shared" si="93"/>
        <v>0</v>
      </c>
      <c r="BL22" s="538">
        <f t="shared" si="94"/>
        <v>0</v>
      </c>
      <c r="BM22" s="538">
        <f t="shared" si="95"/>
        <v>0</v>
      </c>
      <c r="BN22" s="538">
        <f t="shared" si="96"/>
        <v>0</v>
      </c>
      <c r="BO22" s="538">
        <f t="shared" si="97"/>
        <v>0</v>
      </c>
      <c r="BP22" s="539">
        <f t="shared" si="98"/>
        <v>0</v>
      </c>
      <c r="BQ22" s="540">
        <f t="shared" si="99"/>
        <v>0</v>
      </c>
      <c r="BR22" s="529"/>
      <c r="BS22" s="502"/>
      <c r="BT22" s="530"/>
      <c r="BU22" s="498"/>
      <c r="BV22" s="499"/>
      <c r="BW22" s="499"/>
      <c r="BX22" s="499"/>
      <c r="BY22" s="531">
        <f t="shared" si="9"/>
        <v>0</v>
      </c>
      <c r="BZ22" s="532">
        <f t="shared" si="10"/>
        <v>0</v>
      </c>
      <c r="CA22" s="529"/>
      <c r="CB22" s="533"/>
      <c r="CC22" s="533"/>
      <c r="CD22" s="533"/>
      <c r="CE22" s="533">
        <f t="shared" si="11"/>
        <v>0</v>
      </c>
      <c r="CF22" s="534">
        <f t="shared" si="12"/>
        <v>0</v>
      </c>
      <c r="CG22" s="774">
        <f t="shared" si="100"/>
        <v>0</v>
      </c>
      <c r="CH22" s="775">
        <f t="shared" si="101"/>
        <v>0</v>
      </c>
      <c r="CI22" s="548">
        <f t="shared" si="102"/>
        <v>0</v>
      </c>
      <c r="CJ22" s="773">
        <f t="shared" si="103"/>
        <v>0</v>
      </c>
      <c r="CK22" s="773">
        <f t="shared" si="104"/>
        <v>0</v>
      </c>
      <c r="CL22" s="773">
        <f t="shared" si="105"/>
        <v>0</v>
      </c>
      <c r="CM22" s="773">
        <f t="shared" si="106"/>
        <v>0</v>
      </c>
      <c r="CN22" s="773">
        <f t="shared" si="107"/>
        <v>0</v>
      </c>
      <c r="CO22" s="626">
        <f t="shared" si="108"/>
        <v>0</v>
      </c>
      <c r="CP22" s="1145">
        <f t="shared" si="109"/>
        <v>0</v>
      </c>
      <c r="CQ22" s="1146">
        <f t="shared" si="110"/>
        <v>0</v>
      </c>
      <c r="CR22" s="1146">
        <f t="shared" si="111"/>
        <v>0</v>
      </c>
      <c r="CS22" s="1146">
        <f t="shared" si="112"/>
        <v>0</v>
      </c>
      <c r="CT22" s="1146">
        <f t="shared" si="113"/>
        <v>0</v>
      </c>
      <c r="CU22" s="1146">
        <f t="shared" si="114"/>
        <v>0</v>
      </c>
      <c r="CV22" s="1256">
        <f t="shared" si="115"/>
        <v>0</v>
      </c>
      <c r="CW22" s="1157">
        <f t="shared" si="116"/>
        <v>0</v>
      </c>
      <c r="CX22" s="529"/>
      <c r="CY22" s="502"/>
      <c r="CZ22" s="530"/>
      <c r="DA22" s="498"/>
      <c r="DB22" s="499"/>
      <c r="DC22" s="499"/>
      <c r="DD22" s="499"/>
      <c r="DE22" s="531">
        <f t="shared" si="15"/>
        <v>0</v>
      </c>
      <c r="DF22" s="532">
        <f t="shared" si="16"/>
        <v>0</v>
      </c>
      <c r="DG22" s="529"/>
      <c r="DH22" s="533"/>
      <c r="DI22" s="533"/>
      <c r="DJ22" s="533"/>
      <c r="DK22" s="533">
        <f t="shared" si="17"/>
        <v>0</v>
      </c>
      <c r="DL22" s="534">
        <f t="shared" si="18"/>
        <v>0</v>
      </c>
      <c r="DM22" s="1258">
        <f t="shared" si="19"/>
        <v>0</v>
      </c>
      <c r="DN22" s="775">
        <f t="shared" si="20"/>
        <v>0</v>
      </c>
      <c r="DO22" s="548">
        <f t="shared" si="21"/>
        <v>0</v>
      </c>
      <c r="DP22" s="773">
        <f t="shared" si="22"/>
        <v>0</v>
      </c>
      <c r="DQ22" s="773">
        <f t="shared" si="23"/>
        <v>0</v>
      </c>
      <c r="DR22" s="773">
        <f t="shared" si="24"/>
        <v>0</v>
      </c>
      <c r="DS22" s="773">
        <f t="shared" si="25"/>
        <v>0</v>
      </c>
      <c r="DT22" s="773">
        <f t="shared" si="26"/>
        <v>0</v>
      </c>
      <c r="DU22" s="526">
        <f t="shared" si="117"/>
        <v>0</v>
      </c>
      <c r="DV22" s="1145">
        <f t="shared" si="27"/>
        <v>0</v>
      </c>
      <c r="DW22" s="1146">
        <f t="shared" si="28"/>
        <v>0</v>
      </c>
      <c r="DX22" s="1146">
        <f t="shared" si="29"/>
        <v>0</v>
      </c>
      <c r="DY22" s="1146">
        <f t="shared" si="30"/>
        <v>0</v>
      </c>
      <c r="DZ22" s="1146">
        <f t="shared" si="31"/>
        <v>0</v>
      </c>
      <c r="EA22" s="1146">
        <f t="shared" si="32"/>
        <v>0</v>
      </c>
      <c r="EB22" s="539">
        <f t="shared" si="118"/>
        <v>0</v>
      </c>
      <c r="EC22" s="540">
        <f t="shared" si="119"/>
        <v>0</v>
      </c>
      <c r="ES22" s="1258">
        <f t="shared" si="33"/>
        <v>0</v>
      </c>
      <c r="ET22" s="775">
        <f t="shared" si="34"/>
        <v>0</v>
      </c>
      <c r="EU22" s="548">
        <f t="shared" si="35"/>
        <v>0</v>
      </c>
      <c r="EV22" s="773">
        <f t="shared" si="36"/>
        <v>0</v>
      </c>
      <c r="EW22" s="773">
        <f t="shared" si="37"/>
        <v>0</v>
      </c>
      <c r="EX22" s="773">
        <f t="shared" si="38"/>
        <v>0</v>
      </c>
      <c r="EY22" s="773">
        <f t="shared" si="39"/>
        <v>0</v>
      </c>
      <c r="EZ22" s="773">
        <f t="shared" si="40"/>
        <v>0</v>
      </c>
      <c r="FA22" s="626">
        <f t="shared" si="120"/>
        <v>0</v>
      </c>
      <c r="FB22" s="1145">
        <f t="shared" si="41"/>
        <v>0</v>
      </c>
      <c r="FC22" s="1146">
        <f t="shared" si="42"/>
        <v>0</v>
      </c>
      <c r="FD22" s="1146">
        <f t="shared" si="43"/>
        <v>0</v>
      </c>
      <c r="FE22" s="1146">
        <f t="shared" si="44"/>
        <v>0</v>
      </c>
      <c r="FF22" s="1146">
        <f t="shared" si="45"/>
        <v>0</v>
      </c>
      <c r="FG22" s="1146">
        <f t="shared" si="46"/>
        <v>0</v>
      </c>
      <c r="FH22" s="1256">
        <f t="shared" si="121"/>
        <v>0</v>
      </c>
      <c r="FI22" s="1157">
        <f t="shared" si="122"/>
        <v>0</v>
      </c>
      <c r="FY22" s="1258">
        <f t="shared" si="47"/>
        <v>0</v>
      </c>
      <c r="FZ22" s="775">
        <f t="shared" si="48"/>
        <v>0</v>
      </c>
      <c r="GA22" s="548">
        <f t="shared" si="49"/>
        <v>0</v>
      </c>
      <c r="GB22" s="773">
        <f t="shared" si="50"/>
        <v>0</v>
      </c>
      <c r="GC22" s="773">
        <f t="shared" si="51"/>
        <v>0</v>
      </c>
      <c r="GD22" s="773">
        <f t="shared" si="52"/>
        <v>0</v>
      </c>
      <c r="GE22" s="773">
        <f t="shared" si="53"/>
        <v>0</v>
      </c>
      <c r="GF22" s="773">
        <f t="shared" si="54"/>
        <v>0</v>
      </c>
      <c r="GG22" s="626">
        <f t="shared" si="123"/>
        <v>0</v>
      </c>
      <c r="GH22" s="1145">
        <f t="shared" si="55"/>
        <v>0</v>
      </c>
      <c r="GI22" s="1146">
        <f t="shared" si="56"/>
        <v>0</v>
      </c>
      <c r="GJ22" s="1146">
        <f t="shared" si="57"/>
        <v>0</v>
      </c>
      <c r="GK22" s="1146">
        <f t="shared" si="58"/>
        <v>0</v>
      </c>
      <c r="GL22" s="1146">
        <f t="shared" si="59"/>
        <v>0</v>
      </c>
      <c r="GM22" s="1146">
        <f t="shared" si="60"/>
        <v>0</v>
      </c>
      <c r="GN22" s="1256">
        <f t="shared" si="124"/>
        <v>0</v>
      </c>
      <c r="GO22" s="1157">
        <f t="shared" si="125"/>
        <v>0</v>
      </c>
      <c r="HE22" s="1675">
        <f t="shared" si="61"/>
        <v>0</v>
      </c>
      <c r="HF22" s="775">
        <f t="shared" si="62"/>
        <v>0</v>
      </c>
      <c r="HG22" s="548">
        <f t="shared" si="63"/>
        <v>0</v>
      </c>
      <c r="HH22" s="773">
        <f t="shared" si="64"/>
        <v>0</v>
      </c>
      <c r="HI22" s="773">
        <f t="shared" si="65"/>
        <v>0</v>
      </c>
      <c r="HJ22" s="773">
        <f t="shared" si="66"/>
        <v>0</v>
      </c>
      <c r="HK22" s="773">
        <f t="shared" si="67"/>
        <v>0</v>
      </c>
      <c r="HL22" s="773">
        <f t="shared" si="68"/>
        <v>0</v>
      </c>
      <c r="HM22" s="626">
        <f t="shared" si="126"/>
        <v>0</v>
      </c>
      <c r="HN22" s="1145">
        <f t="shared" si="69"/>
        <v>0</v>
      </c>
      <c r="HO22" s="1146">
        <f t="shared" si="70"/>
        <v>0</v>
      </c>
      <c r="HP22" s="1146">
        <f t="shared" si="71"/>
        <v>0</v>
      </c>
      <c r="HQ22" s="1146">
        <f t="shared" si="72"/>
        <v>0</v>
      </c>
      <c r="HR22" s="1146">
        <f t="shared" si="73"/>
        <v>0</v>
      </c>
      <c r="HS22" s="1146">
        <f t="shared" si="74"/>
        <v>0</v>
      </c>
      <c r="HT22" s="1256">
        <f t="shared" si="127"/>
        <v>0</v>
      </c>
      <c r="HU22" s="1157">
        <f t="shared" si="128"/>
        <v>0</v>
      </c>
    </row>
    <row r="23" spans="1:229" ht="13.5" customHeight="1" outlineLevel="1" x14ac:dyDescent="0.2">
      <c r="A23" s="474"/>
      <c r="B23" s="1412"/>
      <c r="C23" s="511">
        <v>14</v>
      </c>
      <c r="D23" s="512" t="s">
        <v>87</v>
      </c>
      <c r="E23" s="552">
        <v>26</v>
      </c>
      <c r="F23" s="515">
        <v>1785.11</v>
      </c>
      <c r="G23" s="543">
        <f t="shared" si="0"/>
        <v>68.658076923076919</v>
      </c>
      <c r="H23" s="553">
        <v>0</v>
      </c>
      <c r="I23" s="178">
        <v>0</v>
      </c>
      <c r="J23" s="542">
        <v>0</v>
      </c>
      <c r="K23" s="553">
        <v>2</v>
      </c>
      <c r="L23" s="178">
        <v>293.06</v>
      </c>
      <c r="M23" s="542">
        <f>L23/K23</f>
        <v>146.53</v>
      </c>
      <c r="N23" s="545">
        <f t="shared" si="1"/>
        <v>2078.17</v>
      </c>
      <c r="O23" s="518">
        <v>0</v>
      </c>
      <c r="P23" s="485">
        <v>11256972.829999998</v>
      </c>
      <c r="Q23" s="518">
        <v>0</v>
      </c>
      <c r="R23" s="519">
        <f t="shared" si="2"/>
        <v>11256972.829999998</v>
      </c>
      <c r="S23" s="546">
        <f t="shared" si="75"/>
        <v>11256972.829999998</v>
      </c>
      <c r="T23" s="521">
        <v>3174467.3</v>
      </c>
      <c r="U23" s="547">
        <v>0</v>
      </c>
      <c r="V23" s="547">
        <v>0</v>
      </c>
      <c r="W23" s="548">
        <v>0</v>
      </c>
      <c r="X23" s="549">
        <v>0</v>
      </c>
      <c r="Y23" s="549">
        <v>0</v>
      </c>
      <c r="Z23" s="549">
        <v>0</v>
      </c>
      <c r="AA23" s="525">
        <f t="shared" si="76"/>
        <v>0</v>
      </c>
      <c r="AB23" s="524">
        <f t="shared" si="77"/>
        <v>0</v>
      </c>
      <c r="AC23" s="526">
        <f t="shared" si="78"/>
        <v>0</v>
      </c>
      <c r="AD23" s="547">
        <v>0</v>
      </c>
      <c r="AE23" s="547">
        <v>0</v>
      </c>
      <c r="AF23" s="547">
        <v>0</v>
      </c>
      <c r="AG23" s="547">
        <v>0</v>
      </c>
      <c r="AH23" s="363">
        <f t="shared" si="79"/>
        <v>0</v>
      </c>
      <c r="AI23" s="547">
        <f t="shared" si="80"/>
        <v>0</v>
      </c>
      <c r="AJ23" s="550">
        <f t="shared" si="81"/>
        <v>0</v>
      </c>
      <c r="AK23" s="551">
        <f t="shared" si="82"/>
        <v>0</v>
      </c>
      <c r="AL23" s="529"/>
      <c r="AM23" s="502"/>
      <c r="AN23" s="530"/>
      <c r="AO23" s="498"/>
      <c r="AP23" s="499"/>
      <c r="AQ23" s="499"/>
      <c r="AR23" s="499"/>
      <c r="AS23" s="531">
        <f t="shared" si="3"/>
        <v>0</v>
      </c>
      <c r="AT23" s="532">
        <f t="shared" si="4"/>
        <v>0</v>
      </c>
      <c r="AU23" s="529">
        <v>0</v>
      </c>
      <c r="AV23" s="533">
        <v>0</v>
      </c>
      <c r="AW23" s="533">
        <v>0</v>
      </c>
      <c r="AX23" s="533">
        <v>0</v>
      </c>
      <c r="AY23" s="533">
        <f t="shared" si="5"/>
        <v>0</v>
      </c>
      <c r="AZ23" s="534">
        <f t="shared" si="6"/>
        <v>0</v>
      </c>
      <c r="BA23" s="535">
        <f t="shared" si="83"/>
        <v>0</v>
      </c>
      <c r="BB23" s="536">
        <f t="shared" si="84"/>
        <v>0</v>
      </c>
      <c r="BC23" s="523">
        <f t="shared" si="85"/>
        <v>0</v>
      </c>
      <c r="BD23" s="525">
        <f t="shared" si="86"/>
        <v>0</v>
      </c>
      <c r="BE23" s="525">
        <f t="shared" si="87"/>
        <v>0</v>
      </c>
      <c r="BF23" s="525">
        <f t="shared" si="88"/>
        <v>0</v>
      </c>
      <c r="BG23" s="525">
        <f t="shared" si="89"/>
        <v>0</v>
      </c>
      <c r="BH23" s="525">
        <f t="shared" si="90"/>
        <v>0</v>
      </c>
      <c r="BI23" s="526">
        <f t="shared" si="91"/>
        <v>0</v>
      </c>
      <c r="BJ23" s="537">
        <f t="shared" si="92"/>
        <v>0</v>
      </c>
      <c r="BK23" s="538">
        <f t="shared" si="93"/>
        <v>0</v>
      </c>
      <c r="BL23" s="538">
        <f t="shared" si="94"/>
        <v>0</v>
      </c>
      <c r="BM23" s="538">
        <f t="shared" si="95"/>
        <v>0</v>
      </c>
      <c r="BN23" s="538">
        <f t="shared" si="96"/>
        <v>0</v>
      </c>
      <c r="BO23" s="538">
        <f t="shared" si="97"/>
        <v>0</v>
      </c>
      <c r="BP23" s="539">
        <f t="shared" si="98"/>
        <v>0</v>
      </c>
      <c r="BQ23" s="540">
        <f t="shared" si="99"/>
        <v>0</v>
      </c>
      <c r="BR23" s="529"/>
      <c r="BS23" s="502"/>
      <c r="BT23" s="530"/>
      <c r="BU23" s="498"/>
      <c r="BV23" s="499"/>
      <c r="BW23" s="499"/>
      <c r="BX23" s="499"/>
      <c r="BY23" s="531">
        <f t="shared" si="9"/>
        <v>0</v>
      </c>
      <c r="BZ23" s="532">
        <f t="shared" si="10"/>
        <v>0</v>
      </c>
      <c r="CA23" s="529"/>
      <c r="CB23" s="533"/>
      <c r="CC23" s="533"/>
      <c r="CD23" s="533"/>
      <c r="CE23" s="533">
        <f t="shared" si="11"/>
        <v>0</v>
      </c>
      <c r="CF23" s="534">
        <f t="shared" si="12"/>
        <v>0</v>
      </c>
      <c r="CG23" s="774">
        <f t="shared" si="100"/>
        <v>0</v>
      </c>
      <c r="CH23" s="775">
        <f t="shared" si="101"/>
        <v>0</v>
      </c>
      <c r="CI23" s="548">
        <f t="shared" si="102"/>
        <v>0</v>
      </c>
      <c r="CJ23" s="773">
        <f t="shared" si="103"/>
        <v>0</v>
      </c>
      <c r="CK23" s="773">
        <f t="shared" si="104"/>
        <v>0</v>
      </c>
      <c r="CL23" s="773">
        <f t="shared" si="105"/>
        <v>0</v>
      </c>
      <c r="CM23" s="773">
        <f t="shared" si="106"/>
        <v>0</v>
      </c>
      <c r="CN23" s="773">
        <f t="shared" si="107"/>
        <v>0</v>
      </c>
      <c r="CO23" s="626">
        <f t="shared" si="108"/>
        <v>0</v>
      </c>
      <c r="CP23" s="1145">
        <f t="shared" si="109"/>
        <v>0</v>
      </c>
      <c r="CQ23" s="1146">
        <f t="shared" si="110"/>
        <v>0</v>
      </c>
      <c r="CR23" s="1146">
        <f t="shared" si="111"/>
        <v>0</v>
      </c>
      <c r="CS23" s="1146">
        <f t="shared" si="112"/>
        <v>0</v>
      </c>
      <c r="CT23" s="1146">
        <f t="shared" si="113"/>
        <v>0</v>
      </c>
      <c r="CU23" s="1146">
        <f t="shared" si="114"/>
        <v>0</v>
      </c>
      <c r="CV23" s="1256">
        <f t="shared" si="115"/>
        <v>0</v>
      </c>
      <c r="CW23" s="1157">
        <f t="shared" si="116"/>
        <v>0</v>
      </c>
      <c r="CX23" s="529"/>
      <c r="CY23" s="502"/>
      <c r="CZ23" s="530"/>
      <c r="DA23" s="498"/>
      <c r="DB23" s="499"/>
      <c r="DC23" s="499"/>
      <c r="DD23" s="499"/>
      <c r="DE23" s="531">
        <f t="shared" si="15"/>
        <v>0</v>
      </c>
      <c r="DF23" s="532">
        <f t="shared" si="16"/>
        <v>0</v>
      </c>
      <c r="DG23" s="529"/>
      <c r="DH23" s="533"/>
      <c r="DI23" s="533"/>
      <c r="DJ23" s="533"/>
      <c r="DK23" s="533">
        <f t="shared" si="17"/>
        <v>0</v>
      </c>
      <c r="DL23" s="534">
        <f t="shared" si="18"/>
        <v>0</v>
      </c>
      <c r="DM23" s="1258">
        <f t="shared" si="19"/>
        <v>0</v>
      </c>
      <c r="DN23" s="775">
        <f t="shared" si="20"/>
        <v>0</v>
      </c>
      <c r="DO23" s="548">
        <f t="shared" si="21"/>
        <v>0</v>
      </c>
      <c r="DP23" s="773">
        <f t="shared" si="22"/>
        <v>0</v>
      </c>
      <c r="DQ23" s="773">
        <f t="shared" si="23"/>
        <v>0</v>
      </c>
      <c r="DR23" s="773">
        <f t="shared" si="24"/>
        <v>0</v>
      </c>
      <c r="DS23" s="773">
        <f t="shared" si="25"/>
        <v>0</v>
      </c>
      <c r="DT23" s="773">
        <f t="shared" si="26"/>
        <v>0</v>
      </c>
      <c r="DU23" s="526">
        <f t="shared" si="117"/>
        <v>0</v>
      </c>
      <c r="DV23" s="1145">
        <f t="shared" si="27"/>
        <v>0</v>
      </c>
      <c r="DW23" s="1146">
        <f t="shared" si="28"/>
        <v>0</v>
      </c>
      <c r="DX23" s="1146">
        <f t="shared" si="29"/>
        <v>0</v>
      </c>
      <c r="DY23" s="1146">
        <f t="shared" si="30"/>
        <v>0</v>
      </c>
      <c r="DZ23" s="1146">
        <f t="shared" si="31"/>
        <v>0</v>
      </c>
      <c r="EA23" s="1146">
        <f t="shared" si="32"/>
        <v>0</v>
      </c>
      <c r="EB23" s="539">
        <f t="shared" si="118"/>
        <v>0</v>
      </c>
      <c r="EC23" s="540">
        <f t="shared" si="119"/>
        <v>0</v>
      </c>
      <c r="ES23" s="1258">
        <f t="shared" si="33"/>
        <v>0</v>
      </c>
      <c r="ET23" s="775">
        <f t="shared" si="34"/>
        <v>0</v>
      </c>
      <c r="EU23" s="548">
        <f t="shared" si="35"/>
        <v>0</v>
      </c>
      <c r="EV23" s="773">
        <f t="shared" si="36"/>
        <v>0</v>
      </c>
      <c r="EW23" s="773">
        <f t="shared" si="37"/>
        <v>0</v>
      </c>
      <c r="EX23" s="773">
        <f t="shared" si="38"/>
        <v>0</v>
      </c>
      <c r="EY23" s="773">
        <f t="shared" si="39"/>
        <v>0</v>
      </c>
      <c r="EZ23" s="773">
        <f t="shared" si="40"/>
        <v>0</v>
      </c>
      <c r="FA23" s="626">
        <f t="shared" si="120"/>
        <v>0</v>
      </c>
      <c r="FB23" s="1145">
        <f t="shared" si="41"/>
        <v>0</v>
      </c>
      <c r="FC23" s="1146">
        <f t="shared" si="42"/>
        <v>0</v>
      </c>
      <c r="FD23" s="1146">
        <f t="shared" si="43"/>
        <v>0</v>
      </c>
      <c r="FE23" s="1146">
        <f t="shared" si="44"/>
        <v>0</v>
      </c>
      <c r="FF23" s="1146">
        <f t="shared" si="45"/>
        <v>0</v>
      </c>
      <c r="FG23" s="1146">
        <f t="shared" si="46"/>
        <v>0</v>
      </c>
      <c r="FH23" s="1256">
        <f t="shared" si="121"/>
        <v>0</v>
      </c>
      <c r="FI23" s="1157">
        <f t="shared" si="122"/>
        <v>0</v>
      </c>
      <c r="FY23" s="1258">
        <f t="shared" si="47"/>
        <v>0</v>
      </c>
      <c r="FZ23" s="775">
        <f t="shared" si="48"/>
        <v>0</v>
      </c>
      <c r="GA23" s="548">
        <f t="shared" si="49"/>
        <v>0</v>
      </c>
      <c r="GB23" s="773">
        <f t="shared" si="50"/>
        <v>0</v>
      </c>
      <c r="GC23" s="773">
        <f t="shared" si="51"/>
        <v>0</v>
      </c>
      <c r="GD23" s="773">
        <f t="shared" si="52"/>
        <v>0</v>
      </c>
      <c r="GE23" s="773">
        <f t="shared" si="53"/>
        <v>0</v>
      </c>
      <c r="GF23" s="773">
        <f t="shared" si="54"/>
        <v>0</v>
      </c>
      <c r="GG23" s="626">
        <f t="shared" si="123"/>
        <v>0</v>
      </c>
      <c r="GH23" s="1145">
        <f t="shared" si="55"/>
        <v>0</v>
      </c>
      <c r="GI23" s="1146">
        <f t="shared" si="56"/>
        <v>0</v>
      </c>
      <c r="GJ23" s="1146">
        <f t="shared" si="57"/>
        <v>0</v>
      </c>
      <c r="GK23" s="1146">
        <f t="shared" si="58"/>
        <v>0</v>
      </c>
      <c r="GL23" s="1146">
        <f t="shared" si="59"/>
        <v>0</v>
      </c>
      <c r="GM23" s="1146">
        <f t="shared" si="60"/>
        <v>0</v>
      </c>
      <c r="GN23" s="1256">
        <f t="shared" si="124"/>
        <v>0</v>
      </c>
      <c r="GO23" s="1157">
        <f t="shared" si="125"/>
        <v>0</v>
      </c>
      <c r="HE23" s="1675">
        <f t="shared" si="61"/>
        <v>0</v>
      </c>
      <c r="HF23" s="775">
        <f t="shared" si="62"/>
        <v>0</v>
      </c>
      <c r="HG23" s="548">
        <f t="shared" si="63"/>
        <v>0</v>
      </c>
      <c r="HH23" s="773">
        <f t="shared" si="64"/>
        <v>0</v>
      </c>
      <c r="HI23" s="773">
        <f t="shared" si="65"/>
        <v>0</v>
      </c>
      <c r="HJ23" s="773">
        <f t="shared" si="66"/>
        <v>0</v>
      </c>
      <c r="HK23" s="773">
        <f t="shared" si="67"/>
        <v>0</v>
      </c>
      <c r="HL23" s="773">
        <f t="shared" si="68"/>
        <v>0</v>
      </c>
      <c r="HM23" s="626">
        <f t="shared" si="126"/>
        <v>0</v>
      </c>
      <c r="HN23" s="1145">
        <f t="shared" si="69"/>
        <v>0</v>
      </c>
      <c r="HO23" s="1146">
        <f t="shared" si="70"/>
        <v>0</v>
      </c>
      <c r="HP23" s="1146">
        <f t="shared" si="71"/>
        <v>0</v>
      </c>
      <c r="HQ23" s="1146">
        <f t="shared" si="72"/>
        <v>0</v>
      </c>
      <c r="HR23" s="1146">
        <f t="shared" si="73"/>
        <v>0</v>
      </c>
      <c r="HS23" s="1146">
        <f t="shared" si="74"/>
        <v>0</v>
      </c>
      <c r="HT23" s="1256">
        <f t="shared" si="127"/>
        <v>0</v>
      </c>
      <c r="HU23" s="1157">
        <f t="shared" si="128"/>
        <v>0</v>
      </c>
    </row>
    <row r="24" spans="1:229" ht="13.5" customHeight="1" outlineLevel="1" x14ac:dyDescent="0.2">
      <c r="A24" s="474"/>
      <c r="B24" s="1412"/>
      <c r="C24" s="511">
        <v>15</v>
      </c>
      <c r="D24" s="562" t="s">
        <v>58</v>
      </c>
      <c r="E24" s="513">
        <v>30</v>
      </c>
      <c r="F24" s="514">
        <v>1777.7</v>
      </c>
      <c r="G24" s="543">
        <f t="shared" si="0"/>
        <v>59.256666666666668</v>
      </c>
      <c r="H24" s="516">
        <v>0</v>
      </c>
      <c r="I24" s="258">
        <v>0</v>
      </c>
      <c r="J24" s="542">
        <v>0</v>
      </c>
      <c r="K24" s="516">
        <v>0</v>
      </c>
      <c r="L24" s="258">
        <v>0</v>
      </c>
      <c r="M24" s="542">
        <v>0</v>
      </c>
      <c r="N24" s="563">
        <f t="shared" si="1"/>
        <v>1777.7</v>
      </c>
      <c r="O24" s="518">
        <v>0</v>
      </c>
      <c r="P24" s="485">
        <v>8218839.2299999986</v>
      </c>
      <c r="Q24" s="518">
        <v>1644372.5</v>
      </c>
      <c r="R24" s="519">
        <f t="shared" si="2"/>
        <v>9863211.7299999986</v>
      </c>
      <c r="S24" s="546">
        <f t="shared" si="75"/>
        <v>9863211.7299999986</v>
      </c>
      <c r="T24" s="521">
        <v>2209480.06</v>
      </c>
      <c r="U24" s="547">
        <v>0</v>
      </c>
      <c r="V24" s="547">
        <v>0</v>
      </c>
      <c r="W24" s="548">
        <v>0</v>
      </c>
      <c r="X24" s="549">
        <v>0</v>
      </c>
      <c r="Y24" s="549">
        <v>0</v>
      </c>
      <c r="Z24" s="549">
        <v>0</v>
      </c>
      <c r="AA24" s="525">
        <f t="shared" si="76"/>
        <v>0</v>
      </c>
      <c r="AB24" s="524">
        <f t="shared" si="77"/>
        <v>0</v>
      </c>
      <c r="AC24" s="526">
        <f t="shared" si="78"/>
        <v>0</v>
      </c>
      <c r="AD24" s="547">
        <v>0</v>
      </c>
      <c r="AE24" s="547">
        <v>0</v>
      </c>
      <c r="AF24" s="547">
        <v>0</v>
      </c>
      <c r="AG24" s="547">
        <v>0</v>
      </c>
      <c r="AH24" s="363">
        <f t="shared" si="79"/>
        <v>0</v>
      </c>
      <c r="AI24" s="547">
        <f t="shared" si="80"/>
        <v>0</v>
      </c>
      <c r="AJ24" s="550">
        <f t="shared" si="81"/>
        <v>0</v>
      </c>
      <c r="AK24" s="551">
        <f t="shared" si="82"/>
        <v>0</v>
      </c>
      <c r="AL24" s="529"/>
      <c r="AM24" s="502"/>
      <c r="AN24" s="530"/>
      <c r="AO24" s="498"/>
      <c r="AP24" s="499"/>
      <c r="AQ24" s="499"/>
      <c r="AR24" s="499"/>
      <c r="AS24" s="531">
        <f t="shared" si="3"/>
        <v>0</v>
      </c>
      <c r="AT24" s="532">
        <f t="shared" si="4"/>
        <v>0</v>
      </c>
      <c r="AU24" s="529">
        <v>0</v>
      </c>
      <c r="AV24" s="533">
        <v>0</v>
      </c>
      <c r="AW24" s="533">
        <v>0</v>
      </c>
      <c r="AX24" s="533">
        <v>0</v>
      </c>
      <c r="AY24" s="533">
        <f t="shared" si="5"/>
        <v>0</v>
      </c>
      <c r="AZ24" s="534">
        <f t="shared" si="6"/>
        <v>0</v>
      </c>
      <c r="BA24" s="535">
        <f t="shared" si="83"/>
        <v>0</v>
      </c>
      <c r="BB24" s="536">
        <f t="shared" si="84"/>
        <v>0</v>
      </c>
      <c r="BC24" s="523">
        <f t="shared" si="85"/>
        <v>0</v>
      </c>
      <c r="BD24" s="525">
        <f t="shared" si="86"/>
        <v>0</v>
      </c>
      <c r="BE24" s="525">
        <f t="shared" si="87"/>
        <v>0</v>
      </c>
      <c r="BF24" s="525">
        <f t="shared" si="88"/>
        <v>0</v>
      </c>
      <c r="BG24" s="525">
        <f t="shared" si="89"/>
        <v>0</v>
      </c>
      <c r="BH24" s="525">
        <f t="shared" si="90"/>
        <v>0</v>
      </c>
      <c r="BI24" s="526">
        <f t="shared" si="91"/>
        <v>0</v>
      </c>
      <c r="BJ24" s="537">
        <f t="shared" si="92"/>
        <v>0</v>
      </c>
      <c r="BK24" s="538">
        <f t="shared" si="93"/>
        <v>0</v>
      </c>
      <c r="BL24" s="538">
        <f t="shared" si="94"/>
        <v>0</v>
      </c>
      <c r="BM24" s="538">
        <f t="shared" si="95"/>
        <v>0</v>
      </c>
      <c r="BN24" s="538">
        <f t="shared" si="96"/>
        <v>0</v>
      </c>
      <c r="BO24" s="538">
        <f t="shared" si="97"/>
        <v>0</v>
      </c>
      <c r="BP24" s="539">
        <f t="shared" si="98"/>
        <v>0</v>
      </c>
      <c r="BQ24" s="540">
        <f t="shared" si="99"/>
        <v>0</v>
      </c>
      <c r="BR24" s="529"/>
      <c r="BS24" s="502"/>
      <c r="BT24" s="530"/>
      <c r="BU24" s="498"/>
      <c r="BV24" s="499"/>
      <c r="BW24" s="499"/>
      <c r="BX24" s="499"/>
      <c r="BY24" s="531">
        <f t="shared" si="9"/>
        <v>0</v>
      </c>
      <c r="BZ24" s="532">
        <f t="shared" si="10"/>
        <v>0</v>
      </c>
      <c r="CA24" s="529"/>
      <c r="CB24" s="533"/>
      <c r="CC24" s="533"/>
      <c r="CD24" s="533"/>
      <c r="CE24" s="533">
        <f t="shared" si="11"/>
        <v>0</v>
      </c>
      <c r="CF24" s="534">
        <f t="shared" si="12"/>
        <v>0</v>
      </c>
      <c r="CG24" s="774">
        <f t="shared" si="100"/>
        <v>0</v>
      </c>
      <c r="CH24" s="775">
        <f t="shared" si="101"/>
        <v>0</v>
      </c>
      <c r="CI24" s="548">
        <f t="shared" si="102"/>
        <v>0</v>
      </c>
      <c r="CJ24" s="773">
        <f t="shared" si="103"/>
        <v>0</v>
      </c>
      <c r="CK24" s="773">
        <f t="shared" si="104"/>
        <v>0</v>
      </c>
      <c r="CL24" s="773">
        <f t="shared" si="105"/>
        <v>0</v>
      </c>
      <c r="CM24" s="773">
        <f t="shared" si="106"/>
        <v>0</v>
      </c>
      <c r="CN24" s="773">
        <f t="shared" si="107"/>
        <v>0</v>
      </c>
      <c r="CO24" s="626">
        <f t="shared" si="108"/>
        <v>0</v>
      </c>
      <c r="CP24" s="1145">
        <f t="shared" si="109"/>
        <v>0</v>
      </c>
      <c r="CQ24" s="1146">
        <f t="shared" si="110"/>
        <v>0</v>
      </c>
      <c r="CR24" s="1146">
        <f t="shared" si="111"/>
        <v>0</v>
      </c>
      <c r="CS24" s="1146">
        <f t="shared" si="112"/>
        <v>0</v>
      </c>
      <c r="CT24" s="1146">
        <f t="shared" si="113"/>
        <v>0</v>
      </c>
      <c r="CU24" s="1146">
        <f t="shared" si="114"/>
        <v>0</v>
      </c>
      <c r="CV24" s="1256">
        <f t="shared" si="115"/>
        <v>0</v>
      </c>
      <c r="CW24" s="1157">
        <f t="shared" si="116"/>
        <v>0</v>
      </c>
      <c r="CX24" s="529"/>
      <c r="CY24" s="502"/>
      <c r="CZ24" s="530"/>
      <c r="DA24" s="498"/>
      <c r="DB24" s="499"/>
      <c r="DC24" s="499"/>
      <c r="DD24" s="499"/>
      <c r="DE24" s="531">
        <f t="shared" si="15"/>
        <v>0</v>
      </c>
      <c r="DF24" s="532">
        <f t="shared" si="16"/>
        <v>0</v>
      </c>
      <c r="DG24" s="529"/>
      <c r="DH24" s="533"/>
      <c r="DI24" s="533"/>
      <c r="DJ24" s="533"/>
      <c r="DK24" s="533">
        <f t="shared" si="17"/>
        <v>0</v>
      </c>
      <c r="DL24" s="534">
        <f t="shared" si="18"/>
        <v>0</v>
      </c>
      <c r="DM24" s="1258">
        <f t="shared" si="19"/>
        <v>0</v>
      </c>
      <c r="DN24" s="775">
        <f t="shared" si="20"/>
        <v>0</v>
      </c>
      <c r="DO24" s="548">
        <f t="shared" si="21"/>
        <v>0</v>
      </c>
      <c r="DP24" s="773">
        <f t="shared" si="22"/>
        <v>0</v>
      </c>
      <c r="DQ24" s="773">
        <f t="shared" si="23"/>
        <v>0</v>
      </c>
      <c r="DR24" s="773">
        <f t="shared" si="24"/>
        <v>0</v>
      </c>
      <c r="DS24" s="773">
        <f t="shared" si="25"/>
        <v>0</v>
      </c>
      <c r="DT24" s="773">
        <f t="shared" si="26"/>
        <v>0</v>
      </c>
      <c r="DU24" s="526">
        <f t="shared" si="117"/>
        <v>0</v>
      </c>
      <c r="DV24" s="1145">
        <f t="shared" si="27"/>
        <v>0</v>
      </c>
      <c r="DW24" s="1146">
        <f t="shared" si="28"/>
        <v>0</v>
      </c>
      <c r="DX24" s="1146">
        <f t="shared" si="29"/>
        <v>0</v>
      </c>
      <c r="DY24" s="1146">
        <f t="shared" si="30"/>
        <v>0</v>
      </c>
      <c r="DZ24" s="1146">
        <f t="shared" si="31"/>
        <v>0</v>
      </c>
      <c r="EA24" s="1146">
        <f t="shared" si="32"/>
        <v>0</v>
      </c>
      <c r="EB24" s="539">
        <f t="shared" si="118"/>
        <v>0</v>
      </c>
      <c r="EC24" s="540">
        <f t="shared" si="119"/>
        <v>0</v>
      </c>
      <c r="ES24" s="1258">
        <f t="shared" si="33"/>
        <v>0</v>
      </c>
      <c r="ET24" s="775">
        <f t="shared" si="34"/>
        <v>0</v>
      </c>
      <c r="EU24" s="548">
        <f t="shared" si="35"/>
        <v>0</v>
      </c>
      <c r="EV24" s="773">
        <f t="shared" si="36"/>
        <v>0</v>
      </c>
      <c r="EW24" s="773">
        <f t="shared" si="37"/>
        <v>0</v>
      </c>
      <c r="EX24" s="773">
        <f t="shared" si="38"/>
        <v>0</v>
      </c>
      <c r="EY24" s="773">
        <f t="shared" si="39"/>
        <v>0</v>
      </c>
      <c r="EZ24" s="773">
        <f t="shared" si="40"/>
        <v>0</v>
      </c>
      <c r="FA24" s="626">
        <f t="shared" si="120"/>
        <v>0</v>
      </c>
      <c r="FB24" s="1145">
        <f t="shared" si="41"/>
        <v>0</v>
      </c>
      <c r="FC24" s="1146">
        <f t="shared" si="42"/>
        <v>0</v>
      </c>
      <c r="FD24" s="1146">
        <f t="shared" si="43"/>
        <v>0</v>
      </c>
      <c r="FE24" s="1146">
        <f t="shared" si="44"/>
        <v>0</v>
      </c>
      <c r="FF24" s="1146">
        <f t="shared" si="45"/>
        <v>0</v>
      </c>
      <c r="FG24" s="1146">
        <f t="shared" si="46"/>
        <v>0</v>
      </c>
      <c r="FH24" s="1256">
        <f t="shared" si="121"/>
        <v>0</v>
      </c>
      <c r="FI24" s="1157">
        <f t="shared" si="122"/>
        <v>0</v>
      </c>
      <c r="FY24" s="1258">
        <f t="shared" si="47"/>
        <v>0</v>
      </c>
      <c r="FZ24" s="775">
        <f t="shared" si="48"/>
        <v>0</v>
      </c>
      <c r="GA24" s="548">
        <f t="shared" si="49"/>
        <v>0</v>
      </c>
      <c r="GB24" s="773">
        <f t="shared" si="50"/>
        <v>0</v>
      </c>
      <c r="GC24" s="773">
        <f t="shared" si="51"/>
        <v>0</v>
      </c>
      <c r="GD24" s="773">
        <f t="shared" si="52"/>
        <v>0</v>
      </c>
      <c r="GE24" s="773">
        <f t="shared" si="53"/>
        <v>0</v>
      </c>
      <c r="GF24" s="773">
        <f t="shared" si="54"/>
        <v>0</v>
      </c>
      <c r="GG24" s="626">
        <f t="shared" si="123"/>
        <v>0</v>
      </c>
      <c r="GH24" s="1145">
        <f t="shared" si="55"/>
        <v>0</v>
      </c>
      <c r="GI24" s="1146">
        <f t="shared" si="56"/>
        <v>0</v>
      </c>
      <c r="GJ24" s="1146">
        <f t="shared" si="57"/>
        <v>0</v>
      </c>
      <c r="GK24" s="1146">
        <f t="shared" si="58"/>
        <v>0</v>
      </c>
      <c r="GL24" s="1146">
        <f t="shared" si="59"/>
        <v>0</v>
      </c>
      <c r="GM24" s="1146">
        <f t="shared" si="60"/>
        <v>0</v>
      </c>
      <c r="GN24" s="1256">
        <f t="shared" si="124"/>
        <v>0</v>
      </c>
      <c r="GO24" s="1157">
        <f t="shared" si="125"/>
        <v>0</v>
      </c>
      <c r="HE24" s="1675">
        <f t="shared" si="61"/>
        <v>0</v>
      </c>
      <c r="HF24" s="775">
        <f t="shared" si="62"/>
        <v>0</v>
      </c>
      <c r="HG24" s="548">
        <f t="shared" si="63"/>
        <v>0</v>
      </c>
      <c r="HH24" s="773">
        <f t="shared" si="64"/>
        <v>0</v>
      </c>
      <c r="HI24" s="773">
        <f t="shared" si="65"/>
        <v>0</v>
      </c>
      <c r="HJ24" s="773">
        <f t="shared" si="66"/>
        <v>0</v>
      </c>
      <c r="HK24" s="773">
        <f t="shared" si="67"/>
        <v>0</v>
      </c>
      <c r="HL24" s="773">
        <f t="shared" si="68"/>
        <v>0</v>
      </c>
      <c r="HM24" s="626">
        <f t="shared" si="126"/>
        <v>0</v>
      </c>
      <c r="HN24" s="1145">
        <f t="shared" si="69"/>
        <v>0</v>
      </c>
      <c r="HO24" s="1146">
        <f t="shared" si="70"/>
        <v>0</v>
      </c>
      <c r="HP24" s="1146">
        <f t="shared" si="71"/>
        <v>0</v>
      </c>
      <c r="HQ24" s="1146">
        <f t="shared" si="72"/>
        <v>0</v>
      </c>
      <c r="HR24" s="1146">
        <f t="shared" si="73"/>
        <v>0</v>
      </c>
      <c r="HS24" s="1146">
        <f t="shared" si="74"/>
        <v>0</v>
      </c>
      <c r="HT24" s="1256">
        <f t="shared" si="127"/>
        <v>0</v>
      </c>
      <c r="HU24" s="1157">
        <f t="shared" si="128"/>
        <v>0</v>
      </c>
    </row>
    <row r="25" spans="1:229" ht="13.5" customHeight="1" outlineLevel="1" x14ac:dyDescent="0.2">
      <c r="A25" s="474"/>
      <c r="B25" s="1412"/>
      <c r="C25" s="511">
        <v>16</v>
      </c>
      <c r="D25" s="512" t="s">
        <v>59</v>
      </c>
      <c r="E25" s="513">
        <v>15</v>
      </c>
      <c r="F25" s="514">
        <v>1177.06</v>
      </c>
      <c r="G25" s="543">
        <f t="shared" si="0"/>
        <v>78.470666666666659</v>
      </c>
      <c r="H25" s="516">
        <v>0</v>
      </c>
      <c r="I25" s="258">
        <v>0</v>
      </c>
      <c r="J25" s="542">
        <v>0</v>
      </c>
      <c r="K25" s="516">
        <v>0</v>
      </c>
      <c r="L25" s="258">
        <v>0</v>
      </c>
      <c r="M25" s="542">
        <v>0</v>
      </c>
      <c r="N25" s="545">
        <f t="shared" si="1"/>
        <v>1177.06</v>
      </c>
      <c r="O25" s="518">
        <v>0</v>
      </c>
      <c r="P25" s="485">
        <v>5801838.75</v>
      </c>
      <c r="Q25" s="518">
        <v>142265</v>
      </c>
      <c r="R25" s="519">
        <f t="shared" si="2"/>
        <v>5944103.75</v>
      </c>
      <c r="S25" s="546">
        <f t="shared" si="75"/>
        <v>5944103.75</v>
      </c>
      <c r="T25" s="521">
        <v>1734640.46</v>
      </c>
      <c r="U25" s="547">
        <v>0</v>
      </c>
      <c r="V25" s="547">
        <v>0</v>
      </c>
      <c r="W25" s="548">
        <v>0</v>
      </c>
      <c r="X25" s="549">
        <v>0</v>
      </c>
      <c r="Y25" s="549">
        <v>0</v>
      </c>
      <c r="Z25" s="549">
        <v>0</v>
      </c>
      <c r="AA25" s="525">
        <f t="shared" si="76"/>
        <v>0</v>
      </c>
      <c r="AB25" s="524">
        <f t="shared" si="77"/>
        <v>0</v>
      </c>
      <c r="AC25" s="526">
        <f t="shared" si="78"/>
        <v>0</v>
      </c>
      <c r="AD25" s="547">
        <v>0</v>
      </c>
      <c r="AE25" s="547">
        <v>0</v>
      </c>
      <c r="AF25" s="547">
        <v>0</v>
      </c>
      <c r="AG25" s="547">
        <v>0</v>
      </c>
      <c r="AH25" s="363">
        <f t="shared" si="79"/>
        <v>0</v>
      </c>
      <c r="AI25" s="547">
        <f t="shared" si="80"/>
        <v>0</v>
      </c>
      <c r="AJ25" s="550">
        <f t="shared" si="81"/>
        <v>0</v>
      </c>
      <c r="AK25" s="551">
        <f t="shared" si="82"/>
        <v>0</v>
      </c>
      <c r="AL25" s="529"/>
      <c r="AM25" s="502"/>
      <c r="AN25" s="530"/>
      <c r="AO25" s="498"/>
      <c r="AP25" s="499"/>
      <c r="AQ25" s="499"/>
      <c r="AR25" s="499"/>
      <c r="AS25" s="531">
        <f t="shared" si="3"/>
        <v>0</v>
      </c>
      <c r="AT25" s="532">
        <f t="shared" si="4"/>
        <v>0</v>
      </c>
      <c r="AU25" s="529">
        <v>0</v>
      </c>
      <c r="AV25" s="533">
        <v>0</v>
      </c>
      <c r="AW25" s="533">
        <v>0</v>
      </c>
      <c r="AX25" s="533">
        <v>0</v>
      </c>
      <c r="AY25" s="533">
        <f t="shared" si="5"/>
        <v>0</v>
      </c>
      <c r="AZ25" s="534">
        <f t="shared" si="6"/>
        <v>0</v>
      </c>
      <c r="BA25" s="535">
        <f t="shared" si="83"/>
        <v>0</v>
      </c>
      <c r="BB25" s="536">
        <f t="shared" si="84"/>
        <v>0</v>
      </c>
      <c r="BC25" s="523">
        <f t="shared" si="85"/>
        <v>0</v>
      </c>
      <c r="BD25" s="525">
        <f t="shared" si="86"/>
        <v>0</v>
      </c>
      <c r="BE25" s="525">
        <f t="shared" si="87"/>
        <v>0</v>
      </c>
      <c r="BF25" s="525">
        <f t="shared" si="88"/>
        <v>0</v>
      </c>
      <c r="BG25" s="525">
        <f t="shared" si="89"/>
        <v>0</v>
      </c>
      <c r="BH25" s="525">
        <f t="shared" si="90"/>
        <v>0</v>
      </c>
      <c r="BI25" s="526">
        <f t="shared" si="91"/>
        <v>0</v>
      </c>
      <c r="BJ25" s="537">
        <f t="shared" si="92"/>
        <v>0</v>
      </c>
      <c r="BK25" s="538">
        <f t="shared" si="93"/>
        <v>0</v>
      </c>
      <c r="BL25" s="538">
        <f t="shared" si="94"/>
        <v>0</v>
      </c>
      <c r="BM25" s="538">
        <f t="shared" si="95"/>
        <v>0</v>
      </c>
      <c r="BN25" s="538">
        <f t="shared" si="96"/>
        <v>0</v>
      </c>
      <c r="BO25" s="538">
        <f t="shared" si="97"/>
        <v>0</v>
      </c>
      <c r="BP25" s="539">
        <f t="shared" si="98"/>
        <v>0</v>
      </c>
      <c r="BQ25" s="540">
        <f t="shared" si="99"/>
        <v>0</v>
      </c>
      <c r="BR25" s="529"/>
      <c r="BS25" s="502"/>
      <c r="BT25" s="530"/>
      <c r="BU25" s="498"/>
      <c r="BV25" s="499"/>
      <c r="BW25" s="499"/>
      <c r="BX25" s="499"/>
      <c r="BY25" s="531">
        <f t="shared" si="9"/>
        <v>0</v>
      </c>
      <c r="BZ25" s="532">
        <f t="shared" si="10"/>
        <v>0</v>
      </c>
      <c r="CA25" s="529"/>
      <c r="CB25" s="533"/>
      <c r="CC25" s="533"/>
      <c r="CD25" s="533"/>
      <c r="CE25" s="533">
        <f t="shared" si="11"/>
        <v>0</v>
      </c>
      <c r="CF25" s="534">
        <f t="shared" si="12"/>
        <v>0</v>
      </c>
      <c r="CG25" s="774">
        <f t="shared" si="100"/>
        <v>0</v>
      </c>
      <c r="CH25" s="775">
        <f t="shared" si="101"/>
        <v>0</v>
      </c>
      <c r="CI25" s="548">
        <f t="shared" si="102"/>
        <v>0</v>
      </c>
      <c r="CJ25" s="773">
        <f t="shared" si="103"/>
        <v>0</v>
      </c>
      <c r="CK25" s="773">
        <f t="shared" si="104"/>
        <v>0</v>
      </c>
      <c r="CL25" s="773">
        <f t="shared" si="105"/>
        <v>0</v>
      </c>
      <c r="CM25" s="773">
        <f t="shared" si="106"/>
        <v>0</v>
      </c>
      <c r="CN25" s="773">
        <f t="shared" si="107"/>
        <v>0</v>
      </c>
      <c r="CO25" s="626">
        <f t="shared" si="108"/>
        <v>0</v>
      </c>
      <c r="CP25" s="1145">
        <f t="shared" si="109"/>
        <v>0</v>
      </c>
      <c r="CQ25" s="1146">
        <f t="shared" si="110"/>
        <v>0</v>
      </c>
      <c r="CR25" s="1146">
        <f t="shared" si="111"/>
        <v>0</v>
      </c>
      <c r="CS25" s="1146">
        <f t="shared" si="112"/>
        <v>0</v>
      </c>
      <c r="CT25" s="1146">
        <f t="shared" si="113"/>
        <v>0</v>
      </c>
      <c r="CU25" s="1146">
        <f t="shared" si="114"/>
        <v>0</v>
      </c>
      <c r="CV25" s="1256">
        <f t="shared" si="115"/>
        <v>0</v>
      </c>
      <c r="CW25" s="1157">
        <f t="shared" si="116"/>
        <v>0</v>
      </c>
      <c r="CX25" s="529"/>
      <c r="CY25" s="502"/>
      <c r="CZ25" s="530"/>
      <c r="DA25" s="498"/>
      <c r="DB25" s="499"/>
      <c r="DC25" s="499"/>
      <c r="DD25" s="499"/>
      <c r="DE25" s="531">
        <f t="shared" si="15"/>
        <v>0</v>
      </c>
      <c r="DF25" s="532">
        <f t="shared" si="16"/>
        <v>0</v>
      </c>
      <c r="DG25" s="529"/>
      <c r="DH25" s="533"/>
      <c r="DI25" s="533"/>
      <c r="DJ25" s="533"/>
      <c r="DK25" s="533">
        <f t="shared" si="17"/>
        <v>0</v>
      </c>
      <c r="DL25" s="534">
        <f t="shared" si="18"/>
        <v>0</v>
      </c>
      <c r="DM25" s="1258">
        <f t="shared" si="19"/>
        <v>0</v>
      </c>
      <c r="DN25" s="775">
        <f t="shared" si="20"/>
        <v>0</v>
      </c>
      <c r="DO25" s="548">
        <f t="shared" si="21"/>
        <v>0</v>
      </c>
      <c r="DP25" s="773">
        <f t="shared" si="22"/>
        <v>0</v>
      </c>
      <c r="DQ25" s="773">
        <f t="shared" si="23"/>
        <v>0</v>
      </c>
      <c r="DR25" s="773">
        <f t="shared" si="24"/>
        <v>0</v>
      </c>
      <c r="DS25" s="773">
        <f t="shared" si="25"/>
        <v>0</v>
      </c>
      <c r="DT25" s="773">
        <f t="shared" si="26"/>
        <v>0</v>
      </c>
      <c r="DU25" s="526">
        <f t="shared" si="117"/>
        <v>0</v>
      </c>
      <c r="DV25" s="1145">
        <f t="shared" si="27"/>
        <v>0</v>
      </c>
      <c r="DW25" s="1146">
        <f t="shared" si="28"/>
        <v>0</v>
      </c>
      <c r="DX25" s="1146">
        <f t="shared" si="29"/>
        <v>0</v>
      </c>
      <c r="DY25" s="1146">
        <f t="shared" si="30"/>
        <v>0</v>
      </c>
      <c r="DZ25" s="1146">
        <f t="shared" si="31"/>
        <v>0</v>
      </c>
      <c r="EA25" s="1146">
        <f t="shared" si="32"/>
        <v>0</v>
      </c>
      <c r="EB25" s="539">
        <f t="shared" si="118"/>
        <v>0</v>
      </c>
      <c r="EC25" s="540">
        <f t="shared" si="119"/>
        <v>0</v>
      </c>
      <c r="ES25" s="1258">
        <f t="shared" si="33"/>
        <v>0</v>
      </c>
      <c r="ET25" s="775">
        <f t="shared" si="34"/>
        <v>0</v>
      </c>
      <c r="EU25" s="548">
        <f t="shared" si="35"/>
        <v>0</v>
      </c>
      <c r="EV25" s="773">
        <f t="shared" si="36"/>
        <v>0</v>
      </c>
      <c r="EW25" s="773">
        <f t="shared" si="37"/>
        <v>0</v>
      </c>
      <c r="EX25" s="773">
        <f t="shared" si="38"/>
        <v>0</v>
      </c>
      <c r="EY25" s="773">
        <f t="shared" si="39"/>
        <v>0</v>
      </c>
      <c r="EZ25" s="773">
        <f t="shared" si="40"/>
        <v>0</v>
      </c>
      <c r="FA25" s="626">
        <f t="shared" si="120"/>
        <v>0</v>
      </c>
      <c r="FB25" s="1145">
        <f t="shared" si="41"/>
        <v>0</v>
      </c>
      <c r="FC25" s="1146">
        <f t="shared" si="42"/>
        <v>0</v>
      </c>
      <c r="FD25" s="1146">
        <f t="shared" si="43"/>
        <v>0</v>
      </c>
      <c r="FE25" s="1146">
        <f t="shared" si="44"/>
        <v>0</v>
      </c>
      <c r="FF25" s="1146">
        <f t="shared" si="45"/>
        <v>0</v>
      </c>
      <c r="FG25" s="1146">
        <f t="shared" si="46"/>
        <v>0</v>
      </c>
      <c r="FH25" s="1256">
        <f t="shared" si="121"/>
        <v>0</v>
      </c>
      <c r="FI25" s="1157">
        <f t="shared" si="122"/>
        <v>0</v>
      </c>
      <c r="FY25" s="1258">
        <f t="shared" si="47"/>
        <v>0</v>
      </c>
      <c r="FZ25" s="775">
        <f t="shared" si="48"/>
        <v>0</v>
      </c>
      <c r="GA25" s="548">
        <f t="shared" si="49"/>
        <v>0</v>
      </c>
      <c r="GB25" s="773">
        <f t="shared" si="50"/>
        <v>0</v>
      </c>
      <c r="GC25" s="773">
        <f t="shared" si="51"/>
        <v>0</v>
      </c>
      <c r="GD25" s="773">
        <f t="shared" si="52"/>
        <v>0</v>
      </c>
      <c r="GE25" s="773">
        <f t="shared" si="53"/>
        <v>0</v>
      </c>
      <c r="GF25" s="773">
        <f t="shared" si="54"/>
        <v>0</v>
      </c>
      <c r="GG25" s="626">
        <f t="shared" si="123"/>
        <v>0</v>
      </c>
      <c r="GH25" s="1145">
        <f t="shared" si="55"/>
        <v>0</v>
      </c>
      <c r="GI25" s="1146">
        <f t="shared" si="56"/>
        <v>0</v>
      </c>
      <c r="GJ25" s="1146">
        <f t="shared" si="57"/>
        <v>0</v>
      </c>
      <c r="GK25" s="1146">
        <f t="shared" si="58"/>
        <v>0</v>
      </c>
      <c r="GL25" s="1146">
        <f t="shared" si="59"/>
        <v>0</v>
      </c>
      <c r="GM25" s="1146">
        <f t="shared" si="60"/>
        <v>0</v>
      </c>
      <c r="GN25" s="1256">
        <f t="shared" si="124"/>
        <v>0</v>
      </c>
      <c r="GO25" s="1157">
        <f t="shared" si="125"/>
        <v>0</v>
      </c>
      <c r="HE25" s="1675">
        <f t="shared" si="61"/>
        <v>0</v>
      </c>
      <c r="HF25" s="775">
        <f t="shared" si="62"/>
        <v>0</v>
      </c>
      <c r="HG25" s="548">
        <f t="shared" si="63"/>
        <v>0</v>
      </c>
      <c r="HH25" s="773">
        <f t="shared" si="64"/>
        <v>0</v>
      </c>
      <c r="HI25" s="773">
        <f t="shared" si="65"/>
        <v>0</v>
      </c>
      <c r="HJ25" s="773">
        <f t="shared" si="66"/>
        <v>0</v>
      </c>
      <c r="HK25" s="773">
        <f t="shared" si="67"/>
        <v>0</v>
      </c>
      <c r="HL25" s="773">
        <f t="shared" si="68"/>
        <v>0</v>
      </c>
      <c r="HM25" s="626">
        <f t="shared" si="126"/>
        <v>0</v>
      </c>
      <c r="HN25" s="1145">
        <f t="shared" si="69"/>
        <v>0</v>
      </c>
      <c r="HO25" s="1146">
        <f t="shared" si="70"/>
        <v>0</v>
      </c>
      <c r="HP25" s="1146">
        <f t="shared" si="71"/>
        <v>0</v>
      </c>
      <c r="HQ25" s="1146">
        <f t="shared" si="72"/>
        <v>0</v>
      </c>
      <c r="HR25" s="1146">
        <f t="shared" si="73"/>
        <v>0</v>
      </c>
      <c r="HS25" s="1146">
        <f t="shared" si="74"/>
        <v>0</v>
      </c>
      <c r="HT25" s="1256">
        <f t="shared" si="127"/>
        <v>0</v>
      </c>
      <c r="HU25" s="1157">
        <f t="shared" si="128"/>
        <v>0</v>
      </c>
    </row>
    <row r="26" spans="1:229" ht="13.5" customHeight="1" outlineLevel="1" x14ac:dyDescent="0.2">
      <c r="A26" s="474"/>
      <c r="B26" s="1412"/>
      <c r="C26" s="511">
        <v>17</v>
      </c>
      <c r="D26" s="557" t="s">
        <v>16</v>
      </c>
      <c r="E26" s="1721">
        <v>16</v>
      </c>
      <c r="F26" s="558">
        <v>1035.51</v>
      </c>
      <c r="G26" s="543">
        <f t="shared" si="0"/>
        <v>64.719374999999999</v>
      </c>
      <c r="H26" s="559">
        <v>0</v>
      </c>
      <c r="I26" s="558">
        <v>0</v>
      </c>
      <c r="J26" s="542">
        <v>0</v>
      </c>
      <c r="K26" s="559">
        <v>0</v>
      </c>
      <c r="L26" s="558">
        <v>0</v>
      </c>
      <c r="M26" s="542">
        <v>0</v>
      </c>
      <c r="N26" s="545">
        <f t="shared" si="1"/>
        <v>1035.51</v>
      </c>
      <c r="O26" s="518">
        <v>0</v>
      </c>
      <c r="P26" s="485">
        <v>5041256.79</v>
      </c>
      <c r="Q26" s="518">
        <v>0</v>
      </c>
      <c r="R26" s="519">
        <f t="shared" si="2"/>
        <v>5041256.79</v>
      </c>
      <c r="S26" s="546">
        <f t="shared" si="75"/>
        <v>5041256.79</v>
      </c>
      <c r="T26" s="521">
        <v>1321293.8500000001</v>
      </c>
      <c r="U26" s="547">
        <v>0</v>
      </c>
      <c r="V26" s="547">
        <v>0</v>
      </c>
      <c r="W26" s="548">
        <v>0</v>
      </c>
      <c r="X26" s="549">
        <v>0</v>
      </c>
      <c r="Y26" s="549">
        <v>0</v>
      </c>
      <c r="Z26" s="549">
        <v>0</v>
      </c>
      <c r="AA26" s="525">
        <f t="shared" si="76"/>
        <v>0</v>
      </c>
      <c r="AB26" s="524">
        <f t="shared" si="77"/>
        <v>0</v>
      </c>
      <c r="AC26" s="526">
        <f t="shared" si="78"/>
        <v>0</v>
      </c>
      <c r="AD26" s="547">
        <v>0</v>
      </c>
      <c r="AE26" s="547">
        <v>0</v>
      </c>
      <c r="AF26" s="547">
        <v>0</v>
      </c>
      <c r="AG26" s="547">
        <v>0</v>
      </c>
      <c r="AH26" s="363">
        <f t="shared" si="79"/>
        <v>0</v>
      </c>
      <c r="AI26" s="547">
        <f t="shared" si="80"/>
        <v>0</v>
      </c>
      <c r="AJ26" s="550">
        <f t="shared" si="81"/>
        <v>0</v>
      </c>
      <c r="AK26" s="551">
        <f t="shared" si="82"/>
        <v>0</v>
      </c>
      <c r="AL26" s="529"/>
      <c r="AM26" s="502"/>
      <c r="AN26" s="530"/>
      <c r="AO26" s="498"/>
      <c r="AP26" s="499"/>
      <c r="AQ26" s="499"/>
      <c r="AR26" s="499"/>
      <c r="AS26" s="531">
        <f t="shared" si="3"/>
        <v>0</v>
      </c>
      <c r="AT26" s="532">
        <f t="shared" si="4"/>
        <v>0</v>
      </c>
      <c r="AU26" s="529">
        <v>0</v>
      </c>
      <c r="AV26" s="533">
        <v>0</v>
      </c>
      <c r="AW26" s="533">
        <v>0</v>
      </c>
      <c r="AX26" s="533">
        <v>0</v>
      </c>
      <c r="AY26" s="533">
        <f t="shared" si="5"/>
        <v>0</v>
      </c>
      <c r="AZ26" s="534">
        <f t="shared" si="6"/>
        <v>0</v>
      </c>
      <c r="BA26" s="535">
        <f t="shared" si="83"/>
        <v>0</v>
      </c>
      <c r="BB26" s="536">
        <f t="shared" si="84"/>
        <v>0</v>
      </c>
      <c r="BC26" s="523">
        <f t="shared" si="85"/>
        <v>0</v>
      </c>
      <c r="BD26" s="525">
        <f t="shared" si="86"/>
        <v>0</v>
      </c>
      <c r="BE26" s="525">
        <f t="shared" si="87"/>
        <v>0</v>
      </c>
      <c r="BF26" s="525">
        <f t="shared" si="88"/>
        <v>0</v>
      </c>
      <c r="BG26" s="525">
        <f t="shared" si="89"/>
        <v>0</v>
      </c>
      <c r="BH26" s="525">
        <f t="shared" si="90"/>
        <v>0</v>
      </c>
      <c r="BI26" s="526">
        <f t="shared" si="91"/>
        <v>0</v>
      </c>
      <c r="BJ26" s="537">
        <f t="shared" si="92"/>
        <v>0</v>
      </c>
      <c r="BK26" s="538">
        <f t="shared" si="93"/>
        <v>0</v>
      </c>
      <c r="BL26" s="538">
        <f t="shared" si="94"/>
        <v>0</v>
      </c>
      <c r="BM26" s="538">
        <f t="shared" si="95"/>
        <v>0</v>
      </c>
      <c r="BN26" s="538">
        <f t="shared" si="96"/>
        <v>0</v>
      </c>
      <c r="BO26" s="538">
        <f t="shared" si="97"/>
        <v>0</v>
      </c>
      <c r="BP26" s="539">
        <f t="shared" si="98"/>
        <v>0</v>
      </c>
      <c r="BQ26" s="540">
        <f t="shared" si="99"/>
        <v>0</v>
      </c>
      <c r="BR26" s="529"/>
      <c r="BS26" s="502"/>
      <c r="BT26" s="530"/>
      <c r="BU26" s="498"/>
      <c r="BV26" s="499"/>
      <c r="BW26" s="499"/>
      <c r="BX26" s="499"/>
      <c r="BY26" s="531">
        <f t="shared" si="9"/>
        <v>0</v>
      </c>
      <c r="BZ26" s="532">
        <f t="shared" si="10"/>
        <v>0</v>
      </c>
      <c r="CA26" s="529"/>
      <c r="CB26" s="533"/>
      <c r="CC26" s="533"/>
      <c r="CD26" s="533"/>
      <c r="CE26" s="533">
        <f t="shared" si="11"/>
        <v>0</v>
      </c>
      <c r="CF26" s="534">
        <f t="shared" si="12"/>
        <v>0</v>
      </c>
      <c r="CG26" s="774">
        <f t="shared" si="100"/>
        <v>0</v>
      </c>
      <c r="CH26" s="775">
        <f t="shared" si="101"/>
        <v>0</v>
      </c>
      <c r="CI26" s="548">
        <f t="shared" si="102"/>
        <v>0</v>
      </c>
      <c r="CJ26" s="773">
        <f t="shared" si="103"/>
        <v>0</v>
      </c>
      <c r="CK26" s="773">
        <f t="shared" si="104"/>
        <v>0</v>
      </c>
      <c r="CL26" s="773">
        <f t="shared" si="105"/>
        <v>0</v>
      </c>
      <c r="CM26" s="773">
        <f t="shared" si="106"/>
        <v>0</v>
      </c>
      <c r="CN26" s="773">
        <f t="shared" si="107"/>
        <v>0</v>
      </c>
      <c r="CO26" s="626">
        <f t="shared" si="108"/>
        <v>0</v>
      </c>
      <c r="CP26" s="1145">
        <f t="shared" si="109"/>
        <v>0</v>
      </c>
      <c r="CQ26" s="1146">
        <f t="shared" si="110"/>
        <v>0</v>
      </c>
      <c r="CR26" s="1146">
        <f t="shared" si="111"/>
        <v>0</v>
      </c>
      <c r="CS26" s="1146">
        <f t="shared" si="112"/>
        <v>0</v>
      </c>
      <c r="CT26" s="1146">
        <f t="shared" si="113"/>
        <v>0</v>
      </c>
      <c r="CU26" s="1146">
        <f t="shared" si="114"/>
        <v>0</v>
      </c>
      <c r="CV26" s="1256">
        <f t="shared" si="115"/>
        <v>0</v>
      </c>
      <c r="CW26" s="1157">
        <f t="shared" si="116"/>
        <v>0</v>
      </c>
      <c r="CX26" s="529"/>
      <c r="CY26" s="502"/>
      <c r="CZ26" s="530"/>
      <c r="DA26" s="498"/>
      <c r="DB26" s="499"/>
      <c r="DC26" s="499"/>
      <c r="DD26" s="499"/>
      <c r="DE26" s="531">
        <f t="shared" si="15"/>
        <v>0</v>
      </c>
      <c r="DF26" s="532">
        <f t="shared" si="16"/>
        <v>0</v>
      </c>
      <c r="DG26" s="529"/>
      <c r="DH26" s="533"/>
      <c r="DI26" s="533"/>
      <c r="DJ26" s="533"/>
      <c r="DK26" s="533">
        <f t="shared" si="17"/>
        <v>0</v>
      </c>
      <c r="DL26" s="534">
        <f t="shared" si="18"/>
        <v>0</v>
      </c>
      <c r="DM26" s="1258">
        <f t="shared" si="19"/>
        <v>0</v>
      </c>
      <c r="DN26" s="775">
        <f t="shared" si="20"/>
        <v>0</v>
      </c>
      <c r="DO26" s="548">
        <f t="shared" si="21"/>
        <v>0</v>
      </c>
      <c r="DP26" s="773">
        <f t="shared" si="22"/>
        <v>0</v>
      </c>
      <c r="DQ26" s="773">
        <f t="shared" si="23"/>
        <v>0</v>
      </c>
      <c r="DR26" s="773">
        <f t="shared" si="24"/>
        <v>0</v>
      </c>
      <c r="DS26" s="773">
        <f t="shared" si="25"/>
        <v>0</v>
      </c>
      <c r="DT26" s="773">
        <f t="shared" si="26"/>
        <v>0</v>
      </c>
      <c r="DU26" s="526">
        <f t="shared" si="117"/>
        <v>0</v>
      </c>
      <c r="DV26" s="1145">
        <f t="shared" si="27"/>
        <v>0</v>
      </c>
      <c r="DW26" s="1146">
        <f t="shared" si="28"/>
        <v>0</v>
      </c>
      <c r="DX26" s="1146">
        <f t="shared" si="29"/>
        <v>0</v>
      </c>
      <c r="DY26" s="1146">
        <f t="shared" si="30"/>
        <v>0</v>
      </c>
      <c r="DZ26" s="1146">
        <f t="shared" si="31"/>
        <v>0</v>
      </c>
      <c r="EA26" s="1146">
        <f t="shared" si="32"/>
        <v>0</v>
      </c>
      <c r="EB26" s="539">
        <f t="shared" si="118"/>
        <v>0</v>
      </c>
      <c r="EC26" s="540">
        <f t="shared" si="119"/>
        <v>0</v>
      </c>
      <c r="ES26" s="1258">
        <f t="shared" si="33"/>
        <v>0</v>
      </c>
      <c r="ET26" s="775">
        <f t="shared" si="34"/>
        <v>0</v>
      </c>
      <c r="EU26" s="548">
        <f t="shared" si="35"/>
        <v>0</v>
      </c>
      <c r="EV26" s="773">
        <f t="shared" si="36"/>
        <v>0</v>
      </c>
      <c r="EW26" s="773">
        <f t="shared" si="37"/>
        <v>0</v>
      </c>
      <c r="EX26" s="773">
        <f t="shared" si="38"/>
        <v>0</v>
      </c>
      <c r="EY26" s="773">
        <f t="shared" si="39"/>
        <v>0</v>
      </c>
      <c r="EZ26" s="773">
        <f t="shared" si="40"/>
        <v>0</v>
      </c>
      <c r="FA26" s="626">
        <f t="shared" si="120"/>
        <v>0</v>
      </c>
      <c r="FB26" s="1145">
        <f t="shared" si="41"/>
        <v>0</v>
      </c>
      <c r="FC26" s="1146">
        <f t="shared" si="42"/>
        <v>0</v>
      </c>
      <c r="FD26" s="1146">
        <f t="shared" si="43"/>
        <v>0</v>
      </c>
      <c r="FE26" s="1146">
        <f t="shared" si="44"/>
        <v>0</v>
      </c>
      <c r="FF26" s="1146">
        <f t="shared" si="45"/>
        <v>0</v>
      </c>
      <c r="FG26" s="1146">
        <f t="shared" si="46"/>
        <v>0</v>
      </c>
      <c r="FH26" s="1256">
        <f t="shared" si="121"/>
        <v>0</v>
      </c>
      <c r="FI26" s="1157">
        <f t="shared" si="122"/>
        <v>0</v>
      </c>
      <c r="FY26" s="1258">
        <f t="shared" si="47"/>
        <v>0</v>
      </c>
      <c r="FZ26" s="775">
        <f t="shared" si="48"/>
        <v>0</v>
      </c>
      <c r="GA26" s="548">
        <f t="shared" si="49"/>
        <v>0</v>
      </c>
      <c r="GB26" s="773">
        <f t="shared" si="50"/>
        <v>0</v>
      </c>
      <c r="GC26" s="773">
        <f t="shared" si="51"/>
        <v>0</v>
      </c>
      <c r="GD26" s="773">
        <f t="shared" si="52"/>
        <v>0</v>
      </c>
      <c r="GE26" s="773">
        <f t="shared" si="53"/>
        <v>0</v>
      </c>
      <c r="GF26" s="773">
        <f t="shared" si="54"/>
        <v>0</v>
      </c>
      <c r="GG26" s="626">
        <f t="shared" si="123"/>
        <v>0</v>
      </c>
      <c r="GH26" s="1145">
        <f t="shared" si="55"/>
        <v>0</v>
      </c>
      <c r="GI26" s="1146">
        <f t="shared" si="56"/>
        <v>0</v>
      </c>
      <c r="GJ26" s="1146">
        <f t="shared" si="57"/>
        <v>0</v>
      </c>
      <c r="GK26" s="1146">
        <f t="shared" si="58"/>
        <v>0</v>
      </c>
      <c r="GL26" s="1146">
        <f t="shared" si="59"/>
        <v>0</v>
      </c>
      <c r="GM26" s="1146">
        <f t="shared" si="60"/>
        <v>0</v>
      </c>
      <c r="GN26" s="1256">
        <f t="shared" si="124"/>
        <v>0</v>
      </c>
      <c r="GO26" s="1157">
        <f t="shared" si="125"/>
        <v>0</v>
      </c>
      <c r="HE26" s="1675">
        <f t="shared" si="61"/>
        <v>0</v>
      </c>
      <c r="HF26" s="775">
        <f t="shared" si="62"/>
        <v>0</v>
      </c>
      <c r="HG26" s="548">
        <f t="shared" si="63"/>
        <v>0</v>
      </c>
      <c r="HH26" s="773">
        <f t="shared" si="64"/>
        <v>0</v>
      </c>
      <c r="HI26" s="773">
        <f t="shared" si="65"/>
        <v>0</v>
      </c>
      <c r="HJ26" s="773">
        <f t="shared" si="66"/>
        <v>0</v>
      </c>
      <c r="HK26" s="773">
        <f t="shared" si="67"/>
        <v>0</v>
      </c>
      <c r="HL26" s="773">
        <f t="shared" si="68"/>
        <v>0</v>
      </c>
      <c r="HM26" s="626">
        <f t="shared" si="126"/>
        <v>0</v>
      </c>
      <c r="HN26" s="1145">
        <f t="shared" si="69"/>
        <v>0</v>
      </c>
      <c r="HO26" s="1146">
        <f t="shared" si="70"/>
        <v>0</v>
      </c>
      <c r="HP26" s="1146">
        <f t="shared" si="71"/>
        <v>0</v>
      </c>
      <c r="HQ26" s="1146">
        <f t="shared" si="72"/>
        <v>0</v>
      </c>
      <c r="HR26" s="1146">
        <f t="shared" si="73"/>
        <v>0</v>
      </c>
      <c r="HS26" s="1146">
        <f t="shared" si="74"/>
        <v>0</v>
      </c>
      <c r="HT26" s="1256">
        <f t="shared" si="127"/>
        <v>0</v>
      </c>
      <c r="HU26" s="1157">
        <f t="shared" si="128"/>
        <v>0</v>
      </c>
    </row>
    <row r="27" spans="1:229" ht="13.5" customHeight="1" outlineLevel="1" x14ac:dyDescent="0.2">
      <c r="A27" s="474"/>
      <c r="B27" s="1412"/>
      <c r="C27" s="511">
        <v>18</v>
      </c>
      <c r="D27" s="557" t="s">
        <v>17</v>
      </c>
      <c r="E27" s="1721">
        <v>30</v>
      </c>
      <c r="F27" s="558">
        <v>1909.64</v>
      </c>
      <c r="G27" s="543">
        <f t="shared" si="0"/>
        <v>63.654666666666671</v>
      </c>
      <c r="H27" s="559">
        <v>0</v>
      </c>
      <c r="I27" s="558">
        <v>0</v>
      </c>
      <c r="J27" s="542">
        <v>0</v>
      </c>
      <c r="K27" s="559">
        <v>5</v>
      </c>
      <c r="L27" s="558">
        <v>485.79</v>
      </c>
      <c r="M27" s="542">
        <f>L27/K27</f>
        <v>97.158000000000001</v>
      </c>
      <c r="N27" s="545">
        <f t="shared" si="1"/>
        <v>2395.4300000000003</v>
      </c>
      <c r="O27" s="518">
        <v>0</v>
      </c>
      <c r="P27" s="485">
        <v>11359437.259999998</v>
      </c>
      <c r="Q27" s="518">
        <v>959016.32</v>
      </c>
      <c r="R27" s="519">
        <f t="shared" si="2"/>
        <v>12318453.579999998</v>
      </c>
      <c r="S27" s="546">
        <f t="shared" si="75"/>
        <v>12318453.579999998</v>
      </c>
      <c r="T27" s="521">
        <v>2533613.6800000002</v>
      </c>
      <c r="U27" s="547">
        <v>0</v>
      </c>
      <c r="V27" s="547">
        <v>0</v>
      </c>
      <c r="W27" s="548">
        <v>0</v>
      </c>
      <c r="X27" s="549">
        <v>0</v>
      </c>
      <c r="Y27" s="549">
        <v>0</v>
      </c>
      <c r="Z27" s="549">
        <v>0</v>
      </c>
      <c r="AA27" s="525">
        <f t="shared" si="76"/>
        <v>0</v>
      </c>
      <c r="AB27" s="524">
        <f t="shared" si="77"/>
        <v>0</v>
      </c>
      <c r="AC27" s="526">
        <f t="shared" si="78"/>
        <v>0</v>
      </c>
      <c r="AD27" s="547">
        <v>0</v>
      </c>
      <c r="AE27" s="547">
        <v>0</v>
      </c>
      <c r="AF27" s="547">
        <v>0</v>
      </c>
      <c r="AG27" s="547">
        <v>0</v>
      </c>
      <c r="AH27" s="363">
        <f t="shared" si="79"/>
        <v>0</v>
      </c>
      <c r="AI27" s="547">
        <f t="shared" si="80"/>
        <v>0</v>
      </c>
      <c r="AJ27" s="550">
        <f t="shared" si="81"/>
        <v>0</v>
      </c>
      <c r="AK27" s="551">
        <f t="shared" si="82"/>
        <v>0</v>
      </c>
      <c r="AL27" s="529"/>
      <c r="AM27" s="502"/>
      <c r="AN27" s="530"/>
      <c r="AO27" s="498"/>
      <c r="AP27" s="499"/>
      <c r="AQ27" s="499"/>
      <c r="AR27" s="499"/>
      <c r="AS27" s="531">
        <f t="shared" si="3"/>
        <v>0</v>
      </c>
      <c r="AT27" s="532">
        <f t="shared" si="4"/>
        <v>0</v>
      </c>
      <c r="AU27" s="529">
        <v>0</v>
      </c>
      <c r="AV27" s="533">
        <v>0</v>
      </c>
      <c r="AW27" s="533">
        <v>0</v>
      </c>
      <c r="AX27" s="533">
        <v>0</v>
      </c>
      <c r="AY27" s="533">
        <f t="shared" si="5"/>
        <v>0</v>
      </c>
      <c r="AZ27" s="534">
        <f t="shared" si="6"/>
        <v>0</v>
      </c>
      <c r="BA27" s="535">
        <f t="shared" si="83"/>
        <v>0</v>
      </c>
      <c r="BB27" s="536">
        <f t="shared" si="84"/>
        <v>0</v>
      </c>
      <c r="BC27" s="523">
        <f t="shared" si="85"/>
        <v>0</v>
      </c>
      <c r="BD27" s="525">
        <f t="shared" si="86"/>
        <v>0</v>
      </c>
      <c r="BE27" s="525">
        <f t="shared" si="87"/>
        <v>0</v>
      </c>
      <c r="BF27" s="525">
        <f t="shared" si="88"/>
        <v>0</v>
      </c>
      <c r="BG27" s="525">
        <f t="shared" si="89"/>
        <v>0</v>
      </c>
      <c r="BH27" s="525">
        <f t="shared" si="90"/>
        <v>0</v>
      </c>
      <c r="BI27" s="526">
        <f t="shared" si="91"/>
        <v>0</v>
      </c>
      <c r="BJ27" s="537">
        <f t="shared" si="92"/>
        <v>0</v>
      </c>
      <c r="BK27" s="538">
        <f t="shared" si="93"/>
        <v>0</v>
      </c>
      <c r="BL27" s="538">
        <f t="shared" si="94"/>
        <v>0</v>
      </c>
      <c r="BM27" s="538">
        <f t="shared" si="95"/>
        <v>0</v>
      </c>
      <c r="BN27" s="538">
        <f t="shared" si="96"/>
        <v>0</v>
      </c>
      <c r="BO27" s="538">
        <f t="shared" si="97"/>
        <v>0</v>
      </c>
      <c r="BP27" s="539">
        <f t="shared" si="98"/>
        <v>0</v>
      </c>
      <c r="BQ27" s="540">
        <f t="shared" si="99"/>
        <v>0</v>
      </c>
      <c r="BR27" s="529"/>
      <c r="BS27" s="502"/>
      <c r="BT27" s="530"/>
      <c r="BU27" s="498"/>
      <c r="BV27" s="499"/>
      <c r="BW27" s="499"/>
      <c r="BX27" s="499"/>
      <c r="BY27" s="531">
        <f t="shared" si="9"/>
        <v>0</v>
      </c>
      <c r="BZ27" s="532">
        <f t="shared" si="10"/>
        <v>0</v>
      </c>
      <c r="CA27" s="529"/>
      <c r="CB27" s="533"/>
      <c r="CC27" s="533"/>
      <c r="CD27" s="533"/>
      <c r="CE27" s="533">
        <f t="shared" si="11"/>
        <v>0</v>
      </c>
      <c r="CF27" s="534">
        <f t="shared" si="12"/>
        <v>0</v>
      </c>
      <c r="CG27" s="774">
        <f t="shared" si="100"/>
        <v>0</v>
      </c>
      <c r="CH27" s="775">
        <f t="shared" si="101"/>
        <v>0</v>
      </c>
      <c r="CI27" s="548">
        <f t="shared" si="102"/>
        <v>0</v>
      </c>
      <c r="CJ27" s="773">
        <f t="shared" si="103"/>
        <v>0</v>
      </c>
      <c r="CK27" s="773">
        <f t="shared" si="104"/>
        <v>0</v>
      </c>
      <c r="CL27" s="773">
        <f t="shared" si="105"/>
        <v>0</v>
      </c>
      <c r="CM27" s="773">
        <f t="shared" si="106"/>
        <v>0</v>
      </c>
      <c r="CN27" s="773">
        <f t="shared" si="107"/>
        <v>0</v>
      </c>
      <c r="CO27" s="626">
        <f t="shared" si="108"/>
        <v>0</v>
      </c>
      <c r="CP27" s="1145">
        <f t="shared" si="109"/>
        <v>0</v>
      </c>
      <c r="CQ27" s="1146">
        <f t="shared" si="110"/>
        <v>0</v>
      </c>
      <c r="CR27" s="1146">
        <f t="shared" si="111"/>
        <v>0</v>
      </c>
      <c r="CS27" s="1146">
        <f t="shared" si="112"/>
        <v>0</v>
      </c>
      <c r="CT27" s="1146">
        <f t="shared" si="113"/>
        <v>0</v>
      </c>
      <c r="CU27" s="1146">
        <f t="shared" si="114"/>
        <v>0</v>
      </c>
      <c r="CV27" s="1256">
        <f t="shared" si="115"/>
        <v>0</v>
      </c>
      <c r="CW27" s="1157">
        <f t="shared" si="116"/>
        <v>0</v>
      </c>
      <c r="CX27" s="529"/>
      <c r="CY27" s="502"/>
      <c r="CZ27" s="530"/>
      <c r="DA27" s="498"/>
      <c r="DB27" s="499"/>
      <c r="DC27" s="499"/>
      <c r="DD27" s="499"/>
      <c r="DE27" s="531">
        <f t="shared" si="15"/>
        <v>0</v>
      </c>
      <c r="DF27" s="532">
        <f t="shared" si="16"/>
        <v>0</v>
      </c>
      <c r="DG27" s="529"/>
      <c r="DH27" s="533"/>
      <c r="DI27" s="533"/>
      <c r="DJ27" s="533"/>
      <c r="DK27" s="533">
        <f t="shared" si="17"/>
        <v>0</v>
      </c>
      <c r="DL27" s="534">
        <f t="shared" si="18"/>
        <v>0</v>
      </c>
      <c r="DM27" s="1258">
        <f t="shared" si="19"/>
        <v>0</v>
      </c>
      <c r="DN27" s="775">
        <f t="shared" si="20"/>
        <v>0</v>
      </c>
      <c r="DO27" s="548">
        <f t="shared" si="21"/>
        <v>0</v>
      </c>
      <c r="DP27" s="773">
        <f t="shared" si="22"/>
        <v>0</v>
      </c>
      <c r="DQ27" s="773">
        <f t="shared" si="23"/>
        <v>0</v>
      </c>
      <c r="DR27" s="773">
        <f t="shared" si="24"/>
        <v>0</v>
      </c>
      <c r="DS27" s="773">
        <f t="shared" si="25"/>
        <v>0</v>
      </c>
      <c r="DT27" s="773">
        <f t="shared" si="26"/>
        <v>0</v>
      </c>
      <c r="DU27" s="526">
        <f t="shared" si="117"/>
        <v>0</v>
      </c>
      <c r="DV27" s="1145">
        <f t="shared" si="27"/>
        <v>0</v>
      </c>
      <c r="DW27" s="1146">
        <f t="shared" si="28"/>
        <v>0</v>
      </c>
      <c r="DX27" s="1146">
        <f t="shared" si="29"/>
        <v>0</v>
      </c>
      <c r="DY27" s="1146">
        <f t="shared" si="30"/>
        <v>0</v>
      </c>
      <c r="DZ27" s="1146">
        <f t="shared" si="31"/>
        <v>0</v>
      </c>
      <c r="EA27" s="1146">
        <f t="shared" si="32"/>
        <v>0</v>
      </c>
      <c r="EB27" s="539">
        <f t="shared" si="118"/>
        <v>0</v>
      </c>
      <c r="EC27" s="540">
        <f t="shared" si="119"/>
        <v>0</v>
      </c>
      <c r="ES27" s="1258">
        <f t="shared" si="33"/>
        <v>0</v>
      </c>
      <c r="ET27" s="775">
        <f t="shared" si="34"/>
        <v>0</v>
      </c>
      <c r="EU27" s="548">
        <f t="shared" si="35"/>
        <v>0</v>
      </c>
      <c r="EV27" s="773">
        <f t="shared" si="36"/>
        <v>0</v>
      </c>
      <c r="EW27" s="773">
        <f t="shared" si="37"/>
        <v>0</v>
      </c>
      <c r="EX27" s="773">
        <f t="shared" si="38"/>
        <v>0</v>
      </c>
      <c r="EY27" s="773">
        <f t="shared" si="39"/>
        <v>0</v>
      </c>
      <c r="EZ27" s="773">
        <f t="shared" si="40"/>
        <v>0</v>
      </c>
      <c r="FA27" s="626">
        <f t="shared" si="120"/>
        <v>0</v>
      </c>
      <c r="FB27" s="1145">
        <f t="shared" si="41"/>
        <v>0</v>
      </c>
      <c r="FC27" s="1146">
        <f t="shared" si="42"/>
        <v>0</v>
      </c>
      <c r="FD27" s="1146">
        <f t="shared" si="43"/>
        <v>0</v>
      </c>
      <c r="FE27" s="1146">
        <f t="shared" si="44"/>
        <v>0</v>
      </c>
      <c r="FF27" s="1146">
        <f t="shared" si="45"/>
        <v>0</v>
      </c>
      <c r="FG27" s="1146">
        <f t="shared" si="46"/>
        <v>0</v>
      </c>
      <c r="FH27" s="1256">
        <f t="shared" si="121"/>
        <v>0</v>
      </c>
      <c r="FI27" s="1157">
        <f t="shared" si="122"/>
        <v>0</v>
      </c>
      <c r="FY27" s="1258">
        <f t="shared" si="47"/>
        <v>0</v>
      </c>
      <c r="FZ27" s="775">
        <f t="shared" si="48"/>
        <v>0</v>
      </c>
      <c r="GA27" s="548">
        <f t="shared" si="49"/>
        <v>0</v>
      </c>
      <c r="GB27" s="773">
        <f t="shared" si="50"/>
        <v>0</v>
      </c>
      <c r="GC27" s="773">
        <f t="shared" si="51"/>
        <v>0</v>
      </c>
      <c r="GD27" s="773">
        <f t="shared" si="52"/>
        <v>0</v>
      </c>
      <c r="GE27" s="773">
        <f t="shared" si="53"/>
        <v>0</v>
      </c>
      <c r="GF27" s="773">
        <f t="shared" si="54"/>
        <v>0</v>
      </c>
      <c r="GG27" s="626">
        <f t="shared" si="123"/>
        <v>0</v>
      </c>
      <c r="GH27" s="1145">
        <f t="shared" si="55"/>
        <v>0</v>
      </c>
      <c r="GI27" s="1146">
        <f t="shared" si="56"/>
        <v>0</v>
      </c>
      <c r="GJ27" s="1146">
        <f t="shared" si="57"/>
        <v>0</v>
      </c>
      <c r="GK27" s="1146">
        <f t="shared" si="58"/>
        <v>0</v>
      </c>
      <c r="GL27" s="1146">
        <f t="shared" si="59"/>
        <v>0</v>
      </c>
      <c r="GM27" s="1146">
        <f t="shared" si="60"/>
        <v>0</v>
      </c>
      <c r="GN27" s="1256">
        <f t="shared" si="124"/>
        <v>0</v>
      </c>
      <c r="GO27" s="1157">
        <f t="shared" si="125"/>
        <v>0</v>
      </c>
      <c r="HE27" s="1675">
        <f t="shared" si="61"/>
        <v>0</v>
      </c>
      <c r="HF27" s="775">
        <f t="shared" si="62"/>
        <v>0</v>
      </c>
      <c r="HG27" s="548">
        <f t="shared" si="63"/>
        <v>0</v>
      </c>
      <c r="HH27" s="773">
        <f t="shared" si="64"/>
        <v>0</v>
      </c>
      <c r="HI27" s="773">
        <f t="shared" si="65"/>
        <v>0</v>
      </c>
      <c r="HJ27" s="773">
        <f t="shared" si="66"/>
        <v>0</v>
      </c>
      <c r="HK27" s="773">
        <f t="shared" si="67"/>
        <v>0</v>
      </c>
      <c r="HL27" s="773">
        <f t="shared" si="68"/>
        <v>0</v>
      </c>
      <c r="HM27" s="626">
        <f t="shared" si="126"/>
        <v>0</v>
      </c>
      <c r="HN27" s="1145">
        <f t="shared" si="69"/>
        <v>0</v>
      </c>
      <c r="HO27" s="1146">
        <f t="shared" si="70"/>
        <v>0</v>
      </c>
      <c r="HP27" s="1146">
        <f t="shared" si="71"/>
        <v>0</v>
      </c>
      <c r="HQ27" s="1146">
        <f t="shared" si="72"/>
        <v>0</v>
      </c>
      <c r="HR27" s="1146">
        <f t="shared" si="73"/>
        <v>0</v>
      </c>
      <c r="HS27" s="1146">
        <f t="shared" si="74"/>
        <v>0</v>
      </c>
      <c r="HT27" s="1256">
        <f t="shared" si="127"/>
        <v>0</v>
      </c>
      <c r="HU27" s="1157">
        <f t="shared" si="128"/>
        <v>0</v>
      </c>
    </row>
    <row r="28" spans="1:229" ht="13.5" customHeight="1" outlineLevel="1" x14ac:dyDescent="0.2">
      <c r="A28" s="474"/>
      <c r="B28" s="1412"/>
      <c r="C28" s="511">
        <v>19</v>
      </c>
      <c r="D28" s="561" t="s">
        <v>78</v>
      </c>
      <c r="E28" s="513">
        <v>16</v>
      </c>
      <c r="F28" s="514">
        <v>1257.1099999999999</v>
      </c>
      <c r="G28" s="543">
        <f t="shared" si="0"/>
        <v>78.569374999999994</v>
      </c>
      <c r="H28" s="553">
        <v>0</v>
      </c>
      <c r="I28" s="178">
        <v>0</v>
      </c>
      <c r="J28" s="542">
        <v>0</v>
      </c>
      <c r="K28" s="553">
        <v>4</v>
      </c>
      <c r="L28" s="178">
        <v>177.36</v>
      </c>
      <c r="M28" s="542">
        <f>L28/K28</f>
        <v>44.34</v>
      </c>
      <c r="N28" s="545">
        <f t="shared" si="1"/>
        <v>1434.4699999999998</v>
      </c>
      <c r="O28" s="518">
        <v>291399.28999999998</v>
      </c>
      <c r="P28" s="485">
        <v>7691612.4000000004</v>
      </c>
      <c r="Q28" s="518">
        <v>271171.15000000002</v>
      </c>
      <c r="R28" s="519">
        <f t="shared" si="2"/>
        <v>8254182.8400000008</v>
      </c>
      <c r="S28" s="546">
        <f t="shared" si="75"/>
        <v>8254182.8400000008</v>
      </c>
      <c r="T28" s="521">
        <v>2048401.67</v>
      </c>
      <c r="U28" s="547">
        <v>0</v>
      </c>
      <c r="V28" s="547">
        <v>0</v>
      </c>
      <c r="W28" s="548">
        <v>0</v>
      </c>
      <c r="X28" s="549">
        <v>0</v>
      </c>
      <c r="Y28" s="549">
        <v>0</v>
      </c>
      <c r="Z28" s="549">
        <v>0</v>
      </c>
      <c r="AA28" s="525">
        <f t="shared" si="76"/>
        <v>0</v>
      </c>
      <c r="AB28" s="524">
        <f t="shared" si="77"/>
        <v>0</v>
      </c>
      <c r="AC28" s="526">
        <f t="shared" si="78"/>
        <v>0</v>
      </c>
      <c r="AD28" s="547">
        <v>0</v>
      </c>
      <c r="AE28" s="547">
        <v>0</v>
      </c>
      <c r="AF28" s="547">
        <v>0</v>
      </c>
      <c r="AG28" s="547">
        <v>0</v>
      </c>
      <c r="AH28" s="363">
        <f t="shared" si="79"/>
        <v>0</v>
      </c>
      <c r="AI28" s="547">
        <f t="shared" si="80"/>
        <v>0</v>
      </c>
      <c r="AJ28" s="550">
        <f t="shared" si="81"/>
        <v>0</v>
      </c>
      <c r="AK28" s="551">
        <f t="shared" si="82"/>
        <v>0</v>
      </c>
      <c r="AL28" s="529"/>
      <c r="AM28" s="502"/>
      <c r="AN28" s="530"/>
      <c r="AO28" s="498"/>
      <c r="AP28" s="499"/>
      <c r="AQ28" s="499"/>
      <c r="AR28" s="499"/>
      <c r="AS28" s="531">
        <f t="shared" si="3"/>
        <v>0</v>
      </c>
      <c r="AT28" s="532">
        <f t="shared" si="4"/>
        <v>0</v>
      </c>
      <c r="AU28" s="529">
        <v>0</v>
      </c>
      <c r="AV28" s="533">
        <v>0</v>
      </c>
      <c r="AW28" s="533">
        <v>0</v>
      </c>
      <c r="AX28" s="533">
        <v>0</v>
      </c>
      <c r="AY28" s="533">
        <f t="shared" si="5"/>
        <v>0</v>
      </c>
      <c r="AZ28" s="534">
        <f t="shared" si="6"/>
        <v>0</v>
      </c>
      <c r="BA28" s="535">
        <f t="shared" si="83"/>
        <v>0</v>
      </c>
      <c r="BB28" s="536">
        <f t="shared" si="84"/>
        <v>0</v>
      </c>
      <c r="BC28" s="523">
        <f t="shared" si="85"/>
        <v>0</v>
      </c>
      <c r="BD28" s="525">
        <f t="shared" si="86"/>
        <v>0</v>
      </c>
      <c r="BE28" s="525">
        <f t="shared" si="87"/>
        <v>0</v>
      </c>
      <c r="BF28" s="525">
        <f t="shared" si="88"/>
        <v>0</v>
      </c>
      <c r="BG28" s="525">
        <f t="shared" si="89"/>
        <v>0</v>
      </c>
      <c r="BH28" s="525">
        <f t="shared" si="90"/>
        <v>0</v>
      </c>
      <c r="BI28" s="526">
        <f t="shared" si="91"/>
        <v>0</v>
      </c>
      <c r="BJ28" s="537">
        <f t="shared" si="92"/>
        <v>0</v>
      </c>
      <c r="BK28" s="538">
        <f t="shared" si="93"/>
        <v>0</v>
      </c>
      <c r="BL28" s="538">
        <f t="shared" si="94"/>
        <v>0</v>
      </c>
      <c r="BM28" s="538">
        <f t="shared" si="95"/>
        <v>0</v>
      </c>
      <c r="BN28" s="538">
        <f t="shared" si="96"/>
        <v>0</v>
      </c>
      <c r="BO28" s="538">
        <f t="shared" si="97"/>
        <v>0</v>
      </c>
      <c r="BP28" s="539">
        <f t="shared" si="98"/>
        <v>0</v>
      </c>
      <c r="BQ28" s="540">
        <f t="shared" si="99"/>
        <v>0</v>
      </c>
      <c r="BR28" s="529"/>
      <c r="BS28" s="502"/>
      <c r="BT28" s="530"/>
      <c r="BU28" s="498"/>
      <c r="BV28" s="499"/>
      <c r="BW28" s="499"/>
      <c r="BX28" s="499"/>
      <c r="BY28" s="531">
        <f t="shared" si="9"/>
        <v>0</v>
      </c>
      <c r="BZ28" s="532">
        <f t="shared" si="10"/>
        <v>0</v>
      </c>
      <c r="CA28" s="529"/>
      <c r="CB28" s="533"/>
      <c r="CC28" s="533"/>
      <c r="CD28" s="533"/>
      <c r="CE28" s="533">
        <f t="shared" si="11"/>
        <v>0</v>
      </c>
      <c r="CF28" s="534">
        <f t="shared" si="12"/>
        <v>0</v>
      </c>
      <c r="CG28" s="774">
        <f t="shared" si="100"/>
        <v>0</v>
      </c>
      <c r="CH28" s="775">
        <f t="shared" si="101"/>
        <v>0</v>
      </c>
      <c r="CI28" s="548">
        <f t="shared" si="102"/>
        <v>0</v>
      </c>
      <c r="CJ28" s="773">
        <f t="shared" si="103"/>
        <v>0</v>
      </c>
      <c r="CK28" s="773">
        <f t="shared" si="104"/>
        <v>0</v>
      </c>
      <c r="CL28" s="773">
        <f t="shared" si="105"/>
        <v>0</v>
      </c>
      <c r="CM28" s="773">
        <f t="shared" si="106"/>
        <v>0</v>
      </c>
      <c r="CN28" s="773">
        <f t="shared" si="107"/>
        <v>0</v>
      </c>
      <c r="CO28" s="626">
        <f t="shared" si="108"/>
        <v>0</v>
      </c>
      <c r="CP28" s="1145">
        <f t="shared" si="109"/>
        <v>0</v>
      </c>
      <c r="CQ28" s="1146">
        <f t="shared" si="110"/>
        <v>0</v>
      </c>
      <c r="CR28" s="1146">
        <f t="shared" si="111"/>
        <v>0</v>
      </c>
      <c r="CS28" s="1146">
        <f t="shared" si="112"/>
        <v>0</v>
      </c>
      <c r="CT28" s="1146">
        <f t="shared" si="113"/>
        <v>0</v>
      </c>
      <c r="CU28" s="1146">
        <f t="shared" si="114"/>
        <v>0</v>
      </c>
      <c r="CV28" s="1256">
        <f t="shared" si="115"/>
        <v>0</v>
      </c>
      <c r="CW28" s="1157">
        <f t="shared" si="116"/>
        <v>0</v>
      </c>
      <c r="CX28" s="529"/>
      <c r="CY28" s="502"/>
      <c r="CZ28" s="530"/>
      <c r="DA28" s="498"/>
      <c r="DB28" s="499"/>
      <c r="DC28" s="499"/>
      <c r="DD28" s="499"/>
      <c r="DE28" s="531">
        <f t="shared" si="15"/>
        <v>0</v>
      </c>
      <c r="DF28" s="532">
        <f t="shared" si="16"/>
        <v>0</v>
      </c>
      <c r="DG28" s="529"/>
      <c r="DH28" s="533"/>
      <c r="DI28" s="533"/>
      <c r="DJ28" s="533"/>
      <c r="DK28" s="533">
        <f t="shared" si="17"/>
        <v>0</v>
      </c>
      <c r="DL28" s="534">
        <f t="shared" si="18"/>
        <v>0</v>
      </c>
      <c r="DM28" s="1258">
        <f t="shared" si="19"/>
        <v>0</v>
      </c>
      <c r="DN28" s="775">
        <f t="shared" si="20"/>
        <v>0</v>
      </c>
      <c r="DO28" s="548">
        <f t="shared" si="21"/>
        <v>0</v>
      </c>
      <c r="DP28" s="773">
        <f t="shared" si="22"/>
        <v>0</v>
      </c>
      <c r="DQ28" s="773">
        <f t="shared" si="23"/>
        <v>0</v>
      </c>
      <c r="DR28" s="773">
        <f t="shared" si="24"/>
        <v>0</v>
      </c>
      <c r="DS28" s="773">
        <f t="shared" si="25"/>
        <v>0</v>
      </c>
      <c r="DT28" s="773">
        <f t="shared" si="26"/>
        <v>0</v>
      </c>
      <c r="DU28" s="526">
        <f t="shared" si="117"/>
        <v>0</v>
      </c>
      <c r="DV28" s="1145">
        <f t="shared" si="27"/>
        <v>0</v>
      </c>
      <c r="DW28" s="1146">
        <f t="shared" si="28"/>
        <v>0</v>
      </c>
      <c r="DX28" s="1146">
        <f t="shared" si="29"/>
        <v>0</v>
      </c>
      <c r="DY28" s="1146">
        <f t="shared" si="30"/>
        <v>0</v>
      </c>
      <c r="DZ28" s="1146">
        <f t="shared" si="31"/>
        <v>0</v>
      </c>
      <c r="EA28" s="1146">
        <f t="shared" si="32"/>
        <v>0</v>
      </c>
      <c r="EB28" s="539">
        <f t="shared" si="118"/>
        <v>0</v>
      </c>
      <c r="EC28" s="540">
        <f t="shared" si="119"/>
        <v>0</v>
      </c>
      <c r="ES28" s="1258">
        <f t="shared" si="33"/>
        <v>0</v>
      </c>
      <c r="ET28" s="775">
        <f t="shared" si="34"/>
        <v>0</v>
      </c>
      <c r="EU28" s="548">
        <f t="shared" si="35"/>
        <v>0</v>
      </c>
      <c r="EV28" s="773">
        <f t="shared" si="36"/>
        <v>0</v>
      </c>
      <c r="EW28" s="773">
        <f t="shared" si="37"/>
        <v>0</v>
      </c>
      <c r="EX28" s="773">
        <f t="shared" si="38"/>
        <v>0</v>
      </c>
      <c r="EY28" s="773">
        <f t="shared" si="39"/>
        <v>0</v>
      </c>
      <c r="EZ28" s="773">
        <f t="shared" si="40"/>
        <v>0</v>
      </c>
      <c r="FA28" s="626">
        <f t="shared" si="120"/>
        <v>0</v>
      </c>
      <c r="FB28" s="1145">
        <f t="shared" si="41"/>
        <v>0</v>
      </c>
      <c r="FC28" s="1146">
        <f t="shared" si="42"/>
        <v>0</v>
      </c>
      <c r="FD28" s="1146">
        <f t="shared" si="43"/>
        <v>0</v>
      </c>
      <c r="FE28" s="1146">
        <f t="shared" si="44"/>
        <v>0</v>
      </c>
      <c r="FF28" s="1146">
        <f t="shared" si="45"/>
        <v>0</v>
      </c>
      <c r="FG28" s="1146">
        <f t="shared" si="46"/>
        <v>0</v>
      </c>
      <c r="FH28" s="1256">
        <f t="shared" si="121"/>
        <v>0</v>
      </c>
      <c r="FI28" s="1157">
        <f t="shared" si="122"/>
        <v>0</v>
      </c>
      <c r="FY28" s="1258">
        <f t="shared" si="47"/>
        <v>0</v>
      </c>
      <c r="FZ28" s="775">
        <f t="shared" si="48"/>
        <v>0</v>
      </c>
      <c r="GA28" s="548">
        <f t="shared" si="49"/>
        <v>0</v>
      </c>
      <c r="GB28" s="773">
        <f t="shared" si="50"/>
        <v>0</v>
      </c>
      <c r="GC28" s="773">
        <f t="shared" si="51"/>
        <v>0</v>
      </c>
      <c r="GD28" s="773">
        <f t="shared" si="52"/>
        <v>0</v>
      </c>
      <c r="GE28" s="773">
        <f t="shared" si="53"/>
        <v>0</v>
      </c>
      <c r="GF28" s="773">
        <f t="shared" si="54"/>
        <v>0</v>
      </c>
      <c r="GG28" s="626">
        <f t="shared" si="123"/>
        <v>0</v>
      </c>
      <c r="GH28" s="1145">
        <f t="shared" si="55"/>
        <v>0</v>
      </c>
      <c r="GI28" s="1146">
        <f t="shared" si="56"/>
        <v>0</v>
      </c>
      <c r="GJ28" s="1146">
        <f t="shared" si="57"/>
        <v>0</v>
      </c>
      <c r="GK28" s="1146">
        <f t="shared" si="58"/>
        <v>0</v>
      </c>
      <c r="GL28" s="1146">
        <f t="shared" si="59"/>
        <v>0</v>
      </c>
      <c r="GM28" s="1146">
        <f t="shared" si="60"/>
        <v>0</v>
      </c>
      <c r="GN28" s="1256">
        <f t="shared" si="124"/>
        <v>0</v>
      </c>
      <c r="GO28" s="1157">
        <f t="shared" si="125"/>
        <v>0</v>
      </c>
      <c r="HE28" s="1675">
        <f t="shared" si="61"/>
        <v>0</v>
      </c>
      <c r="HF28" s="775">
        <f t="shared" si="62"/>
        <v>0</v>
      </c>
      <c r="HG28" s="548">
        <f t="shared" si="63"/>
        <v>0</v>
      </c>
      <c r="HH28" s="773">
        <f t="shared" si="64"/>
        <v>0</v>
      </c>
      <c r="HI28" s="773">
        <f t="shared" si="65"/>
        <v>0</v>
      </c>
      <c r="HJ28" s="773">
        <f t="shared" si="66"/>
        <v>0</v>
      </c>
      <c r="HK28" s="773">
        <f t="shared" si="67"/>
        <v>0</v>
      </c>
      <c r="HL28" s="773">
        <f t="shared" si="68"/>
        <v>0</v>
      </c>
      <c r="HM28" s="626">
        <f t="shared" si="126"/>
        <v>0</v>
      </c>
      <c r="HN28" s="1145">
        <f t="shared" si="69"/>
        <v>0</v>
      </c>
      <c r="HO28" s="1146">
        <f t="shared" si="70"/>
        <v>0</v>
      </c>
      <c r="HP28" s="1146">
        <f t="shared" si="71"/>
        <v>0</v>
      </c>
      <c r="HQ28" s="1146">
        <f t="shared" si="72"/>
        <v>0</v>
      </c>
      <c r="HR28" s="1146">
        <f t="shared" si="73"/>
        <v>0</v>
      </c>
      <c r="HS28" s="1146">
        <f t="shared" si="74"/>
        <v>0</v>
      </c>
      <c r="HT28" s="1256">
        <f t="shared" si="127"/>
        <v>0</v>
      </c>
      <c r="HU28" s="1157">
        <f t="shared" si="128"/>
        <v>0</v>
      </c>
    </row>
    <row r="29" spans="1:229" ht="13.5" customHeight="1" outlineLevel="1" x14ac:dyDescent="0.2">
      <c r="A29" s="474"/>
      <c r="B29" s="1412"/>
      <c r="C29" s="511">
        <v>20</v>
      </c>
      <c r="D29" s="557" t="s">
        <v>18</v>
      </c>
      <c r="E29" s="1721">
        <v>30</v>
      </c>
      <c r="F29" s="558">
        <v>2043.15</v>
      </c>
      <c r="G29" s="543">
        <f t="shared" si="0"/>
        <v>68.105000000000004</v>
      </c>
      <c r="H29" s="559">
        <v>0</v>
      </c>
      <c r="I29" s="558">
        <v>0</v>
      </c>
      <c r="J29" s="542">
        <v>0</v>
      </c>
      <c r="K29" s="559">
        <v>8</v>
      </c>
      <c r="L29" s="558">
        <v>694.25</v>
      </c>
      <c r="M29" s="542">
        <f>L29/K29</f>
        <v>86.78125</v>
      </c>
      <c r="N29" s="545">
        <f t="shared" si="1"/>
        <v>2737.4</v>
      </c>
      <c r="O29" s="518">
        <v>0</v>
      </c>
      <c r="P29" s="485">
        <v>13765693.67</v>
      </c>
      <c r="Q29" s="518">
        <v>1978966.46</v>
      </c>
      <c r="R29" s="519">
        <f t="shared" si="2"/>
        <v>15744660.129999999</v>
      </c>
      <c r="S29" s="546">
        <f t="shared" si="75"/>
        <v>15744660.129999999</v>
      </c>
      <c r="T29" s="521">
        <v>2056898.93</v>
      </c>
      <c r="U29" s="547">
        <v>0</v>
      </c>
      <c r="V29" s="547">
        <v>0</v>
      </c>
      <c r="W29" s="548">
        <v>0</v>
      </c>
      <c r="X29" s="549">
        <v>0</v>
      </c>
      <c r="Y29" s="549">
        <v>0</v>
      </c>
      <c r="Z29" s="549">
        <v>0</v>
      </c>
      <c r="AA29" s="525">
        <f t="shared" si="76"/>
        <v>0</v>
      </c>
      <c r="AB29" s="524">
        <f t="shared" si="77"/>
        <v>0</v>
      </c>
      <c r="AC29" s="526">
        <f t="shared" si="78"/>
        <v>0</v>
      </c>
      <c r="AD29" s="547">
        <v>0</v>
      </c>
      <c r="AE29" s="547">
        <v>0</v>
      </c>
      <c r="AF29" s="547">
        <v>0</v>
      </c>
      <c r="AG29" s="547">
        <v>0</v>
      </c>
      <c r="AH29" s="363">
        <f t="shared" si="79"/>
        <v>0</v>
      </c>
      <c r="AI29" s="547">
        <f t="shared" si="80"/>
        <v>0</v>
      </c>
      <c r="AJ29" s="550">
        <f t="shared" si="81"/>
        <v>0</v>
      </c>
      <c r="AK29" s="551">
        <f t="shared" si="82"/>
        <v>0</v>
      </c>
      <c r="AL29" s="529"/>
      <c r="AM29" s="502"/>
      <c r="AN29" s="530"/>
      <c r="AO29" s="498"/>
      <c r="AP29" s="499"/>
      <c r="AQ29" s="499"/>
      <c r="AR29" s="499"/>
      <c r="AS29" s="531">
        <f t="shared" si="3"/>
        <v>0</v>
      </c>
      <c r="AT29" s="532">
        <f t="shared" si="4"/>
        <v>0</v>
      </c>
      <c r="AU29" s="529">
        <v>0</v>
      </c>
      <c r="AV29" s="533">
        <v>0</v>
      </c>
      <c r="AW29" s="533">
        <v>0</v>
      </c>
      <c r="AX29" s="533">
        <v>0</v>
      </c>
      <c r="AY29" s="533">
        <f t="shared" si="5"/>
        <v>0</v>
      </c>
      <c r="AZ29" s="534">
        <f t="shared" si="6"/>
        <v>0</v>
      </c>
      <c r="BA29" s="535">
        <f t="shared" si="83"/>
        <v>0</v>
      </c>
      <c r="BB29" s="536">
        <f t="shared" si="84"/>
        <v>0</v>
      </c>
      <c r="BC29" s="523">
        <f t="shared" si="85"/>
        <v>0</v>
      </c>
      <c r="BD29" s="525">
        <f t="shared" si="86"/>
        <v>0</v>
      </c>
      <c r="BE29" s="525">
        <f t="shared" si="87"/>
        <v>0</v>
      </c>
      <c r="BF29" s="525">
        <f t="shared" si="88"/>
        <v>0</v>
      </c>
      <c r="BG29" s="525">
        <f t="shared" si="89"/>
        <v>0</v>
      </c>
      <c r="BH29" s="525">
        <f t="shared" si="90"/>
        <v>0</v>
      </c>
      <c r="BI29" s="526">
        <f t="shared" si="91"/>
        <v>0</v>
      </c>
      <c r="BJ29" s="537">
        <f t="shared" si="92"/>
        <v>0</v>
      </c>
      <c r="BK29" s="538">
        <f t="shared" si="93"/>
        <v>0</v>
      </c>
      <c r="BL29" s="538">
        <f t="shared" si="94"/>
        <v>0</v>
      </c>
      <c r="BM29" s="538">
        <f t="shared" si="95"/>
        <v>0</v>
      </c>
      <c r="BN29" s="538">
        <f t="shared" si="96"/>
        <v>0</v>
      </c>
      <c r="BO29" s="538">
        <f t="shared" si="97"/>
        <v>0</v>
      </c>
      <c r="BP29" s="539">
        <f t="shared" si="98"/>
        <v>0</v>
      </c>
      <c r="BQ29" s="540">
        <f t="shared" si="99"/>
        <v>0</v>
      </c>
      <c r="BR29" s="529"/>
      <c r="BS29" s="502"/>
      <c r="BT29" s="530"/>
      <c r="BU29" s="498"/>
      <c r="BV29" s="499"/>
      <c r="BW29" s="499"/>
      <c r="BX29" s="499"/>
      <c r="BY29" s="531">
        <f t="shared" si="9"/>
        <v>0</v>
      </c>
      <c r="BZ29" s="532">
        <f t="shared" si="10"/>
        <v>0</v>
      </c>
      <c r="CA29" s="529"/>
      <c r="CB29" s="533"/>
      <c r="CC29" s="533"/>
      <c r="CD29" s="533"/>
      <c r="CE29" s="533">
        <f t="shared" si="11"/>
        <v>0</v>
      </c>
      <c r="CF29" s="534">
        <f t="shared" si="12"/>
        <v>0</v>
      </c>
      <c r="CG29" s="774">
        <f t="shared" si="100"/>
        <v>0</v>
      </c>
      <c r="CH29" s="775">
        <f t="shared" si="101"/>
        <v>0</v>
      </c>
      <c r="CI29" s="548">
        <f t="shared" si="102"/>
        <v>0</v>
      </c>
      <c r="CJ29" s="773">
        <f t="shared" si="103"/>
        <v>0</v>
      </c>
      <c r="CK29" s="773">
        <f t="shared" si="104"/>
        <v>0</v>
      </c>
      <c r="CL29" s="773">
        <f t="shared" si="105"/>
        <v>0</v>
      </c>
      <c r="CM29" s="773">
        <f t="shared" si="106"/>
        <v>0</v>
      </c>
      <c r="CN29" s="773">
        <f t="shared" si="107"/>
        <v>0</v>
      </c>
      <c r="CO29" s="626">
        <f t="shared" si="108"/>
        <v>0</v>
      </c>
      <c r="CP29" s="1145">
        <f t="shared" si="109"/>
        <v>0</v>
      </c>
      <c r="CQ29" s="1146">
        <f t="shared" si="110"/>
        <v>0</v>
      </c>
      <c r="CR29" s="1146">
        <f t="shared" si="111"/>
        <v>0</v>
      </c>
      <c r="CS29" s="1146">
        <f t="shared" si="112"/>
        <v>0</v>
      </c>
      <c r="CT29" s="1146">
        <f t="shared" si="113"/>
        <v>0</v>
      </c>
      <c r="CU29" s="1146">
        <f t="shared" si="114"/>
        <v>0</v>
      </c>
      <c r="CV29" s="1256">
        <f t="shared" si="115"/>
        <v>0</v>
      </c>
      <c r="CW29" s="1157">
        <f t="shared" si="116"/>
        <v>0</v>
      </c>
      <c r="CX29" s="529"/>
      <c r="CY29" s="502"/>
      <c r="CZ29" s="530"/>
      <c r="DA29" s="498"/>
      <c r="DB29" s="499"/>
      <c r="DC29" s="499"/>
      <c r="DD29" s="499"/>
      <c r="DE29" s="531">
        <f t="shared" si="15"/>
        <v>0</v>
      </c>
      <c r="DF29" s="532">
        <f t="shared" si="16"/>
        <v>0</v>
      </c>
      <c r="DG29" s="529"/>
      <c r="DH29" s="533"/>
      <c r="DI29" s="533"/>
      <c r="DJ29" s="533"/>
      <c r="DK29" s="533">
        <f t="shared" si="17"/>
        <v>0</v>
      </c>
      <c r="DL29" s="534">
        <f t="shared" si="18"/>
        <v>0</v>
      </c>
      <c r="DM29" s="1258">
        <f t="shared" si="19"/>
        <v>0</v>
      </c>
      <c r="DN29" s="775">
        <f t="shared" si="20"/>
        <v>0</v>
      </c>
      <c r="DO29" s="548">
        <f t="shared" si="21"/>
        <v>0</v>
      </c>
      <c r="DP29" s="773">
        <f t="shared" si="22"/>
        <v>0</v>
      </c>
      <c r="DQ29" s="773">
        <f t="shared" si="23"/>
        <v>0</v>
      </c>
      <c r="DR29" s="773">
        <f t="shared" si="24"/>
        <v>0</v>
      </c>
      <c r="DS29" s="773">
        <f t="shared" si="25"/>
        <v>0</v>
      </c>
      <c r="DT29" s="773">
        <f t="shared" si="26"/>
        <v>0</v>
      </c>
      <c r="DU29" s="526">
        <f t="shared" si="117"/>
        <v>0</v>
      </c>
      <c r="DV29" s="1145">
        <f t="shared" si="27"/>
        <v>0</v>
      </c>
      <c r="DW29" s="1146">
        <f t="shared" si="28"/>
        <v>0</v>
      </c>
      <c r="DX29" s="1146">
        <f t="shared" si="29"/>
        <v>0</v>
      </c>
      <c r="DY29" s="1146">
        <f t="shared" si="30"/>
        <v>0</v>
      </c>
      <c r="DZ29" s="1146">
        <f t="shared" si="31"/>
        <v>0</v>
      </c>
      <c r="EA29" s="1146">
        <f t="shared" si="32"/>
        <v>0</v>
      </c>
      <c r="EB29" s="539">
        <f t="shared" si="118"/>
        <v>0</v>
      </c>
      <c r="EC29" s="540">
        <f t="shared" si="119"/>
        <v>0</v>
      </c>
      <c r="ES29" s="1258">
        <f t="shared" si="33"/>
        <v>0</v>
      </c>
      <c r="ET29" s="775">
        <f t="shared" si="34"/>
        <v>0</v>
      </c>
      <c r="EU29" s="548">
        <f t="shared" si="35"/>
        <v>0</v>
      </c>
      <c r="EV29" s="773">
        <f t="shared" si="36"/>
        <v>0</v>
      </c>
      <c r="EW29" s="773">
        <f t="shared" si="37"/>
        <v>0</v>
      </c>
      <c r="EX29" s="773">
        <f t="shared" si="38"/>
        <v>0</v>
      </c>
      <c r="EY29" s="773">
        <f t="shared" si="39"/>
        <v>0</v>
      </c>
      <c r="EZ29" s="773">
        <f t="shared" si="40"/>
        <v>0</v>
      </c>
      <c r="FA29" s="626">
        <f t="shared" si="120"/>
        <v>0</v>
      </c>
      <c r="FB29" s="1145">
        <f t="shared" si="41"/>
        <v>0</v>
      </c>
      <c r="FC29" s="1146">
        <f t="shared" si="42"/>
        <v>0</v>
      </c>
      <c r="FD29" s="1146">
        <f t="shared" si="43"/>
        <v>0</v>
      </c>
      <c r="FE29" s="1146">
        <f t="shared" si="44"/>
        <v>0</v>
      </c>
      <c r="FF29" s="1146">
        <f t="shared" si="45"/>
        <v>0</v>
      </c>
      <c r="FG29" s="1146">
        <f t="shared" si="46"/>
        <v>0</v>
      </c>
      <c r="FH29" s="1256">
        <f t="shared" si="121"/>
        <v>0</v>
      </c>
      <c r="FI29" s="1157">
        <f t="shared" si="122"/>
        <v>0</v>
      </c>
      <c r="FY29" s="1258">
        <f t="shared" si="47"/>
        <v>0</v>
      </c>
      <c r="FZ29" s="775">
        <f t="shared" si="48"/>
        <v>0</v>
      </c>
      <c r="GA29" s="548">
        <f t="shared" si="49"/>
        <v>0</v>
      </c>
      <c r="GB29" s="773">
        <f t="shared" si="50"/>
        <v>0</v>
      </c>
      <c r="GC29" s="773">
        <f t="shared" si="51"/>
        <v>0</v>
      </c>
      <c r="GD29" s="773">
        <f t="shared" si="52"/>
        <v>0</v>
      </c>
      <c r="GE29" s="773">
        <f t="shared" si="53"/>
        <v>0</v>
      </c>
      <c r="GF29" s="773">
        <f t="shared" si="54"/>
        <v>0</v>
      </c>
      <c r="GG29" s="626">
        <f t="shared" si="123"/>
        <v>0</v>
      </c>
      <c r="GH29" s="1145">
        <f t="shared" si="55"/>
        <v>0</v>
      </c>
      <c r="GI29" s="1146">
        <f t="shared" si="56"/>
        <v>0</v>
      </c>
      <c r="GJ29" s="1146">
        <f t="shared" si="57"/>
        <v>0</v>
      </c>
      <c r="GK29" s="1146">
        <f t="shared" si="58"/>
        <v>0</v>
      </c>
      <c r="GL29" s="1146">
        <f t="shared" si="59"/>
        <v>0</v>
      </c>
      <c r="GM29" s="1146">
        <f t="shared" si="60"/>
        <v>0</v>
      </c>
      <c r="GN29" s="1256">
        <f t="shared" si="124"/>
        <v>0</v>
      </c>
      <c r="GO29" s="1157">
        <f t="shared" si="125"/>
        <v>0</v>
      </c>
      <c r="HE29" s="1675">
        <f t="shared" si="61"/>
        <v>0</v>
      </c>
      <c r="HF29" s="775">
        <f t="shared" si="62"/>
        <v>0</v>
      </c>
      <c r="HG29" s="548">
        <f t="shared" si="63"/>
        <v>0</v>
      </c>
      <c r="HH29" s="773">
        <f t="shared" si="64"/>
        <v>0</v>
      </c>
      <c r="HI29" s="773">
        <f t="shared" si="65"/>
        <v>0</v>
      </c>
      <c r="HJ29" s="773">
        <f t="shared" si="66"/>
        <v>0</v>
      </c>
      <c r="HK29" s="773">
        <f t="shared" si="67"/>
        <v>0</v>
      </c>
      <c r="HL29" s="773">
        <f t="shared" si="68"/>
        <v>0</v>
      </c>
      <c r="HM29" s="626">
        <f t="shared" si="126"/>
        <v>0</v>
      </c>
      <c r="HN29" s="1145">
        <f t="shared" si="69"/>
        <v>0</v>
      </c>
      <c r="HO29" s="1146">
        <f t="shared" si="70"/>
        <v>0</v>
      </c>
      <c r="HP29" s="1146">
        <f t="shared" si="71"/>
        <v>0</v>
      </c>
      <c r="HQ29" s="1146">
        <f t="shared" si="72"/>
        <v>0</v>
      </c>
      <c r="HR29" s="1146">
        <f t="shared" si="73"/>
        <v>0</v>
      </c>
      <c r="HS29" s="1146">
        <f t="shared" si="74"/>
        <v>0</v>
      </c>
      <c r="HT29" s="1256">
        <f t="shared" si="127"/>
        <v>0</v>
      </c>
      <c r="HU29" s="1157">
        <f t="shared" si="128"/>
        <v>0</v>
      </c>
    </row>
    <row r="30" spans="1:229" ht="13.5" customHeight="1" outlineLevel="1" x14ac:dyDescent="0.2">
      <c r="A30" s="474"/>
      <c r="B30" s="1412"/>
      <c r="C30" s="511">
        <v>21</v>
      </c>
      <c r="D30" s="557" t="s">
        <v>19</v>
      </c>
      <c r="E30" s="1721">
        <v>28</v>
      </c>
      <c r="F30" s="558">
        <v>1969.63</v>
      </c>
      <c r="G30" s="543">
        <f t="shared" si="0"/>
        <v>70.343928571428577</v>
      </c>
      <c r="H30" s="559">
        <v>7</v>
      </c>
      <c r="I30" s="558">
        <v>102.05</v>
      </c>
      <c r="J30" s="542">
        <f>I30/H30</f>
        <v>14.578571428571427</v>
      </c>
      <c r="K30" s="559">
        <v>1</v>
      </c>
      <c r="L30" s="558">
        <v>58.43</v>
      </c>
      <c r="M30" s="542">
        <f>L30/K30</f>
        <v>58.43</v>
      </c>
      <c r="N30" s="545">
        <f t="shared" si="1"/>
        <v>2130.11</v>
      </c>
      <c r="O30" s="518">
        <v>0</v>
      </c>
      <c r="P30" s="485">
        <v>9722968.9200000018</v>
      </c>
      <c r="Q30" s="518">
        <v>1457526.2</v>
      </c>
      <c r="R30" s="519">
        <f t="shared" si="2"/>
        <v>11180495.120000001</v>
      </c>
      <c r="S30" s="546">
        <f t="shared" si="75"/>
        <v>11180495.120000001</v>
      </c>
      <c r="T30" s="521">
        <v>2336310.06</v>
      </c>
      <c r="U30" s="547">
        <v>0</v>
      </c>
      <c r="V30" s="547">
        <v>0</v>
      </c>
      <c r="W30" s="548">
        <v>0</v>
      </c>
      <c r="X30" s="549">
        <v>0</v>
      </c>
      <c r="Y30" s="549">
        <v>0</v>
      </c>
      <c r="Z30" s="549">
        <v>0</v>
      </c>
      <c r="AA30" s="525">
        <f t="shared" si="76"/>
        <v>0</v>
      </c>
      <c r="AB30" s="524">
        <f t="shared" si="77"/>
        <v>0</v>
      </c>
      <c r="AC30" s="526">
        <f t="shared" si="78"/>
        <v>0</v>
      </c>
      <c r="AD30" s="547">
        <v>0</v>
      </c>
      <c r="AE30" s="547">
        <v>0</v>
      </c>
      <c r="AF30" s="547">
        <v>0</v>
      </c>
      <c r="AG30" s="547">
        <v>0</v>
      </c>
      <c r="AH30" s="363">
        <f t="shared" si="79"/>
        <v>0</v>
      </c>
      <c r="AI30" s="547">
        <f t="shared" si="80"/>
        <v>0</v>
      </c>
      <c r="AJ30" s="550">
        <f t="shared" si="81"/>
        <v>0</v>
      </c>
      <c r="AK30" s="551">
        <f t="shared" si="82"/>
        <v>0</v>
      </c>
      <c r="AL30" s="529"/>
      <c r="AM30" s="502"/>
      <c r="AN30" s="530"/>
      <c r="AO30" s="498"/>
      <c r="AP30" s="499"/>
      <c r="AQ30" s="499"/>
      <c r="AR30" s="499"/>
      <c r="AS30" s="531">
        <f t="shared" si="3"/>
        <v>0</v>
      </c>
      <c r="AT30" s="532">
        <f t="shared" si="4"/>
        <v>0</v>
      </c>
      <c r="AU30" s="529">
        <v>0</v>
      </c>
      <c r="AV30" s="533">
        <v>0</v>
      </c>
      <c r="AW30" s="533">
        <v>0</v>
      </c>
      <c r="AX30" s="533">
        <v>0</v>
      </c>
      <c r="AY30" s="533">
        <f t="shared" si="5"/>
        <v>0</v>
      </c>
      <c r="AZ30" s="534">
        <f t="shared" si="6"/>
        <v>0</v>
      </c>
      <c r="BA30" s="535">
        <f t="shared" si="83"/>
        <v>0</v>
      </c>
      <c r="BB30" s="536">
        <f t="shared" si="84"/>
        <v>0</v>
      </c>
      <c r="BC30" s="523">
        <f t="shared" si="85"/>
        <v>0</v>
      </c>
      <c r="BD30" s="525">
        <f t="shared" si="86"/>
        <v>0</v>
      </c>
      <c r="BE30" s="525">
        <f t="shared" si="87"/>
        <v>0</v>
      </c>
      <c r="BF30" s="525">
        <f t="shared" si="88"/>
        <v>0</v>
      </c>
      <c r="BG30" s="525">
        <f t="shared" si="89"/>
        <v>0</v>
      </c>
      <c r="BH30" s="525">
        <f t="shared" si="90"/>
        <v>0</v>
      </c>
      <c r="BI30" s="526">
        <f t="shared" si="91"/>
        <v>0</v>
      </c>
      <c r="BJ30" s="537">
        <f t="shared" si="92"/>
        <v>0</v>
      </c>
      <c r="BK30" s="538">
        <f t="shared" si="93"/>
        <v>0</v>
      </c>
      <c r="BL30" s="538">
        <f t="shared" si="94"/>
        <v>0</v>
      </c>
      <c r="BM30" s="538">
        <f t="shared" si="95"/>
        <v>0</v>
      </c>
      <c r="BN30" s="538">
        <f t="shared" si="96"/>
        <v>0</v>
      </c>
      <c r="BO30" s="538">
        <f t="shared" si="97"/>
        <v>0</v>
      </c>
      <c r="BP30" s="539">
        <f t="shared" si="98"/>
        <v>0</v>
      </c>
      <c r="BQ30" s="540">
        <f t="shared" si="99"/>
        <v>0</v>
      </c>
      <c r="BR30" s="529"/>
      <c r="BS30" s="502"/>
      <c r="BT30" s="530"/>
      <c r="BU30" s="498"/>
      <c r="BV30" s="499"/>
      <c r="BW30" s="499"/>
      <c r="BX30" s="499"/>
      <c r="BY30" s="531">
        <f t="shared" si="9"/>
        <v>0</v>
      </c>
      <c r="BZ30" s="532">
        <f t="shared" si="10"/>
        <v>0</v>
      </c>
      <c r="CA30" s="529"/>
      <c r="CB30" s="533"/>
      <c r="CC30" s="533"/>
      <c r="CD30" s="533"/>
      <c r="CE30" s="533">
        <f t="shared" si="11"/>
        <v>0</v>
      </c>
      <c r="CF30" s="534">
        <f t="shared" si="12"/>
        <v>0</v>
      </c>
      <c r="CG30" s="774">
        <f t="shared" si="100"/>
        <v>0</v>
      </c>
      <c r="CH30" s="775">
        <f t="shared" si="101"/>
        <v>0</v>
      </c>
      <c r="CI30" s="548">
        <f t="shared" si="102"/>
        <v>0</v>
      </c>
      <c r="CJ30" s="773">
        <f t="shared" si="103"/>
        <v>0</v>
      </c>
      <c r="CK30" s="773">
        <f t="shared" si="104"/>
        <v>0</v>
      </c>
      <c r="CL30" s="773">
        <f t="shared" si="105"/>
        <v>0</v>
      </c>
      <c r="CM30" s="773">
        <f t="shared" si="106"/>
        <v>0</v>
      </c>
      <c r="CN30" s="773">
        <f t="shared" si="107"/>
        <v>0</v>
      </c>
      <c r="CO30" s="626">
        <f t="shared" si="108"/>
        <v>0</v>
      </c>
      <c r="CP30" s="1145">
        <f t="shared" si="109"/>
        <v>0</v>
      </c>
      <c r="CQ30" s="1146">
        <f t="shared" si="110"/>
        <v>0</v>
      </c>
      <c r="CR30" s="1146">
        <f t="shared" si="111"/>
        <v>0</v>
      </c>
      <c r="CS30" s="1146">
        <f t="shared" si="112"/>
        <v>0</v>
      </c>
      <c r="CT30" s="1146">
        <f t="shared" si="113"/>
        <v>0</v>
      </c>
      <c r="CU30" s="1146">
        <f t="shared" si="114"/>
        <v>0</v>
      </c>
      <c r="CV30" s="1256">
        <f t="shared" si="115"/>
        <v>0</v>
      </c>
      <c r="CW30" s="1157">
        <f t="shared" si="116"/>
        <v>0</v>
      </c>
      <c r="CX30" s="529"/>
      <c r="CY30" s="502"/>
      <c r="CZ30" s="530"/>
      <c r="DA30" s="498"/>
      <c r="DB30" s="499"/>
      <c r="DC30" s="499"/>
      <c r="DD30" s="499"/>
      <c r="DE30" s="531">
        <f t="shared" si="15"/>
        <v>0</v>
      </c>
      <c r="DF30" s="532">
        <f t="shared" si="16"/>
        <v>0</v>
      </c>
      <c r="DG30" s="529"/>
      <c r="DH30" s="533"/>
      <c r="DI30" s="533"/>
      <c r="DJ30" s="533"/>
      <c r="DK30" s="533">
        <f t="shared" si="17"/>
        <v>0</v>
      </c>
      <c r="DL30" s="534">
        <f t="shared" si="18"/>
        <v>0</v>
      </c>
      <c r="DM30" s="1258">
        <f t="shared" si="19"/>
        <v>0</v>
      </c>
      <c r="DN30" s="775">
        <f t="shared" si="20"/>
        <v>0</v>
      </c>
      <c r="DO30" s="548">
        <f t="shared" si="21"/>
        <v>0</v>
      </c>
      <c r="DP30" s="773">
        <f t="shared" si="22"/>
        <v>0</v>
      </c>
      <c r="DQ30" s="773">
        <f t="shared" si="23"/>
        <v>0</v>
      </c>
      <c r="DR30" s="773">
        <f t="shared" si="24"/>
        <v>0</v>
      </c>
      <c r="DS30" s="773">
        <f t="shared" si="25"/>
        <v>0</v>
      </c>
      <c r="DT30" s="773">
        <f t="shared" si="26"/>
        <v>0</v>
      </c>
      <c r="DU30" s="526">
        <f t="shared" si="117"/>
        <v>0</v>
      </c>
      <c r="DV30" s="1145">
        <f t="shared" si="27"/>
        <v>0</v>
      </c>
      <c r="DW30" s="1146">
        <f t="shared" si="28"/>
        <v>0</v>
      </c>
      <c r="DX30" s="1146">
        <f t="shared" si="29"/>
        <v>0</v>
      </c>
      <c r="DY30" s="1146">
        <f t="shared" si="30"/>
        <v>0</v>
      </c>
      <c r="DZ30" s="1146">
        <f t="shared" si="31"/>
        <v>0</v>
      </c>
      <c r="EA30" s="1146">
        <f t="shared" si="32"/>
        <v>0</v>
      </c>
      <c r="EB30" s="539">
        <f t="shared" si="118"/>
        <v>0</v>
      </c>
      <c r="EC30" s="540">
        <f t="shared" si="119"/>
        <v>0</v>
      </c>
      <c r="ES30" s="1258">
        <f t="shared" si="33"/>
        <v>0</v>
      </c>
      <c r="ET30" s="775">
        <f t="shared" si="34"/>
        <v>0</v>
      </c>
      <c r="EU30" s="548">
        <f t="shared" si="35"/>
        <v>0</v>
      </c>
      <c r="EV30" s="773">
        <f t="shared" si="36"/>
        <v>0</v>
      </c>
      <c r="EW30" s="773">
        <f t="shared" si="37"/>
        <v>0</v>
      </c>
      <c r="EX30" s="773">
        <f t="shared" si="38"/>
        <v>0</v>
      </c>
      <c r="EY30" s="773">
        <f t="shared" si="39"/>
        <v>0</v>
      </c>
      <c r="EZ30" s="773">
        <f t="shared" si="40"/>
        <v>0</v>
      </c>
      <c r="FA30" s="626">
        <f t="shared" si="120"/>
        <v>0</v>
      </c>
      <c r="FB30" s="1145">
        <f t="shared" si="41"/>
        <v>0</v>
      </c>
      <c r="FC30" s="1146">
        <f t="shared" si="42"/>
        <v>0</v>
      </c>
      <c r="FD30" s="1146">
        <f t="shared" si="43"/>
        <v>0</v>
      </c>
      <c r="FE30" s="1146">
        <f t="shared" si="44"/>
        <v>0</v>
      </c>
      <c r="FF30" s="1146">
        <f t="shared" si="45"/>
        <v>0</v>
      </c>
      <c r="FG30" s="1146">
        <f t="shared" si="46"/>
        <v>0</v>
      </c>
      <c r="FH30" s="1256">
        <f t="shared" si="121"/>
        <v>0</v>
      </c>
      <c r="FI30" s="1157">
        <f t="shared" si="122"/>
        <v>0</v>
      </c>
      <c r="FY30" s="1258">
        <f t="shared" si="47"/>
        <v>0</v>
      </c>
      <c r="FZ30" s="775">
        <f t="shared" si="48"/>
        <v>0</v>
      </c>
      <c r="GA30" s="548">
        <f t="shared" si="49"/>
        <v>0</v>
      </c>
      <c r="GB30" s="773">
        <f t="shared" si="50"/>
        <v>0</v>
      </c>
      <c r="GC30" s="773">
        <f t="shared" si="51"/>
        <v>0</v>
      </c>
      <c r="GD30" s="773">
        <f t="shared" si="52"/>
        <v>0</v>
      </c>
      <c r="GE30" s="773">
        <f t="shared" si="53"/>
        <v>0</v>
      </c>
      <c r="GF30" s="773">
        <f t="shared" si="54"/>
        <v>0</v>
      </c>
      <c r="GG30" s="626">
        <f t="shared" si="123"/>
        <v>0</v>
      </c>
      <c r="GH30" s="1145">
        <f t="shared" si="55"/>
        <v>0</v>
      </c>
      <c r="GI30" s="1146">
        <f t="shared" si="56"/>
        <v>0</v>
      </c>
      <c r="GJ30" s="1146">
        <f t="shared" si="57"/>
        <v>0</v>
      </c>
      <c r="GK30" s="1146">
        <f t="shared" si="58"/>
        <v>0</v>
      </c>
      <c r="GL30" s="1146">
        <f t="shared" si="59"/>
        <v>0</v>
      </c>
      <c r="GM30" s="1146">
        <f t="shared" si="60"/>
        <v>0</v>
      </c>
      <c r="GN30" s="1256">
        <f t="shared" si="124"/>
        <v>0</v>
      </c>
      <c r="GO30" s="1157">
        <f t="shared" si="125"/>
        <v>0</v>
      </c>
      <c r="HE30" s="1675">
        <f t="shared" si="61"/>
        <v>0</v>
      </c>
      <c r="HF30" s="775">
        <f t="shared" si="62"/>
        <v>0</v>
      </c>
      <c r="HG30" s="548">
        <f t="shared" si="63"/>
        <v>0</v>
      </c>
      <c r="HH30" s="773">
        <f t="shared" si="64"/>
        <v>0</v>
      </c>
      <c r="HI30" s="773">
        <f t="shared" si="65"/>
        <v>0</v>
      </c>
      <c r="HJ30" s="773">
        <f t="shared" si="66"/>
        <v>0</v>
      </c>
      <c r="HK30" s="773">
        <f t="shared" si="67"/>
        <v>0</v>
      </c>
      <c r="HL30" s="773">
        <f t="shared" si="68"/>
        <v>0</v>
      </c>
      <c r="HM30" s="626">
        <f t="shared" si="126"/>
        <v>0</v>
      </c>
      <c r="HN30" s="1145">
        <f t="shared" si="69"/>
        <v>0</v>
      </c>
      <c r="HO30" s="1146">
        <f t="shared" si="70"/>
        <v>0</v>
      </c>
      <c r="HP30" s="1146">
        <f t="shared" si="71"/>
        <v>0</v>
      </c>
      <c r="HQ30" s="1146">
        <f t="shared" si="72"/>
        <v>0</v>
      </c>
      <c r="HR30" s="1146">
        <f t="shared" si="73"/>
        <v>0</v>
      </c>
      <c r="HS30" s="1146">
        <f t="shared" si="74"/>
        <v>0</v>
      </c>
      <c r="HT30" s="1256">
        <f t="shared" si="127"/>
        <v>0</v>
      </c>
      <c r="HU30" s="1157">
        <f t="shared" si="128"/>
        <v>0</v>
      </c>
    </row>
    <row r="31" spans="1:229" ht="13.5" customHeight="1" outlineLevel="1" x14ac:dyDescent="0.2">
      <c r="A31" s="474"/>
      <c r="B31" s="1412"/>
      <c r="C31" s="511">
        <v>22</v>
      </c>
      <c r="D31" s="561" t="s">
        <v>60</v>
      </c>
      <c r="E31" s="513">
        <v>16</v>
      </c>
      <c r="F31" s="514">
        <v>1188.55</v>
      </c>
      <c r="G31" s="543">
        <f t="shared" si="0"/>
        <v>74.284374999999997</v>
      </c>
      <c r="H31" s="553">
        <v>0</v>
      </c>
      <c r="I31" s="178">
        <v>0</v>
      </c>
      <c r="J31" s="542">
        <v>0</v>
      </c>
      <c r="K31" s="553">
        <v>2</v>
      </c>
      <c r="L31" s="178">
        <v>55.24</v>
      </c>
      <c r="M31" s="542">
        <f>L31/K31</f>
        <v>27.62</v>
      </c>
      <c r="N31" s="545">
        <f t="shared" si="1"/>
        <v>1243.79</v>
      </c>
      <c r="O31" s="518">
        <v>0</v>
      </c>
      <c r="P31" s="485">
        <v>7047784.8199999994</v>
      </c>
      <c r="Q31" s="518">
        <v>61561.635999999999</v>
      </c>
      <c r="R31" s="519">
        <f t="shared" si="2"/>
        <v>7109346.4559999993</v>
      </c>
      <c r="S31" s="546">
        <f t="shared" si="75"/>
        <v>7109346.4559999993</v>
      </c>
      <c r="T31" s="521">
        <v>1595863.5</v>
      </c>
      <c r="U31" s="547">
        <v>0</v>
      </c>
      <c r="V31" s="547">
        <v>0</v>
      </c>
      <c r="W31" s="548">
        <v>0</v>
      </c>
      <c r="X31" s="549">
        <v>0</v>
      </c>
      <c r="Y31" s="549">
        <v>0</v>
      </c>
      <c r="Z31" s="549">
        <v>0</v>
      </c>
      <c r="AA31" s="525">
        <f t="shared" si="76"/>
        <v>0</v>
      </c>
      <c r="AB31" s="524">
        <f t="shared" si="77"/>
        <v>0</v>
      </c>
      <c r="AC31" s="526">
        <f t="shared" si="78"/>
        <v>0</v>
      </c>
      <c r="AD31" s="547">
        <v>0</v>
      </c>
      <c r="AE31" s="547">
        <v>0</v>
      </c>
      <c r="AF31" s="547">
        <v>0</v>
      </c>
      <c r="AG31" s="547">
        <v>0</v>
      </c>
      <c r="AH31" s="363">
        <f t="shared" si="79"/>
        <v>0</v>
      </c>
      <c r="AI31" s="547">
        <f t="shared" si="80"/>
        <v>0</v>
      </c>
      <c r="AJ31" s="550">
        <f t="shared" si="81"/>
        <v>0</v>
      </c>
      <c r="AK31" s="551">
        <f t="shared" si="82"/>
        <v>0</v>
      </c>
      <c r="AL31" s="529"/>
      <c r="AM31" s="502"/>
      <c r="AN31" s="530"/>
      <c r="AO31" s="498"/>
      <c r="AP31" s="499"/>
      <c r="AQ31" s="499"/>
      <c r="AR31" s="499"/>
      <c r="AS31" s="531">
        <f t="shared" si="3"/>
        <v>0</v>
      </c>
      <c r="AT31" s="532">
        <f t="shared" si="4"/>
        <v>0</v>
      </c>
      <c r="AU31" s="529">
        <v>0</v>
      </c>
      <c r="AV31" s="533">
        <v>0</v>
      </c>
      <c r="AW31" s="533">
        <v>0</v>
      </c>
      <c r="AX31" s="533">
        <v>0</v>
      </c>
      <c r="AY31" s="533">
        <f t="shared" si="5"/>
        <v>0</v>
      </c>
      <c r="AZ31" s="534">
        <f t="shared" si="6"/>
        <v>0</v>
      </c>
      <c r="BA31" s="535">
        <f t="shared" si="83"/>
        <v>0</v>
      </c>
      <c r="BB31" s="536">
        <f t="shared" si="84"/>
        <v>0</v>
      </c>
      <c r="BC31" s="523">
        <f t="shared" si="85"/>
        <v>0</v>
      </c>
      <c r="BD31" s="525">
        <f t="shared" si="86"/>
        <v>0</v>
      </c>
      <c r="BE31" s="525">
        <f t="shared" si="87"/>
        <v>0</v>
      </c>
      <c r="BF31" s="525">
        <f t="shared" si="88"/>
        <v>0</v>
      </c>
      <c r="BG31" s="525">
        <f t="shared" si="89"/>
        <v>0</v>
      </c>
      <c r="BH31" s="525">
        <f t="shared" si="90"/>
        <v>0</v>
      </c>
      <c r="BI31" s="526">
        <f t="shared" si="91"/>
        <v>0</v>
      </c>
      <c r="BJ31" s="537">
        <f t="shared" si="92"/>
        <v>0</v>
      </c>
      <c r="BK31" s="538">
        <f t="shared" si="93"/>
        <v>0</v>
      </c>
      <c r="BL31" s="538">
        <f t="shared" si="94"/>
        <v>0</v>
      </c>
      <c r="BM31" s="538">
        <f t="shared" si="95"/>
        <v>0</v>
      </c>
      <c r="BN31" s="538">
        <f t="shared" si="96"/>
        <v>0</v>
      </c>
      <c r="BO31" s="538">
        <f t="shared" si="97"/>
        <v>0</v>
      </c>
      <c r="BP31" s="539">
        <f t="shared" si="98"/>
        <v>0</v>
      </c>
      <c r="BQ31" s="540">
        <f t="shared" si="99"/>
        <v>0</v>
      </c>
      <c r="BR31" s="529"/>
      <c r="BS31" s="502"/>
      <c r="BT31" s="530"/>
      <c r="BU31" s="498"/>
      <c r="BV31" s="499"/>
      <c r="BW31" s="499"/>
      <c r="BX31" s="499"/>
      <c r="BY31" s="531">
        <f t="shared" si="9"/>
        <v>0</v>
      </c>
      <c r="BZ31" s="532">
        <f t="shared" si="10"/>
        <v>0</v>
      </c>
      <c r="CA31" s="529"/>
      <c r="CB31" s="533"/>
      <c r="CC31" s="533"/>
      <c r="CD31" s="533"/>
      <c r="CE31" s="533">
        <f t="shared" si="11"/>
        <v>0</v>
      </c>
      <c r="CF31" s="534">
        <f t="shared" si="12"/>
        <v>0</v>
      </c>
      <c r="CG31" s="774">
        <f t="shared" si="100"/>
        <v>0</v>
      </c>
      <c r="CH31" s="775">
        <f t="shared" si="101"/>
        <v>0</v>
      </c>
      <c r="CI31" s="548">
        <f t="shared" si="102"/>
        <v>0</v>
      </c>
      <c r="CJ31" s="773">
        <f t="shared" si="103"/>
        <v>0</v>
      </c>
      <c r="CK31" s="773">
        <f t="shared" si="104"/>
        <v>0</v>
      </c>
      <c r="CL31" s="773">
        <f t="shared" si="105"/>
        <v>0</v>
      </c>
      <c r="CM31" s="773">
        <f t="shared" si="106"/>
        <v>0</v>
      </c>
      <c r="CN31" s="773">
        <f t="shared" si="107"/>
        <v>0</v>
      </c>
      <c r="CO31" s="626">
        <f t="shared" si="108"/>
        <v>0</v>
      </c>
      <c r="CP31" s="1145">
        <f t="shared" si="109"/>
        <v>0</v>
      </c>
      <c r="CQ31" s="1146">
        <f t="shared" si="110"/>
        <v>0</v>
      </c>
      <c r="CR31" s="1146">
        <f t="shared" si="111"/>
        <v>0</v>
      </c>
      <c r="CS31" s="1146">
        <f t="shared" si="112"/>
        <v>0</v>
      </c>
      <c r="CT31" s="1146">
        <f t="shared" si="113"/>
        <v>0</v>
      </c>
      <c r="CU31" s="1146">
        <f t="shared" si="114"/>
        <v>0</v>
      </c>
      <c r="CV31" s="1256">
        <f t="shared" si="115"/>
        <v>0</v>
      </c>
      <c r="CW31" s="1157">
        <f t="shared" si="116"/>
        <v>0</v>
      </c>
      <c r="CX31" s="529"/>
      <c r="CY31" s="502"/>
      <c r="CZ31" s="530"/>
      <c r="DA31" s="498"/>
      <c r="DB31" s="499"/>
      <c r="DC31" s="499"/>
      <c r="DD31" s="499"/>
      <c r="DE31" s="531">
        <f t="shared" si="15"/>
        <v>0</v>
      </c>
      <c r="DF31" s="532">
        <f t="shared" si="16"/>
        <v>0</v>
      </c>
      <c r="DG31" s="529"/>
      <c r="DH31" s="533"/>
      <c r="DI31" s="533"/>
      <c r="DJ31" s="533"/>
      <c r="DK31" s="533">
        <f t="shared" si="17"/>
        <v>0</v>
      </c>
      <c r="DL31" s="534">
        <f t="shared" si="18"/>
        <v>0</v>
      </c>
      <c r="DM31" s="1258">
        <f t="shared" si="19"/>
        <v>0</v>
      </c>
      <c r="DN31" s="775">
        <f t="shared" si="20"/>
        <v>0</v>
      </c>
      <c r="DO31" s="548">
        <f t="shared" si="21"/>
        <v>0</v>
      </c>
      <c r="DP31" s="773">
        <f t="shared" si="22"/>
        <v>0</v>
      </c>
      <c r="DQ31" s="773">
        <f t="shared" si="23"/>
        <v>0</v>
      </c>
      <c r="DR31" s="773">
        <f t="shared" si="24"/>
        <v>0</v>
      </c>
      <c r="DS31" s="773">
        <f t="shared" si="25"/>
        <v>0</v>
      </c>
      <c r="DT31" s="773">
        <f t="shared" si="26"/>
        <v>0</v>
      </c>
      <c r="DU31" s="526">
        <f t="shared" si="117"/>
        <v>0</v>
      </c>
      <c r="DV31" s="1145">
        <f t="shared" si="27"/>
        <v>0</v>
      </c>
      <c r="DW31" s="1146">
        <f t="shared" si="28"/>
        <v>0</v>
      </c>
      <c r="DX31" s="1146">
        <f t="shared" si="29"/>
        <v>0</v>
      </c>
      <c r="DY31" s="1146">
        <f t="shared" si="30"/>
        <v>0</v>
      </c>
      <c r="DZ31" s="1146">
        <f t="shared" si="31"/>
        <v>0</v>
      </c>
      <c r="EA31" s="1146">
        <f t="shared" si="32"/>
        <v>0</v>
      </c>
      <c r="EB31" s="539">
        <f t="shared" si="118"/>
        <v>0</v>
      </c>
      <c r="EC31" s="540">
        <f t="shared" si="119"/>
        <v>0</v>
      </c>
      <c r="ES31" s="1258">
        <f t="shared" si="33"/>
        <v>0</v>
      </c>
      <c r="ET31" s="775">
        <f t="shared" si="34"/>
        <v>0</v>
      </c>
      <c r="EU31" s="548">
        <f t="shared" si="35"/>
        <v>0</v>
      </c>
      <c r="EV31" s="773">
        <f t="shared" si="36"/>
        <v>0</v>
      </c>
      <c r="EW31" s="773">
        <f t="shared" si="37"/>
        <v>0</v>
      </c>
      <c r="EX31" s="773">
        <f t="shared" si="38"/>
        <v>0</v>
      </c>
      <c r="EY31" s="773">
        <f t="shared" si="39"/>
        <v>0</v>
      </c>
      <c r="EZ31" s="773">
        <f t="shared" si="40"/>
        <v>0</v>
      </c>
      <c r="FA31" s="626">
        <f t="shared" si="120"/>
        <v>0</v>
      </c>
      <c r="FB31" s="1145">
        <f t="shared" si="41"/>
        <v>0</v>
      </c>
      <c r="FC31" s="1146">
        <f t="shared" si="42"/>
        <v>0</v>
      </c>
      <c r="FD31" s="1146">
        <f t="shared" si="43"/>
        <v>0</v>
      </c>
      <c r="FE31" s="1146">
        <f t="shared" si="44"/>
        <v>0</v>
      </c>
      <c r="FF31" s="1146">
        <f t="shared" si="45"/>
        <v>0</v>
      </c>
      <c r="FG31" s="1146">
        <f t="shared" si="46"/>
        <v>0</v>
      </c>
      <c r="FH31" s="1256">
        <f t="shared" si="121"/>
        <v>0</v>
      </c>
      <c r="FI31" s="1157">
        <f t="shared" si="122"/>
        <v>0</v>
      </c>
      <c r="FY31" s="1258">
        <f t="shared" si="47"/>
        <v>0</v>
      </c>
      <c r="FZ31" s="775">
        <f t="shared" si="48"/>
        <v>0</v>
      </c>
      <c r="GA31" s="548">
        <f t="shared" si="49"/>
        <v>0</v>
      </c>
      <c r="GB31" s="773">
        <f t="shared" si="50"/>
        <v>0</v>
      </c>
      <c r="GC31" s="773">
        <f t="shared" si="51"/>
        <v>0</v>
      </c>
      <c r="GD31" s="773">
        <f t="shared" si="52"/>
        <v>0</v>
      </c>
      <c r="GE31" s="773">
        <f t="shared" si="53"/>
        <v>0</v>
      </c>
      <c r="GF31" s="773">
        <f t="shared" si="54"/>
        <v>0</v>
      </c>
      <c r="GG31" s="626">
        <f t="shared" si="123"/>
        <v>0</v>
      </c>
      <c r="GH31" s="1145">
        <f t="shared" si="55"/>
        <v>0</v>
      </c>
      <c r="GI31" s="1146">
        <f t="shared" si="56"/>
        <v>0</v>
      </c>
      <c r="GJ31" s="1146">
        <f t="shared" si="57"/>
        <v>0</v>
      </c>
      <c r="GK31" s="1146">
        <f t="shared" si="58"/>
        <v>0</v>
      </c>
      <c r="GL31" s="1146">
        <f t="shared" si="59"/>
        <v>0</v>
      </c>
      <c r="GM31" s="1146">
        <f t="shared" si="60"/>
        <v>0</v>
      </c>
      <c r="GN31" s="1256">
        <f t="shared" si="124"/>
        <v>0</v>
      </c>
      <c r="GO31" s="1157">
        <f t="shared" si="125"/>
        <v>0</v>
      </c>
      <c r="HE31" s="1675">
        <f t="shared" si="61"/>
        <v>0</v>
      </c>
      <c r="HF31" s="775">
        <f t="shared" si="62"/>
        <v>0</v>
      </c>
      <c r="HG31" s="548">
        <f t="shared" si="63"/>
        <v>0</v>
      </c>
      <c r="HH31" s="773">
        <f t="shared" si="64"/>
        <v>0</v>
      </c>
      <c r="HI31" s="773">
        <f t="shared" si="65"/>
        <v>0</v>
      </c>
      <c r="HJ31" s="773">
        <f t="shared" si="66"/>
        <v>0</v>
      </c>
      <c r="HK31" s="773">
        <f t="shared" si="67"/>
        <v>0</v>
      </c>
      <c r="HL31" s="773">
        <f t="shared" si="68"/>
        <v>0</v>
      </c>
      <c r="HM31" s="626">
        <f t="shared" si="126"/>
        <v>0</v>
      </c>
      <c r="HN31" s="1145">
        <f t="shared" si="69"/>
        <v>0</v>
      </c>
      <c r="HO31" s="1146">
        <f t="shared" si="70"/>
        <v>0</v>
      </c>
      <c r="HP31" s="1146">
        <f t="shared" si="71"/>
        <v>0</v>
      </c>
      <c r="HQ31" s="1146">
        <f t="shared" si="72"/>
        <v>0</v>
      </c>
      <c r="HR31" s="1146">
        <f t="shared" si="73"/>
        <v>0</v>
      </c>
      <c r="HS31" s="1146">
        <f t="shared" si="74"/>
        <v>0</v>
      </c>
      <c r="HT31" s="1256">
        <f t="shared" si="127"/>
        <v>0</v>
      </c>
      <c r="HU31" s="1157">
        <f t="shared" si="128"/>
        <v>0</v>
      </c>
    </row>
    <row r="32" spans="1:229" ht="13.5" customHeight="1" outlineLevel="1" x14ac:dyDescent="0.2">
      <c r="A32" s="474"/>
      <c r="B32" s="1412"/>
      <c r="C32" s="511">
        <v>23</v>
      </c>
      <c r="D32" s="557" t="s">
        <v>20</v>
      </c>
      <c r="E32" s="1721">
        <v>24</v>
      </c>
      <c r="F32" s="558">
        <v>1433.42</v>
      </c>
      <c r="G32" s="543">
        <f t="shared" si="0"/>
        <v>59.725833333333334</v>
      </c>
      <c r="H32" s="559">
        <v>0</v>
      </c>
      <c r="I32" s="558">
        <v>0</v>
      </c>
      <c r="J32" s="542">
        <v>0</v>
      </c>
      <c r="K32" s="559">
        <v>0</v>
      </c>
      <c r="L32" s="558">
        <v>0</v>
      </c>
      <c r="M32" s="542">
        <v>0</v>
      </c>
      <c r="N32" s="545">
        <f t="shared" si="1"/>
        <v>1433.42</v>
      </c>
      <c r="O32" s="518">
        <v>0</v>
      </c>
      <c r="P32" s="485">
        <v>7056685.5400000019</v>
      </c>
      <c r="Q32" s="518">
        <v>1588656.4939999999</v>
      </c>
      <c r="R32" s="519">
        <f t="shared" si="2"/>
        <v>8645342.0340000018</v>
      </c>
      <c r="S32" s="546">
        <f t="shared" si="75"/>
        <v>8645342.0340000018</v>
      </c>
      <c r="T32" s="521">
        <v>2034586.99</v>
      </c>
      <c r="U32" s="547">
        <v>0</v>
      </c>
      <c r="V32" s="547">
        <v>0</v>
      </c>
      <c r="W32" s="548">
        <v>0</v>
      </c>
      <c r="X32" s="549">
        <v>0</v>
      </c>
      <c r="Y32" s="549">
        <v>0</v>
      </c>
      <c r="Z32" s="549">
        <v>0</v>
      </c>
      <c r="AA32" s="525">
        <f t="shared" si="76"/>
        <v>0</v>
      </c>
      <c r="AB32" s="524">
        <f t="shared" si="77"/>
        <v>0</v>
      </c>
      <c r="AC32" s="526">
        <f t="shared" si="78"/>
        <v>0</v>
      </c>
      <c r="AD32" s="547">
        <v>0</v>
      </c>
      <c r="AE32" s="547">
        <v>0</v>
      </c>
      <c r="AF32" s="547">
        <v>0</v>
      </c>
      <c r="AG32" s="547">
        <v>0</v>
      </c>
      <c r="AH32" s="363">
        <f t="shared" si="79"/>
        <v>0</v>
      </c>
      <c r="AI32" s="547">
        <f t="shared" si="80"/>
        <v>0</v>
      </c>
      <c r="AJ32" s="550">
        <f t="shared" si="81"/>
        <v>0</v>
      </c>
      <c r="AK32" s="551">
        <f t="shared" si="82"/>
        <v>0</v>
      </c>
      <c r="AL32" s="529"/>
      <c r="AM32" s="502"/>
      <c r="AN32" s="530"/>
      <c r="AO32" s="498"/>
      <c r="AP32" s="499"/>
      <c r="AQ32" s="499"/>
      <c r="AR32" s="499"/>
      <c r="AS32" s="531">
        <f t="shared" si="3"/>
        <v>0</v>
      </c>
      <c r="AT32" s="532">
        <f t="shared" si="4"/>
        <v>0</v>
      </c>
      <c r="AU32" s="529">
        <v>0</v>
      </c>
      <c r="AV32" s="533">
        <v>0</v>
      </c>
      <c r="AW32" s="533">
        <v>0</v>
      </c>
      <c r="AX32" s="533">
        <v>0</v>
      </c>
      <c r="AY32" s="533">
        <f t="shared" si="5"/>
        <v>0</v>
      </c>
      <c r="AZ32" s="534">
        <f t="shared" si="6"/>
        <v>0</v>
      </c>
      <c r="BA32" s="535">
        <f t="shared" si="83"/>
        <v>0</v>
      </c>
      <c r="BB32" s="536">
        <f t="shared" si="84"/>
        <v>0</v>
      </c>
      <c r="BC32" s="523">
        <f t="shared" si="85"/>
        <v>0</v>
      </c>
      <c r="BD32" s="525">
        <f t="shared" si="86"/>
        <v>0</v>
      </c>
      <c r="BE32" s="525">
        <f t="shared" si="87"/>
        <v>0</v>
      </c>
      <c r="BF32" s="525">
        <f t="shared" si="88"/>
        <v>0</v>
      </c>
      <c r="BG32" s="525">
        <f t="shared" si="89"/>
        <v>0</v>
      </c>
      <c r="BH32" s="525">
        <f t="shared" si="90"/>
        <v>0</v>
      </c>
      <c r="BI32" s="526">
        <f t="shared" si="91"/>
        <v>0</v>
      </c>
      <c r="BJ32" s="537">
        <f t="shared" si="92"/>
        <v>0</v>
      </c>
      <c r="BK32" s="538">
        <f t="shared" si="93"/>
        <v>0</v>
      </c>
      <c r="BL32" s="538">
        <f t="shared" si="94"/>
        <v>0</v>
      </c>
      <c r="BM32" s="538">
        <f t="shared" si="95"/>
        <v>0</v>
      </c>
      <c r="BN32" s="538">
        <f t="shared" si="96"/>
        <v>0</v>
      </c>
      <c r="BO32" s="538">
        <f t="shared" si="97"/>
        <v>0</v>
      </c>
      <c r="BP32" s="539">
        <f t="shared" si="98"/>
        <v>0</v>
      </c>
      <c r="BQ32" s="540">
        <f t="shared" si="99"/>
        <v>0</v>
      </c>
      <c r="BR32" s="529"/>
      <c r="BS32" s="502"/>
      <c r="BT32" s="530"/>
      <c r="BU32" s="498"/>
      <c r="BV32" s="499"/>
      <c r="BW32" s="499"/>
      <c r="BX32" s="499"/>
      <c r="BY32" s="531">
        <f t="shared" si="9"/>
        <v>0</v>
      </c>
      <c r="BZ32" s="532">
        <f t="shared" si="10"/>
        <v>0</v>
      </c>
      <c r="CA32" s="529"/>
      <c r="CB32" s="533"/>
      <c r="CC32" s="533"/>
      <c r="CD32" s="533"/>
      <c r="CE32" s="533">
        <f t="shared" si="11"/>
        <v>0</v>
      </c>
      <c r="CF32" s="534">
        <f t="shared" si="12"/>
        <v>0</v>
      </c>
      <c r="CG32" s="774">
        <f t="shared" si="100"/>
        <v>0</v>
      </c>
      <c r="CH32" s="775">
        <f t="shared" si="101"/>
        <v>0</v>
      </c>
      <c r="CI32" s="548">
        <f t="shared" si="102"/>
        <v>0</v>
      </c>
      <c r="CJ32" s="773">
        <f t="shared" si="103"/>
        <v>0</v>
      </c>
      <c r="CK32" s="773">
        <f t="shared" si="104"/>
        <v>0</v>
      </c>
      <c r="CL32" s="773">
        <f t="shared" si="105"/>
        <v>0</v>
      </c>
      <c r="CM32" s="773">
        <f t="shared" si="106"/>
        <v>0</v>
      </c>
      <c r="CN32" s="773">
        <f t="shared" si="107"/>
        <v>0</v>
      </c>
      <c r="CO32" s="626">
        <f t="shared" si="108"/>
        <v>0</v>
      </c>
      <c r="CP32" s="1145">
        <f t="shared" si="109"/>
        <v>0</v>
      </c>
      <c r="CQ32" s="1146">
        <f t="shared" si="110"/>
        <v>0</v>
      </c>
      <c r="CR32" s="1146">
        <f t="shared" si="111"/>
        <v>0</v>
      </c>
      <c r="CS32" s="1146">
        <f t="shared" si="112"/>
        <v>0</v>
      </c>
      <c r="CT32" s="1146">
        <f t="shared" si="113"/>
        <v>0</v>
      </c>
      <c r="CU32" s="1146">
        <f t="shared" si="114"/>
        <v>0</v>
      </c>
      <c r="CV32" s="1256">
        <f t="shared" si="115"/>
        <v>0</v>
      </c>
      <c r="CW32" s="1157">
        <f t="shared" si="116"/>
        <v>0</v>
      </c>
      <c r="CX32" s="529"/>
      <c r="CY32" s="502"/>
      <c r="CZ32" s="530"/>
      <c r="DA32" s="498"/>
      <c r="DB32" s="499"/>
      <c r="DC32" s="499"/>
      <c r="DD32" s="499"/>
      <c r="DE32" s="531">
        <f t="shared" si="15"/>
        <v>0</v>
      </c>
      <c r="DF32" s="532">
        <f t="shared" si="16"/>
        <v>0</v>
      </c>
      <c r="DG32" s="529"/>
      <c r="DH32" s="533"/>
      <c r="DI32" s="533"/>
      <c r="DJ32" s="533"/>
      <c r="DK32" s="533">
        <f t="shared" si="17"/>
        <v>0</v>
      </c>
      <c r="DL32" s="534">
        <f t="shared" si="18"/>
        <v>0</v>
      </c>
      <c r="DM32" s="1258">
        <f t="shared" si="19"/>
        <v>0</v>
      </c>
      <c r="DN32" s="775">
        <f t="shared" si="20"/>
        <v>0</v>
      </c>
      <c r="DO32" s="548">
        <f t="shared" si="21"/>
        <v>0</v>
      </c>
      <c r="DP32" s="773">
        <f t="shared" si="22"/>
        <v>0</v>
      </c>
      <c r="DQ32" s="773">
        <f t="shared" si="23"/>
        <v>0</v>
      </c>
      <c r="DR32" s="773">
        <f t="shared" si="24"/>
        <v>0</v>
      </c>
      <c r="DS32" s="773">
        <f t="shared" si="25"/>
        <v>0</v>
      </c>
      <c r="DT32" s="773">
        <f t="shared" si="26"/>
        <v>0</v>
      </c>
      <c r="DU32" s="526">
        <f t="shared" si="117"/>
        <v>0</v>
      </c>
      <c r="DV32" s="1145">
        <f t="shared" si="27"/>
        <v>0</v>
      </c>
      <c r="DW32" s="1146">
        <f t="shared" si="28"/>
        <v>0</v>
      </c>
      <c r="DX32" s="1146">
        <f t="shared" si="29"/>
        <v>0</v>
      </c>
      <c r="DY32" s="1146">
        <f t="shared" si="30"/>
        <v>0</v>
      </c>
      <c r="DZ32" s="1146">
        <f t="shared" si="31"/>
        <v>0</v>
      </c>
      <c r="EA32" s="1146">
        <f t="shared" si="32"/>
        <v>0</v>
      </c>
      <c r="EB32" s="539">
        <f t="shared" si="118"/>
        <v>0</v>
      </c>
      <c r="EC32" s="540">
        <f t="shared" si="119"/>
        <v>0</v>
      </c>
      <c r="ES32" s="1258">
        <f t="shared" si="33"/>
        <v>0</v>
      </c>
      <c r="ET32" s="775">
        <f t="shared" si="34"/>
        <v>0</v>
      </c>
      <c r="EU32" s="548">
        <f t="shared" si="35"/>
        <v>0</v>
      </c>
      <c r="EV32" s="773">
        <f t="shared" si="36"/>
        <v>0</v>
      </c>
      <c r="EW32" s="773">
        <f t="shared" si="37"/>
        <v>0</v>
      </c>
      <c r="EX32" s="773">
        <f t="shared" si="38"/>
        <v>0</v>
      </c>
      <c r="EY32" s="773">
        <f t="shared" si="39"/>
        <v>0</v>
      </c>
      <c r="EZ32" s="773">
        <f t="shared" si="40"/>
        <v>0</v>
      </c>
      <c r="FA32" s="626">
        <f t="shared" si="120"/>
        <v>0</v>
      </c>
      <c r="FB32" s="1145">
        <f t="shared" si="41"/>
        <v>0</v>
      </c>
      <c r="FC32" s="1146">
        <f t="shared" si="42"/>
        <v>0</v>
      </c>
      <c r="FD32" s="1146">
        <f t="shared" si="43"/>
        <v>0</v>
      </c>
      <c r="FE32" s="1146">
        <f t="shared" si="44"/>
        <v>0</v>
      </c>
      <c r="FF32" s="1146">
        <f t="shared" si="45"/>
        <v>0</v>
      </c>
      <c r="FG32" s="1146">
        <f t="shared" si="46"/>
        <v>0</v>
      </c>
      <c r="FH32" s="1256">
        <f t="shared" si="121"/>
        <v>0</v>
      </c>
      <c r="FI32" s="1157">
        <f t="shared" si="122"/>
        <v>0</v>
      </c>
      <c r="FY32" s="1258">
        <f t="shared" si="47"/>
        <v>0</v>
      </c>
      <c r="FZ32" s="775">
        <f t="shared" si="48"/>
        <v>0</v>
      </c>
      <c r="GA32" s="548">
        <f t="shared" si="49"/>
        <v>0</v>
      </c>
      <c r="GB32" s="773">
        <f t="shared" si="50"/>
        <v>0</v>
      </c>
      <c r="GC32" s="773">
        <f t="shared" si="51"/>
        <v>0</v>
      </c>
      <c r="GD32" s="773">
        <f t="shared" si="52"/>
        <v>0</v>
      </c>
      <c r="GE32" s="773">
        <f t="shared" si="53"/>
        <v>0</v>
      </c>
      <c r="GF32" s="773">
        <f t="shared" si="54"/>
        <v>0</v>
      </c>
      <c r="GG32" s="626">
        <f t="shared" si="123"/>
        <v>0</v>
      </c>
      <c r="GH32" s="1145">
        <f t="shared" si="55"/>
        <v>0</v>
      </c>
      <c r="GI32" s="1146">
        <f t="shared" si="56"/>
        <v>0</v>
      </c>
      <c r="GJ32" s="1146">
        <f t="shared" si="57"/>
        <v>0</v>
      </c>
      <c r="GK32" s="1146">
        <f t="shared" si="58"/>
        <v>0</v>
      </c>
      <c r="GL32" s="1146">
        <f t="shared" si="59"/>
        <v>0</v>
      </c>
      <c r="GM32" s="1146">
        <f t="shared" si="60"/>
        <v>0</v>
      </c>
      <c r="GN32" s="1256">
        <f t="shared" si="124"/>
        <v>0</v>
      </c>
      <c r="GO32" s="1157">
        <f t="shared" si="125"/>
        <v>0</v>
      </c>
      <c r="HE32" s="1675">
        <f t="shared" si="61"/>
        <v>0</v>
      </c>
      <c r="HF32" s="775">
        <f t="shared" si="62"/>
        <v>0</v>
      </c>
      <c r="HG32" s="548">
        <f t="shared" si="63"/>
        <v>0</v>
      </c>
      <c r="HH32" s="773">
        <f t="shared" si="64"/>
        <v>0</v>
      </c>
      <c r="HI32" s="773">
        <f t="shared" si="65"/>
        <v>0</v>
      </c>
      <c r="HJ32" s="773">
        <f t="shared" si="66"/>
        <v>0</v>
      </c>
      <c r="HK32" s="773">
        <f t="shared" si="67"/>
        <v>0</v>
      </c>
      <c r="HL32" s="773">
        <f t="shared" si="68"/>
        <v>0</v>
      </c>
      <c r="HM32" s="626">
        <f t="shared" si="126"/>
        <v>0</v>
      </c>
      <c r="HN32" s="1145">
        <f t="shared" si="69"/>
        <v>0</v>
      </c>
      <c r="HO32" s="1146">
        <f t="shared" si="70"/>
        <v>0</v>
      </c>
      <c r="HP32" s="1146">
        <f t="shared" si="71"/>
        <v>0</v>
      </c>
      <c r="HQ32" s="1146">
        <f t="shared" si="72"/>
        <v>0</v>
      </c>
      <c r="HR32" s="1146">
        <f t="shared" si="73"/>
        <v>0</v>
      </c>
      <c r="HS32" s="1146">
        <f t="shared" si="74"/>
        <v>0</v>
      </c>
      <c r="HT32" s="1256">
        <f t="shared" si="127"/>
        <v>0</v>
      </c>
      <c r="HU32" s="1157">
        <f t="shared" si="128"/>
        <v>0</v>
      </c>
    </row>
    <row r="33" spans="1:229" ht="13.5" customHeight="1" outlineLevel="1" x14ac:dyDescent="0.2">
      <c r="A33" s="474"/>
      <c r="B33" s="1412"/>
      <c r="C33" s="511">
        <v>24</v>
      </c>
      <c r="D33" s="561" t="s">
        <v>61</v>
      </c>
      <c r="E33" s="513">
        <v>12</v>
      </c>
      <c r="F33" s="514">
        <v>942.69</v>
      </c>
      <c r="G33" s="543">
        <f t="shared" si="0"/>
        <v>78.557500000000005</v>
      </c>
      <c r="H33" s="516">
        <v>0</v>
      </c>
      <c r="I33" s="258">
        <v>0</v>
      </c>
      <c r="J33" s="542">
        <v>0</v>
      </c>
      <c r="K33" s="516">
        <v>0</v>
      </c>
      <c r="L33" s="258">
        <v>0</v>
      </c>
      <c r="M33" s="542">
        <v>0</v>
      </c>
      <c r="N33" s="545">
        <f t="shared" si="1"/>
        <v>942.69</v>
      </c>
      <c r="O33" s="518">
        <v>0</v>
      </c>
      <c r="P33" s="485">
        <v>4945919.72</v>
      </c>
      <c r="Q33" s="518">
        <v>678685.74600000004</v>
      </c>
      <c r="R33" s="519">
        <f t="shared" si="2"/>
        <v>5624605.466</v>
      </c>
      <c r="S33" s="546">
        <f t="shared" si="75"/>
        <v>5624605.466</v>
      </c>
      <c r="T33" s="521">
        <v>1620009.31</v>
      </c>
      <c r="U33" s="547">
        <v>0</v>
      </c>
      <c r="V33" s="547">
        <v>0</v>
      </c>
      <c r="W33" s="548">
        <v>0</v>
      </c>
      <c r="X33" s="549">
        <v>0</v>
      </c>
      <c r="Y33" s="549">
        <v>0</v>
      </c>
      <c r="Z33" s="549">
        <v>0</v>
      </c>
      <c r="AA33" s="525">
        <f t="shared" si="76"/>
        <v>0</v>
      </c>
      <c r="AB33" s="524">
        <f t="shared" si="77"/>
        <v>0</v>
      </c>
      <c r="AC33" s="526">
        <f t="shared" si="78"/>
        <v>0</v>
      </c>
      <c r="AD33" s="547">
        <v>0</v>
      </c>
      <c r="AE33" s="547">
        <v>0</v>
      </c>
      <c r="AF33" s="547">
        <v>0</v>
      </c>
      <c r="AG33" s="547">
        <v>0</v>
      </c>
      <c r="AH33" s="363">
        <f t="shared" si="79"/>
        <v>0</v>
      </c>
      <c r="AI33" s="547">
        <f t="shared" si="80"/>
        <v>0</v>
      </c>
      <c r="AJ33" s="550">
        <f t="shared" si="81"/>
        <v>0</v>
      </c>
      <c r="AK33" s="551">
        <f t="shared" si="82"/>
        <v>0</v>
      </c>
      <c r="AL33" s="529"/>
      <c r="AM33" s="502"/>
      <c r="AN33" s="530"/>
      <c r="AO33" s="498"/>
      <c r="AP33" s="499"/>
      <c r="AQ33" s="499"/>
      <c r="AR33" s="499"/>
      <c r="AS33" s="531">
        <f t="shared" si="3"/>
        <v>0</v>
      </c>
      <c r="AT33" s="532">
        <f t="shared" si="4"/>
        <v>0</v>
      </c>
      <c r="AU33" s="529">
        <v>0</v>
      </c>
      <c r="AV33" s="533">
        <v>0</v>
      </c>
      <c r="AW33" s="533">
        <v>0</v>
      </c>
      <c r="AX33" s="533">
        <v>0</v>
      </c>
      <c r="AY33" s="533">
        <f t="shared" si="5"/>
        <v>0</v>
      </c>
      <c r="AZ33" s="534">
        <f t="shared" si="6"/>
        <v>0</v>
      </c>
      <c r="BA33" s="535">
        <f t="shared" si="83"/>
        <v>0</v>
      </c>
      <c r="BB33" s="536">
        <f t="shared" si="84"/>
        <v>0</v>
      </c>
      <c r="BC33" s="523">
        <f t="shared" si="85"/>
        <v>0</v>
      </c>
      <c r="BD33" s="525">
        <f t="shared" si="86"/>
        <v>0</v>
      </c>
      <c r="BE33" s="525">
        <f t="shared" si="87"/>
        <v>0</v>
      </c>
      <c r="BF33" s="525">
        <f t="shared" si="88"/>
        <v>0</v>
      </c>
      <c r="BG33" s="525">
        <f t="shared" si="89"/>
        <v>0</v>
      </c>
      <c r="BH33" s="525">
        <f t="shared" si="90"/>
        <v>0</v>
      </c>
      <c r="BI33" s="526">
        <f t="shared" si="91"/>
        <v>0</v>
      </c>
      <c r="BJ33" s="537">
        <f t="shared" si="92"/>
        <v>0</v>
      </c>
      <c r="BK33" s="538">
        <f t="shared" si="93"/>
        <v>0</v>
      </c>
      <c r="BL33" s="538">
        <f t="shared" si="94"/>
        <v>0</v>
      </c>
      <c r="BM33" s="538">
        <f t="shared" si="95"/>
        <v>0</v>
      </c>
      <c r="BN33" s="538">
        <f t="shared" si="96"/>
        <v>0</v>
      </c>
      <c r="BO33" s="538">
        <f t="shared" si="97"/>
        <v>0</v>
      </c>
      <c r="BP33" s="539">
        <f t="shared" si="98"/>
        <v>0</v>
      </c>
      <c r="BQ33" s="540">
        <f t="shared" si="99"/>
        <v>0</v>
      </c>
      <c r="BR33" s="529"/>
      <c r="BS33" s="502"/>
      <c r="BT33" s="530"/>
      <c r="BU33" s="498"/>
      <c r="BV33" s="499"/>
      <c r="BW33" s="499"/>
      <c r="BX33" s="499"/>
      <c r="BY33" s="531">
        <f t="shared" si="9"/>
        <v>0</v>
      </c>
      <c r="BZ33" s="532">
        <f t="shared" si="10"/>
        <v>0</v>
      </c>
      <c r="CA33" s="529"/>
      <c r="CB33" s="533"/>
      <c r="CC33" s="533"/>
      <c r="CD33" s="533"/>
      <c r="CE33" s="533">
        <f t="shared" si="11"/>
        <v>0</v>
      </c>
      <c r="CF33" s="534">
        <f t="shared" si="12"/>
        <v>0</v>
      </c>
      <c r="CG33" s="774">
        <f t="shared" si="100"/>
        <v>0</v>
      </c>
      <c r="CH33" s="775">
        <f t="shared" si="101"/>
        <v>0</v>
      </c>
      <c r="CI33" s="548">
        <f t="shared" si="102"/>
        <v>0</v>
      </c>
      <c r="CJ33" s="773">
        <f t="shared" si="103"/>
        <v>0</v>
      </c>
      <c r="CK33" s="773">
        <f t="shared" si="104"/>
        <v>0</v>
      </c>
      <c r="CL33" s="773">
        <f t="shared" si="105"/>
        <v>0</v>
      </c>
      <c r="CM33" s="773">
        <f t="shared" si="106"/>
        <v>0</v>
      </c>
      <c r="CN33" s="773">
        <f t="shared" si="107"/>
        <v>0</v>
      </c>
      <c r="CO33" s="626">
        <f t="shared" si="108"/>
        <v>0</v>
      </c>
      <c r="CP33" s="1145">
        <f t="shared" si="109"/>
        <v>0</v>
      </c>
      <c r="CQ33" s="1146">
        <f t="shared" si="110"/>
        <v>0</v>
      </c>
      <c r="CR33" s="1146">
        <f t="shared" si="111"/>
        <v>0</v>
      </c>
      <c r="CS33" s="1146">
        <f t="shared" si="112"/>
        <v>0</v>
      </c>
      <c r="CT33" s="1146">
        <f t="shared" si="113"/>
        <v>0</v>
      </c>
      <c r="CU33" s="1146">
        <f t="shared" si="114"/>
        <v>0</v>
      </c>
      <c r="CV33" s="1256">
        <f t="shared" si="115"/>
        <v>0</v>
      </c>
      <c r="CW33" s="1157">
        <f t="shared" si="116"/>
        <v>0</v>
      </c>
      <c r="CX33" s="529"/>
      <c r="CY33" s="502"/>
      <c r="CZ33" s="530"/>
      <c r="DA33" s="498"/>
      <c r="DB33" s="499"/>
      <c r="DC33" s="499"/>
      <c r="DD33" s="499"/>
      <c r="DE33" s="531">
        <f t="shared" si="15"/>
        <v>0</v>
      </c>
      <c r="DF33" s="532">
        <f t="shared" si="16"/>
        <v>0</v>
      </c>
      <c r="DG33" s="529"/>
      <c r="DH33" s="533"/>
      <c r="DI33" s="533"/>
      <c r="DJ33" s="533"/>
      <c r="DK33" s="533">
        <f t="shared" si="17"/>
        <v>0</v>
      </c>
      <c r="DL33" s="534">
        <f t="shared" si="18"/>
        <v>0</v>
      </c>
      <c r="DM33" s="1258">
        <f t="shared" si="19"/>
        <v>0</v>
      </c>
      <c r="DN33" s="775">
        <f t="shared" si="20"/>
        <v>0</v>
      </c>
      <c r="DO33" s="548">
        <f t="shared" si="21"/>
        <v>0</v>
      </c>
      <c r="DP33" s="773">
        <f t="shared" si="22"/>
        <v>0</v>
      </c>
      <c r="DQ33" s="773">
        <f t="shared" si="23"/>
        <v>0</v>
      </c>
      <c r="DR33" s="773">
        <f t="shared" si="24"/>
        <v>0</v>
      </c>
      <c r="DS33" s="773">
        <f t="shared" si="25"/>
        <v>0</v>
      </c>
      <c r="DT33" s="773">
        <f t="shared" si="26"/>
        <v>0</v>
      </c>
      <c r="DU33" s="526">
        <f t="shared" si="117"/>
        <v>0</v>
      </c>
      <c r="DV33" s="1145">
        <f t="shared" si="27"/>
        <v>0</v>
      </c>
      <c r="DW33" s="1146">
        <f t="shared" si="28"/>
        <v>0</v>
      </c>
      <c r="DX33" s="1146">
        <f t="shared" si="29"/>
        <v>0</v>
      </c>
      <c r="DY33" s="1146">
        <f t="shared" si="30"/>
        <v>0</v>
      </c>
      <c r="DZ33" s="1146">
        <f t="shared" si="31"/>
        <v>0</v>
      </c>
      <c r="EA33" s="1146">
        <f t="shared" si="32"/>
        <v>0</v>
      </c>
      <c r="EB33" s="539">
        <f t="shared" si="118"/>
        <v>0</v>
      </c>
      <c r="EC33" s="540">
        <f t="shared" si="119"/>
        <v>0</v>
      </c>
      <c r="ES33" s="1258">
        <f t="shared" si="33"/>
        <v>0</v>
      </c>
      <c r="ET33" s="775">
        <f t="shared" si="34"/>
        <v>0</v>
      </c>
      <c r="EU33" s="548">
        <f t="shared" si="35"/>
        <v>0</v>
      </c>
      <c r="EV33" s="773">
        <f t="shared" si="36"/>
        <v>0</v>
      </c>
      <c r="EW33" s="773">
        <f t="shared" si="37"/>
        <v>0</v>
      </c>
      <c r="EX33" s="773">
        <f t="shared" si="38"/>
        <v>0</v>
      </c>
      <c r="EY33" s="773">
        <f t="shared" si="39"/>
        <v>0</v>
      </c>
      <c r="EZ33" s="773">
        <f t="shared" si="40"/>
        <v>0</v>
      </c>
      <c r="FA33" s="626">
        <f t="shared" si="120"/>
        <v>0</v>
      </c>
      <c r="FB33" s="1145">
        <f t="shared" si="41"/>
        <v>0</v>
      </c>
      <c r="FC33" s="1146">
        <f t="shared" si="42"/>
        <v>0</v>
      </c>
      <c r="FD33" s="1146">
        <f t="shared" si="43"/>
        <v>0</v>
      </c>
      <c r="FE33" s="1146">
        <f t="shared" si="44"/>
        <v>0</v>
      </c>
      <c r="FF33" s="1146">
        <f t="shared" si="45"/>
        <v>0</v>
      </c>
      <c r="FG33" s="1146">
        <f t="shared" si="46"/>
        <v>0</v>
      </c>
      <c r="FH33" s="1256">
        <f t="shared" si="121"/>
        <v>0</v>
      </c>
      <c r="FI33" s="1157">
        <f t="shared" si="122"/>
        <v>0</v>
      </c>
      <c r="FY33" s="1258">
        <f t="shared" si="47"/>
        <v>0</v>
      </c>
      <c r="FZ33" s="775">
        <f t="shared" si="48"/>
        <v>0</v>
      </c>
      <c r="GA33" s="548">
        <f t="shared" si="49"/>
        <v>0</v>
      </c>
      <c r="GB33" s="773">
        <f t="shared" si="50"/>
        <v>0</v>
      </c>
      <c r="GC33" s="773">
        <f t="shared" si="51"/>
        <v>0</v>
      </c>
      <c r="GD33" s="773">
        <f t="shared" si="52"/>
        <v>0</v>
      </c>
      <c r="GE33" s="773">
        <f t="shared" si="53"/>
        <v>0</v>
      </c>
      <c r="GF33" s="773">
        <f t="shared" si="54"/>
        <v>0</v>
      </c>
      <c r="GG33" s="626">
        <f t="shared" si="123"/>
        <v>0</v>
      </c>
      <c r="GH33" s="1145">
        <f t="shared" si="55"/>
        <v>0</v>
      </c>
      <c r="GI33" s="1146">
        <f t="shared" si="56"/>
        <v>0</v>
      </c>
      <c r="GJ33" s="1146">
        <f t="shared" si="57"/>
        <v>0</v>
      </c>
      <c r="GK33" s="1146">
        <f t="shared" si="58"/>
        <v>0</v>
      </c>
      <c r="GL33" s="1146">
        <f t="shared" si="59"/>
        <v>0</v>
      </c>
      <c r="GM33" s="1146">
        <f t="shared" si="60"/>
        <v>0</v>
      </c>
      <c r="GN33" s="1256">
        <f t="shared" si="124"/>
        <v>0</v>
      </c>
      <c r="GO33" s="1157">
        <f t="shared" si="125"/>
        <v>0</v>
      </c>
      <c r="HE33" s="1675">
        <f t="shared" si="61"/>
        <v>0</v>
      </c>
      <c r="HF33" s="775">
        <f t="shared" si="62"/>
        <v>0</v>
      </c>
      <c r="HG33" s="548">
        <f t="shared" si="63"/>
        <v>0</v>
      </c>
      <c r="HH33" s="773">
        <f t="shared" si="64"/>
        <v>0</v>
      </c>
      <c r="HI33" s="773">
        <f t="shared" si="65"/>
        <v>0</v>
      </c>
      <c r="HJ33" s="773">
        <f t="shared" si="66"/>
        <v>0</v>
      </c>
      <c r="HK33" s="773">
        <f t="shared" si="67"/>
        <v>0</v>
      </c>
      <c r="HL33" s="773">
        <f t="shared" si="68"/>
        <v>0</v>
      </c>
      <c r="HM33" s="626">
        <f t="shared" si="126"/>
        <v>0</v>
      </c>
      <c r="HN33" s="1145">
        <f t="shared" si="69"/>
        <v>0</v>
      </c>
      <c r="HO33" s="1146">
        <f t="shared" si="70"/>
        <v>0</v>
      </c>
      <c r="HP33" s="1146">
        <f t="shared" si="71"/>
        <v>0</v>
      </c>
      <c r="HQ33" s="1146">
        <f t="shared" si="72"/>
        <v>0</v>
      </c>
      <c r="HR33" s="1146">
        <f t="shared" si="73"/>
        <v>0</v>
      </c>
      <c r="HS33" s="1146">
        <f t="shared" si="74"/>
        <v>0</v>
      </c>
      <c r="HT33" s="1256">
        <f t="shared" si="127"/>
        <v>0</v>
      </c>
      <c r="HU33" s="1157">
        <f t="shared" si="128"/>
        <v>0</v>
      </c>
    </row>
    <row r="34" spans="1:229" ht="13.5" customHeight="1" outlineLevel="1" x14ac:dyDescent="0.2">
      <c r="A34" s="474"/>
      <c r="B34" s="1412"/>
      <c r="C34" s="511">
        <v>25</v>
      </c>
      <c r="D34" s="557" t="s">
        <v>21</v>
      </c>
      <c r="E34" s="1721">
        <v>17</v>
      </c>
      <c r="F34" s="558">
        <v>1296.96</v>
      </c>
      <c r="G34" s="479">
        <f t="shared" si="0"/>
        <v>76.291764705882358</v>
      </c>
      <c r="H34" s="559">
        <v>0</v>
      </c>
      <c r="I34" s="558">
        <v>0</v>
      </c>
      <c r="J34" s="481">
        <v>0</v>
      </c>
      <c r="K34" s="559">
        <v>0</v>
      </c>
      <c r="L34" s="558">
        <v>0</v>
      </c>
      <c r="M34" s="481">
        <v>0</v>
      </c>
      <c r="N34" s="483">
        <f t="shared" si="1"/>
        <v>1296.96</v>
      </c>
      <c r="O34" s="518">
        <v>0</v>
      </c>
      <c r="P34" s="485">
        <v>6352121.7599999998</v>
      </c>
      <c r="Q34" s="518">
        <v>1719478.8</v>
      </c>
      <c r="R34" s="519">
        <f t="shared" si="2"/>
        <v>8071600.5599999996</v>
      </c>
      <c r="S34" s="546">
        <f t="shared" si="75"/>
        <v>8071600.5599999996</v>
      </c>
      <c r="T34" s="521">
        <v>1773784.63</v>
      </c>
      <c r="U34" s="547">
        <v>0</v>
      </c>
      <c r="V34" s="547">
        <v>0</v>
      </c>
      <c r="W34" s="548">
        <v>0</v>
      </c>
      <c r="X34" s="549">
        <v>0</v>
      </c>
      <c r="Y34" s="549">
        <v>0</v>
      </c>
      <c r="Z34" s="549">
        <v>0</v>
      </c>
      <c r="AA34" s="525">
        <f t="shared" si="76"/>
        <v>0</v>
      </c>
      <c r="AB34" s="524">
        <f t="shared" si="77"/>
        <v>0</v>
      </c>
      <c r="AC34" s="526">
        <f t="shared" si="78"/>
        <v>0</v>
      </c>
      <c r="AD34" s="547">
        <v>0</v>
      </c>
      <c r="AE34" s="547">
        <v>0</v>
      </c>
      <c r="AF34" s="547">
        <v>0</v>
      </c>
      <c r="AG34" s="547">
        <v>0</v>
      </c>
      <c r="AH34" s="363">
        <f t="shared" si="79"/>
        <v>0</v>
      </c>
      <c r="AI34" s="547">
        <f t="shared" si="80"/>
        <v>0</v>
      </c>
      <c r="AJ34" s="550">
        <f t="shared" si="81"/>
        <v>0</v>
      </c>
      <c r="AK34" s="551">
        <f t="shared" si="82"/>
        <v>0</v>
      </c>
      <c r="AL34" s="529"/>
      <c r="AM34" s="502"/>
      <c r="AN34" s="530"/>
      <c r="AO34" s="498"/>
      <c r="AP34" s="499"/>
      <c r="AQ34" s="499"/>
      <c r="AR34" s="499"/>
      <c r="AS34" s="531">
        <f t="shared" si="3"/>
        <v>0</v>
      </c>
      <c r="AT34" s="532">
        <f t="shared" si="4"/>
        <v>0</v>
      </c>
      <c r="AU34" s="529">
        <v>0</v>
      </c>
      <c r="AV34" s="533">
        <v>0</v>
      </c>
      <c r="AW34" s="533">
        <v>0</v>
      </c>
      <c r="AX34" s="533">
        <v>0</v>
      </c>
      <c r="AY34" s="533">
        <f t="shared" si="5"/>
        <v>0</v>
      </c>
      <c r="AZ34" s="534">
        <f t="shared" si="6"/>
        <v>0</v>
      </c>
      <c r="BA34" s="535">
        <f t="shared" si="83"/>
        <v>0</v>
      </c>
      <c r="BB34" s="536">
        <f t="shared" si="84"/>
        <v>0</v>
      </c>
      <c r="BC34" s="523">
        <f t="shared" si="85"/>
        <v>0</v>
      </c>
      <c r="BD34" s="525">
        <f t="shared" si="86"/>
        <v>0</v>
      </c>
      <c r="BE34" s="525">
        <f t="shared" si="87"/>
        <v>0</v>
      </c>
      <c r="BF34" s="525">
        <f t="shared" si="88"/>
        <v>0</v>
      </c>
      <c r="BG34" s="525">
        <f t="shared" si="89"/>
        <v>0</v>
      </c>
      <c r="BH34" s="525">
        <f t="shared" si="90"/>
        <v>0</v>
      </c>
      <c r="BI34" s="526">
        <f t="shared" si="91"/>
        <v>0</v>
      </c>
      <c r="BJ34" s="537">
        <f t="shared" si="92"/>
        <v>0</v>
      </c>
      <c r="BK34" s="538">
        <f t="shared" si="93"/>
        <v>0</v>
      </c>
      <c r="BL34" s="538">
        <f t="shared" si="94"/>
        <v>0</v>
      </c>
      <c r="BM34" s="538">
        <f t="shared" si="95"/>
        <v>0</v>
      </c>
      <c r="BN34" s="538">
        <f t="shared" si="96"/>
        <v>0</v>
      </c>
      <c r="BO34" s="538">
        <f t="shared" si="97"/>
        <v>0</v>
      </c>
      <c r="BP34" s="539">
        <f t="shared" si="98"/>
        <v>0</v>
      </c>
      <c r="BQ34" s="540">
        <f t="shared" si="99"/>
        <v>0</v>
      </c>
      <c r="BR34" s="529"/>
      <c r="BS34" s="502"/>
      <c r="BT34" s="530"/>
      <c r="BU34" s="498"/>
      <c r="BV34" s="499"/>
      <c r="BW34" s="499"/>
      <c r="BX34" s="499"/>
      <c r="BY34" s="531">
        <f t="shared" si="9"/>
        <v>0</v>
      </c>
      <c r="BZ34" s="532">
        <f t="shared" si="10"/>
        <v>0</v>
      </c>
      <c r="CA34" s="529"/>
      <c r="CB34" s="533"/>
      <c r="CC34" s="533"/>
      <c r="CD34" s="533"/>
      <c r="CE34" s="533">
        <f t="shared" si="11"/>
        <v>0</v>
      </c>
      <c r="CF34" s="534">
        <f t="shared" si="12"/>
        <v>0</v>
      </c>
      <c r="CG34" s="774">
        <f t="shared" si="100"/>
        <v>0</v>
      </c>
      <c r="CH34" s="775">
        <f t="shared" si="101"/>
        <v>0</v>
      </c>
      <c r="CI34" s="548">
        <f t="shared" si="102"/>
        <v>0</v>
      </c>
      <c r="CJ34" s="773">
        <f t="shared" si="103"/>
        <v>0</v>
      </c>
      <c r="CK34" s="773">
        <f t="shared" si="104"/>
        <v>0</v>
      </c>
      <c r="CL34" s="773">
        <f t="shared" si="105"/>
        <v>0</v>
      </c>
      <c r="CM34" s="773">
        <f t="shared" si="106"/>
        <v>0</v>
      </c>
      <c r="CN34" s="773">
        <f t="shared" si="107"/>
        <v>0</v>
      </c>
      <c r="CO34" s="626">
        <f t="shared" si="108"/>
        <v>0</v>
      </c>
      <c r="CP34" s="1145">
        <f t="shared" si="109"/>
        <v>0</v>
      </c>
      <c r="CQ34" s="1146">
        <f t="shared" si="110"/>
        <v>0</v>
      </c>
      <c r="CR34" s="1146">
        <f t="shared" si="111"/>
        <v>0</v>
      </c>
      <c r="CS34" s="1146">
        <f t="shared" si="112"/>
        <v>0</v>
      </c>
      <c r="CT34" s="1146">
        <f t="shared" si="113"/>
        <v>0</v>
      </c>
      <c r="CU34" s="1146">
        <f t="shared" si="114"/>
        <v>0</v>
      </c>
      <c r="CV34" s="1256">
        <f t="shared" si="115"/>
        <v>0</v>
      </c>
      <c r="CW34" s="1157">
        <f t="shared" si="116"/>
        <v>0</v>
      </c>
      <c r="CX34" s="529"/>
      <c r="CY34" s="502"/>
      <c r="CZ34" s="530"/>
      <c r="DA34" s="498"/>
      <c r="DB34" s="499"/>
      <c r="DC34" s="499"/>
      <c r="DD34" s="499"/>
      <c r="DE34" s="531">
        <f t="shared" si="15"/>
        <v>0</v>
      </c>
      <c r="DF34" s="532">
        <f t="shared" si="16"/>
        <v>0</v>
      </c>
      <c r="DG34" s="529"/>
      <c r="DH34" s="533"/>
      <c r="DI34" s="533"/>
      <c r="DJ34" s="533"/>
      <c r="DK34" s="533">
        <f t="shared" si="17"/>
        <v>0</v>
      </c>
      <c r="DL34" s="534">
        <f t="shared" si="18"/>
        <v>0</v>
      </c>
      <c r="DM34" s="1258">
        <f t="shared" si="19"/>
        <v>0</v>
      </c>
      <c r="DN34" s="775">
        <f t="shared" si="20"/>
        <v>0</v>
      </c>
      <c r="DO34" s="548">
        <f t="shared" si="21"/>
        <v>0</v>
      </c>
      <c r="DP34" s="773">
        <f t="shared" si="22"/>
        <v>0</v>
      </c>
      <c r="DQ34" s="773">
        <f t="shared" si="23"/>
        <v>0</v>
      </c>
      <c r="DR34" s="773">
        <f t="shared" si="24"/>
        <v>0</v>
      </c>
      <c r="DS34" s="773">
        <f t="shared" si="25"/>
        <v>0</v>
      </c>
      <c r="DT34" s="773">
        <f t="shared" si="26"/>
        <v>0</v>
      </c>
      <c r="DU34" s="526">
        <f t="shared" si="117"/>
        <v>0</v>
      </c>
      <c r="DV34" s="1145">
        <f t="shared" si="27"/>
        <v>0</v>
      </c>
      <c r="DW34" s="1146">
        <f t="shared" si="28"/>
        <v>0</v>
      </c>
      <c r="DX34" s="1146">
        <f t="shared" si="29"/>
        <v>0</v>
      </c>
      <c r="DY34" s="1146">
        <f t="shared" si="30"/>
        <v>0</v>
      </c>
      <c r="DZ34" s="1146">
        <f t="shared" si="31"/>
        <v>0</v>
      </c>
      <c r="EA34" s="1146">
        <f t="shared" si="32"/>
        <v>0</v>
      </c>
      <c r="EB34" s="539">
        <f t="shared" si="118"/>
        <v>0</v>
      </c>
      <c r="EC34" s="540">
        <f t="shared" si="119"/>
        <v>0</v>
      </c>
      <c r="ES34" s="1258">
        <f t="shared" si="33"/>
        <v>0</v>
      </c>
      <c r="ET34" s="775">
        <f t="shared" si="34"/>
        <v>0</v>
      </c>
      <c r="EU34" s="548">
        <f t="shared" si="35"/>
        <v>0</v>
      </c>
      <c r="EV34" s="773">
        <f t="shared" si="36"/>
        <v>0</v>
      </c>
      <c r="EW34" s="773">
        <f t="shared" si="37"/>
        <v>0</v>
      </c>
      <c r="EX34" s="773">
        <f t="shared" si="38"/>
        <v>0</v>
      </c>
      <c r="EY34" s="773">
        <f t="shared" si="39"/>
        <v>0</v>
      </c>
      <c r="EZ34" s="773">
        <f t="shared" si="40"/>
        <v>0</v>
      </c>
      <c r="FA34" s="626">
        <f t="shared" si="120"/>
        <v>0</v>
      </c>
      <c r="FB34" s="1145">
        <f t="shared" si="41"/>
        <v>0</v>
      </c>
      <c r="FC34" s="1146">
        <f t="shared" si="42"/>
        <v>0</v>
      </c>
      <c r="FD34" s="1146">
        <f t="shared" si="43"/>
        <v>0</v>
      </c>
      <c r="FE34" s="1146">
        <f t="shared" si="44"/>
        <v>0</v>
      </c>
      <c r="FF34" s="1146">
        <f t="shared" si="45"/>
        <v>0</v>
      </c>
      <c r="FG34" s="1146">
        <f t="shared" si="46"/>
        <v>0</v>
      </c>
      <c r="FH34" s="1256">
        <f t="shared" si="121"/>
        <v>0</v>
      </c>
      <c r="FI34" s="1157">
        <f t="shared" si="122"/>
        <v>0</v>
      </c>
      <c r="FY34" s="1258">
        <f t="shared" si="47"/>
        <v>0</v>
      </c>
      <c r="FZ34" s="775">
        <f t="shared" si="48"/>
        <v>0</v>
      </c>
      <c r="GA34" s="548">
        <f t="shared" si="49"/>
        <v>0</v>
      </c>
      <c r="GB34" s="773">
        <f t="shared" si="50"/>
        <v>0</v>
      </c>
      <c r="GC34" s="773">
        <f t="shared" si="51"/>
        <v>0</v>
      </c>
      <c r="GD34" s="773">
        <f t="shared" si="52"/>
        <v>0</v>
      </c>
      <c r="GE34" s="773">
        <f t="shared" si="53"/>
        <v>0</v>
      </c>
      <c r="GF34" s="773">
        <f t="shared" si="54"/>
        <v>0</v>
      </c>
      <c r="GG34" s="626">
        <f t="shared" si="123"/>
        <v>0</v>
      </c>
      <c r="GH34" s="1145">
        <f t="shared" si="55"/>
        <v>0</v>
      </c>
      <c r="GI34" s="1146">
        <f t="shared" si="56"/>
        <v>0</v>
      </c>
      <c r="GJ34" s="1146">
        <f t="shared" si="57"/>
        <v>0</v>
      </c>
      <c r="GK34" s="1146">
        <f t="shared" si="58"/>
        <v>0</v>
      </c>
      <c r="GL34" s="1146">
        <f t="shared" si="59"/>
        <v>0</v>
      </c>
      <c r="GM34" s="1146">
        <f t="shared" si="60"/>
        <v>0</v>
      </c>
      <c r="GN34" s="1256">
        <f t="shared" si="124"/>
        <v>0</v>
      </c>
      <c r="GO34" s="1157">
        <f t="shared" si="125"/>
        <v>0</v>
      </c>
      <c r="HE34" s="1675">
        <f t="shared" si="61"/>
        <v>0</v>
      </c>
      <c r="HF34" s="775">
        <f t="shared" si="62"/>
        <v>0</v>
      </c>
      <c r="HG34" s="548">
        <f t="shared" si="63"/>
        <v>0</v>
      </c>
      <c r="HH34" s="773">
        <f t="shared" si="64"/>
        <v>0</v>
      </c>
      <c r="HI34" s="773">
        <f t="shared" si="65"/>
        <v>0</v>
      </c>
      <c r="HJ34" s="773">
        <f t="shared" si="66"/>
        <v>0</v>
      </c>
      <c r="HK34" s="773">
        <f t="shared" si="67"/>
        <v>0</v>
      </c>
      <c r="HL34" s="773">
        <f t="shared" si="68"/>
        <v>0</v>
      </c>
      <c r="HM34" s="626">
        <f t="shared" si="126"/>
        <v>0</v>
      </c>
      <c r="HN34" s="1145">
        <f t="shared" si="69"/>
        <v>0</v>
      </c>
      <c r="HO34" s="1146">
        <f t="shared" si="70"/>
        <v>0</v>
      </c>
      <c r="HP34" s="1146">
        <f t="shared" si="71"/>
        <v>0</v>
      </c>
      <c r="HQ34" s="1146">
        <f t="shared" si="72"/>
        <v>0</v>
      </c>
      <c r="HR34" s="1146">
        <f t="shared" si="73"/>
        <v>0</v>
      </c>
      <c r="HS34" s="1146">
        <f t="shared" si="74"/>
        <v>0</v>
      </c>
      <c r="HT34" s="1256">
        <f t="shared" si="127"/>
        <v>0</v>
      </c>
      <c r="HU34" s="1157">
        <f t="shared" si="128"/>
        <v>0</v>
      </c>
    </row>
    <row r="35" spans="1:229" ht="13.5" customHeight="1" outlineLevel="1" x14ac:dyDescent="0.2">
      <c r="A35" s="474"/>
      <c r="B35" s="1412"/>
      <c r="C35" s="511">
        <v>26</v>
      </c>
      <c r="D35" s="557" t="s">
        <v>22</v>
      </c>
      <c r="E35" s="1721">
        <v>22</v>
      </c>
      <c r="F35" s="558">
        <v>1463.63</v>
      </c>
      <c r="G35" s="543">
        <f t="shared" si="0"/>
        <v>66.528636363636366</v>
      </c>
      <c r="H35" s="559">
        <v>0</v>
      </c>
      <c r="I35" s="558">
        <v>0</v>
      </c>
      <c r="J35" s="542">
        <v>0</v>
      </c>
      <c r="K35" s="559">
        <v>0</v>
      </c>
      <c r="L35" s="558">
        <v>0</v>
      </c>
      <c r="M35" s="542">
        <v>0</v>
      </c>
      <c r="N35" s="563">
        <f t="shared" si="1"/>
        <v>1463.63</v>
      </c>
      <c r="O35" s="518">
        <v>0</v>
      </c>
      <c r="P35" s="485">
        <v>7765776.1699999999</v>
      </c>
      <c r="Q35" s="518">
        <v>1643953.22</v>
      </c>
      <c r="R35" s="519">
        <f t="shared" si="2"/>
        <v>9409729.3900000006</v>
      </c>
      <c r="S35" s="546">
        <f t="shared" si="75"/>
        <v>9409729.3900000006</v>
      </c>
      <c r="T35" s="521">
        <v>1938824.39</v>
      </c>
      <c r="U35" s="547">
        <v>0</v>
      </c>
      <c r="V35" s="547">
        <v>0</v>
      </c>
      <c r="W35" s="548">
        <v>0</v>
      </c>
      <c r="X35" s="549">
        <v>0</v>
      </c>
      <c r="Y35" s="549">
        <v>0</v>
      </c>
      <c r="Z35" s="549">
        <v>0</v>
      </c>
      <c r="AA35" s="525">
        <f t="shared" si="76"/>
        <v>0</v>
      </c>
      <c r="AB35" s="524">
        <f t="shared" si="77"/>
        <v>0</v>
      </c>
      <c r="AC35" s="526">
        <f t="shared" si="78"/>
        <v>0</v>
      </c>
      <c r="AD35" s="547">
        <v>0</v>
      </c>
      <c r="AE35" s="547">
        <v>0</v>
      </c>
      <c r="AF35" s="547">
        <v>0</v>
      </c>
      <c r="AG35" s="547">
        <v>0</v>
      </c>
      <c r="AH35" s="363">
        <f t="shared" si="79"/>
        <v>0</v>
      </c>
      <c r="AI35" s="547">
        <f t="shared" si="80"/>
        <v>0</v>
      </c>
      <c r="AJ35" s="550">
        <f t="shared" si="81"/>
        <v>0</v>
      </c>
      <c r="AK35" s="551">
        <f t="shared" si="82"/>
        <v>0</v>
      </c>
      <c r="AL35" s="529"/>
      <c r="AM35" s="502"/>
      <c r="AN35" s="530"/>
      <c r="AO35" s="498"/>
      <c r="AP35" s="499"/>
      <c r="AQ35" s="499"/>
      <c r="AR35" s="499"/>
      <c r="AS35" s="531">
        <f t="shared" si="3"/>
        <v>0</v>
      </c>
      <c r="AT35" s="532">
        <f t="shared" si="4"/>
        <v>0</v>
      </c>
      <c r="AU35" s="529">
        <v>0</v>
      </c>
      <c r="AV35" s="533">
        <v>0</v>
      </c>
      <c r="AW35" s="533">
        <v>0</v>
      </c>
      <c r="AX35" s="533">
        <v>0</v>
      </c>
      <c r="AY35" s="533">
        <f t="shared" si="5"/>
        <v>0</v>
      </c>
      <c r="AZ35" s="534">
        <f t="shared" si="6"/>
        <v>0</v>
      </c>
      <c r="BA35" s="535">
        <f t="shared" si="83"/>
        <v>0</v>
      </c>
      <c r="BB35" s="536">
        <f t="shared" si="84"/>
        <v>0</v>
      </c>
      <c r="BC35" s="523">
        <f t="shared" si="85"/>
        <v>0</v>
      </c>
      <c r="BD35" s="525">
        <f t="shared" si="86"/>
        <v>0</v>
      </c>
      <c r="BE35" s="525">
        <f t="shared" si="87"/>
        <v>0</v>
      </c>
      <c r="BF35" s="525">
        <f t="shared" si="88"/>
        <v>0</v>
      </c>
      <c r="BG35" s="525">
        <f t="shared" si="89"/>
        <v>0</v>
      </c>
      <c r="BH35" s="525">
        <f t="shared" si="90"/>
        <v>0</v>
      </c>
      <c r="BI35" s="526">
        <f t="shared" si="91"/>
        <v>0</v>
      </c>
      <c r="BJ35" s="537">
        <f t="shared" si="92"/>
        <v>0</v>
      </c>
      <c r="BK35" s="538">
        <f t="shared" si="93"/>
        <v>0</v>
      </c>
      <c r="BL35" s="538">
        <f t="shared" si="94"/>
        <v>0</v>
      </c>
      <c r="BM35" s="538">
        <f t="shared" si="95"/>
        <v>0</v>
      </c>
      <c r="BN35" s="538">
        <f t="shared" si="96"/>
        <v>0</v>
      </c>
      <c r="BO35" s="538">
        <f t="shared" si="97"/>
        <v>0</v>
      </c>
      <c r="BP35" s="539">
        <f t="shared" si="98"/>
        <v>0</v>
      </c>
      <c r="BQ35" s="540">
        <f t="shared" si="99"/>
        <v>0</v>
      </c>
      <c r="BR35" s="529"/>
      <c r="BS35" s="502"/>
      <c r="BT35" s="530"/>
      <c r="BU35" s="498"/>
      <c r="BV35" s="499"/>
      <c r="BW35" s="499"/>
      <c r="BX35" s="499"/>
      <c r="BY35" s="531">
        <f t="shared" si="9"/>
        <v>0</v>
      </c>
      <c r="BZ35" s="532">
        <f t="shared" si="10"/>
        <v>0</v>
      </c>
      <c r="CA35" s="529"/>
      <c r="CB35" s="533"/>
      <c r="CC35" s="533"/>
      <c r="CD35" s="533"/>
      <c r="CE35" s="533">
        <f t="shared" si="11"/>
        <v>0</v>
      </c>
      <c r="CF35" s="534">
        <f t="shared" si="12"/>
        <v>0</v>
      </c>
      <c r="CG35" s="774">
        <f t="shared" si="100"/>
        <v>0</v>
      </c>
      <c r="CH35" s="775">
        <f t="shared" si="101"/>
        <v>0</v>
      </c>
      <c r="CI35" s="548">
        <f t="shared" si="102"/>
        <v>0</v>
      </c>
      <c r="CJ35" s="773">
        <f t="shared" si="103"/>
        <v>0</v>
      </c>
      <c r="CK35" s="773">
        <f t="shared" si="104"/>
        <v>0</v>
      </c>
      <c r="CL35" s="773">
        <f t="shared" si="105"/>
        <v>0</v>
      </c>
      <c r="CM35" s="773">
        <f t="shared" si="106"/>
        <v>0</v>
      </c>
      <c r="CN35" s="773">
        <f t="shared" si="107"/>
        <v>0</v>
      </c>
      <c r="CO35" s="626">
        <f t="shared" si="108"/>
        <v>0</v>
      </c>
      <c r="CP35" s="1145">
        <f t="shared" si="109"/>
        <v>0</v>
      </c>
      <c r="CQ35" s="1146">
        <f t="shared" si="110"/>
        <v>0</v>
      </c>
      <c r="CR35" s="1146">
        <f t="shared" si="111"/>
        <v>0</v>
      </c>
      <c r="CS35" s="1146">
        <f t="shared" si="112"/>
        <v>0</v>
      </c>
      <c r="CT35" s="1146">
        <f t="shared" si="113"/>
        <v>0</v>
      </c>
      <c r="CU35" s="1146">
        <f t="shared" si="114"/>
        <v>0</v>
      </c>
      <c r="CV35" s="1256">
        <f t="shared" si="115"/>
        <v>0</v>
      </c>
      <c r="CW35" s="1157">
        <f t="shared" si="116"/>
        <v>0</v>
      </c>
      <c r="CX35" s="529"/>
      <c r="CY35" s="502"/>
      <c r="CZ35" s="530"/>
      <c r="DA35" s="498"/>
      <c r="DB35" s="499"/>
      <c r="DC35" s="499"/>
      <c r="DD35" s="499"/>
      <c r="DE35" s="531">
        <f t="shared" si="15"/>
        <v>0</v>
      </c>
      <c r="DF35" s="532">
        <f t="shared" si="16"/>
        <v>0</v>
      </c>
      <c r="DG35" s="529"/>
      <c r="DH35" s="533"/>
      <c r="DI35" s="533"/>
      <c r="DJ35" s="533"/>
      <c r="DK35" s="533">
        <f t="shared" si="17"/>
        <v>0</v>
      </c>
      <c r="DL35" s="534">
        <f t="shared" si="18"/>
        <v>0</v>
      </c>
      <c r="DM35" s="1258">
        <f t="shared" si="19"/>
        <v>0</v>
      </c>
      <c r="DN35" s="775">
        <f t="shared" si="20"/>
        <v>0</v>
      </c>
      <c r="DO35" s="548">
        <f t="shared" si="21"/>
        <v>0</v>
      </c>
      <c r="DP35" s="773">
        <f t="shared" si="22"/>
        <v>0</v>
      </c>
      <c r="DQ35" s="773">
        <f t="shared" si="23"/>
        <v>0</v>
      </c>
      <c r="DR35" s="773">
        <f t="shared" si="24"/>
        <v>0</v>
      </c>
      <c r="DS35" s="773">
        <f t="shared" si="25"/>
        <v>0</v>
      </c>
      <c r="DT35" s="773">
        <f t="shared" si="26"/>
        <v>0</v>
      </c>
      <c r="DU35" s="526">
        <f t="shared" si="117"/>
        <v>0</v>
      </c>
      <c r="DV35" s="1145">
        <f t="shared" si="27"/>
        <v>0</v>
      </c>
      <c r="DW35" s="1146">
        <f t="shared" si="28"/>
        <v>0</v>
      </c>
      <c r="DX35" s="1146">
        <f t="shared" si="29"/>
        <v>0</v>
      </c>
      <c r="DY35" s="1146">
        <f t="shared" si="30"/>
        <v>0</v>
      </c>
      <c r="DZ35" s="1146">
        <f t="shared" si="31"/>
        <v>0</v>
      </c>
      <c r="EA35" s="1146">
        <f t="shared" si="32"/>
        <v>0</v>
      </c>
      <c r="EB35" s="539">
        <f t="shared" si="118"/>
        <v>0</v>
      </c>
      <c r="EC35" s="540">
        <f t="shared" si="119"/>
        <v>0</v>
      </c>
      <c r="ES35" s="1258">
        <f t="shared" si="33"/>
        <v>0</v>
      </c>
      <c r="ET35" s="775">
        <f t="shared" si="34"/>
        <v>0</v>
      </c>
      <c r="EU35" s="548">
        <f t="shared" si="35"/>
        <v>0</v>
      </c>
      <c r="EV35" s="773">
        <f t="shared" si="36"/>
        <v>0</v>
      </c>
      <c r="EW35" s="773">
        <f t="shared" si="37"/>
        <v>0</v>
      </c>
      <c r="EX35" s="773">
        <f t="shared" si="38"/>
        <v>0</v>
      </c>
      <c r="EY35" s="773">
        <f t="shared" si="39"/>
        <v>0</v>
      </c>
      <c r="EZ35" s="773">
        <f t="shared" si="40"/>
        <v>0</v>
      </c>
      <c r="FA35" s="626">
        <f t="shared" si="120"/>
        <v>0</v>
      </c>
      <c r="FB35" s="1145">
        <f t="shared" si="41"/>
        <v>0</v>
      </c>
      <c r="FC35" s="1146">
        <f t="shared" si="42"/>
        <v>0</v>
      </c>
      <c r="FD35" s="1146">
        <f t="shared" si="43"/>
        <v>0</v>
      </c>
      <c r="FE35" s="1146">
        <f t="shared" si="44"/>
        <v>0</v>
      </c>
      <c r="FF35" s="1146">
        <f t="shared" si="45"/>
        <v>0</v>
      </c>
      <c r="FG35" s="1146">
        <f t="shared" si="46"/>
        <v>0</v>
      </c>
      <c r="FH35" s="1256">
        <f t="shared" si="121"/>
        <v>0</v>
      </c>
      <c r="FI35" s="1157">
        <f t="shared" si="122"/>
        <v>0</v>
      </c>
      <c r="FY35" s="1258">
        <f t="shared" si="47"/>
        <v>0</v>
      </c>
      <c r="FZ35" s="775">
        <f t="shared" si="48"/>
        <v>0</v>
      </c>
      <c r="GA35" s="548">
        <f t="shared" si="49"/>
        <v>0</v>
      </c>
      <c r="GB35" s="773">
        <f t="shared" si="50"/>
        <v>0</v>
      </c>
      <c r="GC35" s="773">
        <f t="shared" si="51"/>
        <v>0</v>
      </c>
      <c r="GD35" s="773">
        <f t="shared" si="52"/>
        <v>0</v>
      </c>
      <c r="GE35" s="773">
        <f t="shared" si="53"/>
        <v>0</v>
      </c>
      <c r="GF35" s="773">
        <f t="shared" si="54"/>
        <v>0</v>
      </c>
      <c r="GG35" s="626">
        <f t="shared" si="123"/>
        <v>0</v>
      </c>
      <c r="GH35" s="1145">
        <f t="shared" si="55"/>
        <v>0</v>
      </c>
      <c r="GI35" s="1146">
        <f t="shared" si="56"/>
        <v>0</v>
      </c>
      <c r="GJ35" s="1146">
        <f t="shared" si="57"/>
        <v>0</v>
      </c>
      <c r="GK35" s="1146">
        <f t="shared" si="58"/>
        <v>0</v>
      </c>
      <c r="GL35" s="1146">
        <f t="shared" si="59"/>
        <v>0</v>
      </c>
      <c r="GM35" s="1146">
        <f t="shared" si="60"/>
        <v>0</v>
      </c>
      <c r="GN35" s="1256">
        <f t="shared" si="124"/>
        <v>0</v>
      </c>
      <c r="GO35" s="1157">
        <f t="shared" si="125"/>
        <v>0</v>
      </c>
      <c r="HE35" s="1675">
        <f t="shared" si="61"/>
        <v>0</v>
      </c>
      <c r="HF35" s="775">
        <f t="shared" si="62"/>
        <v>0</v>
      </c>
      <c r="HG35" s="548">
        <f t="shared" si="63"/>
        <v>0</v>
      </c>
      <c r="HH35" s="773">
        <f t="shared" si="64"/>
        <v>0</v>
      </c>
      <c r="HI35" s="773">
        <f t="shared" si="65"/>
        <v>0</v>
      </c>
      <c r="HJ35" s="773">
        <f t="shared" si="66"/>
        <v>0</v>
      </c>
      <c r="HK35" s="773">
        <f t="shared" si="67"/>
        <v>0</v>
      </c>
      <c r="HL35" s="773">
        <f t="shared" si="68"/>
        <v>0</v>
      </c>
      <c r="HM35" s="626">
        <f t="shared" si="126"/>
        <v>0</v>
      </c>
      <c r="HN35" s="1145">
        <f t="shared" si="69"/>
        <v>0</v>
      </c>
      <c r="HO35" s="1146">
        <f t="shared" si="70"/>
        <v>0</v>
      </c>
      <c r="HP35" s="1146">
        <f t="shared" si="71"/>
        <v>0</v>
      </c>
      <c r="HQ35" s="1146">
        <f t="shared" si="72"/>
        <v>0</v>
      </c>
      <c r="HR35" s="1146">
        <f t="shared" si="73"/>
        <v>0</v>
      </c>
      <c r="HS35" s="1146">
        <f t="shared" si="74"/>
        <v>0</v>
      </c>
      <c r="HT35" s="1256">
        <f t="shared" si="127"/>
        <v>0</v>
      </c>
      <c r="HU35" s="1157">
        <f t="shared" si="128"/>
        <v>0</v>
      </c>
    </row>
    <row r="36" spans="1:229" ht="13.5" customHeight="1" outlineLevel="1" x14ac:dyDescent="0.2">
      <c r="A36" s="474"/>
      <c r="B36" s="1412"/>
      <c r="C36" s="511">
        <v>27</v>
      </c>
      <c r="D36" s="560" t="s">
        <v>62</v>
      </c>
      <c r="E36" s="513">
        <v>20</v>
      </c>
      <c r="F36" s="514">
        <v>1506.35</v>
      </c>
      <c r="G36" s="543">
        <f t="shared" si="0"/>
        <v>75.317499999999995</v>
      </c>
      <c r="H36" s="516">
        <v>0</v>
      </c>
      <c r="I36" s="258">
        <v>0</v>
      </c>
      <c r="J36" s="542">
        <v>0</v>
      </c>
      <c r="K36" s="553">
        <v>0</v>
      </c>
      <c r="L36" s="178">
        <v>0</v>
      </c>
      <c r="M36" s="542">
        <v>0</v>
      </c>
      <c r="N36" s="545">
        <f t="shared" si="1"/>
        <v>1506.35</v>
      </c>
      <c r="O36" s="518">
        <v>1558144.96</v>
      </c>
      <c r="P36" s="485">
        <v>7825039.1600000001</v>
      </c>
      <c r="Q36" s="518">
        <v>0</v>
      </c>
      <c r="R36" s="519">
        <f t="shared" si="2"/>
        <v>9383184.120000001</v>
      </c>
      <c r="S36" s="546">
        <f t="shared" si="75"/>
        <v>9383184.120000001</v>
      </c>
      <c r="T36" s="521">
        <v>4165032.81</v>
      </c>
      <c r="U36" s="547">
        <v>0</v>
      </c>
      <c r="V36" s="547">
        <v>0</v>
      </c>
      <c r="W36" s="548">
        <v>0</v>
      </c>
      <c r="X36" s="549">
        <v>0</v>
      </c>
      <c r="Y36" s="549">
        <v>0</v>
      </c>
      <c r="Z36" s="549">
        <v>0</v>
      </c>
      <c r="AA36" s="525">
        <f t="shared" si="76"/>
        <v>0</v>
      </c>
      <c r="AB36" s="524">
        <f t="shared" si="77"/>
        <v>0</v>
      </c>
      <c r="AC36" s="526">
        <f t="shared" si="78"/>
        <v>0</v>
      </c>
      <c r="AD36" s="547">
        <v>0</v>
      </c>
      <c r="AE36" s="547">
        <v>0</v>
      </c>
      <c r="AF36" s="547">
        <v>0</v>
      </c>
      <c r="AG36" s="547">
        <v>0</v>
      </c>
      <c r="AH36" s="363">
        <f t="shared" si="79"/>
        <v>0</v>
      </c>
      <c r="AI36" s="547">
        <f t="shared" si="80"/>
        <v>0</v>
      </c>
      <c r="AJ36" s="550">
        <f t="shared" si="81"/>
        <v>0</v>
      </c>
      <c r="AK36" s="551">
        <f t="shared" si="82"/>
        <v>0</v>
      </c>
      <c r="AL36" s="529"/>
      <c r="AM36" s="502"/>
      <c r="AN36" s="530"/>
      <c r="AO36" s="498"/>
      <c r="AP36" s="499"/>
      <c r="AQ36" s="499"/>
      <c r="AR36" s="499"/>
      <c r="AS36" s="531">
        <f t="shared" si="3"/>
        <v>0</v>
      </c>
      <c r="AT36" s="532">
        <f t="shared" si="4"/>
        <v>0</v>
      </c>
      <c r="AU36" s="529">
        <v>0</v>
      </c>
      <c r="AV36" s="533">
        <v>0</v>
      </c>
      <c r="AW36" s="533">
        <v>0</v>
      </c>
      <c r="AX36" s="533">
        <v>0</v>
      </c>
      <c r="AY36" s="533">
        <f t="shared" si="5"/>
        <v>0</v>
      </c>
      <c r="AZ36" s="534">
        <f t="shared" si="6"/>
        <v>0</v>
      </c>
      <c r="BA36" s="535">
        <f t="shared" si="83"/>
        <v>0</v>
      </c>
      <c r="BB36" s="536">
        <f t="shared" si="84"/>
        <v>0</v>
      </c>
      <c r="BC36" s="523">
        <f t="shared" si="85"/>
        <v>0</v>
      </c>
      <c r="BD36" s="525">
        <f t="shared" si="86"/>
        <v>0</v>
      </c>
      <c r="BE36" s="525">
        <f t="shared" si="87"/>
        <v>0</v>
      </c>
      <c r="BF36" s="525">
        <f t="shared" si="88"/>
        <v>0</v>
      </c>
      <c r="BG36" s="525">
        <f t="shared" si="89"/>
        <v>0</v>
      </c>
      <c r="BH36" s="525">
        <f t="shared" si="90"/>
        <v>0</v>
      </c>
      <c r="BI36" s="526">
        <f t="shared" si="91"/>
        <v>0</v>
      </c>
      <c r="BJ36" s="537">
        <f t="shared" si="92"/>
        <v>0</v>
      </c>
      <c r="BK36" s="538">
        <f t="shared" si="93"/>
        <v>0</v>
      </c>
      <c r="BL36" s="538">
        <f t="shared" si="94"/>
        <v>0</v>
      </c>
      <c r="BM36" s="538">
        <f t="shared" si="95"/>
        <v>0</v>
      </c>
      <c r="BN36" s="538">
        <f t="shared" si="96"/>
        <v>0</v>
      </c>
      <c r="BO36" s="538">
        <f t="shared" si="97"/>
        <v>0</v>
      </c>
      <c r="BP36" s="539">
        <f t="shared" si="98"/>
        <v>0</v>
      </c>
      <c r="BQ36" s="540">
        <f t="shared" si="99"/>
        <v>0</v>
      </c>
      <c r="BR36" s="529"/>
      <c r="BS36" s="502"/>
      <c r="BT36" s="530"/>
      <c r="BU36" s="498"/>
      <c r="BV36" s="499"/>
      <c r="BW36" s="499"/>
      <c r="BX36" s="499"/>
      <c r="BY36" s="531">
        <f t="shared" si="9"/>
        <v>0</v>
      </c>
      <c r="BZ36" s="532">
        <f t="shared" si="10"/>
        <v>0</v>
      </c>
      <c r="CA36" s="529"/>
      <c r="CB36" s="533"/>
      <c r="CC36" s="533"/>
      <c r="CD36" s="533"/>
      <c r="CE36" s="533">
        <f t="shared" si="11"/>
        <v>0</v>
      </c>
      <c r="CF36" s="534">
        <f t="shared" si="12"/>
        <v>0</v>
      </c>
      <c r="CG36" s="774">
        <f t="shared" si="100"/>
        <v>0</v>
      </c>
      <c r="CH36" s="775">
        <f t="shared" si="101"/>
        <v>0</v>
      </c>
      <c r="CI36" s="548">
        <f t="shared" si="102"/>
        <v>0</v>
      </c>
      <c r="CJ36" s="773">
        <f t="shared" si="103"/>
        <v>0</v>
      </c>
      <c r="CK36" s="773">
        <f t="shared" si="104"/>
        <v>0</v>
      </c>
      <c r="CL36" s="773">
        <f t="shared" si="105"/>
        <v>0</v>
      </c>
      <c r="CM36" s="773">
        <f t="shared" si="106"/>
        <v>0</v>
      </c>
      <c r="CN36" s="773">
        <f t="shared" si="107"/>
        <v>0</v>
      </c>
      <c r="CO36" s="626">
        <f t="shared" si="108"/>
        <v>0</v>
      </c>
      <c r="CP36" s="1145">
        <f t="shared" si="109"/>
        <v>0</v>
      </c>
      <c r="CQ36" s="1146">
        <f t="shared" si="110"/>
        <v>0</v>
      </c>
      <c r="CR36" s="1146">
        <f t="shared" si="111"/>
        <v>0</v>
      </c>
      <c r="CS36" s="1146">
        <f t="shared" si="112"/>
        <v>0</v>
      </c>
      <c r="CT36" s="1146">
        <f t="shared" si="113"/>
        <v>0</v>
      </c>
      <c r="CU36" s="1146">
        <f t="shared" si="114"/>
        <v>0</v>
      </c>
      <c r="CV36" s="1256">
        <f t="shared" si="115"/>
        <v>0</v>
      </c>
      <c r="CW36" s="1157">
        <f t="shared" si="116"/>
        <v>0</v>
      </c>
      <c r="CX36" s="529"/>
      <c r="CY36" s="502"/>
      <c r="CZ36" s="530"/>
      <c r="DA36" s="498"/>
      <c r="DB36" s="499"/>
      <c r="DC36" s="499"/>
      <c r="DD36" s="499"/>
      <c r="DE36" s="531">
        <f t="shared" si="15"/>
        <v>0</v>
      </c>
      <c r="DF36" s="532">
        <f t="shared" si="16"/>
        <v>0</v>
      </c>
      <c r="DG36" s="529"/>
      <c r="DH36" s="533"/>
      <c r="DI36" s="533"/>
      <c r="DJ36" s="533"/>
      <c r="DK36" s="533">
        <f t="shared" si="17"/>
        <v>0</v>
      </c>
      <c r="DL36" s="534">
        <f t="shared" si="18"/>
        <v>0</v>
      </c>
      <c r="DM36" s="1258">
        <f t="shared" si="19"/>
        <v>0</v>
      </c>
      <c r="DN36" s="775">
        <f t="shared" si="20"/>
        <v>0</v>
      </c>
      <c r="DO36" s="548">
        <f t="shared" si="21"/>
        <v>0</v>
      </c>
      <c r="DP36" s="773">
        <f t="shared" si="22"/>
        <v>0</v>
      </c>
      <c r="DQ36" s="773">
        <f t="shared" si="23"/>
        <v>0</v>
      </c>
      <c r="DR36" s="773">
        <f t="shared" si="24"/>
        <v>0</v>
      </c>
      <c r="DS36" s="773">
        <f t="shared" si="25"/>
        <v>0</v>
      </c>
      <c r="DT36" s="773">
        <f t="shared" si="26"/>
        <v>0</v>
      </c>
      <c r="DU36" s="526">
        <f t="shared" si="117"/>
        <v>0</v>
      </c>
      <c r="DV36" s="1145">
        <f t="shared" si="27"/>
        <v>0</v>
      </c>
      <c r="DW36" s="1146">
        <f t="shared" si="28"/>
        <v>0</v>
      </c>
      <c r="DX36" s="1146">
        <f t="shared" si="29"/>
        <v>0</v>
      </c>
      <c r="DY36" s="1146">
        <f t="shared" si="30"/>
        <v>0</v>
      </c>
      <c r="DZ36" s="1146">
        <f t="shared" si="31"/>
        <v>0</v>
      </c>
      <c r="EA36" s="1146">
        <f t="shared" si="32"/>
        <v>0</v>
      </c>
      <c r="EB36" s="539">
        <f t="shared" si="118"/>
        <v>0</v>
      </c>
      <c r="EC36" s="540">
        <f t="shared" si="119"/>
        <v>0</v>
      </c>
      <c r="ES36" s="1258">
        <f t="shared" si="33"/>
        <v>0</v>
      </c>
      <c r="ET36" s="775">
        <f t="shared" si="34"/>
        <v>0</v>
      </c>
      <c r="EU36" s="548">
        <f t="shared" si="35"/>
        <v>0</v>
      </c>
      <c r="EV36" s="773">
        <f t="shared" si="36"/>
        <v>0</v>
      </c>
      <c r="EW36" s="773">
        <f t="shared" si="37"/>
        <v>0</v>
      </c>
      <c r="EX36" s="773">
        <f t="shared" si="38"/>
        <v>0</v>
      </c>
      <c r="EY36" s="773">
        <f t="shared" si="39"/>
        <v>0</v>
      </c>
      <c r="EZ36" s="773">
        <f t="shared" si="40"/>
        <v>0</v>
      </c>
      <c r="FA36" s="626">
        <f t="shared" si="120"/>
        <v>0</v>
      </c>
      <c r="FB36" s="1145">
        <f t="shared" si="41"/>
        <v>0</v>
      </c>
      <c r="FC36" s="1146">
        <f t="shared" si="42"/>
        <v>0</v>
      </c>
      <c r="FD36" s="1146">
        <f t="shared" si="43"/>
        <v>0</v>
      </c>
      <c r="FE36" s="1146">
        <f t="shared" si="44"/>
        <v>0</v>
      </c>
      <c r="FF36" s="1146">
        <f t="shared" si="45"/>
        <v>0</v>
      </c>
      <c r="FG36" s="1146">
        <f t="shared" si="46"/>
        <v>0</v>
      </c>
      <c r="FH36" s="1256">
        <f t="shared" si="121"/>
        <v>0</v>
      </c>
      <c r="FI36" s="1157">
        <f t="shared" si="122"/>
        <v>0</v>
      </c>
      <c r="FY36" s="1258">
        <f t="shared" si="47"/>
        <v>0</v>
      </c>
      <c r="FZ36" s="775">
        <f t="shared" si="48"/>
        <v>0</v>
      </c>
      <c r="GA36" s="548">
        <f t="shared" si="49"/>
        <v>0</v>
      </c>
      <c r="GB36" s="773">
        <f t="shared" si="50"/>
        <v>0</v>
      </c>
      <c r="GC36" s="773">
        <f t="shared" si="51"/>
        <v>0</v>
      </c>
      <c r="GD36" s="773">
        <f t="shared" si="52"/>
        <v>0</v>
      </c>
      <c r="GE36" s="773">
        <f t="shared" si="53"/>
        <v>0</v>
      </c>
      <c r="GF36" s="773">
        <f t="shared" si="54"/>
        <v>0</v>
      </c>
      <c r="GG36" s="626">
        <f t="shared" si="123"/>
        <v>0</v>
      </c>
      <c r="GH36" s="1145">
        <f t="shared" si="55"/>
        <v>0</v>
      </c>
      <c r="GI36" s="1146">
        <f t="shared" si="56"/>
        <v>0</v>
      </c>
      <c r="GJ36" s="1146">
        <f t="shared" si="57"/>
        <v>0</v>
      </c>
      <c r="GK36" s="1146">
        <f t="shared" si="58"/>
        <v>0</v>
      </c>
      <c r="GL36" s="1146">
        <f t="shared" si="59"/>
        <v>0</v>
      </c>
      <c r="GM36" s="1146">
        <f t="shared" si="60"/>
        <v>0</v>
      </c>
      <c r="GN36" s="1256">
        <f t="shared" si="124"/>
        <v>0</v>
      </c>
      <c r="GO36" s="1157">
        <f t="shared" si="125"/>
        <v>0</v>
      </c>
      <c r="HE36" s="1675">
        <f t="shared" si="61"/>
        <v>0</v>
      </c>
      <c r="HF36" s="775">
        <f t="shared" si="62"/>
        <v>0</v>
      </c>
      <c r="HG36" s="548">
        <f t="shared" si="63"/>
        <v>0</v>
      </c>
      <c r="HH36" s="773">
        <f t="shared" si="64"/>
        <v>0</v>
      </c>
      <c r="HI36" s="773">
        <f t="shared" si="65"/>
        <v>0</v>
      </c>
      <c r="HJ36" s="773">
        <f t="shared" si="66"/>
        <v>0</v>
      </c>
      <c r="HK36" s="773">
        <f t="shared" si="67"/>
        <v>0</v>
      </c>
      <c r="HL36" s="773">
        <f t="shared" si="68"/>
        <v>0</v>
      </c>
      <c r="HM36" s="626">
        <f t="shared" si="126"/>
        <v>0</v>
      </c>
      <c r="HN36" s="1145">
        <f t="shared" si="69"/>
        <v>0</v>
      </c>
      <c r="HO36" s="1146">
        <f t="shared" si="70"/>
        <v>0</v>
      </c>
      <c r="HP36" s="1146">
        <f t="shared" si="71"/>
        <v>0</v>
      </c>
      <c r="HQ36" s="1146">
        <f t="shared" si="72"/>
        <v>0</v>
      </c>
      <c r="HR36" s="1146">
        <f t="shared" si="73"/>
        <v>0</v>
      </c>
      <c r="HS36" s="1146">
        <f t="shared" si="74"/>
        <v>0</v>
      </c>
      <c r="HT36" s="1256">
        <f t="shared" si="127"/>
        <v>0</v>
      </c>
      <c r="HU36" s="1157">
        <f t="shared" si="128"/>
        <v>0</v>
      </c>
    </row>
    <row r="37" spans="1:229" ht="13.5" customHeight="1" outlineLevel="1" x14ac:dyDescent="0.2">
      <c r="A37" s="474"/>
      <c r="B37" s="1412"/>
      <c r="C37" s="511">
        <v>28</v>
      </c>
      <c r="D37" s="557" t="s">
        <v>23</v>
      </c>
      <c r="E37" s="1721">
        <v>23</v>
      </c>
      <c r="F37" s="558">
        <v>1552.07</v>
      </c>
      <c r="G37" s="543">
        <f t="shared" si="0"/>
        <v>67.481304347826082</v>
      </c>
      <c r="H37" s="559">
        <v>0</v>
      </c>
      <c r="I37" s="558">
        <v>0</v>
      </c>
      <c r="J37" s="542">
        <v>0</v>
      </c>
      <c r="K37" s="559">
        <v>0</v>
      </c>
      <c r="L37" s="558">
        <v>0</v>
      </c>
      <c r="M37" s="542">
        <v>0</v>
      </c>
      <c r="N37" s="545">
        <f t="shared" si="1"/>
        <v>1552.07</v>
      </c>
      <c r="O37" s="518">
        <v>0</v>
      </c>
      <c r="P37" s="485">
        <v>8382867.3199999994</v>
      </c>
      <c r="Q37" s="518">
        <v>1193819.8999999999</v>
      </c>
      <c r="R37" s="519">
        <f t="shared" si="2"/>
        <v>9576687.2199999988</v>
      </c>
      <c r="S37" s="546">
        <f t="shared" si="75"/>
        <v>9576687.2199999988</v>
      </c>
      <c r="T37" s="521">
        <v>2232452.06</v>
      </c>
      <c r="U37" s="547">
        <v>0</v>
      </c>
      <c r="V37" s="547">
        <v>0</v>
      </c>
      <c r="W37" s="548">
        <v>0</v>
      </c>
      <c r="X37" s="549">
        <v>0</v>
      </c>
      <c r="Y37" s="549">
        <v>0</v>
      </c>
      <c r="Z37" s="549">
        <v>0</v>
      </c>
      <c r="AA37" s="525">
        <f t="shared" si="76"/>
        <v>0</v>
      </c>
      <c r="AB37" s="524">
        <f t="shared" si="77"/>
        <v>0</v>
      </c>
      <c r="AC37" s="526">
        <f t="shared" si="78"/>
        <v>0</v>
      </c>
      <c r="AD37" s="547">
        <v>0</v>
      </c>
      <c r="AE37" s="547">
        <v>0</v>
      </c>
      <c r="AF37" s="547">
        <v>0</v>
      </c>
      <c r="AG37" s="547">
        <v>0</v>
      </c>
      <c r="AH37" s="363">
        <f t="shared" si="79"/>
        <v>0</v>
      </c>
      <c r="AI37" s="547">
        <f t="shared" si="80"/>
        <v>0</v>
      </c>
      <c r="AJ37" s="550">
        <f t="shared" si="81"/>
        <v>0</v>
      </c>
      <c r="AK37" s="551">
        <f t="shared" si="82"/>
        <v>0</v>
      </c>
      <c r="AL37" s="529"/>
      <c r="AM37" s="502"/>
      <c r="AN37" s="530"/>
      <c r="AO37" s="498"/>
      <c r="AP37" s="499"/>
      <c r="AQ37" s="499"/>
      <c r="AR37" s="499"/>
      <c r="AS37" s="531">
        <f t="shared" si="3"/>
        <v>0</v>
      </c>
      <c r="AT37" s="532">
        <f t="shared" si="4"/>
        <v>0</v>
      </c>
      <c r="AU37" s="529">
        <v>0</v>
      </c>
      <c r="AV37" s="533">
        <v>0</v>
      </c>
      <c r="AW37" s="533">
        <v>0</v>
      </c>
      <c r="AX37" s="533">
        <v>0</v>
      </c>
      <c r="AY37" s="533">
        <f t="shared" si="5"/>
        <v>0</v>
      </c>
      <c r="AZ37" s="534">
        <f t="shared" si="6"/>
        <v>0</v>
      </c>
      <c r="BA37" s="535">
        <f t="shared" si="83"/>
        <v>0</v>
      </c>
      <c r="BB37" s="536">
        <f t="shared" si="84"/>
        <v>0</v>
      </c>
      <c r="BC37" s="523">
        <f t="shared" si="85"/>
        <v>0</v>
      </c>
      <c r="BD37" s="525">
        <f t="shared" si="86"/>
        <v>0</v>
      </c>
      <c r="BE37" s="525">
        <f t="shared" si="87"/>
        <v>0</v>
      </c>
      <c r="BF37" s="525">
        <f t="shared" si="88"/>
        <v>0</v>
      </c>
      <c r="BG37" s="525">
        <f t="shared" si="89"/>
        <v>0</v>
      </c>
      <c r="BH37" s="525">
        <f t="shared" si="90"/>
        <v>0</v>
      </c>
      <c r="BI37" s="526">
        <f t="shared" si="91"/>
        <v>0</v>
      </c>
      <c r="BJ37" s="537">
        <f t="shared" si="92"/>
        <v>0</v>
      </c>
      <c r="BK37" s="538">
        <f t="shared" si="93"/>
        <v>0</v>
      </c>
      <c r="BL37" s="538">
        <f t="shared" si="94"/>
        <v>0</v>
      </c>
      <c r="BM37" s="538">
        <f t="shared" si="95"/>
        <v>0</v>
      </c>
      <c r="BN37" s="538">
        <f t="shared" si="96"/>
        <v>0</v>
      </c>
      <c r="BO37" s="538">
        <f t="shared" si="97"/>
        <v>0</v>
      </c>
      <c r="BP37" s="539">
        <f t="shared" si="98"/>
        <v>0</v>
      </c>
      <c r="BQ37" s="540">
        <f t="shared" si="99"/>
        <v>0</v>
      </c>
      <c r="BR37" s="529"/>
      <c r="BS37" s="502"/>
      <c r="BT37" s="530"/>
      <c r="BU37" s="498"/>
      <c r="BV37" s="499"/>
      <c r="BW37" s="499"/>
      <c r="BX37" s="499"/>
      <c r="BY37" s="531">
        <f t="shared" si="9"/>
        <v>0</v>
      </c>
      <c r="BZ37" s="532">
        <f t="shared" si="10"/>
        <v>0</v>
      </c>
      <c r="CA37" s="529"/>
      <c r="CB37" s="533"/>
      <c r="CC37" s="533"/>
      <c r="CD37" s="533"/>
      <c r="CE37" s="533">
        <f t="shared" si="11"/>
        <v>0</v>
      </c>
      <c r="CF37" s="534">
        <f t="shared" si="12"/>
        <v>0</v>
      </c>
      <c r="CG37" s="774">
        <f t="shared" si="100"/>
        <v>0</v>
      </c>
      <c r="CH37" s="775">
        <f t="shared" si="101"/>
        <v>0</v>
      </c>
      <c r="CI37" s="548">
        <f t="shared" si="102"/>
        <v>0</v>
      </c>
      <c r="CJ37" s="773">
        <f t="shared" si="103"/>
        <v>0</v>
      </c>
      <c r="CK37" s="773">
        <f t="shared" si="104"/>
        <v>0</v>
      </c>
      <c r="CL37" s="773">
        <f t="shared" si="105"/>
        <v>0</v>
      </c>
      <c r="CM37" s="773">
        <f t="shared" si="106"/>
        <v>0</v>
      </c>
      <c r="CN37" s="773">
        <f t="shared" si="107"/>
        <v>0</v>
      </c>
      <c r="CO37" s="626">
        <f t="shared" si="108"/>
        <v>0</v>
      </c>
      <c r="CP37" s="1145">
        <f t="shared" si="109"/>
        <v>0</v>
      </c>
      <c r="CQ37" s="1146">
        <f t="shared" si="110"/>
        <v>0</v>
      </c>
      <c r="CR37" s="1146">
        <f t="shared" si="111"/>
        <v>0</v>
      </c>
      <c r="CS37" s="1146">
        <f t="shared" si="112"/>
        <v>0</v>
      </c>
      <c r="CT37" s="1146">
        <f t="shared" si="113"/>
        <v>0</v>
      </c>
      <c r="CU37" s="1146">
        <f t="shared" si="114"/>
        <v>0</v>
      </c>
      <c r="CV37" s="1256">
        <f t="shared" si="115"/>
        <v>0</v>
      </c>
      <c r="CW37" s="1157">
        <f t="shared" si="116"/>
        <v>0</v>
      </c>
      <c r="CX37" s="529"/>
      <c r="CY37" s="502"/>
      <c r="CZ37" s="530"/>
      <c r="DA37" s="498"/>
      <c r="DB37" s="499"/>
      <c r="DC37" s="499"/>
      <c r="DD37" s="499"/>
      <c r="DE37" s="531">
        <f t="shared" si="15"/>
        <v>0</v>
      </c>
      <c r="DF37" s="532">
        <f t="shared" si="16"/>
        <v>0</v>
      </c>
      <c r="DG37" s="529"/>
      <c r="DH37" s="533"/>
      <c r="DI37" s="533"/>
      <c r="DJ37" s="533"/>
      <c r="DK37" s="533">
        <f t="shared" si="17"/>
        <v>0</v>
      </c>
      <c r="DL37" s="534">
        <f t="shared" si="18"/>
        <v>0</v>
      </c>
      <c r="DM37" s="1258">
        <f t="shared" si="19"/>
        <v>0</v>
      </c>
      <c r="DN37" s="775">
        <f t="shared" si="20"/>
        <v>0</v>
      </c>
      <c r="DO37" s="548">
        <f t="shared" si="21"/>
        <v>0</v>
      </c>
      <c r="DP37" s="773">
        <f t="shared" si="22"/>
        <v>0</v>
      </c>
      <c r="DQ37" s="773">
        <f t="shared" si="23"/>
        <v>0</v>
      </c>
      <c r="DR37" s="773">
        <f t="shared" si="24"/>
        <v>0</v>
      </c>
      <c r="DS37" s="773">
        <f t="shared" si="25"/>
        <v>0</v>
      </c>
      <c r="DT37" s="773">
        <f t="shared" si="26"/>
        <v>0</v>
      </c>
      <c r="DU37" s="526">
        <f t="shared" si="117"/>
        <v>0</v>
      </c>
      <c r="DV37" s="1145">
        <f t="shared" si="27"/>
        <v>0</v>
      </c>
      <c r="DW37" s="1146">
        <f t="shared" si="28"/>
        <v>0</v>
      </c>
      <c r="DX37" s="1146">
        <f t="shared" si="29"/>
        <v>0</v>
      </c>
      <c r="DY37" s="1146">
        <f t="shared" si="30"/>
        <v>0</v>
      </c>
      <c r="DZ37" s="1146">
        <f t="shared" si="31"/>
        <v>0</v>
      </c>
      <c r="EA37" s="1146">
        <f t="shared" si="32"/>
        <v>0</v>
      </c>
      <c r="EB37" s="539">
        <f t="shared" si="118"/>
        <v>0</v>
      </c>
      <c r="EC37" s="540">
        <f t="shared" si="119"/>
        <v>0</v>
      </c>
      <c r="ES37" s="1258">
        <f t="shared" si="33"/>
        <v>0</v>
      </c>
      <c r="ET37" s="775">
        <f t="shared" si="34"/>
        <v>0</v>
      </c>
      <c r="EU37" s="548">
        <f t="shared" si="35"/>
        <v>0</v>
      </c>
      <c r="EV37" s="773">
        <f t="shared" si="36"/>
        <v>0</v>
      </c>
      <c r="EW37" s="773">
        <f t="shared" si="37"/>
        <v>0</v>
      </c>
      <c r="EX37" s="773">
        <f t="shared" si="38"/>
        <v>0</v>
      </c>
      <c r="EY37" s="773">
        <f t="shared" si="39"/>
        <v>0</v>
      </c>
      <c r="EZ37" s="773">
        <f t="shared" si="40"/>
        <v>0</v>
      </c>
      <c r="FA37" s="626">
        <f t="shared" si="120"/>
        <v>0</v>
      </c>
      <c r="FB37" s="1145">
        <f t="shared" si="41"/>
        <v>0</v>
      </c>
      <c r="FC37" s="1146">
        <f t="shared" si="42"/>
        <v>0</v>
      </c>
      <c r="FD37" s="1146">
        <f t="shared" si="43"/>
        <v>0</v>
      </c>
      <c r="FE37" s="1146">
        <f t="shared" si="44"/>
        <v>0</v>
      </c>
      <c r="FF37" s="1146">
        <f t="shared" si="45"/>
        <v>0</v>
      </c>
      <c r="FG37" s="1146">
        <f t="shared" si="46"/>
        <v>0</v>
      </c>
      <c r="FH37" s="1256">
        <f t="shared" si="121"/>
        <v>0</v>
      </c>
      <c r="FI37" s="1157">
        <f t="shared" si="122"/>
        <v>0</v>
      </c>
      <c r="FY37" s="1258">
        <f t="shared" si="47"/>
        <v>0</v>
      </c>
      <c r="FZ37" s="775">
        <f t="shared" si="48"/>
        <v>0</v>
      </c>
      <c r="GA37" s="548">
        <f t="shared" si="49"/>
        <v>0</v>
      </c>
      <c r="GB37" s="773">
        <f t="shared" si="50"/>
        <v>0</v>
      </c>
      <c r="GC37" s="773">
        <f t="shared" si="51"/>
        <v>0</v>
      </c>
      <c r="GD37" s="773">
        <f t="shared" si="52"/>
        <v>0</v>
      </c>
      <c r="GE37" s="773">
        <f t="shared" si="53"/>
        <v>0</v>
      </c>
      <c r="GF37" s="773">
        <f t="shared" si="54"/>
        <v>0</v>
      </c>
      <c r="GG37" s="626">
        <f t="shared" si="123"/>
        <v>0</v>
      </c>
      <c r="GH37" s="1145">
        <f t="shared" si="55"/>
        <v>0</v>
      </c>
      <c r="GI37" s="1146">
        <f t="shared" si="56"/>
        <v>0</v>
      </c>
      <c r="GJ37" s="1146">
        <f t="shared" si="57"/>
        <v>0</v>
      </c>
      <c r="GK37" s="1146">
        <f t="shared" si="58"/>
        <v>0</v>
      </c>
      <c r="GL37" s="1146">
        <f t="shared" si="59"/>
        <v>0</v>
      </c>
      <c r="GM37" s="1146">
        <f t="shared" si="60"/>
        <v>0</v>
      </c>
      <c r="GN37" s="1256">
        <f t="shared" si="124"/>
        <v>0</v>
      </c>
      <c r="GO37" s="1157">
        <f t="shared" si="125"/>
        <v>0</v>
      </c>
      <c r="HE37" s="1675">
        <f t="shared" si="61"/>
        <v>0</v>
      </c>
      <c r="HF37" s="775">
        <f t="shared" si="62"/>
        <v>0</v>
      </c>
      <c r="HG37" s="548">
        <f t="shared" si="63"/>
        <v>0</v>
      </c>
      <c r="HH37" s="773">
        <f t="shared" si="64"/>
        <v>0</v>
      </c>
      <c r="HI37" s="773">
        <f t="shared" si="65"/>
        <v>0</v>
      </c>
      <c r="HJ37" s="773">
        <f t="shared" si="66"/>
        <v>0</v>
      </c>
      <c r="HK37" s="773">
        <f t="shared" si="67"/>
        <v>0</v>
      </c>
      <c r="HL37" s="773">
        <f t="shared" si="68"/>
        <v>0</v>
      </c>
      <c r="HM37" s="626">
        <f t="shared" si="126"/>
        <v>0</v>
      </c>
      <c r="HN37" s="1145">
        <f t="shared" si="69"/>
        <v>0</v>
      </c>
      <c r="HO37" s="1146">
        <f t="shared" si="70"/>
        <v>0</v>
      </c>
      <c r="HP37" s="1146">
        <f t="shared" si="71"/>
        <v>0</v>
      </c>
      <c r="HQ37" s="1146">
        <f t="shared" si="72"/>
        <v>0</v>
      </c>
      <c r="HR37" s="1146">
        <f t="shared" si="73"/>
        <v>0</v>
      </c>
      <c r="HS37" s="1146">
        <f t="shared" si="74"/>
        <v>0</v>
      </c>
      <c r="HT37" s="1256">
        <f t="shared" si="127"/>
        <v>0</v>
      </c>
      <c r="HU37" s="1157">
        <f t="shared" si="128"/>
        <v>0</v>
      </c>
    </row>
    <row r="38" spans="1:229" ht="13.5" customHeight="1" outlineLevel="1" x14ac:dyDescent="0.2">
      <c r="A38" s="474"/>
      <c r="B38" s="1412"/>
      <c r="C38" s="511">
        <v>29</v>
      </c>
      <c r="D38" s="557" t="s">
        <v>24</v>
      </c>
      <c r="E38" s="1721">
        <v>16</v>
      </c>
      <c r="F38" s="558">
        <v>1052.43</v>
      </c>
      <c r="G38" s="543">
        <f t="shared" si="0"/>
        <v>65.776875000000004</v>
      </c>
      <c r="H38" s="559">
        <v>0</v>
      </c>
      <c r="I38" s="558">
        <v>0</v>
      </c>
      <c r="J38" s="542">
        <v>0</v>
      </c>
      <c r="K38" s="559">
        <v>0</v>
      </c>
      <c r="L38" s="558">
        <v>0</v>
      </c>
      <c r="M38" s="542">
        <v>0</v>
      </c>
      <c r="N38" s="545">
        <f t="shared" si="1"/>
        <v>1052.43</v>
      </c>
      <c r="O38" s="518">
        <v>0</v>
      </c>
      <c r="P38" s="485">
        <v>4643857.1399999997</v>
      </c>
      <c r="Q38" s="518">
        <v>1401836.76</v>
      </c>
      <c r="R38" s="519">
        <f t="shared" si="2"/>
        <v>6045693.8999999994</v>
      </c>
      <c r="S38" s="546">
        <f t="shared" si="75"/>
        <v>6045693.8999999994</v>
      </c>
      <c r="T38" s="521">
        <v>1363459.95</v>
      </c>
      <c r="U38" s="547">
        <v>0</v>
      </c>
      <c r="V38" s="547">
        <v>0</v>
      </c>
      <c r="W38" s="548">
        <v>0</v>
      </c>
      <c r="X38" s="549">
        <v>0</v>
      </c>
      <c r="Y38" s="549">
        <v>0</v>
      </c>
      <c r="Z38" s="549">
        <v>0</v>
      </c>
      <c r="AA38" s="525">
        <f t="shared" si="76"/>
        <v>0</v>
      </c>
      <c r="AB38" s="524">
        <f t="shared" si="77"/>
        <v>0</v>
      </c>
      <c r="AC38" s="526">
        <f t="shared" si="78"/>
        <v>0</v>
      </c>
      <c r="AD38" s="547">
        <v>0</v>
      </c>
      <c r="AE38" s="547">
        <v>0</v>
      </c>
      <c r="AF38" s="547">
        <v>0</v>
      </c>
      <c r="AG38" s="547">
        <v>0</v>
      </c>
      <c r="AH38" s="363">
        <f t="shared" si="79"/>
        <v>0</v>
      </c>
      <c r="AI38" s="547">
        <f t="shared" si="80"/>
        <v>0</v>
      </c>
      <c r="AJ38" s="550">
        <f t="shared" si="81"/>
        <v>0</v>
      </c>
      <c r="AK38" s="551">
        <f t="shared" si="82"/>
        <v>0</v>
      </c>
      <c r="AL38" s="529"/>
      <c r="AM38" s="502"/>
      <c r="AN38" s="530"/>
      <c r="AO38" s="498"/>
      <c r="AP38" s="499"/>
      <c r="AQ38" s="499"/>
      <c r="AR38" s="499"/>
      <c r="AS38" s="531">
        <f t="shared" si="3"/>
        <v>0</v>
      </c>
      <c r="AT38" s="532">
        <f t="shared" si="4"/>
        <v>0</v>
      </c>
      <c r="AU38" s="529">
        <v>0</v>
      </c>
      <c r="AV38" s="533">
        <v>0</v>
      </c>
      <c r="AW38" s="533">
        <v>0</v>
      </c>
      <c r="AX38" s="533">
        <v>0</v>
      </c>
      <c r="AY38" s="533">
        <f t="shared" si="5"/>
        <v>0</v>
      </c>
      <c r="AZ38" s="534">
        <f t="shared" si="6"/>
        <v>0</v>
      </c>
      <c r="BA38" s="535">
        <f t="shared" si="83"/>
        <v>0</v>
      </c>
      <c r="BB38" s="536">
        <f t="shared" si="84"/>
        <v>0</v>
      </c>
      <c r="BC38" s="523">
        <f t="shared" si="85"/>
        <v>0</v>
      </c>
      <c r="BD38" s="525">
        <f t="shared" si="86"/>
        <v>0</v>
      </c>
      <c r="BE38" s="525">
        <f t="shared" si="87"/>
        <v>0</v>
      </c>
      <c r="BF38" s="525">
        <f t="shared" si="88"/>
        <v>0</v>
      </c>
      <c r="BG38" s="525">
        <f t="shared" si="89"/>
        <v>0</v>
      </c>
      <c r="BH38" s="525">
        <f t="shared" si="90"/>
        <v>0</v>
      </c>
      <c r="BI38" s="526">
        <f t="shared" si="91"/>
        <v>0</v>
      </c>
      <c r="BJ38" s="537">
        <f t="shared" si="92"/>
        <v>0</v>
      </c>
      <c r="BK38" s="538">
        <f t="shared" si="93"/>
        <v>0</v>
      </c>
      <c r="BL38" s="538">
        <f t="shared" si="94"/>
        <v>0</v>
      </c>
      <c r="BM38" s="538">
        <f t="shared" si="95"/>
        <v>0</v>
      </c>
      <c r="BN38" s="538">
        <f t="shared" si="96"/>
        <v>0</v>
      </c>
      <c r="BO38" s="538">
        <f t="shared" si="97"/>
        <v>0</v>
      </c>
      <c r="BP38" s="539">
        <f t="shared" si="98"/>
        <v>0</v>
      </c>
      <c r="BQ38" s="540">
        <f t="shared" si="99"/>
        <v>0</v>
      </c>
      <c r="BR38" s="529"/>
      <c r="BS38" s="502"/>
      <c r="BT38" s="530"/>
      <c r="BU38" s="498"/>
      <c r="BV38" s="499"/>
      <c r="BW38" s="499"/>
      <c r="BX38" s="499"/>
      <c r="BY38" s="531">
        <f t="shared" si="9"/>
        <v>0</v>
      </c>
      <c r="BZ38" s="532">
        <f t="shared" si="10"/>
        <v>0</v>
      </c>
      <c r="CA38" s="529"/>
      <c r="CB38" s="533"/>
      <c r="CC38" s="533"/>
      <c r="CD38" s="533"/>
      <c r="CE38" s="533">
        <f t="shared" si="11"/>
        <v>0</v>
      </c>
      <c r="CF38" s="534">
        <f t="shared" si="12"/>
        <v>0</v>
      </c>
      <c r="CG38" s="774">
        <f t="shared" si="100"/>
        <v>0</v>
      </c>
      <c r="CH38" s="775">
        <f t="shared" si="101"/>
        <v>0</v>
      </c>
      <c r="CI38" s="548">
        <f t="shared" si="102"/>
        <v>0</v>
      </c>
      <c r="CJ38" s="773">
        <f t="shared" si="103"/>
        <v>0</v>
      </c>
      <c r="CK38" s="773">
        <f t="shared" si="104"/>
        <v>0</v>
      </c>
      <c r="CL38" s="773">
        <f t="shared" si="105"/>
        <v>0</v>
      </c>
      <c r="CM38" s="773">
        <f t="shared" si="106"/>
        <v>0</v>
      </c>
      <c r="CN38" s="773">
        <f t="shared" si="107"/>
        <v>0</v>
      </c>
      <c r="CO38" s="626">
        <f t="shared" si="108"/>
        <v>0</v>
      </c>
      <c r="CP38" s="1145">
        <f t="shared" si="109"/>
        <v>0</v>
      </c>
      <c r="CQ38" s="1146">
        <f t="shared" si="110"/>
        <v>0</v>
      </c>
      <c r="CR38" s="1146">
        <f t="shared" si="111"/>
        <v>0</v>
      </c>
      <c r="CS38" s="1146">
        <f t="shared" si="112"/>
        <v>0</v>
      </c>
      <c r="CT38" s="1146">
        <f t="shared" si="113"/>
        <v>0</v>
      </c>
      <c r="CU38" s="1146">
        <f t="shared" si="114"/>
        <v>0</v>
      </c>
      <c r="CV38" s="1256">
        <f t="shared" si="115"/>
        <v>0</v>
      </c>
      <c r="CW38" s="1157">
        <f t="shared" si="116"/>
        <v>0</v>
      </c>
      <c r="CX38" s="529"/>
      <c r="CY38" s="502"/>
      <c r="CZ38" s="530"/>
      <c r="DA38" s="498"/>
      <c r="DB38" s="499"/>
      <c r="DC38" s="499"/>
      <c r="DD38" s="499"/>
      <c r="DE38" s="531">
        <f t="shared" si="15"/>
        <v>0</v>
      </c>
      <c r="DF38" s="532">
        <f t="shared" si="16"/>
        <v>0</v>
      </c>
      <c r="DG38" s="529"/>
      <c r="DH38" s="533"/>
      <c r="DI38" s="533"/>
      <c r="DJ38" s="533"/>
      <c r="DK38" s="533">
        <f t="shared" si="17"/>
        <v>0</v>
      </c>
      <c r="DL38" s="534">
        <f t="shared" si="18"/>
        <v>0</v>
      </c>
      <c r="DM38" s="1258">
        <f t="shared" si="19"/>
        <v>0</v>
      </c>
      <c r="DN38" s="775">
        <f t="shared" si="20"/>
        <v>0</v>
      </c>
      <c r="DO38" s="548">
        <f t="shared" si="21"/>
        <v>0</v>
      </c>
      <c r="DP38" s="773">
        <f t="shared" si="22"/>
        <v>0</v>
      </c>
      <c r="DQ38" s="773">
        <f t="shared" si="23"/>
        <v>0</v>
      </c>
      <c r="DR38" s="773">
        <f t="shared" si="24"/>
        <v>0</v>
      </c>
      <c r="DS38" s="773">
        <f t="shared" si="25"/>
        <v>0</v>
      </c>
      <c r="DT38" s="773">
        <f t="shared" si="26"/>
        <v>0</v>
      </c>
      <c r="DU38" s="526">
        <f t="shared" si="117"/>
        <v>0</v>
      </c>
      <c r="DV38" s="1145">
        <f t="shared" si="27"/>
        <v>0</v>
      </c>
      <c r="DW38" s="1146">
        <f t="shared" si="28"/>
        <v>0</v>
      </c>
      <c r="DX38" s="1146">
        <f t="shared" si="29"/>
        <v>0</v>
      </c>
      <c r="DY38" s="1146">
        <f t="shared" si="30"/>
        <v>0</v>
      </c>
      <c r="DZ38" s="1146">
        <f t="shared" si="31"/>
        <v>0</v>
      </c>
      <c r="EA38" s="1146">
        <f t="shared" si="32"/>
        <v>0</v>
      </c>
      <c r="EB38" s="539">
        <f t="shared" si="118"/>
        <v>0</v>
      </c>
      <c r="EC38" s="540">
        <f t="shared" si="119"/>
        <v>0</v>
      </c>
      <c r="ES38" s="1258">
        <f t="shared" si="33"/>
        <v>0</v>
      </c>
      <c r="ET38" s="775">
        <f t="shared" si="34"/>
        <v>0</v>
      </c>
      <c r="EU38" s="548">
        <f t="shared" si="35"/>
        <v>0</v>
      </c>
      <c r="EV38" s="773">
        <f t="shared" si="36"/>
        <v>0</v>
      </c>
      <c r="EW38" s="773">
        <f t="shared" si="37"/>
        <v>0</v>
      </c>
      <c r="EX38" s="773">
        <f t="shared" si="38"/>
        <v>0</v>
      </c>
      <c r="EY38" s="773">
        <f t="shared" si="39"/>
        <v>0</v>
      </c>
      <c r="EZ38" s="773">
        <f t="shared" si="40"/>
        <v>0</v>
      </c>
      <c r="FA38" s="626">
        <f t="shared" si="120"/>
        <v>0</v>
      </c>
      <c r="FB38" s="1145">
        <f t="shared" si="41"/>
        <v>0</v>
      </c>
      <c r="FC38" s="1146">
        <f t="shared" si="42"/>
        <v>0</v>
      </c>
      <c r="FD38" s="1146">
        <f t="shared" si="43"/>
        <v>0</v>
      </c>
      <c r="FE38" s="1146">
        <f t="shared" si="44"/>
        <v>0</v>
      </c>
      <c r="FF38" s="1146">
        <f t="shared" si="45"/>
        <v>0</v>
      </c>
      <c r="FG38" s="1146">
        <f t="shared" si="46"/>
        <v>0</v>
      </c>
      <c r="FH38" s="1256">
        <f t="shared" si="121"/>
        <v>0</v>
      </c>
      <c r="FI38" s="1157">
        <f t="shared" si="122"/>
        <v>0</v>
      </c>
      <c r="FY38" s="1258">
        <f t="shared" si="47"/>
        <v>0</v>
      </c>
      <c r="FZ38" s="775">
        <f t="shared" si="48"/>
        <v>0</v>
      </c>
      <c r="GA38" s="548">
        <f t="shared" si="49"/>
        <v>0</v>
      </c>
      <c r="GB38" s="773">
        <f t="shared" si="50"/>
        <v>0</v>
      </c>
      <c r="GC38" s="773">
        <f t="shared" si="51"/>
        <v>0</v>
      </c>
      <c r="GD38" s="773">
        <f t="shared" si="52"/>
        <v>0</v>
      </c>
      <c r="GE38" s="773">
        <f t="shared" si="53"/>
        <v>0</v>
      </c>
      <c r="GF38" s="773">
        <f t="shared" si="54"/>
        <v>0</v>
      </c>
      <c r="GG38" s="626">
        <f t="shared" si="123"/>
        <v>0</v>
      </c>
      <c r="GH38" s="1145">
        <f t="shared" si="55"/>
        <v>0</v>
      </c>
      <c r="GI38" s="1146">
        <f t="shared" si="56"/>
        <v>0</v>
      </c>
      <c r="GJ38" s="1146">
        <f t="shared" si="57"/>
        <v>0</v>
      </c>
      <c r="GK38" s="1146">
        <f t="shared" si="58"/>
        <v>0</v>
      </c>
      <c r="GL38" s="1146">
        <f t="shared" si="59"/>
        <v>0</v>
      </c>
      <c r="GM38" s="1146">
        <f t="shared" si="60"/>
        <v>0</v>
      </c>
      <c r="GN38" s="1256">
        <f t="shared" si="124"/>
        <v>0</v>
      </c>
      <c r="GO38" s="1157">
        <f t="shared" si="125"/>
        <v>0</v>
      </c>
      <c r="HE38" s="1675">
        <f t="shared" si="61"/>
        <v>0</v>
      </c>
      <c r="HF38" s="775">
        <f t="shared" si="62"/>
        <v>0</v>
      </c>
      <c r="HG38" s="548">
        <f t="shared" si="63"/>
        <v>0</v>
      </c>
      <c r="HH38" s="773">
        <f t="shared" si="64"/>
        <v>0</v>
      </c>
      <c r="HI38" s="773">
        <f t="shared" si="65"/>
        <v>0</v>
      </c>
      <c r="HJ38" s="773">
        <f t="shared" si="66"/>
        <v>0</v>
      </c>
      <c r="HK38" s="773">
        <f t="shared" si="67"/>
        <v>0</v>
      </c>
      <c r="HL38" s="773">
        <f t="shared" si="68"/>
        <v>0</v>
      </c>
      <c r="HM38" s="626">
        <f t="shared" si="126"/>
        <v>0</v>
      </c>
      <c r="HN38" s="1145">
        <f t="shared" si="69"/>
        <v>0</v>
      </c>
      <c r="HO38" s="1146">
        <f t="shared" si="70"/>
        <v>0</v>
      </c>
      <c r="HP38" s="1146">
        <f t="shared" si="71"/>
        <v>0</v>
      </c>
      <c r="HQ38" s="1146">
        <f t="shared" si="72"/>
        <v>0</v>
      </c>
      <c r="HR38" s="1146">
        <f t="shared" si="73"/>
        <v>0</v>
      </c>
      <c r="HS38" s="1146">
        <f t="shared" si="74"/>
        <v>0</v>
      </c>
      <c r="HT38" s="1256">
        <f t="shared" si="127"/>
        <v>0</v>
      </c>
      <c r="HU38" s="1157">
        <f t="shared" si="128"/>
        <v>0</v>
      </c>
    </row>
    <row r="39" spans="1:229" ht="13.5" customHeight="1" outlineLevel="1" x14ac:dyDescent="0.2">
      <c r="A39" s="474"/>
      <c r="B39" s="1412"/>
      <c r="C39" s="511">
        <v>30</v>
      </c>
      <c r="D39" s="561" t="s">
        <v>88</v>
      </c>
      <c r="E39" s="552">
        <v>32</v>
      </c>
      <c r="F39" s="515">
        <v>2126.2199999999998</v>
      </c>
      <c r="G39" s="479">
        <f t="shared" si="0"/>
        <v>66.444374999999994</v>
      </c>
      <c r="H39" s="553">
        <v>0</v>
      </c>
      <c r="I39" s="178">
        <v>0</v>
      </c>
      <c r="J39" s="481">
        <v>0</v>
      </c>
      <c r="K39" s="553">
        <v>0</v>
      </c>
      <c r="L39" s="178">
        <v>0</v>
      </c>
      <c r="M39" s="481">
        <v>0</v>
      </c>
      <c r="N39" s="483">
        <f t="shared" si="1"/>
        <v>2126.2199999999998</v>
      </c>
      <c r="O39" s="518">
        <v>0</v>
      </c>
      <c r="P39" s="485">
        <v>10633681.920000002</v>
      </c>
      <c r="Q39" s="518">
        <v>786701.4</v>
      </c>
      <c r="R39" s="519">
        <f t="shared" si="2"/>
        <v>11420383.320000002</v>
      </c>
      <c r="S39" s="546">
        <f t="shared" si="75"/>
        <v>11420383.320000002</v>
      </c>
      <c r="T39" s="521">
        <v>2756191.83</v>
      </c>
      <c r="U39" s="547">
        <v>0</v>
      </c>
      <c r="V39" s="547">
        <v>0</v>
      </c>
      <c r="W39" s="548">
        <v>0</v>
      </c>
      <c r="X39" s="549">
        <v>0</v>
      </c>
      <c r="Y39" s="549">
        <v>0</v>
      </c>
      <c r="Z39" s="549">
        <v>0</v>
      </c>
      <c r="AA39" s="525">
        <f t="shared" si="76"/>
        <v>0</v>
      </c>
      <c r="AB39" s="524">
        <f t="shared" si="77"/>
        <v>0</v>
      </c>
      <c r="AC39" s="526">
        <f t="shared" si="78"/>
        <v>0</v>
      </c>
      <c r="AD39" s="547">
        <v>0</v>
      </c>
      <c r="AE39" s="547">
        <v>0</v>
      </c>
      <c r="AF39" s="547">
        <v>0</v>
      </c>
      <c r="AG39" s="547">
        <v>0</v>
      </c>
      <c r="AH39" s="363">
        <f t="shared" si="79"/>
        <v>0</v>
      </c>
      <c r="AI39" s="547">
        <f t="shared" si="80"/>
        <v>0</v>
      </c>
      <c r="AJ39" s="550">
        <f t="shared" si="81"/>
        <v>0</v>
      </c>
      <c r="AK39" s="551">
        <f t="shared" si="82"/>
        <v>0</v>
      </c>
      <c r="AL39" s="529"/>
      <c r="AM39" s="502"/>
      <c r="AN39" s="530"/>
      <c r="AO39" s="498"/>
      <c r="AP39" s="499"/>
      <c r="AQ39" s="499"/>
      <c r="AR39" s="499"/>
      <c r="AS39" s="531">
        <f t="shared" si="3"/>
        <v>0</v>
      </c>
      <c r="AT39" s="532">
        <f t="shared" si="4"/>
        <v>0</v>
      </c>
      <c r="AU39" s="529">
        <v>0</v>
      </c>
      <c r="AV39" s="533">
        <v>0</v>
      </c>
      <c r="AW39" s="533">
        <v>0</v>
      </c>
      <c r="AX39" s="533">
        <v>0</v>
      </c>
      <c r="AY39" s="533">
        <f t="shared" si="5"/>
        <v>0</v>
      </c>
      <c r="AZ39" s="534">
        <f t="shared" si="6"/>
        <v>0</v>
      </c>
      <c r="BA39" s="535">
        <f t="shared" si="83"/>
        <v>0</v>
      </c>
      <c r="BB39" s="536">
        <f t="shared" si="84"/>
        <v>0</v>
      </c>
      <c r="BC39" s="523">
        <f t="shared" si="85"/>
        <v>0</v>
      </c>
      <c r="BD39" s="525">
        <f t="shared" si="86"/>
        <v>0</v>
      </c>
      <c r="BE39" s="525">
        <f t="shared" si="87"/>
        <v>0</v>
      </c>
      <c r="BF39" s="525">
        <f t="shared" si="88"/>
        <v>0</v>
      </c>
      <c r="BG39" s="525">
        <f t="shared" si="89"/>
        <v>0</v>
      </c>
      <c r="BH39" s="525">
        <f t="shared" si="90"/>
        <v>0</v>
      </c>
      <c r="BI39" s="526">
        <f t="shared" si="91"/>
        <v>0</v>
      </c>
      <c r="BJ39" s="537">
        <f t="shared" si="92"/>
        <v>0</v>
      </c>
      <c r="BK39" s="538">
        <f t="shared" si="93"/>
        <v>0</v>
      </c>
      <c r="BL39" s="538">
        <f t="shared" si="94"/>
        <v>0</v>
      </c>
      <c r="BM39" s="538">
        <f t="shared" si="95"/>
        <v>0</v>
      </c>
      <c r="BN39" s="538">
        <f t="shared" si="96"/>
        <v>0</v>
      </c>
      <c r="BO39" s="538">
        <f t="shared" si="97"/>
        <v>0</v>
      </c>
      <c r="BP39" s="539">
        <f t="shared" si="98"/>
        <v>0</v>
      </c>
      <c r="BQ39" s="540">
        <f t="shared" si="99"/>
        <v>0</v>
      </c>
      <c r="BR39" s="529"/>
      <c r="BS39" s="502"/>
      <c r="BT39" s="530"/>
      <c r="BU39" s="498"/>
      <c r="BV39" s="499"/>
      <c r="BW39" s="499"/>
      <c r="BX39" s="499"/>
      <c r="BY39" s="531">
        <f t="shared" si="9"/>
        <v>0</v>
      </c>
      <c r="BZ39" s="532">
        <f t="shared" si="10"/>
        <v>0</v>
      </c>
      <c r="CA39" s="529"/>
      <c r="CB39" s="533"/>
      <c r="CC39" s="533"/>
      <c r="CD39" s="533"/>
      <c r="CE39" s="533">
        <f t="shared" si="11"/>
        <v>0</v>
      </c>
      <c r="CF39" s="534">
        <f t="shared" si="12"/>
        <v>0</v>
      </c>
      <c r="CG39" s="774">
        <f t="shared" si="100"/>
        <v>0</v>
      </c>
      <c r="CH39" s="775">
        <f t="shared" si="101"/>
        <v>0</v>
      </c>
      <c r="CI39" s="548">
        <f t="shared" si="102"/>
        <v>0</v>
      </c>
      <c r="CJ39" s="773">
        <f t="shared" si="103"/>
        <v>0</v>
      </c>
      <c r="CK39" s="773">
        <f t="shared" si="104"/>
        <v>0</v>
      </c>
      <c r="CL39" s="773">
        <f t="shared" si="105"/>
        <v>0</v>
      </c>
      <c r="CM39" s="773">
        <f t="shared" si="106"/>
        <v>0</v>
      </c>
      <c r="CN39" s="773">
        <f t="shared" si="107"/>
        <v>0</v>
      </c>
      <c r="CO39" s="626">
        <f t="shared" si="108"/>
        <v>0</v>
      </c>
      <c r="CP39" s="1145">
        <f t="shared" si="109"/>
        <v>0</v>
      </c>
      <c r="CQ39" s="1146">
        <f t="shared" si="110"/>
        <v>0</v>
      </c>
      <c r="CR39" s="1146">
        <f t="shared" si="111"/>
        <v>0</v>
      </c>
      <c r="CS39" s="1146">
        <f t="shared" si="112"/>
        <v>0</v>
      </c>
      <c r="CT39" s="1146">
        <f t="shared" si="113"/>
        <v>0</v>
      </c>
      <c r="CU39" s="1146">
        <f t="shared" si="114"/>
        <v>0</v>
      </c>
      <c r="CV39" s="1256">
        <f t="shared" si="115"/>
        <v>0</v>
      </c>
      <c r="CW39" s="1157">
        <f t="shared" si="116"/>
        <v>0</v>
      </c>
      <c r="CX39" s="529"/>
      <c r="CY39" s="502"/>
      <c r="CZ39" s="530"/>
      <c r="DA39" s="498"/>
      <c r="DB39" s="499"/>
      <c r="DC39" s="499"/>
      <c r="DD39" s="499"/>
      <c r="DE39" s="531">
        <f t="shared" si="15"/>
        <v>0</v>
      </c>
      <c r="DF39" s="532">
        <f t="shared" si="16"/>
        <v>0</v>
      </c>
      <c r="DG39" s="529"/>
      <c r="DH39" s="533"/>
      <c r="DI39" s="533"/>
      <c r="DJ39" s="533"/>
      <c r="DK39" s="533">
        <f t="shared" si="17"/>
        <v>0</v>
      </c>
      <c r="DL39" s="534">
        <f t="shared" si="18"/>
        <v>0</v>
      </c>
      <c r="DM39" s="1258">
        <f t="shared" si="19"/>
        <v>0</v>
      </c>
      <c r="DN39" s="775">
        <f t="shared" si="20"/>
        <v>0</v>
      </c>
      <c r="DO39" s="548">
        <f t="shared" si="21"/>
        <v>0</v>
      </c>
      <c r="DP39" s="773">
        <f t="shared" si="22"/>
        <v>0</v>
      </c>
      <c r="DQ39" s="773">
        <f t="shared" si="23"/>
        <v>0</v>
      </c>
      <c r="DR39" s="773">
        <f t="shared" si="24"/>
        <v>0</v>
      </c>
      <c r="DS39" s="773">
        <f t="shared" si="25"/>
        <v>0</v>
      </c>
      <c r="DT39" s="773">
        <f t="shared" si="26"/>
        <v>0</v>
      </c>
      <c r="DU39" s="526">
        <f t="shared" si="117"/>
        <v>0</v>
      </c>
      <c r="DV39" s="1145">
        <f t="shared" si="27"/>
        <v>0</v>
      </c>
      <c r="DW39" s="1146">
        <f t="shared" si="28"/>
        <v>0</v>
      </c>
      <c r="DX39" s="1146">
        <f t="shared" si="29"/>
        <v>0</v>
      </c>
      <c r="DY39" s="1146">
        <f t="shared" si="30"/>
        <v>0</v>
      </c>
      <c r="DZ39" s="1146">
        <f t="shared" si="31"/>
        <v>0</v>
      </c>
      <c r="EA39" s="1146">
        <f t="shared" si="32"/>
        <v>0</v>
      </c>
      <c r="EB39" s="539">
        <f t="shared" si="118"/>
        <v>0</v>
      </c>
      <c r="EC39" s="540">
        <f t="shared" si="119"/>
        <v>0</v>
      </c>
      <c r="ES39" s="1258">
        <f t="shared" si="33"/>
        <v>0</v>
      </c>
      <c r="ET39" s="775">
        <f t="shared" si="34"/>
        <v>0</v>
      </c>
      <c r="EU39" s="548">
        <f t="shared" si="35"/>
        <v>0</v>
      </c>
      <c r="EV39" s="773">
        <f t="shared" si="36"/>
        <v>0</v>
      </c>
      <c r="EW39" s="773">
        <f t="shared" si="37"/>
        <v>0</v>
      </c>
      <c r="EX39" s="773">
        <f t="shared" si="38"/>
        <v>0</v>
      </c>
      <c r="EY39" s="773">
        <f t="shared" si="39"/>
        <v>0</v>
      </c>
      <c r="EZ39" s="773">
        <f t="shared" si="40"/>
        <v>0</v>
      </c>
      <c r="FA39" s="626">
        <f t="shared" si="120"/>
        <v>0</v>
      </c>
      <c r="FB39" s="1145">
        <f t="shared" si="41"/>
        <v>0</v>
      </c>
      <c r="FC39" s="1146">
        <f t="shared" si="42"/>
        <v>0</v>
      </c>
      <c r="FD39" s="1146">
        <f t="shared" si="43"/>
        <v>0</v>
      </c>
      <c r="FE39" s="1146">
        <f t="shared" si="44"/>
        <v>0</v>
      </c>
      <c r="FF39" s="1146">
        <f t="shared" si="45"/>
        <v>0</v>
      </c>
      <c r="FG39" s="1146">
        <f t="shared" si="46"/>
        <v>0</v>
      </c>
      <c r="FH39" s="1256">
        <f t="shared" si="121"/>
        <v>0</v>
      </c>
      <c r="FI39" s="1157">
        <f t="shared" si="122"/>
        <v>0</v>
      </c>
      <c r="FY39" s="1258">
        <f t="shared" si="47"/>
        <v>0</v>
      </c>
      <c r="FZ39" s="775">
        <f t="shared" si="48"/>
        <v>0</v>
      </c>
      <c r="GA39" s="548">
        <f t="shared" si="49"/>
        <v>0</v>
      </c>
      <c r="GB39" s="773">
        <f t="shared" si="50"/>
        <v>0</v>
      </c>
      <c r="GC39" s="773">
        <f t="shared" si="51"/>
        <v>0</v>
      </c>
      <c r="GD39" s="773">
        <f t="shared" si="52"/>
        <v>0</v>
      </c>
      <c r="GE39" s="773">
        <f t="shared" si="53"/>
        <v>0</v>
      </c>
      <c r="GF39" s="773">
        <f t="shared" si="54"/>
        <v>0</v>
      </c>
      <c r="GG39" s="626">
        <f t="shared" si="123"/>
        <v>0</v>
      </c>
      <c r="GH39" s="1145">
        <f t="shared" si="55"/>
        <v>0</v>
      </c>
      <c r="GI39" s="1146">
        <f t="shared" si="56"/>
        <v>0</v>
      </c>
      <c r="GJ39" s="1146">
        <f t="shared" si="57"/>
        <v>0</v>
      </c>
      <c r="GK39" s="1146">
        <f t="shared" si="58"/>
        <v>0</v>
      </c>
      <c r="GL39" s="1146">
        <f t="shared" si="59"/>
        <v>0</v>
      </c>
      <c r="GM39" s="1146">
        <f t="shared" si="60"/>
        <v>0</v>
      </c>
      <c r="GN39" s="1256">
        <f t="shared" si="124"/>
        <v>0</v>
      </c>
      <c r="GO39" s="1157">
        <f t="shared" si="125"/>
        <v>0</v>
      </c>
      <c r="HE39" s="1675">
        <f t="shared" si="61"/>
        <v>0</v>
      </c>
      <c r="HF39" s="775">
        <f t="shared" si="62"/>
        <v>0</v>
      </c>
      <c r="HG39" s="548">
        <f t="shared" si="63"/>
        <v>0</v>
      </c>
      <c r="HH39" s="773">
        <f t="shared" si="64"/>
        <v>0</v>
      </c>
      <c r="HI39" s="773">
        <f t="shared" si="65"/>
        <v>0</v>
      </c>
      <c r="HJ39" s="773">
        <f t="shared" si="66"/>
        <v>0</v>
      </c>
      <c r="HK39" s="773">
        <f t="shared" si="67"/>
        <v>0</v>
      </c>
      <c r="HL39" s="773">
        <f t="shared" si="68"/>
        <v>0</v>
      </c>
      <c r="HM39" s="626">
        <f t="shared" si="126"/>
        <v>0</v>
      </c>
      <c r="HN39" s="1145">
        <f t="shared" si="69"/>
        <v>0</v>
      </c>
      <c r="HO39" s="1146">
        <f t="shared" si="70"/>
        <v>0</v>
      </c>
      <c r="HP39" s="1146">
        <f t="shared" si="71"/>
        <v>0</v>
      </c>
      <c r="HQ39" s="1146">
        <f t="shared" si="72"/>
        <v>0</v>
      </c>
      <c r="HR39" s="1146">
        <f t="shared" si="73"/>
        <v>0</v>
      </c>
      <c r="HS39" s="1146">
        <f t="shared" si="74"/>
        <v>0</v>
      </c>
      <c r="HT39" s="1256">
        <f t="shared" si="127"/>
        <v>0</v>
      </c>
      <c r="HU39" s="1157">
        <f t="shared" si="128"/>
        <v>0</v>
      </c>
    </row>
    <row r="40" spans="1:229" ht="13.5" customHeight="1" outlineLevel="1" x14ac:dyDescent="0.2">
      <c r="A40" s="474"/>
      <c r="B40" s="1412"/>
      <c r="C40" s="511">
        <v>31</v>
      </c>
      <c r="D40" s="557" t="s">
        <v>25</v>
      </c>
      <c r="E40" s="1721">
        <v>41</v>
      </c>
      <c r="F40" s="558">
        <v>2866.08</v>
      </c>
      <c r="G40" s="543">
        <f t="shared" si="0"/>
        <v>69.904390243902441</v>
      </c>
      <c r="H40" s="559">
        <v>0</v>
      </c>
      <c r="I40" s="558">
        <v>0</v>
      </c>
      <c r="J40" s="542">
        <v>0</v>
      </c>
      <c r="K40" s="559">
        <v>0</v>
      </c>
      <c r="L40" s="558">
        <v>0</v>
      </c>
      <c r="M40" s="542">
        <v>0</v>
      </c>
      <c r="N40" s="545">
        <f t="shared" si="1"/>
        <v>2866.08</v>
      </c>
      <c r="O40" s="518">
        <v>0</v>
      </c>
      <c r="P40" s="485">
        <v>13180344.379999999</v>
      </c>
      <c r="Q40" s="518">
        <v>2438906.4300000002</v>
      </c>
      <c r="R40" s="519">
        <f t="shared" si="2"/>
        <v>15619250.809999999</v>
      </c>
      <c r="S40" s="546">
        <f t="shared" si="75"/>
        <v>15619250.809999999</v>
      </c>
      <c r="T40" s="521">
        <v>3595776.9</v>
      </c>
      <c r="U40" s="547">
        <v>0</v>
      </c>
      <c r="V40" s="547">
        <v>0</v>
      </c>
      <c r="W40" s="548">
        <v>0</v>
      </c>
      <c r="X40" s="549">
        <v>0</v>
      </c>
      <c r="Y40" s="549">
        <v>0</v>
      </c>
      <c r="Z40" s="549">
        <v>0</v>
      </c>
      <c r="AA40" s="525">
        <f t="shared" si="76"/>
        <v>0</v>
      </c>
      <c r="AB40" s="524">
        <f t="shared" si="77"/>
        <v>0</v>
      </c>
      <c r="AC40" s="526">
        <f t="shared" si="78"/>
        <v>0</v>
      </c>
      <c r="AD40" s="547">
        <v>0</v>
      </c>
      <c r="AE40" s="547">
        <v>0</v>
      </c>
      <c r="AF40" s="547">
        <v>0</v>
      </c>
      <c r="AG40" s="547">
        <v>0</v>
      </c>
      <c r="AH40" s="363">
        <f t="shared" si="79"/>
        <v>0</v>
      </c>
      <c r="AI40" s="547">
        <f t="shared" si="80"/>
        <v>0</v>
      </c>
      <c r="AJ40" s="550">
        <f t="shared" si="81"/>
        <v>0</v>
      </c>
      <c r="AK40" s="551">
        <f t="shared" si="82"/>
        <v>0</v>
      </c>
      <c r="AL40" s="529"/>
      <c r="AM40" s="502"/>
      <c r="AN40" s="530"/>
      <c r="AO40" s="498"/>
      <c r="AP40" s="499"/>
      <c r="AQ40" s="499"/>
      <c r="AR40" s="499"/>
      <c r="AS40" s="531">
        <f t="shared" si="3"/>
        <v>0</v>
      </c>
      <c r="AT40" s="532">
        <f t="shared" si="4"/>
        <v>0</v>
      </c>
      <c r="AU40" s="529">
        <v>0</v>
      </c>
      <c r="AV40" s="533">
        <v>0</v>
      </c>
      <c r="AW40" s="533">
        <v>0</v>
      </c>
      <c r="AX40" s="533">
        <v>0</v>
      </c>
      <c r="AY40" s="533">
        <f t="shared" si="5"/>
        <v>0</v>
      </c>
      <c r="AZ40" s="534">
        <f t="shared" si="6"/>
        <v>0</v>
      </c>
      <c r="BA40" s="535">
        <f t="shared" si="83"/>
        <v>0</v>
      </c>
      <c r="BB40" s="536">
        <f t="shared" si="84"/>
        <v>0</v>
      </c>
      <c r="BC40" s="523">
        <f t="shared" si="85"/>
        <v>0</v>
      </c>
      <c r="BD40" s="525">
        <f t="shared" si="86"/>
        <v>0</v>
      </c>
      <c r="BE40" s="525">
        <f t="shared" si="87"/>
        <v>0</v>
      </c>
      <c r="BF40" s="525">
        <f t="shared" si="88"/>
        <v>0</v>
      </c>
      <c r="BG40" s="525">
        <f t="shared" si="89"/>
        <v>0</v>
      </c>
      <c r="BH40" s="525">
        <f t="shared" si="90"/>
        <v>0</v>
      </c>
      <c r="BI40" s="526">
        <f t="shared" si="91"/>
        <v>0</v>
      </c>
      <c r="BJ40" s="537">
        <f t="shared" si="92"/>
        <v>0</v>
      </c>
      <c r="BK40" s="538">
        <f t="shared" si="93"/>
        <v>0</v>
      </c>
      <c r="BL40" s="538">
        <f t="shared" si="94"/>
        <v>0</v>
      </c>
      <c r="BM40" s="538">
        <f t="shared" si="95"/>
        <v>0</v>
      </c>
      <c r="BN40" s="538">
        <f t="shared" si="96"/>
        <v>0</v>
      </c>
      <c r="BO40" s="538">
        <f t="shared" si="97"/>
        <v>0</v>
      </c>
      <c r="BP40" s="539">
        <f t="shared" si="98"/>
        <v>0</v>
      </c>
      <c r="BQ40" s="540">
        <f t="shared" si="99"/>
        <v>0</v>
      </c>
      <c r="BR40" s="529"/>
      <c r="BS40" s="502"/>
      <c r="BT40" s="530"/>
      <c r="BU40" s="498"/>
      <c r="BV40" s="499"/>
      <c r="BW40" s="499"/>
      <c r="BX40" s="499"/>
      <c r="BY40" s="531">
        <f t="shared" si="9"/>
        <v>0</v>
      </c>
      <c r="BZ40" s="532">
        <f t="shared" si="10"/>
        <v>0</v>
      </c>
      <c r="CA40" s="529"/>
      <c r="CB40" s="533"/>
      <c r="CC40" s="533"/>
      <c r="CD40" s="533"/>
      <c r="CE40" s="533">
        <f t="shared" si="11"/>
        <v>0</v>
      </c>
      <c r="CF40" s="534">
        <f t="shared" si="12"/>
        <v>0</v>
      </c>
      <c r="CG40" s="774">
        <f t="shared" si="100"/>
        <v>0</v>
      </c>
      <c r="CH40" s="775">
        <f t="shared" si="101"/>
        <v>0</v>
      </c>
      <c r="CI40" s="548">
        <f t="shared" si="102"/>
        <v>0</v>
      </c>
      <c r="CJ40" s="773">
        <f t="shared" si="103"/>
        <v>0</v>
      </c>
      <c r="CK40" s="773">
        <f t="shared" si="104"/>
        <v>0</v>
      </c>
      <c r="CL40" s="773">
        <f t="shared" si="105"/>
        <v>0</v>
      </c>
      <c r="CM40" s="773">
        <f t="shared" si="106"/>
        <v>0</v>
      </c>
      <c r="CN40" s="773">
        <f t="shared" si="107"/>
        <v>0</v>
      </c>
      <c r="CO40" s="626">
        <f t="shared" si="108"/>
        <v>0</v>
      </c>
      <c r="CP40" s="1145">
        <f t="shared" si="109"/>
        <v>0</v>
      </c>
      <c r="CQ40" s="1146">
        <f t="shared" si="110"/>
        <v>0</v>
      </c>
      <c r="CR40" s="1146">
        <f t="shared" si="111"/>
        <v>0</v>
      </c>
      <c r="CS40" s="1146">
        <f t="shared" si="112"/>
        <v>0</v>
      </c>
      <c r="CT40" s="1146">
        <f t="shared" si="113"/>
        <v>0</v>
      </c>
      <c r="CU40" s="1146">
        <f t="shared" si="114"/>
        <v>0</v>
      </c>
      <c r="CV40" s="1256">
        <f t="shared" si="115"/>
        <v>0</v>
      </c>
      <c r="CW40" s="1157">
        <f t="shared" si="116"/>
        <v>0</v>
      </c>
      <c r="CX40" s="529"/>
      <c r="CY40" s="502"/>
      <c r="CZ40" s="530"/>
      <c r="DA40" s="498"/>
      <c r="DB40" s="499"/>
      <c r="DC40" s="499"/>
      <c r="DD40" s="499"/>
      <c r="DE40" s="531">
        <f t="shared" si="15"/>
        <v>0</v>
      </c>
      <c r="DF40" s="532">
        <f t="shared" si="16"/>
        <v>0</v>
      </c>
      <c r="DG40" s="529"/>
      <c r="DH40" s="533"/>
      <c r="DI40" s="533"/>
      <c r="DJ40" s="533"/>
      <c r="DK40" s="533">
        <f t="shared" si="17"/>
        <v>0</v>
      </c>
      <c r="DL40" s="534">
        <f t="shared" si="18"/>
        <v>0</v>
      </c>
      <c r="DM40" s="1258">
        <f t="shared" si="19"/>
        <v>0</v>
      </c>
      <c r="DN40" s="775">
        <f t="shared" si="20"/>
        <v>0</v>
      </c>
      <c r="DO40" s="548">
        <f t="shared" si="21"/>
        <v>0</v>
      </c>
      <c r="DP40" s="773">
        <f t="shared" si="22"/>
        <v>0</v>
      </c>
      <c r="DQ40" s="773">
        <f t="shared" si="23"/>
        <v>0</v>
      </c>
      <c r="DR40" s="773">
        <f t="shared" si="24"/>
        <v>0</v>
      </c>
      <c r="DS40" s="773">
        <f t="shared" si="25"/>
        <v>0</v>
      </c>
      <c r="DT40" s="773">
        <f t="shared" si="26"/>
        <v>0</v>
      </c>
      <c r="DU40" s="526">
        <f t="shared" si="117"/>
        <v>0</v>
      </c>
      <c r="DV40" s="1145">
        <f t="shared" si="27"/>
        <v>0</v>
      </c>
      <c r="DW40" s="1146">
        <f t="shared" si="28"/>
        <v>0</v>
      </c>
      <c r="DX40" s="1146">
        <f t="shared" si="29"/>
        <v>0</v>
      </c>
      <c r="DY40" s="1146">
        <f t="shared" si="30"/>
        <v>0</v>
      </c>
      <c r="DZ40" s="1146">
        <f t="shared" si="31"/>
        <v>0</v>
      </c>
      <c r="EA40" s="1146">
        <f t="shared" si="32"/>
        <v>0</v>
      </c>
      <c r="EB40" s="539">
        <f t="shared" si="118"/>
        <v>0</v>
      </c>
      <c r="EC40" s="540">
        <f t="shared" si="119"/>
        <v>0</v>
      </c>
      <c r="ES40" s="1258">
        <f t="shared" si="33"/>
        <v>0</v>
      </c>
      <c r="ET40" s="775">
        <f t="shared" si="34"/>
        <v>0</v>
      </c>
      <c r="EU40" s="548">
        <f t="shared" si="35"/>
        <v>0</v>
      </c>
      <c r="EV40" s="773">
        <f t="shared" si="36"/>
        <v>0</v>
      </c>
      <c r="EW40" s="773">
        <f t="shared" si="37"/>
        <v>0</v>
      </c>
      <c r="EX40" s="773">
        <f t="shared" si="38"/>
        <v>0</v>
      </c>
      <c r="EY40" s="773">
        <f t="shared" si="39"/>
        <v>0</v>
      </c>
      <c r="EZ40" s="773">
        <f t="shared" si="40"/>
        <v>0</v>
      </c>
      <c r="FA40" s="626">
        <f t="shared" si="120"/>
        <v>0</v>
      </c>
      <c r="FB40" s="1145">
        <f t="shared" si="41"/>
        <v>0</v>
      </c>
      <c r="FC40" s="1146">
        <f t="shared" si="42"/>
        <v>0</v>
      </c>
      <c r="FD40" s="1146">
        <f t="shared" si="43"/>
        <v>0</v>
      </c>
      <c r="FE40" s="1146">
        <f t="shared" si="44"/>
        <v>0</v>
      </c>
      <c r="FF40" s="1146">
        <f t="shared" si="45"/>
        <v>0</v>
      </c>
      <c r="FG40" s="1146">
        <f t="shared" si="46"/>
        <v>0</v>
      </c>
      <c r="FH40" s="1256">
        <f t="shared" si="121"/>
        <v>0</v>
      </c>
      <c r="FI40" s="1157">
        <f t="shared" si="122"/>
        <v>0</v>
      </c>
      <c r="FY40" s="1258">
        <f t="shared" si="47"/>
        <v>0</v>
      </c>
      <c r="FZ40" s="775">
        <f t="shared" si="48"/>
        <v>0</v>
      </c>
      <c r="GA40" s="548">
        <f t="shared" si="49"/>
        <v>0</v>
      </c>
      <c r="GB40" s="773">
        <f t="shared" si="50"/>
        <v>0</v>
      </c>
      <c r="GC40" s="773">
        <f t="shared" si="51"/>
        <v>0</v>
      </c>
      <c r="GD40" s="773">
        <f t="shared" si="52"/>
        <v>0</v>
      </c>
      <c r="GE40" s="773">
        <f t="shared" si="53"/>
        <v>0</v>
      </c>
      <c r="GF40" s="773">
        <f t="shared" si="54"/>
        <v>0</v>
      </c>
      <c r="GG40" s="626">
        <f t="shared" si="123"/>
        <v>0</v>
      </c>
      <c r="GH40" s="1145">
        <f t="shared" si="55"/>
        <v>0</v>
      </c>
      <c r="GI40" s="1146">
        <f t="shared" si="56"/>
        <v>0</v>
      </c>
      <c r="GJ40" s="1146">
        <f t="shared" si="57"/>
        <v>0</v>
      </c>
      <c r="GK40" s="1146">
        <f t="shared" si="58"/>
        <v>0</v>
      </c>
      <c r="GL40" s="1146">
        <f t="shared" si="59"/>
        <v>0</v>
      </c>
      <c r="GM40" s="1146">
        <f t="shared" si="60"/>
        <v>0</v>
      </c>
      <c r="GN40" s="1256">
        <f t="shared" si="124"/>
        <v>0</v>
      </c>
      <c r="GO40" s="1157">
        <f t="shared" si="125"/>
        <v>0</v>
      </c>
      <c r="HE40" s="1675">
        <f t="shared" si="61"/>
        <v>0</v>
      </c>
      <c r="HF40" s="775">
        <f t="shared" si="62"/>
        <v>0</v>
      </c>
      <c r="HG40" s="548">
        <f t="shared" si="63"/>
        <v>0</v>
      </c>
      <c r="HH40" s="773">
        <f t="shared" si="64"/>
        <v>0</v>
      </c>
      <c r="HI40" s="773">
        <f t="shared" si="65"/>
        <v>0</v>
      </c>
      <c r="HJ40" s="773">
        <f t="shared" si="66"/>
        <v>0</v>
      </c>
      <c r="HK40" s="773">
        <f t="shared" si="67"/>
        <v>0</v>
      </c>
      <c r="HL40" s="773">
        <f t="shared" si="68"/>
        <v>0</v>
      </c>
      <c r="HM40" s="626">
        <f t="shared" si="126"/>
        <v>0</v>
      </c>
      <c r="HN40" s="1145">
        <f t="shared" si="69"/>
        <v>0</v>
      </c>
      <c r="HO40" s="1146">
        <f t="shared" si="70"/>
        <v>0</v>
      </c>
      <c r="HP40" s="1146">
        <f t="shared" si="71"/>
        <v>0</v>
      </c>
      <c r="HQ40" s="1146">
        <f t="shared" si="72"/>
        <v>0</v>
      </c>
      <c r="HR40" s="1146">
        <f t="shared" si="73"/>
        <v>0</v>
      </c>
      <c r="HS40" s="1146">
        <f t="shared" si="74"/>
        <v>0</v>
      </c>
      <c r="HT40" s="1256">
        <f t="shared" si="127"/>
        <v>0</v>
      </c>
      <c r="HU40" s="1157">
        <f t="shared" si="128"/>
        <v>0</v>
      </c>
    </row>
    <row r="41" spans="1:229" ht="13.5" customHeight="1" outlineLevel="1" x14ac:dyDescent="0.2">
      <c r="A41" s="474"/>
      <c r="B41" s="1412"/>
      <c r="C41" s="511">
        <v>32</v>
      </c>
      <c r="D41" s="561" t="s">
        <v>26</v>
      </c>
      <c r="E41" s="1721">
        <v>16</v>
      </c>
      <c r="F41" s="558">
        <v>1168.6199999999999</v>
      </c>
      <c r="G41" s="543">
        <f t="shared" si="0"/>
        <v>73.038749999999993</v>
      </c>
      <c r="H41" s="559">
        <v>0</v>
      </c>
      <c r="I41" s="558">
        <v>0</v>
      </c>
      <c r="J41" s="542">
        <v>0</v>
      </c>
      <c r="K41" s="559">
        <v>0</v>
      </c>
      <c r="L41" s="558">
        <v>0</v>
      </c>
      <c r="M41" s="542">
        <v>0</v>
      </c>
      <c r="N41" s="545">
        <f t="shared" si="1"/>
        <v>1168.6199999999999</v>
      </c>
      <c r="O41" s="518">
        <v>0</v>
      </c>
      <c r="P41" s="485">
        <v>5672088.2199999997</v>
      </c>
      <c r="Q41" s="518">
        <v>692742.19</v>
      </c>
      <c r="R41" s="519">
        <f t="shared" si="2"/>
        <v>6364830.4100000001</v>
      </c>
      <c r="S41" s="546">
        <f t="shared" si="75"/>
        <v>6364830.4100000001</v>
      </c>
      <c r="T41" s="521">
        <v>1570102.52</v>
      </c>
      <c r="U41" s="547">
        <v>0</v>
      </c>
      <c r="V41" s="547">
        <v>0</v>
      </c>
      <c r="W41" s="548">
        <v>0</v>
      </c>
      <c r="X41" s="549">
        <v>0</v>
      </c>
      <c r="Y41" s="549">
        <v>0</v>
      </c>
      <c r="Z41" s="549">
        <v>0</v>
      </c>
      <c r="AA41" s="525">
        <f t="shared" si="76"/>
        <v>0</v>
      </c>
      <c r="AB41" s="524">
        <f t="shared" si="77"/>
        <v>0</v>
      </c>
      <c r="AC41" s="526">
        <f t="shared" si="78"/>
        <v>0</v>
      </c>
      <c r="AD41" s="547">
        <v>0</v>
      </c>
      <c r="AE41" s="547">
        <v>0</v>
      </c>
      <c r="AF41" s="547">
        <v>0</v>
      </c>
      <c r="AG41" s="547">
        <v>0</v>
      </c>
      <c r="AH41" s="363">
        <f t="shared" si="79"/>
        <v>0</v>
      </c>
      <c r="AI41" s="547">
        <f t="shared" si="80"/>
        <v>0</v>
      </c>
      <c r="AJ41" s="550">
        <f t="shared" si="81"/>
        <v>0</v>
      </c>
      <c r="AK41" s="551">
        <f t="shared" si="82"/>
        <v>0</v>
      </c>
      <c r="AL41" s="529"/>
      <c r="AM41" s="502"/>
      <c r="AN41" s="530"/>
      <c r="AO41" s="498"/>
      <c r="AP41" s="499"/>
      <c r="AQ41" s="499"/>
      <c r="AR41" s="499"/>
      <c r="AS41" s="531">
        <f t="shared" si="3"/>
        <v>0</v>
      </c>
      <c r="AT41" s="532">
        <f t="shared" si="4"/>
        <v>0</v>
      </c>
      <c r="AU41" s="529">
        <v>0</v>
      </c>
      <c r="AV41" s="533">
        <v>0</v>
      </c>
      <c r="AW41" s="533">
        <v>0</v>
      </c>
      <c r="AX41" s="533">
        <v>0</v>
      </c>
      <c r="AY41" s="533">
        <f t="shared" si="5"/>
        <v>0</v>
      </c>
      <c r="AZ41" s="534">
        <f t="shared" si="6"/>
        <v>0</v>
      </c>
      <c r="BA41" s="535">
        <f t="shared" si="83"/>
        <v>0</v>
      </c>
      <c r="BB41" s="536">
        <f t="shared" si="84"/>
        <v>0</v>
      </c>
      <c r="BC41" s="523">
        <f t="shared" si="85"/>
        <v>0</v>
      </c>
      <c r="BD41" s="525">
        <f t="shared" si="86"/>
        <v>0</v>
      </c>
      <c r="BE41" s="525">
        <f t="shared" si="87"/>
        <v>0</v>
      </c>
      <c r="BF41" s="525">
        <f t="shared" si="88"/>
        <v>0</v>
      </c>
      <c r="BG41" s="525">
        <f t="shared" si="89"/>
        <v>0</v>
      </c>
      <c r="BH41" s="525">
        <f t="shared" si="90"/>
        <v>0</v>
      </c>
      <c r="BI41" s="526">
        <f t="shared" si="91"/>
        <v>0</v>
      </c>
      <c r="BJ41" s="537">
        <f t="shared" si="92"/>
        <v>0</v>
      </c>
      <c r="BK41" s="538">
        <f t="shared" si="93"/>
        <v>0</v>
      </c>
      <c r="BL41" s="538">
        <f t="shared" si="94"/>
        <v>0</v>
      </c>
      <c r="BM41" s="538">
        <f t="shared" si="95"/>
        <v>0</v>
      </c>
      <c r="BN41" s="538">
        <f t="shared" si="96"/>
        <v>0</v>
      </c>
      <c r="BO41" s="538">
        <f t="shared" si="97"/>
        <v>0</v>
      </c>
      <c r="BP41" s="539">
        <f t="shared" si="98"/>
        <v>0</v>
      </c>
      <c r="BQ41" s="540">
        <f t="shared" si="99"/>
        <v>0</v>
      </c>
      <c r="BR41" s="529"/>
      <c r="BS41" s="502"/>
      <c r="BT41" s="530"/>
      <c r="BU41" s="498"/>
      <c r="BV41" s="499"/>
      <c r="BW41" s="499"/>
      <c r="BX41" s="499"/>
      <c r="BY41" s="531">
        <f t="shared" si="9"/>
        <v>0</v>
      </c>
      <c r="BZ41" s="532">
        <f t="shared" si="10"/>
        <v>0</v>
      </c>
      <c r="CA41" s="529"/>
      <c r="CB41" s="533"/>
      <c r="CC41" s="533"/>
      <c r="CD41" s="533"/>
      <c r="CE41" s="533">
        <f t="shared" si="11"/>
        <v>0</v>
      </c>
      <c r="CF41" s="534">
        <f t="shared" si="12"/>
        <v>0</v>
      </c>
      <c r="CG41" s="774">
        <f t="shared" si="100"/>
        <v>0</v>
      </c>
      <c r="CH41" s="775">
        <f t="shared" si="101"/>
        <v>0</v>
      </c>
      <c r="CI41" s="548">
        <f t="shared" si="102"/>
        <v>0</v>
      </c>
      <c r="CJ41" s="773">
        <f t="shared" si="103"/>
        <v>0</v>
      </c>
      <c r="CK41" s="773">
        <f t="shared" si="104"/>
        <v>0</v>
      </c>
      <c r="CL41" s="773">
        <f t="shared" si="105"/>
        <v>0</v>
      </c>
      <c r="CM41" s="773">
        <f t="shared" si="106"/>
        <v>0</v>
      </c>
      <c r="CN41" s="773">
        <f t="shared" si="107"/>
        <v>0</v>
      </c>
      <c r="CO41" s="626">
        <f t="shared" si="108"/>
        <v>0</v>
      </c>
      <c r="CP41" s="1145">
        <f t="shared" si="109"/>
        <v>0</v>
      </c>
      <c r="CQ41" s="1146">
        <f t="shared" si="110"/>
        <v>0</v>
      </c>
      <c r="CR41" s="1146">
        <f t="shared" si="111"/>
        <v>0</v>
      </c>
      <c r="CS41" s="1146">
        <f t="shared" si="112"/>
        <v>0</v>
      </c>
      <c r="CT41" s="1146">
        <f t="shared" si="113"/>
        <v>0</v>
      </c>
      <c r="CU41" s="1146">
        <f t="shared" si="114"/>
        <v>0</v>
      </c>
      <c r="CV41" s="1256">
        <f t="shared" si="115"/>
        <v>0</v>
      </c>
      <c r="CW41" s="1157">
        <f t="shared" si="116"/>
        <v>0</v>
      </c>
      <c r="CX41" s="529"/>
      <c r="CY41" s="502"/>
      <c r="CZ41" s="530"/>
      <c r="DA41" s="498"/>
      <c r="DB41" s="499"/>
      <c r="DC41" s="499"/>
      <c r="DD41" s="499"/>
      <c r="DE41" s="531">
        <f t="shared" si="15"/>
        <v>0</v>
      </c>
      <c r="DF41" s="532">
        <f t="shared" si="16"/>
        <v>0</v>
      </c>
      <c r="DG41" s="529"/>
      <c r="DH41" s="533"/>
      <c r="DI41" s="533"/>
      <c r="DJ41" s="533"/>
      <c r="DK41" s="533">
        <f t="shared" si="17"/>
        <v>0</v>
      </c>
      <c r="DL41" s="534">
        <f t="shared" si="18"/>
        <v>0</v>
      </c>
      <c r="DM41" s="1258">
        <f t="shared" si="19"/>
        <v>0</v>
      </c>
      <c r="DN41" s="775">
        <f t="shared" si="20"/>
        <v>0</v>
      </c>
      <c r="DO41" s="548">
        <f t="shared" si="21"/>
        <v>0</v>
      </c>
      <c r="DP41" s="773">
        <f t="shared" si="22"/>
        <v>0</v>
      </c>
      <c r="DQ41" s="773">
        <f t="shared" si="23"/>
        <v>0</v>
      </c>
      <c r="DR41" s="773">
        <f t="shared" si="24"/>
        <v>0</v>
      </c>
      <c r="DS41" s="773">
        <f t="shared" si="25"/>
        <v>0</v>
      </c>
      <c r="DT41" s="773">
        <f t="shared" si="26"/>
        <v>0</v>
      </c>
      <c r="DU41" s="526">
        <f t="shared" si="117"/>
        <v>0</v>
      </c>
      <c r="DV41" s="1145">
        <f t="shared" si="27"/>
        <v>0</v>
      </c>
      <c r="DW41" s="1146">
        <f t="shared" si="28"/>
        <v>0</v>
      </c>
      <c r="DX41" s="1146">
        <f t="shared" si="29"/>
        <v>0</v>
      </c>
      <c r="DY41" s="1146">
        <f t="shared" si="30"/>
        <v>0</v>
      </c>
      <c r="DZ41" s="1146">
        <f t="shared" si="31"/>
        <v>0</v>
      </c>
      <c r="EA41" s="1146">
        <f t="shared" si="32"/>
        <v>0</v>
      </c>
      <c r="EB41" s="539">
        <f t="shared" si="118"/>
        <v>0</v>
      </c>
      <c r="EC41" s="540">
        <f t="shared" si="119"/>
        <v>0</v>
      </c>
      <c r="ES41" s="1258">
        <f t="shared" si="33"/>
        <v>0</v>
      </c>
      <c r="ET41" s="775">
        <f t="shared" si="34"/>
        <v>0</v>
      </c>
      <c r="EU41" s="548">
        <f t="shared" si="35"/>
        <v>0</v>
      </c>
      <c r="EV41" s="773">
        <f t="shared" si="36"/>
        <v>0</v>
      </c>
      <c r="EW41" s="773">
        <f t="shared" si="37"/>
        <v>0</v>
      </c>
      <c r="EX41" s="773">
        <f t="shared" si="38"/>
        <v>0</v>
      </c>
      <c r="EY41" s="773">
        <f t="shared" si="39"/>
        <v>0</v>
      </c>
      <c r="EZ41" s="773">
        <f t="shared" si="40"/>
        <v>0</v>
      </c>
      <c r="FA41" s="626">
        <f t="shared" si="120"/>
        <v>0</v>
      </c>
      <c r="FB41" s="1145">
        <f t="shared" si="41"/>
        <v>0</v>
      </c>
      <c r="FC41" s="1146">
        <f t="shared" si="42"/>
        <v>0</v>
      </c>
      <c r="FD41" s="1146">
        <f t="shared" si="43"/>
        <v>0</v>
      </c>
      <c r="FE41" s="1146">
        <f t="shared" si="44"/>
        <v>0</v>
      </c>
      <c r="FF41" s="1146">
        <f t="shared" si="45"/>
        <v>0</v>
      </c>
      <c r="FG41" s="1146">
        <f t="shared" si="46"/>
        <v>0</v>
      </c>
      <c r="FH41" s="1256">
        <f t="shared" si="121"/>
        <v>0</v>
      </c>
      <c r="FI41" s="1157">
        <f t="shared" si="122"/>
        <v>0</v>
      </c>
      <c r="FY41" s="1258">
        <f t="shared" si="47"/>
        <v>0</v>
      </c>
      <c r="FZ41" s="775">
        <f t="shared" si="48"/>
        <v>0</v>
      </c>
      <c r="GA41" s="548">
        <f t="shared" si="49"/>
        <v>0</v>
      </c>
      <c r="GB41" s="773">
        <f t="shared" si="50"/>
        <v>0</v>
      </c>
      <c r="GC41" s="773">
        <f t="shared" si="51"/>
        <v>0</v>
      </c>
      <c r="GD41" s="773">
        <f t="shared" si="52"/>
        <v>0</v>
      </c>
      <c r="GE41" s="773">
        <f t="shared" si="53"/>
        <v>0</v>
      </c>
      <c r="GF41" s="773">
        <f t="shared" si="54"/>
        <v>0</v>
      </c>
      <c r="GG41" s="626">
        <f t="shared" si="123"/>
        <v>0</v>
      </c>
      <c r="GH41" s="1145">
        <f t="shared" si="55"/>
        <v>0</v>
      </c>
      <c r="GI41" s="1146">
        <f t="shared" si="56"/>
        <v>0</v>
      </c>
      <c r="GJ41" s="1146">
        <f t="shared" si="57"/>
        <v>0</v>
      </c>
      <c r="GK41" s="1146">
        <f t="shared" si="58"/>
        <v>0</v>
      </c>
      <c r="GL41" s="1146">
        <f t="shared" si="59"/>
        <v>0</v>
      </c>
      <c r="GM41" s="1146">
        <f t="shared" si="60"/>
        <v>0</v>
      </c>
      <c r="GN41" s="1256">
        <f t="shared" si="124"/>
        <v>0</v>
      </c>
      <c r="GO41" s="1157">
        <f t="shared" si="125"/>
        <v>0</v>
      </c>
      <c r="HE41" s="1675">
        <f t="shared" si="61"/>
        <v>0</v>
      </c>
      <c r="HF41" s="775">
        <f t="shared" si="62"/>
        <v>0</v>
      </c>
      <c r="HG41" s="548">
        <f t="shared" si="63"/>
        <v>0</v>
      </c>
      <c r="HH41" s="773">
        <f t="shared" si="64"/>
        <v>0</v>
      </c>
      <c r="HI41" s="773">
        <f t="shared" si="65"/>
        <v>0</v>
      </c>
      <c r="HJ41" s="773">
        <f t="shared" si="66"/>
        <v>0</v>
      </c>
      <c r="HK41" s="773">
        <f t="shared" si="67"/>
        <v>0</v>
      </c>
      <c r="HL41" s="773">
        <f t="shared" si="68"/>
        <v>0</v>
      </c>
      <c r="HM41" s="626">
        <f t="shared" si="126"/>
        <v>0</v>
      </c>
      <c r="HN41" s="1145">
        <f t="shared" si="69"/>
        <v>0</v>
      </c>
      <c r="HO41" s="1146">
        <f t="shared" si="70"/>
        <v>0</v>
      </c>
      <c r="HP41" s="1146">
        <f t="shared" si="71"/>
        <v>0</v>
      </c>
      <c r="HQ41" s="1146">
        <f t="shared" si="72"/>
        <v>0</v>
      </c>
      <c r="HR41" s="1146">
        <f t="shared" si="73"/>
        <v>0</v>
      </c>
      <c r="HS41" s="1146">
        <f t="shared" si="74"/>
        <v>0</v>
      </c>
      <c r="HT41" s="1256">
        <f t="shared" si="127"/>
        <v>0</v>
      </c>
      <c r="HU41" s="1157">
        <f t="shared" si="128"/>
        <v>0</v>
      </c>
    </row>
    <row r="42" spans="1:229" ht="13.5" customHeight="1" outlineLevel="1" x14ac:dyDescent="0.2">
      <c r="A42" s="474"/>
      <c r="B42" s="1412"/>
      <c r="C42" s="511">
        <v>33</v>
      </c>
      <c r="D42" s="560" t="s">
        <v>79</v>
      </c>
      <c r="E42" s="513">
        <v>24</v>
      </c>
      <c r="F42" s="514">
        <v>1694.62</v>
      </c>
      <c r="G42" s="543">
        <f t="shared" ref="G42:G73" si="129">F42/E42</f>
        <v>70.609166666666667</v>
      </c>
      <c r="H42" s="516">
        <v>0</v>
      </c>
      <c r="I42" s="258">
        <v>0</v>
      </c>
      <c r="J42" s="542">
        <v>0</v>
      </c>
      <c r="K42" s="516">
        <f>4-1</f>
        <v>3</v>
      </c>
      <c r="L42" s="258">
        <f>867.72-437.88</f>
        <v>429.84000000000003</v>
      </c>
      <c r="M42" s="542">
        <f>L42/K42</f>
        <v>143.28</v>
      </c>
      <c r="N42" s="545">
        <f t="shared" ref="N42:N73" si="130">F42+I42+L42</f>
        <v>2124.46</v>
      </c>
      <c r="O42" s="518">
        <v>0</v>
      </c>
      <c r="P42" s="485">
        <f>12111770.05-neprodano!EC56</f>
        <v>10192047.210000001</v>
      </c>
      <c r="Q42" s="518">
        <f>497717.118-neprodano!ED56</f>
        <v>412658.92800000001</v>
      </c>
      <c r="R42" s="519">
        <f t="shared" ref="R42:R73" si="131">SUM(O42:Q42)</f>
        <v>10604706.138</v>
      </c>
      <c r="S42" s="546">
        <f t="shared" si="75"/>
        <v>10604706.138</v>
      </c>
      <c r="T42" s="521">
        <v>3416694.32</v>
      </c>
      <c r="U42" s="547">
        <v>0</v>
      </c>
      <c r="V42" s="547">
        <v>0</v>
      </c>
      <c r="W42" s="548">
        <v>0</v>
      </c>
      <c r="X42" s="549">
        <v>0</v>
      </c>
      <c r="Y42" s="549">
        <v>0</v>
      </c>
      <c r="Z42" s="549">
        <v>0</v>
      </c>
      <c r="AA42" s="525">
        <f t="shared" si="76"/>
        <v>0</v>
      </c>
      <c r="AB42" s="524">
        <f t="shared" si="77"/>
        <v>0</v>
      </c>
      <c r="AC42" s="526">
        <f t="shared" si="78"/>
        <v>0</v>
      </c>
      <c r="AD42" s="547">
        <v>0</v>
      </c>
      <c r="AE42" s="547">
        <v>0</v>
      </c>
      <c r="AF42" s="547">
        <v>0</v>
      </c>
      <c r="AG42" s="547">
        <v>0</v>
      </c>
      <c r="AH42" s="363">
        <f t="shared" si="79"/>
        <v>0</v>
      </c>
      <c r="AI42" s="547">
        <f t="shared" si="80"/>
        <v>0</v>
      </c>
      <c r="AJ42" s="550">
        <f t="shared" si="81"/>
        <v>0</v>
      </c>
      <c r="AK42" s="551">
        <f t="shared" si="82"/>
        <v>0</v>
      </c>
      <c r="AL42" s="529"/>
      <c r="AM42" s="502"/>
      <c r="AN42" s="530"/>
      <c r="AO42" s="498"/>
      <c r="AP42" s="499"/>
      <c r="AQ42" s="499"/>
      <c r="AR42" s="499"/>
      <c r="AS42" s="531">
        <f t="shared" si="3"/>
        <v>0</v>
      </c>
      <c r="AT42" s="532">
        <f t="shared" si="4"/>
        <v>0</v>
      </c>
      <c r="AU42" s="529">
        <v>0</v>
      </c>
      <c r="AV42" s="533">
        <v>0</v>
      </c>
      <c r="AW42" s="533">
        <v>0</v>
      </c>
      <c r="AX42" s="533">
        <v>0</v>
      </c>
      <c r="AY42" s="533">
        <f t="shared" si="5"/>
        <v>0</v>
      </c>
      <c r="AZ42" s="534">
        <f t="shared" si="6"/>
        <v>0</v>
      </c>
      <c r="BA42" s="535">
        <f t="shared" si="83"/>
        <v>0</v>
      </c>
      <c r="BB42" s="536">
        <f t="shared" si="84"/>
        <v>0</v>
      </c>
      <c r="BC42" s="523">
        <f t="shared" si="85"/>
        <v>0</v>
      </c>
      <c r="BD42" s="525">
        <f t="shared" si="86"/>
        <v>0</v>
      </c>
      <c r="BE42" s="525">
        <f t="shared" si="87"/>
        <v>0</v>
      </c>
      <c r="BF42" s="525">
        <f t="shared" si="88"/>
        <v>0</v>
      </c>
      <c r="BG42" s="525">
        <f t="shared" si="89"/>
        <v>0</v>
      </c>
      <c r="BH42" s="525">
        <f t="shared" si="90"/>
        <v>0</v>
      </c>
      <c r="BI42" s="526">
        <f t="shared" si="91"/>
        <v>0</v>
      </c>
      <c r="BJ42" s="537">
        <f t="shared" si="92"/>
        <v>0</v>
      </c>
      <c r="BK42" s="538">
        <f t="shared" si="93"/>
        <v>0</v>
      </c>
      <c r="BL42" s="538">
        <f t="shared" si="94"/>
        <v>0</v>
      </c>
      <c r="BM42" s="538">
        <f t="shared" si="95"/>
        <v>0</v>
      </c>
      <c r="BN42" s="538">
        <f t="shared" si="96"/>
        <v>0</v>
      </c>
      <c r="BO42" s="538">
        <f t="shared" si="97"/>
        <v>0</v>
      </c>
      <c r="BP42" s="539">
        <f t="shared" si="98"/>
        <v>0</v>
      </c>
      <c r="BQ42" s="540">
        <f t="shared" si="99"/>
        <v>0</v>
      </c>
      <c r="BR42" s="529"/>
      <c r="BS42" s="502"/>
      <c r="BT42" s="530"/>
      <c r="BU42" s="498"/>
      <c r="BV42" s="499"/>
      <c r="BW42" s="499"/>
      <c r="BX42" s="499"/>
      <c r="BY42" s="531">
        <f t="shared" si="9"/>
        <v>0</v>
      </c>
      <c r="BZ42" s="532">
        <f t="shared" si="10"/>
        <v>0</v>
      </c>
      <c r="CA42" s="529"/>
      <c r="CB42" s="533"/>
      <c r="CC42" s="533"/>
      <c r="CD42" s="533"/>
      <c r="CE42" s="533">
        <f t="shared" si="11"/>
        <v>0</v>
      </c>
      <c r="CF42" s="534">
        <f t="shared" si="12"/>
        <v>0</v>
      </c>
      <c r="CG42" s="774">
        <f t="shared" si="100"/>
        <v>0</v>
      </c>
      <c r="CH42" s="775">
        <f t="shared" si="101"/>
        <v>0</v>
      </c>
      <c r="CI42" s="548">
        <f t="shared" si="102"/>
        <v>0</v>
      </c>
      <c r="CJ42" s="773">
        <f t="shared" si="103"/>
        <v>0</v>
      </c>
      <c r="CK42" s="773">
        <f t="shared" si="104"/>
        <v>0</v>
      </c>
      <c r="CL42" s="773">
        <f t="shared" si="105"/>
        <v>0</v>
      </c>
      <c r="CM42" s="773">
        <f t="shared" si="106"/>
        <v>0</v>
      </c>
      <c r="CN42" s="773">
        <f t="shared" si="107"/>
        <v>0</v>
      </c>
      <c r="CO42" s="626">
        <f t="shared" si="108"/>
        <v>0</v>
      </c>
      <c r="CP42" s="1145">
        <f t="shared" si="109"/>
        <v>0</v>
      </c>
      <c r="CQ42" s="1146">
        <f t="shared" si="110"/>
        <v>0</v>
      </c>
      <c r="CR42" s="1146">
        <f t="shared" si="111"/>
        <v>0</v>
      </c>
      <c r="CS42" s="1146">
        <f t="shared" si="112"/>
        <v>0</v>
      </c>
      <c r="CT42" s="1146">
        <f t="shared" si="113"/>
        <v>0</v>
      </c>
      <c r="CU42" s="1146">
        <f t="shared" si="114"/>
        <v>0</v>
      </c>
      <c r="CV42" s="1256">
        <f t="shared" si="115"/>
        <v>0</v>
      </c>
      <c r="CW42" s="1157">
        <f t="shared" si="116"/>
        <v>0</v>
      </c>
      <c r="CX42" s="529"/>
      <c r="CY42" s="502"/>
      <c r="CZ42" s="530"/>
      <c r="DA42" s="498"/>
      <c r="DB42" s="499"/>
      <c r="DC42" s="499"/>
      <c r="DD42" s="499"/>
      <c r="DE42" s="531">
        <f t="shared" si="15"/>
        <v>0</v>
      </c>
      <c r="DF42" s="532">
        <f t="shared" si="16"/>
        <v>0</v>
      </c>
      <c r="DG42" s="529"/>
      <c r="DH42" s="533"/>
      <c r="DI42" s="533"/>
      <c r="DJ42" s="533"/>
      <c r="DK42" s="533">
        <f t="shared" si="17"/>
        <v>0</v>
      </c>
      <c r="DL42" s="534">
        <f t="shared" si="18"/>
        <v>0</v>
      </c>
      <c r="DM42" s="1258">
        <f t="shared" si="19"/>
        <v>0</v>
      </c>
      <c r="DN42" s="775">
        <f t="shared" si="20"/>
        <v>0</v>
      </c>
      <c r="DO42" s="548">
        <f t="shared" si="21"/>
        <v>0</v>
      </c>
      <c r="DP42" s="773">
        <f t="shared" si="22"/>
        <v>0</v>
      </c>
      <c r="DQ42" s="773">
        <f t="shared" si="23"/>
        <v>0</v>
      </c>
      <c r="DR42" s="773">
        <f t="shared" si="24"/>
        <v>0</v>
      </c>
      <c r="DS42" s="773">
        <f t="shared" si="25"/>
        <v>0</v>
      </c>
      <c r="DT42" s="773">
        <f t="shared" si="26"/>
        <v>0</v>
      </c>
      <c r="DU42" s="526">
        <f t="shared" si="117"/>
        <v>0</v>
      </c>
      <c r="DV42" s="1145">
        <f t="shared" si="27"/>
        <v>0</v>
      </c>
      <c r="DW42" s="1146">
        <f t="shared" si="28"/>
        <v>0</v>
      </c>
      <c r="DX42" s="1146">
        <f t="shared" si="29"/>
        <v>0</v>
      </c>
      <c r="DY42" s="1146">
        <f t="shared" si="30"/>
        <v>0</v>
      </c>
      <c r="DZ42" s="1146">
        <f t="shared" si="31"/>
        <v>0</v>
      </c>
      <c r="EA42" s="1146">
        <f t="shared" si="32"/>
        <v>0</v>
      </c>
      <c r="EB42" s="539">
        <f t="shared" si="118"/>
        <v>0</v>
      </c>
      <c r="EC42" s="540">
        <f t="shared" si="119"/>
        <v>0</v>
      </c>
      <c r="ES42" s="1258">
        <f t="shared" si="33"/>
        <v>0</v>
      </c>
      <c r="ET42" s="775">
        <f t="shared" si="34"/>
        <v>0</v>
      </c>
      <c r="EU42" s="548">
        <f t="shared" si="35"/>
        <v>0</v>
      </c>
      <c r="EV42" s="773">
        <f t="shared" si="36"/>
        <v>0</v>
      </c>
      <c r="EW42" s="773">
        <f t="shared" si="37"/>
        <v>0</v>
      </c>
      <c r="EX42" s="773">
        <f t="shared" si="38"/>
        <v>0</v>
      </c>
      <c r="EY42" s="773">
        <f t="shared" si="39"/>
        <v>0</v>
      </c>
      <c r="EZ42" s="773">
        <f t="shared" si="40"/>
        <v>0</v>
      </c>
      <c r="FA42" s="626">
        <f t="shared" si="120"/>
        <v>0</v>
      </c>
      <c r="FB42" s="1145">
        <f t="shared" si="41"/>
        <v>0</v>
      </c>
      <c r="FC42" s="1146">
        <f t="shared" si="42"/>
        <v>0</v>
      </c>
      <c r="FD42" s="1146">
        <f t="shared" si="43"/>
        <v>0</v>
      </c>
      <c r="FE42" s="1146">
        <f t="shared" si="44"/>
        <v>0</v>
      </c>
      <c r="FF42" s="1146">
        <f t="shared" si="45"/>
        <v>0</v>
      </c>
      <c r="FG42" s="1146">
        <f t="shared" si="46"/>
        <v>0</v>
      </c>
      <c r="FH42" s="1256">
        <f t="shared" si="121"/>
        <v>0</v>
      </c>
      <c r="FI42" s="1157">
        <f t="shared" si="122"/>
        <v>0</v>
      </c>
      <c r="FY42" s="1258">
        <f t="shared" si="47"/>
        <v>0</v>
      </c>
      <c r="FZ42" s="775">
        <f t="shared" si="48"/>
        <v>0</v>
      </c>
      <c r="GA42" s="548">
        <f t="shared" si="49"/>
        <v>0</v>
      </c>
      <c r="GB42" s="773">
        <f t="shared" si="50"/>
        <v>0</v>
      </c>
      <c r="GC42" s="773">
        <f t="shared" si="51"/>
        <v>0</v>
      </c>
      <c r="GD42" s="773">
        <f t="shared" si="52"/>
        <v>0</v>
      </c>
      <c r="GE42" s="773">
        <f t="shared" si="53"/>
        <v>0</v>
      </c>
      <c r="GF42" s="773">
        <f t="shared" si="54"/>
        <v>0</v>
      </c>
      <c r="GG42" s="626">
        <f t="shared" si="123"/>
        <v>0</v>
      </c>
      <c r="GH42" s="1145">
        <f t="shared" si="55"/>
        <v>0</v>
      </c>
      <c r="GI42" s="1146">
        <f t="shared" si="56"/>
        <v>0</v>
      </c>
      <c r="GJ42" s="1146">
        <f t="shared" si="57"/>
        <v>0</v>
      </c>
      <c r="GK42" s="1146">
        <f t="shared" si="58"/>
        <v>0</v>
      </c>
      <c r="GL42" s="1146">
        <f t="shared" si="59"/>
        <v>0</v>
      </c>
      <c r="GM42" s="1146">
        <f t="shared" si="60"/>
        <v>0</v>
      </c>
      <c r="GN42" s="1256">
        <f t="shared" si="124"/>
        <v>0</v>
      </c>
      <c r="GO42" s="1157">
        <f t="shared" si="125"/>
        <v>0</v>
      </c>
      <c r="HE42" s="1675">
        <f t="shared" si="61"/>
        <v>0</v>
      </c>
      <c r="HF42" s="775">
        <f t="shared" si="62"/>
        <v>0</v>
      </c>
      <c r="HG42" s="548">
        <f t="shared" si="63"/>
        <v>0</v>
      </c>
      <c r="HH42" s="773">
        <f t="shared" si="64"/>
        <v>0</v>
      </c>
      <c r="HI42" s="773">
        <f t="shared" si="65"/>
        <v>0</v>
      </c>
      <c r="HJ42" s="773">
        <f t="shared" si="66"/>
        <v>0</v>
      </c>
      <c r="HK42" s="773">
        <f t="shared" si="67"/>
        <v>0</v>
      </c>
      <c r="HL42" s="773">
        <f t="shared" si="68"/>
        <v>0</v>
      </c>
      <c r="HM42" s="626">
        <f t="shared" si="126"/>
        <v>0</v>
      </c>
      <c r="HN42" s="1145">
        <f t="shared" si="69"/>
        <v>0</v>
      </c>
      <c r="HO42" s="1146">
        <f t="shared" si="70"/>
        <v>0</v>
      </c>
      <c r="HP42" s="1146">
        <f t="shared" si="71"/>
        <v>0</v>
      </c>
      <c r="HQ42" s="1146">
        <f t="shared" si="72"/>
        <v>0</v>
      </c>
      <c r="HR42" s="1146">
        <f t="shared" si="73"/>
        <v>0</v>
      </c>
      <c r="HS42" s="1146">
        <f t="shared" si="74"/>
        <v>0</v>
      </c>
      <c r="HT42" s="1256">
        <f t="shared" si="127"/>
        <v>0</v>
      </c>
      <c r="HU42" s="1157">
        <f t="shared" si="128"/>
        <v>0</v>
      </c>
    </row>
    <row r="43" spans="1:229" ht="13.5" customHeight="1" outlineLevel="1" x14ac:dyDescent="0.2">
      <c r="A43" s="474"/>
      <c r="B43" s="1412"/>
      <c r="C43" s="511">
        <v>34</v>
      </c>
      <c r="D43" s="557" t="s">
        <v>27</v>
      </c>
      <c r="E43" s="1721">
        <v>18</v>
      </c>
      <c r="F43" s="558">
        <v>1087.3599999999999</v>
      </c>
      <c r="G43" s="543">
        <f t="shared" si="129"/>
        <v>60.408888888888882</v>
      </c>
      <c r="H43" s="559">
        <v>0</v>
      </c>
      <c r="I43" s="558">
        <v>0</v>
      </c>
      <c r="J43" s="542">
        <v>0</v>
      </c>
      <c r="K43" s="559">
        <v>0</v>
      </c>
      <c r="L43" s="558">
        <v>0</v>
      </c>
      <c r="M43" s="542">
        <v>0</v>
      </c>
      <c r="N43" s="545">
        <f t="shared" si="130"/>
        <v>1087.3599999999999</v>
      </c>
      <c r="O43" s="518">
        <v>0</v>
      </c>
      <c r="P43" s="485">
        <v>6999532.7799999993</v>
      </c>
      <c r="Q43" s="518">
        <v>468956.57</v>
      </c>
      <c r="R43" s="519">
        <f t="shared" si="131"/>
        <v>7468489.3499999996</v>
      </c>
      <c r="S43" s="546">
        <f t="shared" si="75"/>
        <v>7468489.3499999996</v>
      </c>
      <c r="T43" s="521">
        <v>1550783.79</v>
      </c>
      <c r="U43" s="547">
        <v>0</v>
      </c>
      <c r="V43" s="547">
        <v>0</v>
      </c>
      <c r="W43" s="548">
        <v>0</v>
      </c>
      <c r="X43" s="549">
        <v>0</v>
      </c>
      <c r="Y43" s="549">
        <v>0</v>
      </c>
      <c r="Z43" s="549">
        <v>0</v>
      </c>
      <c r="AA43" s="525">
        <f t="shared" si="76"/>
        <v>0</v>
      </c>
      <c r="AB43" s="524">
        <f t="shared" si="77"/>
        <v>0</v>
      </c>
      <c r="AC43" s="526">
        <f t="shared" si="78"/>
        <v>0</v>
      </c>
      <c r="AD43" s="547">
        <v>0</v>
      </c>
      <c r="AE43" s="547">
        <v>0</v>
      </c>
      <c r="AF43" s="547">
        <v>0</v>
      </c>
      <c r="AG43" s="547">
        <v>0</v>
      </c>
      <c r="AH43" s="363">
        <f t="shared" si="79"/>
        <v>0</v>
      </c>
      <c r="AI43" s="547">
        <f t="shared" si="80"/>
        <v>0</v>
      </c>
      <c r="AJ43" s="550">
        <f t="shared" si="81"/>
        <v>0</v>
      </c>
      <c r="AK43" s="551">
        <f t="shared" si="82"/>
        <v>0</v>
      </c>
      <c r="AL43" s="529"/>
      <c r="AM43" s="502"/>
      <c r="AN43" s="530"/>
      <c r="AO43" s="498"/>
      <c r="AP43" s="499"/>
      <c r="AQ43" s="499"/>
      <c r="AR43" s="499"/>
      <c r="AS43" s="531">
        <f t="shared" si="3"/>
        <v>0</v>
      </c>
      <c r="AT43" s="532">
        <f t="shared" si="4"/>
        <v>0</v>
      </c>
      <c r="AU43" s="529">
        <v>0</v>
      </c>
      <c r="AV43" s="533">
        <v>0</v>
      </c>
      <c r="AW43" s="533">
        <v>0</v>
      </c>
      <c r="AX43" s="533">
        <v>0</v>
      </c>
      <c r="AY43" s="533">
        <f t="shared" si="5"/>
        <v>0</v>
      </c>
      <c r="AZ43" s="534">
        <f t="shared" si="6"/>
        <v>0</v>
      </c>
      <c r="BA43" s="535">
        <f t="shared" si="83"/>
        <v>0</v>
      </c>
      <c r="BB43" s="536">
        <f t="shared" si="84"/>
        <v>0</v>
      </c>
      <c r="BC43" s="523">
        <f t="shared" si="85"/>
        <v>0</v>
      </c>
      <c r="BD43" s="525">
        <f t="shared" si="86"/>
        <v>0</v>
      </c>
      <c r="BE43" s="525">
        <f t="shared" si="87"/>
        <v>0</v>
      </c>
      <c r="BF43" s="525">
        <f t="shared" si="88"/>
        <v>0</v>
      </c>
      <c r="BG43" s="525">
        <f t="shared" si="89"/>
        <v>0</v>
      </c>
      <c r="BH43" s="525">
        <f t="shared" si="90"/>
        <v>0</v>
      </c>
      <c r="BI43" s="526">
        <f t="shared" si="91"/>
        <v>0</v>
      </c>
      <c r="BJ43" s="537">
        <f t="shared" si="92"/>
        <v>0</v>
      </c>
      <c r="BK43" s="538">
        <f t="shared" si="93"/>
        <v>0</v>
      </c>
      <c r="BL43" s="538">
        <f t="shared" si="94"/>
        <v>0</v>
      </c>
      <c r="BM43" s="538">
        <f t="shared" si="95"/>
        <v>0</v>
      </c>
      <c r="BN43" s="538">
        <f t="shared" si="96"/>
        <v>0</v>
      </c>
      <c r="BO43" s="538">
        <f t="shared" si="97"/>
        <v>0</v>
      </c>
      <c r="BP43" s="539">
        <f t="shared" si="98"/>
        <v>0</v>
      </c>
      <c r="BQ43" s="540">
        <f t="shared" si="99"/>
        <v>0</v>
      </c>
      <c r="BR43" s="529"/>
      <c r="BS43" s="502"/>
      <c r="BT43" s="530"/>
      <c r="BU43" s="498"/>
      <c r="BV43" s="499"/>
      <c r="BW43" s="499"/>
      <c r="BX43" s="499"/>
      <c r="BY43" s="531">
        <f t="shared" si="9"/>
        <v>0</v>
      </c>
      <c r="BZ43" s="532">
        <f t="shared" si="10"/>
        <v>0</v>
      </c>
      <c r="CA43" s="529"/>
      <c r="CB43" s="533"/>
      <c r="CC43" s="533"/>
      <c r="CD43" s="533"/>
      <c r="CE43" s="533">
        <f t="shared" si="11"/>
        <v>0</v>
      </c>
      <c r="CF43" s="534">
        <f t="shared" si="12"/>
        <v>0</v>
      </c>
      <c r="CG43" s="774">
        <f t="shared" si="100"/>
        <v>0</v>
      </c>
      <c r="CH43" s="775">
        <f t="shared" si="101"/>
        <v>0</v>
      </c>
      <c r="CI43" s="548">
        <f t="shared" si="102"/>
        <v>0</v>
      </c>
      <c r="CJ43" s="773">
        <f t="shared" si="103"/>
        <v>0</v>
      </c>
      <c r="CK43" s="773">
        <f t="shared" si="104"/>
        <v>0</v>
      </c>
      <c r="CL43" s="773">
        <f t="shared" si="105"/>
        <v>0</v>
      </c>
      <c r="CM43" s="773">
        <f t="shared" si="106"/>
        <v>0</v>
      </c>
      <c r="CN43" s="773">
        <f t="shared" si="107"/>
        <v>0</v>
      </c>
      <c r="CO43" s="626">
        <f t="shared" si="108"/>
        <v>0</v>
      </c>
      <c r="CP43" s="1145">
        <f t="shared" si="109"/>
        <v>0</v>
      </c>
      <c r="CQ43" s="1146">
        <f t="shared" si="110"/>
        <v>0</v>
      </c>
      <c r="CR43" s="1146">
        <f t="shared" si="111"/>
        <v>0</v>
      </c>
      <c r="CS43" s="1146">
        <f t="shared" si="112"/>
        <v>0</v>
      </c>
      <c r="CT43" s="1146">
        <f t="shared" si="113"/>
        <v>0</v>
      </c>
      <c r="CU43" s="1146">
        <f t="shared" si="114"/>
        <v>0</v>
      </c>
      <c r="CV43" s="1256">
        <f t="shared" si="115"/>
        <v>0</v>
      </c>
      <c r="CW43" s="1157">
        <f t="shared" si="116"/>
        <v>0</v>
      </c>
      <c r="CX43" s="529"/>
      <c r="CY43" s="502"/>
      <c r="CZ43" s="530"/>
      <c r="DA43" s="498"/>
      <c r="DB43" s="499"/>
      <c r="DC43" s="499"/>
      <c r="DD43" s="499"/>
      <c r="DE43" s="531">
        <f t="shared" si="15"/>
        <v>0</v>
      </c>
      <c r="DF43" s="532">
        <f t="shared" si="16"/>
        <v>0</v>
      </c>
      <c r="DG43" s="529"/>
      <c r="DH43" s="533"/>
      <c r="DI43" s="533"/>
      <c r="DJ43" s="533"/>
      <c r="DK43" s="533">
        <f t="shared" si="17"/>
        <v>0</v>
      </c>
      <c r="DL43" s="534">
        <f t="shared" si="18"/>
        <v>0</v>
      </c>
      <c r="DM43" s="1258">
        <f t="shared" si="19"/>
        <v>0</v>
      </c>
      <c r="DN43" s="775">
        <f t="shared" si="20"/>
        <v>0</v>
      </c>
      <c r="DO43" s="548">
        <f t="shared" si="21"/>
        <v>0</v>
      </c>
      <c r="DP43" s="773">
        <f t="shared" si="22"/>
        <v>0</v>
      </c>
      <c r="DQ43" s="773">
        <f t="shared" si="23"/>
        <v>0</v>
      </c>
      <c r="DR43" s="773">
        <f t="shared" si="24"/>
        <v>0</v>
      </c>
      <c r="DS43" s="773">
        <f t="shared" si="25"/>
        <v>0</v>
      </c>
      <c r="DT43" s="773">
        <f t="shared" si="26"/>
        <v>0</v>
      </c>
      <c r="DU43" s="526">
        <f t="shared" si="117"/>
        <v>0</v>
      </c>
      <c r="DV43" s="1145">
        <f t="shared" si="27"/>
        <v>0</v>
      </c>
      <c r="DW43" s="1146">
        <f t="shared" si="28"/>
        <v>0</v>
      </c>
      <c r="DX43" s="1146">
        <f t="shared" si="29"/>
        <v>0</v>
      </c>
      <c r="DY43" s="1146">
        <f t="shared" si="30"/>
        <v>0</v>
      </c>
      <c r="DZ43" s="1146">
        <f t="shared" si="31"/>
        <v>0</v>
      </c>
      <c r="EA43" s="1146">
        <f t="shared" si="32"/>
        <v>0</v>
      </c>
      <c r="EB43" s="539">
        <f t="shared" si="118"/>
        <v>0</v>
      </c>
      <c r="EC43" s="540">
        <f t="shared" si="119"/>
        <v>0</v>
      </c>
      <c r="ES43" s="1258">
        <f t="shared" si="33"/>
        <v>0</v>
      </c>
      <c r="ET43" s="775">
        <f t="shared" si="34"/>
        <v>0</v>
      </c>
      <c r="EU43" s="548">
        <f t="shared" si="35"/>
        <v>0</v>
      </c>
      <c r="EV43" s="773">
        <f t="shared" si="36"/>
        <v>0</v>
      </c>
      <c r="EW43" s="773">
        <f t="shared" si="37"/>
        <v>0</v>
      </c>
      <c r="EX43" s="773">
        <f t="shared" si="38"/>
        <v>0</v>
      </c>
      <c r="EY43" s="773">
        <f t="shared" si="39"/>
        <v>0</v>
      </c>
      <c r="EZ43" s="773">
        <f t="shared" si="40"/>
        <v>0</v>
      </c>
      <c r="FA43" s="626">
        <f t="shared" si="120"/>
        <v>0</v>
      </c>
      <c r="FB43" s="1145">
        <f t="shared" si="41"/>
        <v>0</v>
      </c>
      <c r="FC43" s="1146">
        <f t="shared" si="42"/>
        <v>0</v>
      </c>
      <c r="FD43" s="1146">
        <f t="shared" si="43"/>
        <v>0</v>
      </c>
      <c r="FE43" s="1146">
        <f t="shared" si="44"/>
        <v>0</v>
      </c>
      <c r="FF43" s="1146">
        <f t="shared" si="45"/>
        <v>0</v>
      </c>
      <c r="FG43" s="1146">
        <f t="shared" si="46"/>
        <v>0</v>
      </c>
      <c r="FH43" s="1256">
        <f t="shared" si="121"/>
        <v>0</v>
      </c>
      <c r="FI43" s="1157">
        <f t="shared" si="122"/>
        <v>0</v>
      </c>
      <c r="FY43" s="1258">
        <f t="shared" si="47"/>
        <v>0</v>
      </c>
      <c r="FZ43" s="775">
        <f t="shared" si="48"/>
        <v>0</v>
      </c>
      <c r="GA43" s="548">
        <f t="shared" si="49"/>
        <v>0</v>
      </c>
      <c r="GB43" s="773">
        <f t="shared" si="50"/>
        <v>0</v>
      </c>
      <c r="GC43" s="773">
        <f t="shared" si="51"/>
        <v>0</v>
      </c>
      <c r="GD43" s="773">
        <f t="shared" si="52"/>
        <v>0</v>
      </c>
      <c r="GE43" s="773">
        <f t="shared" si="53"/>
        <v>0</v>
      </c>
      <c r="GF43" s="773">
        <f t="shared" si="54"/>
        <v>0</v>
      </c>
      <c r="GG43" s="626">
        <f t="shared" si="123"/>
        <v>0</v>
      </c>
      <c r="GH43" s="1145">
        <f t="shared" si="55"/>
        <v>0</v>
      </c>
      <c r="GI43" s="1146">
        <f t="shared" si="56"/>
        <v>0</v>
      </c>
      <c r="GJ43" s="1146">
        <f t="shared" si="57"/>
        <v>0</v>
      </c>
      <c r="GK43" s="1146">
        <f t="shared" si="58"/>
        <v>0</v>
      </c>
      <c r="GL43" s="1146">
        <f t="shared" si="59"/>
        <v>0</v>
      </c>
      <c r="GM43" s="1146">
        <f t="shared" si="60"/>
        <v>0</v>
      </c>
      <c r="GN43" s="1256">
        <f t="shared" si="124"/>
        <v>0</v>
      </c>
      <c r="GO43" s="1157">
        <f t="shared" si="125"/>
        <v>0</v>
      </c>
      <c r="HE43" s="1675">
        <f t="shared" si="61"/>
        <v>0</v>
      </c>
      <c r="HF43" s="775">
        <f t="shared" si="62"/>
        <v>0</v>
      </c>
      <c r="HG43" s="548">
        <f t="shared" si="63"/>
        <v>0</v>
      </c>
      <c r="HH43" s="773">
        <f t="shared" si="64"/>
        <v>0</v>
      </c>
      <c r="HI43" s="773">
        <f t="shared" si="65"/>
        <v>0</v>
      </c>
      <c r="HJ43" s="773">
        <f t="shared" si="66"/>
        <v>0</v>
      </c>
      <c r="HK43" s="773">
        <f t="shared" si="67"/>
        <v>0</v>
      </c>
      <c r="HL43" s="773">
        <f t="shared" si="68"/>
        <v>0</v>
      </c>
      <c r="HM43" s="626">
        <f t="shared" si="126"/>
        <v>0</v>
      </c>
      <c r="HN43" s="1145">
        <f t="shared" si="69"/>
        <v>0</v>
      </c>
      <c r="HO43" s="1146">
        <f t="shared" si="70"/>
        <v>0</v>
      </c>
      <c r="HP43" s="1146">
        <f t="shared" si="71"/>
        <v>0</v>
      </c>
      <c r="HQ43" s="1146">
        <f t="shared" si="72"/>
        <v>0</v>
      </c>
      <c r="HR43" s="1146">
        <f t="shared" si="73"/>
        <v>0</v>
      </c>
      <c r="HS43" s="1146">
        <f t="shared" si="74"/>
        <v>0</v>
      </c>
      <c r="HT43" s="1256">
        <f t="shared" si="127"/>
        <v>0</v>
      </c>
      <c r="HU43" s="1157">
        <f t="shared" si="128"/>
        <v>0</v>
      </c>
    </row>
    <row r="44" spans="1:229" ht="13.5" customHeight="1" outlineLevel="1" x14ac:dyDescent="0.2">
      <c r="A44" s="474"/>
      <c r="B44" s="1412"/>
      <c r="C44" s="511">
        <v>35</v>
      </c>
      <c r="D44" s="561" t="s">
        <v>80</v>
      </c>
      <c r="E44" s="513">
        <v>38</v>
      </c>
      <c r="F44" s="514">
        <v>2700.7</v>
      </c>
      <c r="G44" s="543">
        <f t="shared" si="129"/>
        <v>71.071052631578937</v>
      </c>
      <c r="H44" s="516">
        <v>0</v>
      </c>
      <c r="I44" s="258">
        <v>0</v>
      </c>
      <c r="J44" s="542">
        <v>0</v>
      </c>
      <c r="K44" s="516">
        <v>0</v>
      </c>
      <c r="L44" s="258">
        <v>0</v>
      </c>
      <c r="M44" s="542">
        <v>0</v>
      </c>
      <c r="N44" s="545">
        <f t="shared" si="130"/>
        <v>2700.7</v>
      </c>
      <c r="O44" s="518">
        <f>886872.86+416691</f>
        <v>1303563.8599999999</v>
      </c>
      <c r="P44" s="485">
        <v>14689325.989999998</v>
      </c>
      <c r="Q44" s="518">
        <v>627037.96400000004</v>
      </c>
      <c r="R44" s="519">
        <f t="shared" si="131"/>
        <v>16619927.813999997</v>
      </c>
      <c r="S44" s="546">
        <f t="shared" si="75"/>
        <v>16619927.813999997</v>
      </c>
      <c r="T44" s="521">
        <v>5551670.8399999999</v>
      </c>
      <c r="U44" s="547">
        <v>0</v>
      </c>
      <c r="V44" s="547">
        <v>0</v>
      </c>
      <c r="W44" s="548">
        <v>0</v>
      </c>
      <c r="X44" s="549">
        <v>0</v>
      </c>
      <c r="Y44" s="549">
        <v>0</v>
      </c>
      <c r="Z44" s="549">
        <v>0</v>
      </c>
      <c r="AA44" s="525">
        <f t="shared" si="76"/>
        <v>0</v>
      </c>
      <c r="AB44" s="524">
        <f t="shared" si="77"/>
        <v>0</v>
      </c>
      <c r="AC44" s="526">
        <f t="shared" si="78"/>
        <v>0</v>
      </c>
      <c r="AD44" s="547">
        <v>0</v>
      </c>
      <c r="AE44" s="547">
        <v>0</v>
      </c>
      <c r="AF44" s="547">
        <v>0</v>
      </c>
      <c r="AG44" s="547">
        <v>0</v>
      </c>
      <c r="AH44" s="363">
        <f t="shared" si="79"/>
        <v>0</v>
      </c>
      <c r="AI44" s="547">
        <f t="shared" si="80"/>
        <v>0</v>
      </c>
      <c r="AJ44" s="550">
        <f t="shared" si="81"/>
        <v>0</v>
      </c>
      <c r="AK44" s="551">
        <f t="shared" si="82"/>
        <v>0</v>
      </c>
      <c r="AL44" s="529"/>
      <c r="AM44" s="502"/>
      <c r="AN44" s="530"/>
      <c r="AO44" s="498"/>
      <c r="AP44" s="499"/>
      <c r="AQ44" s="499"/>
      <c r="AR44" s="499"/>
      <c r="AS44" s="531">
        <f t="shared" si="3"/>
        <v>0</v>
      </c>
      <c r="AT44" s="532">
        <f t="shared" si="4"/>
        <v>0</v>
      </c>
      <c r="AU44" s="529">
        <v>0</v>
      </c>
      <c r="AV44" s="533">
        <v>0</v>
      </c>
      <c r="AW44" s="533">
        <v>0</v>
      </c>
      <c r="AX44" s="533">
        <v>0</v>
      </c>
      <c r="AY44" s="533">
        <f t="shared" si="5"/>
        <v>0</v>
      </c>
      <c r="AZ44" s="534">
        <f t="shared" si="6"/>
        <v>0</v>
      </c>
      <c r="BA44" s="535">
        <f t="shared" si="83"/>
        <v>0</v>
      </c>
      <c r="BB44" s="536">
        <f t="shared" si="84"/>
        <v>0</v>
      </c>
      <c r="BC44" s="523">
        <f t="shared" si="85"/>
        <v>0</v>
      </c>
      <c r="BD44" s="525">
        <f t="shared" si="86"/>
        <v>0</v>
      </c>
      <c r="BE44" s="525">
        <f t="shared" si="87"/>
        <v>0</v>
      </c>
      <c r="BF44" s="525">
        <f t="shared" si="88"/>
        <v>0</v>
      </c>
      <c r="BG44" s="525">
        <f t="shared" si="89"/>
        <v>0</v>
      </c>
      <c r="BH44" s="525">
        <f t="shared" si="90"/>
        <v>0</v>
      </c>
      <c r="BI44" s="526">
        <f t="shared" si="91"/>
        <v>0</v>
      </c>
      <c r="BJ44" s="537">
        <f t="shared" si="92"/>
        <v>0</v>
      </c>
      <c r="BK44" s="538">
        <f t="shared" si="93"/>
        <v>0</v>
      </c>
      <c r="BL44" s="538">
        <f t="shared" si="94"/>
        <v>0</v>
      </c>
      <c r="BM44" s="538">
        <f t="shared" si="95"/>
        <v>0</v>
      </c>
      <c r="BN44" s="538">
        <f t="shared" si="96"/>
        <v>0</v>
      </c>
      <c r="BO44" s="538">
        <f t="shared" si="97"/>
        <v>0</v>
      </c>
      <c r="BP44" s="539">
        <f t="shared" si="98"/>
        <v>0</v>
      </c>
      <c r="BQ44" s="540">
        <f t="shared" si="99"/>
        <v>0</v>
      </c>
      <c r="BR44" s="529"/>
      <c r="BS44" s="502"/>
      <c r="BT44" s="530"/>
      <c r="BU44" s="498"/>
      <c r="BV44" s="499"/>
      <c r="BW44" s="499"/>
      <c r="BX44" s="499"/>
      <c r="BY44" s="531">
        <f t="shared" si="9"/>
        <v>0</v>
      </c>
      <c r="BZ44" s="532">
        <f t="shared" si="10"/>
        <v>0</v>
      </c>
      <c r="CA44" s="529"/>
      <c r="CB44" s="533"/>
      <c r="CC44" s="533"/>
      <c r="CD44" s="533"/>
      <c r="CE44" s="533">
        <f t="shared" si="11"/>
        <v>0</v>
      </c>
      <c r="CF44" s="534">
        <f t="shared" si="12"/>
        <v>0</v>
      </c>
      <c r="CG44" s="774">
        <f t="shared" si="100"/>
        <v>0</v>
      </c>
      <c r="CH44" s="775">
        <f t="shared" si="101"/>
        <v>0</v>
      </c>
      <c r="CI44" s="548">
        <f t="shared" si="102"/>
        <v>0</v>
      </c>
      <c r="CJ44" s="773">
        <f t="shared" si="103"/>
        <v>0</v>
      </c>
      <c r="CK44" s="773">
        <f t="shared" si="104"/>
        <v>0</v>
      </c>
      <c r="CL44" s="773">
        <f t="shared" si="105"/>
        <v>0</v>
      </c>
      <c r="CM44" s="773">
        <f t="shared" si="106"/>
        <v>0</v>
      </c>
      <c r="CN44" s="773">
        <f t="shared" si="107"/>
        <v>0</v>
      </c>
      <c r="CO44" s="626">
        <f t="shared" si="108"/>
        <v>0</v>
      </c>
      <c r="CP44" s="1145">
        <f t="shared" si="109"/>
        <v>0</v>
      </c>
      <c r="CQ44" s="1146">
        <f t="shared" si="110"/>
        <v>0</v>
      </c>
      <c r="CR44" s="1146">
        <f t="shared" si="111"/>
        <v>0</v>
      </c>
      <c r="CS44" s="1146">
        <f t="shared" si="112"/>
        <v>0</v>
      </c>
      <c r="CT44" s="1146">
        <f t="shared" si="113"/>
        <v>0</v>
      </c>
      <c r="CU44" s="1146">
        <f t="shared" si="114"/>
        <v>0</v>
      </c>
      <c r="CV44" s="1256">
        <f t="shared" si="115"/>
        <v>0</v>
      </c>
      <c r="CW44" s="1157">
        <f t="shared" si="116"/>
        <v>0</v>
      </c>
      <c r="CX44" s="529"/>
      <c r="CY44" s="502"/>
      <c r="CZ44" s="530"/>
      <c r="DA44" s="498"/>
      <c r="DB44" s="499"/>
      <c r="DC44" s="499"/>
      <c r="DD44" s="499"/>
      <c r="DE44" s="531">
        <f t="shared" si="15"/>
        <v>0</v>
      </c>
      <c r="DF44" s="532">
        <f t="shared" si="16"/>
        <v>0</v>
      </c>
      <c r="DG44" s="529"/>
      <c r="DH44" s="533"/>
      <c r="DI44" s="533"/>
      <c r="DJ44" s="533"/>
      <c r="DK44" s="533">
        <f t="shared" si="17"/>
        <v>0</v>
      </c>
      <c r="DL44" s="534">
        <f t="shared" si="18"/>
        <v>0</v>
      </c>
      <c r="DM44" s="1258">
        <f t="shared" si="19"/>
        <v>0</v>
      </c>
      <c r="DN44" s="775">
        <f t="shared" si="20"/>
        <v>0</v>
      </c>
      <c r="DO44" s="548">
        <f t="shared" si="21"/>
        <v>0</v>
      </c>
      <c r="DP44" s="773">
        <f t="shared" si="22"/>
        <v>0</v>
      </c>
      <c r="DQ44" s="773">
        <f t="shared" si="23"/>
        <v>0</v>
      </c>
      <c r="DR44" s="773">
        <f t="shared" si="24"/>
        <v>0</v>
      </c>
      <c r="DS44" s="773">
        <f t="shared" si="25"/>
        <v>0</v>
      </c>
      <c r="DT44" s="773">
        <f t="shared" si="26"/>
        <v>0</v>
      </c>
      <c r="DU44" s="526">
        <f t="shared" si="117"/>
        <v>0</v>
      </c>
      <c r="DV44" s="1145">
        <f t="shared" si="27"/>
        <v>0</v>
      </c>
      <c r="DW44" s="1146">
        <f t="shared" si="28"/>
        <v>0</v>
      </c>
      <c r="DX44" s="1146">
        <f t="shared" si="29"/>
        <v>0</v>
      </c>
      <c r="DY44" s="1146">
        <f t="shared" si="30"/>
        <v>0</v>
      </c>
      <c r="DZ44" s="1146">
        <f t="shared" si="31"/>
        <v>0</v>
      </c>
      <c r="EA44" s="1146">
        <f t="shared" si="32"/>
        <v>0</v>
      </c>
      <c r="EB44" s="539">
        <f t="shared" si="118"/>
        <v>0</v>
      </c>
      <c r="EC44" s="540">
        <f t="shared" si="119"/>
        <v>0</v>
      </c>
      <c r="ES44" s="1258">
        <f t="shared" si="33"/>
        <v>0</v>
      </c>
      <c r="ET44" s="775">
        <f t="shared" si="34"/>
        <v>0</v>
      </c>
      <c r="EU44" s="548">
        <f t="shared" si="35"/>
        <v>0</v>
      </c>
      <c r="EV44" s="773">
        <f t="shared" si="36"/>
        <v>0</v>
      </c>
      <c r="EW44" s="773">
        <f t="shared" si="37"/>
        <v>0</v>
      </c>
      <c r="EX44" s="773">
        <f t="shared" si="38"/>
        <v>0</v>
      </c>
      <c r="EY44" s="773">
        <f t="shared" si="39"/>
        <v>0</v>
      </c>
      <c r="EZ44" s="773">
        <f t="shared" si="40"/>
        <v>0</v>
      </c>
      <c r="FA44" s="626">
        <f t="shared" si="120"/>
        <v>0</v>
      </c>
      <c r="FB44" s="1145">
        <f t="shared" si="41"/>
        <v>0</v>
      </c>
      <c r="FC44" s="1146">
        <f t="shared" si="42"/>
        <v>0</v>
      </c>
      <c r="FD44" s="1146">
        <f t="shared" si="43"/>
        <v>0</v>
      </c>
      <c r="FE44" s="1146">
        <f t="shared" si="44"/>
        <v>0</v>
      </c>
      <c r="FF44" s="1146">
        <f t="shared" si="45"/>
        <v>0</v>
      </c>
      <c r="FG44" s="1146">
        <f t="shared" si="46"/>
        <v>0</v>
      </c>
      <c r="FH44" s="1256">
        <f t="shared" si="121"/>
        <v>0</v>
      </c>
      <c r="FI44" s="1157">
        <f t="shared" si="122"/>
        <v>0</v>
      </c>
      <c r="FY44" s="1258">
        <f t="shared" si="47"/>
        <v>0</v>
      </c>
      <c r="FZ44" s="775">
        <f t="shared" si="48"/>
        <v>0</v>
      </c>
      <c r="GA44" s="548">
        <f t="shared" si="49"/>
        <v>0</v>
      </c>
      <c r="GB44" s="773">
        <f t="shared" si="50"/>
        <v>0</v>
      </c>
      <c r="GC44" s="773">
        <f t="shared" si="51"/>
        <v>0</v>
      </c>
      <c r="GD44" s="773">
        <f t="shared" si="52"/>
        <v>0</v>
      </c>
      <c r="GE44" s="773">
        <f t="shared" si="53"/>
        <v>0</v>
      </c>
      <c r="GF44" s="773">
        <f t="shared" si="54"/>
        <v>0</v>
      </c>
      <c r="GG44" s="626">
        <f t="shared" si="123"/>
        <v>0</v>
      </c>
      <c r="GH44" s="1145">
        <f t="shared" si="55"/>
        <v>0</v>
      </c>
      <c r="GI44" s="1146">
        <f t="shared" si="56"/>
        <v>0</v>
      </c>
      <c r="GJ44" s="1146">
        <f t="shared" si="57"/>
        <v>0</v>
      </c>
      <c r="GK44" s="1146">
        <f t="shared" si="58"/>
        <v>0</v>
      </c>
      <c r="GL44" s="1146">
        <f t="shared" si="59"/>
        <v>0</v>
      </c>
      <c r="GM44" s="1146">
        <f t="shared" si="60"/>
        <v>0</v>
      </c>
      <c r="GN44" s="1256">
        <f t="shared" si="124"/>
        <v>0</v>
      </c>
      <c r="GO44" s="1157">
        <f t="shared" si="125"/>
        <v>0</v>
      </c>
      <c r="HE44" s="1675">
        <f t="shared" si="61"/>
        <v>0</v>
      </c>
      <c r="HF44" s="775">
        <f t="shared" si="62"/>
        <v>0</v>
      </c>
      <c r="HG44" s="548">
        <f t="shared" si="63"/>
        <v>0</v>
      </c>
      <c r="HH44" s="773">
        <f t="shared" si="64"/>
        <v>0</v>
      </c>
      <c r="HI44" s="773">
        <f t="shared" si="65"/>
        <v>0</v>
      </c>
      <c r="HJ44" s="773">
        <f t="shared" si="66"/>
        <v>0</v>
      </c>
      <c r="HK44" s="773">
        <f t="shared" si="67"/>
        <v>0</v>
      </c>
      <c r="HL44" s="773">
        <f t="shared" si="68"/>
        <v>0</v>
      </c>
      <c r="HM44" s="626">
        <f t="shared" si="126"/>
        <v>0</v>
      </c>
      <c r="HN44" s="1145">
        <f t="shared" si="69"/>
        <v>0</v>
      </c>
      <c r="HO44" s="1146">
        <f t="shared" si="70"/>
        <v>0</v>
      </c>
      <c r="HP44" s="1146">
        <f t="shared" si="71"/>
        <v>0</v>
      </c>
      <c r="HQ44" s="1146">
        <f t="shared" si="72"/>
        <v>0</v>
      </c>
      <c r="HR44" s="1146">
        <f t="shared" si="73"/>
        <v>0</v>
      </c>
      <c r="HS44" s="1146">
        <f t="shared" si="74"/>
        <v>0</v>
      </c>
      <c r="HT44" s="1256">
        <f t="shared" si="127"/>
        <v>0</v>
      </c>
      <c r="HU44" s="1157">
        <f t="shared" si="128"/>
        <v>0</v>
      </c>
    </row>
    <row r="45" spans="1:229" ht="13.5" customHeight="1" outlineLevel="1" x14ac:dyDescent="0.2">
      <c r="A45" s="474"/>
      <c r="B45" s="1412"/>
      <c r="C45" s="511">
        <v>36</v>
      </c>
      <c r="D45" s="564" t="s">
        <v>28</v>
      </c>
      <c r="E45" s="1721">
        <v>4</v>
      </c>
      <c r="F45" s="558">
        <v>200</v>
      </c>
      <c r="G45" s="479">
        <f t="shared" si="129"/>
        <v>50</v>
      </c>
      <c r="H45" s="559">
        <v>0</v>
      </c>
      <c r="I45" s="558">
        <v>0</v>
      </c>
      <c r="J45" s="481">
        <v>0</v>
      </c>
      <c r="K45" s="559">
        <v>4</v>
      </c>
      <c r="L45" s="558">
        <v>151.46</v>
      </c>
      <c r="M45" s="481">
        <f>L45/K45</f>
        <v>37.865000000000002</v>
      </c>
      <c r="N45" s="483">
        <f t="shared" si="130"/>
        <v>351.46000000000004</v>
      </c>
      <c r="O45" s="518">
        <v>0</v>
      </c>
      <c r="P45" s="485">
        <v>1860878.89</v>
      </c>
      <c r="Q45" s="518">
        <v>229400</v>
      </c>
      <c r="R45" s="519">
        <f t="shared" si="131"/>
        <v>2090278.89</v>
      </c>
      <c r="S45" s="546">
        <f t="shared" si="75"/>
        <v>2090278.89</v>
      </c>
      <c r="T45" s="521">
        <v>268367.51</v>
      </c>
      <c r="U45" s="547">
        <v>0</v>
      </c>
      <c r="V45" s="547">
        <v>0</v>
      </c>
      <c r="W45" s="548">
        <v>0</v>
      </c>
      <c r="X45" s="549">
        <v>0</v>
      </c>
      <c r="Y45" s="549">
        <v>0</v>
      </c>
      <c r="Z45" s="549">
        <v>0</v>
      </c>
      <c r="AA45" s="525">
        <f t="shared" si="76"/>
        <v>0</v>
      </c>
      <c r="AB45" s="524">
        <f t="shared" si="77"/>
        <v>0</v>
      </c>
      <c r="AC45" s="526">
        <f t="shared" si="78"/>
        <v>0</v>
      </c>
      <c r="AD45" s="547">
        <v>0</v>
      </c>
      <c r="AE45" s="547">
        <v>0</v>
      </c>
      <c r="AF45" s="547">
        <v>0</v>
      </c>
      <c r="AG45" s="547">
        <v>0</v>
      </c>
      <c r="AH45" s="363">
        <f t="shared" si="79"/>
        <v>0</v>
      </c>
      <c r="AI45" s="547">
        <f t="shared" si="80"/>
        <v>0</v>
      </c>
      <c r="AJ45" s="550">
        <f t="shared" si="81"/>
        <v>0</v>
      </c>
      <c r="AK45" s="551">
        <f t="shared" si="82"/>
        <v>0</v>
      </c>
      <c r="AL45" s="529"/>
      <c r="AM45" s="502"/>
      <c r="AN45" s="530"/>
      <c r="AO45" s="498"/>
      <c r="AP45" s="499"/>
      <c r="AQ45" s="499"/>
      <c r="AR45" s="499"/>
      <c r="AS45" s="531">
        <f t="shared" si="3"/>
        <v>0</v>
      </c>
      <c r="AT45" s="532">
        <f t="shared" si="4"/>
        <v>0</v>
      </c>
      <c r="AU45" s="529">
        <v>0</v>
      </c>
      <c r="AV45" s="533">
        <v>0</v>
      </c>
      <c r="AW45" s="533">
        <v>0</v>
      </c>
      <c r="AX45" s="533">
        <v>0</v>
      </c>
      <c r="AY45" s="533">
        <f t="shared" si="5"/>
        <v>0</v>
      </c>
      <c r="AZ45" s="534">
        <f t="shared" si="6"/>
        <v>0</v>
      </c>
      <c r="BA45" s="535">
        <f t="shared" si="83"/>
        <v>0</v>
      </c>
      <c r="BB45" s="536">
        <f t="shared" si="84"/>
        <v>0</v>
      </c>
      <c r="BC45" s="523">
        <f t="shared" si="85"/>
        <v>0</v>
      </c>
      <c r="BD45" s="525">
        <f t="shared" si="86"/>
        <v>0</v>
      </c>
      <c r="BE45" s="525">
        <f t="shared" si="87"/>
        <v>0</v>
      </c>
      <c r="BF45" s="525">
        <f t="shared" si="88"/>
        <v>0</v>
      </c>
      <c r="BG45" s="525">
        <f t="shared" si="89"/>
        <v>0</v>
      </c>
      <c r="BH45" s="525">
        <f t="shared" si="90"/>
        <v>0</v>
      </c>
      <c r="BI45" s="526">
        <f t="shared" si="91"/>
        <v>0</v>
      </c>
      <c r="BJ45" s="537">
        <f t="shared" si="92"/>
        <v>0</v>
      </c>
      <c r="BK45" s="538">
        <f t="shared" si="93"/>
        <v>0</v>
      </c>
      <c r="BL45" s="538">
        <f t="shared" si="94"/>
        <v>0</v>
      </c>
      <c r="BM45" s="538">
        <f t="shared" si="95"/>
        <v>0</v>
      </c>
      <c r="BN45" s="538">
        <f t="shared" si="96"/>
        <v>0</v>
      </c>
      <c r="BO45" s="538">
        <f t="shared" si="97"/>
        <v>0</v>
      </c>
      <c r="BP45" s="539">
        <f t="shared" si="98"/>
        <v>0</v>
      </c>
      <c r="BQ45" s="540">
        <f t="shared" si="99"/>
        <v>0</v>
      </c>
      <c r="BR45" s="529"/>
      <c r="BS45" s="502"/>
      <c r="BT45" s="530"/>
      <c r="BU45" s="498"/>
      <c r="BV45" s="499"/>
      <c r="BW45" s="499"/>
      <c r="BX45" s="499"/>
      <c r="BY45" s="531">
        <f t="shared" si="9"/>
        <v>0</v>
      </c>
      <c r="BZ45" s="532">
        <f t="shared" si="10"/>
        <v>0</v>
      </c>
      <c r="CA45" s="529"/>
      <c r="CB45" s="533"/>
      <c r="CC45" s="533"/>
      <c r="CD45" s="533"/>
      <c r="CE45" s="533">
        <f t="shared" si="11"/>
        <v>0</v>
      </c>
      <c r="CF45" s="534">
        <f t="shared" si="12"/>
        <v>0</v>
      </c>
      <c r="CG45" s="774">
        <f t="shared" si="100"/>
        <v>0</v>
      </c>
      <c r="CH45" s="775">
        <f t="shared" si="101"/>
        <v>0</v>
      </c>
      <c r="CI45" s="548">
        <f t="shared" si="102"/>
        <v>0</v>
      </c>
      <c r="CJ45" s="773">
        <f t="shared" si="103"/>
        <v>0</v>
      </c>
      <c r="CK45" s="773">
        <f t="shared" si="104"/>
        <v>0</v>
      </c>
      <c r="CL45" s="773">
        <f t="shared" si="105"/>
        <v>0</v>
      </c>
      <c r="CM45" s="773">
        <f t="shared" si="106"/>
        <v>0</v>
      </c>
      <c r="CN45" s="773">
        <f t="shared" si="107"/>
        <v>0</v>
      </c>
      <c r="CO45" s="626">
        <f t="shared" si="108"/>
        <v>0</v>
      </c>
      <c r="CP45" s="1145">
        <f t="shared" si="109"/>
        <v>0</v>
      </c>
      <c r="CQ45" s="1146">
        <f t="shared" si="110"/>
        <v>0</v>
      </c>
      <c r="CR45" s="1146">
        <f t="shared" si="111"/>
        <v>0</v>
      </c>
      <c r="CS45" s="1146">
        <f t="shared" si="112"/>
        <v>0</v>
      </c>
      <c r="CT45" s="1146">
        <f t="shared" si="113"/>
        <v>0</v>
      </c>
      <c r="CU45" s="1146">
        <f t="shared" si="114"/>
        <v>0</v>
      </c>
      <c r="CV45" s="1256">
        <f t="shared" si="115"/>
        <v>0</v>
      </c>
      <c r="CW45" s="1157">
        <f t="shared" si="116"/>
        <v>0</v>
      </c>
      <c r="CX45" s="529"/>
      <c r="CY45" s="502"/>
      <c r="CZ45" s="530"/>
      <c r="DA45" s="498"/>
      <c r="DB45" s="499"/>
      <c r="DC45" s="499"/>
      <c r="DD45" s="499"/>
      <c r="DE45" s="531">
        <f t="shared" si="15"/>
        <v>0</v>
      </c>
      <c r="DF45" s="532">
        <f t="shared" si="16"/>
        <v>0</v>
      </c>
      <c r="DG45" s="529"/>
      <c r="DH45" s="533"/>
      <c r="DI45" s="533"/>
      <c r="DJ45" s="533"/>
      <c r="DK45" s="533">
        <f t="shared" si="17"/>
        <v>0</v>
      </c>
      <c r="DL45" s="534">
        <f t="shared" si="18"/>
        <v>0</v>
      </c>
      <c r="DM45" s="1258">
        <f t="shared" si="19"/>
        <v>0</v>
      </c>
      <c r="DN45" s="775">
        <f t="shared" si="20"/>
        <v>0</v>
      </c>
      <c r="DO45" s="548">
        <f t="shared" si="21"/>
        <v>0</v>
      </c>
      <c r="DP45" s="773">
        <f t="shared" si="22"/>
        <v>0</v>
      </c>
      <c r="DQ45" s="773">
        <f t="shared" si="23"/>
        <v>0</v>
      </c>
      <c r="DR45" s="773">
        <f t="shared" si="24"/>
        <v>0</v>
      </c>
      <c r="DS45" s="773">
        <f t="shared" si="25"/>
        <v>0</v>
      </c>
      <c r="DT45" s="773">
        <f t="shared" si="26"/>
        <v>0</v>
      </c>
      <c r="DU45" s="526">
        <f t="shared" si="117"/>
        <v>0</v>
      </c>
      <c r="DV45" s="1145">
        <f t="shared" si="27"/>
        <v>0</v>
      </c>
      <c r="DW45" s="1146">
        <f t="shared" si="28"/>
        <v>0</v>
      </c>
      <c r="DX45" s="1146">
        <f t="shared" si="29"/>
        <v>0</v>
      </c>
      <c r="DY45" s="1146">
        <f t="shared" si="30"/>
        <v>0</v>
      </c>
      <c r="DZ45" s="1146">
        <f t="shared" si="31"/>
        <v>0</v>
      </c>
      <c r="EA45" s="1146">
        <f t="shared" si="32"/>
        <v>0</v>
      </c>
      <c r="EB45" s="539">
        <f t="shared" si="118"/>
        <v>0</v>
      </c>
      <c r="EC45" s="540">
        <f t="shared" si="119"/>
        <v>0</v>
      </c>
      <c r="ES45" s="1258">
        <f t="shared" si="33"/>
        <v>0</v>
      </c>
      <c r="ET45" s="775">
        <f t="shared" si="34"/>
        <v>0</v>
      </c>
      <c r="EU45" s="548">
        <f t="shared" si="35"/>
        <v>0</v>
      </c>
      <c r="EV45" s="773">
        <f t="shared" si="36"/>
        <v>0</v>
      </c>
      <c r="EW45" s="773">
        <f t="shared" si="37"/>
        <v>0</v>
      </c>
      <c r="EX45" s="773">
        <f t="shared" si="38"/>
        <v>0</v>
      </c>
      <c r="EY45" s="773">
        <f t="shared" si="39"/>
        <v>0</v>
      </c>
      <c r="EZ45" s="773">
        <f t="shared" si="40"/>
        <v>0</v>
      </c>
      <c r="FA45" s="626">
        <f t="shared" si="120"/>
        <v>0</v>
      </c>
      <c r="FB45" s="1145">
        <f t="shared" si="41"/>
        <v>0</v>
      </c>
      <c r="FC45" s="1146">
        <f t="shared" si="42"/>
        <v>0</v>
      </c>
      <c r="FD45" s="1146">
        <f t="shared" si="43"/>
        <v>0</v>
      </c>
      <c r="FE45" s="1146">
        <f t="shared" si="44"/>
        <v>0</v>
      </c>
      <c r="FF45" s="1146">
        <f t="shared" si="45"/>
        <v>0</v>
      </c>
      <c r="FG45" s="1146">
        <f t="shared" si="46"/>
        <v>0</v>
      </c>
      <c r="FH45" s="1256">
        <f t="shared" si="121"/>
        <v>0</v>
      </c>
      <c r="FI45" s="1157">
        <f t="shared" si="122"/>
        <v>0</v>
      </c>
      <c r="FY45" s="1258">
        <f t="shared" si="47"/>
        <v>0</v>
      </c>
      <c r="FZ45" s="775">
        <f t="shared" si="48"/>
        <v>0</v>
      </c>
      <c r="GA45" s="548">
        <f t="shared" si="49"/>
        <v>0</v>
      </c>
      <c r="GB45" s="773">
        <f t="shared" si="50"/>
        <v>0</v>
      </c>
      <c r="GC45" s="773">
        <f t="shared" si="51"/>
        <v>0</v>
      </c>
      <c r="GD45" s="773">
        <f t="shared" si="52"/>
        <v>0</v>
      </c>
      <c r="GE45" s="773">
        <f t="shared" si="53"/>
        <v>0</v>
      </c>
      <c r="GF45" s="773">
        <f t="shared" si="54"/>
        <v>0</v>
      </c>
      <c r="GG45" s="626">
        <f t="shared" si="123"/>
        <v>0</v>
      </c>
      <c r="GH45" s="1145">
        <f t="shared" si="55"/>
        <v>0</v>
      </c>
      <c r="GI45" s="1146">
        <f t="shared" si="56"/>
        <v>0</v>
      </c>
      <c r="GJ45" s="1146">
        <f t="shared" si="57"/>
        <v>0</v>
      </c>
      <c r="GK45" s="1146">
        <f t="shared" si="58"/>
        <v>0</v>
      </c>
      <c r="GL45" s="1146">
        <f t="shared" si="59"/>
        <v>0</v>
      </c>
      <c r="GM45" s="1146">
        <f t="shared" si="60"/>
        <v>0</v>
      </c>
      <c r="GN45" s="1256">
        <f t="shared" si="124"/>
        <v>0</v>
      </c>
      <c r="GO45" s="1157">
        <f t="shared" si="125"/>
        <v>0</v>
      </c>
      <c r="HE45" s="1675">
        <f t="shared" si="61"/>
        <v>0</v>
      </c>
      <c r="HF45" s="775">
        <f t="shared" si="62"/>
        <v>0</v>
      </c>
      <c r="HG45" s="548">
        <f t="shared" si="63"/>
        <v>0</v>
      </c>
      <c r="HH45" s="773">
        <f t="shared" si="64"/>
        <v>0</v>
      </c>
      <c r="HI45" s="773">
        <f t="shared" si="65"/>
        <v>0</v>
      </c>
      <c r="HJ45" s="773">
        <f t="shared" si="66"/>
        <v>0</v>
      </c>
      <c r="HK45" s="773">
        <f t="shared" si="67"/>
        <v>0</v>
      </c>
      <c r="HL45" s="773">
        <f t="shared" si="68"/>
        <v>0</v>
      </c>
      <c r="HM45" s="626">
        <f t="shared" si="126"/>
        <v>0</v>
      </c>
      <c r="HN45" s="1145">
        <f t="shared" si="69"/>
        <v>0</v>
      </c>
      <c r="HO45" s="1146">
        <f t="shared" si="70"/>
        <v>0</v>
      </c>
      <c r="HP45" s="1146">
        <f t="shared" si="71"/>
        <v>0</v>
      </c>
      <c r="HQ45" s="1146">
        <f t="shared" si="72"/>
        <v>0</v>
      </c>
      <c r="HR45" s="1146">
        <f t="shared" si="73"/>
        <v>0</v>
      </c>
      <c r="HS45" s="1146">
        <f t="shared" si="74"/>
        <v>0</v>
      </c>
      <c r="HT45" s="1256">
        <f t="shared" si="127"/>
        <v>0</v>
      </c>
      <c r="HU45" s="1157">
        <f t="shared" si="128"/>
        <v>0</v>
      </c>
    </row>
    <row r="46" spans="1:229" ht="13.5" customHeight="1" outlineLevel="1" x14ac:dyDescent="0.2">
      <c r="A46" s="474"/>
      <c r="B46" s="1412"/>
      <c r="C46" s="511">
        <v>37</v>
      </c>
      <c r="D46" s="557" t="s">
        <v>29</v>
      </c>
      <c r="E46" s="1721">
        <v>34</v>
      </c>
      <c r="F46" s="558">
        <v>2152.3000000000002</v>
      </c>
      <c r="G46" s="543">
        <f t="shared" si="129"/>
        <v>63.302941176470597</v>
      </c>
      <c r="H46" s="559">
        <v>0</v>
      </c>
      <c r="I46" s="558">
        <v>0</v>
      </c>
      <c r="J46" s="542">
        <v>0</v>
      </c>
      <c r="K46" s="559">
        <v>0</v>
      </c>
      <c r="L46" s="558">
        <v>0</v>
      </c>
      <c r="M46" s="542">
        <v>0</v>
      </c>
      <c r="N46" s="545">
        <f t="shared" si="130"/>
        <v>2152.3000000000002</v>
      </c>
      <c r="O46" s="518">
        <v>0</v>
      </c>
      <c r="P46" s="485">
        <v>8699147.4900000002</v>
      </c>
      <c r="Q46" s="518">
        <v>1090247.55</v>
      </c>
      <c r="R46" s="519">
        <f t="shared" si="131"/>
        <v>9789395.040000001</v>
      </c>
      <c r="S46" s="546">
        <f t="shared" si="75"/>
        <v>9789395.040000001</v>
      </c>
      <c r="T46" s="521">
        <v>3013219.53</v>
      </c>
      <c r="U46" s="547">
        <v>0</v>
      </c>
      <c r="V46" s="547">
        <v>0</v>
      </c>
      <c r="W46" s="548">
        <v>0</v>
      </c>
      <c r="X46" s="549">
        <v>0</v>
      </c>
      <c r="Y46" s="549">
        <v>0</v>
      </c>
      <c r="Z46" s="549">
        <v>0</v>
      </c>
      <c r="AA46" s="525">
        <f t="shared" si="76"/>
        <v>0</v>
      </c>
      <c r="AB46" s="524">
        <f t="shared" si="77"/>
        <v>0</v>
      </c>
      <c r="AC46" s="526">
        <f t="shared" si="78"/>
        <v>0</v>
      </c>
      <c r="AD46" s="547">
        <v>0</v>
      </c>
      <c r="AE46" s="547">
        <v>0</v>
      </c>
      <c r="AF46" s="547">
        <v>0</v>
      </c>
      <c r="AG46" s="547">
        <v>0</v>
      </c>
      <c r="AH46" s="363">
        <f t="shared" si="79"/>
        <v>0</v>
      </c>
      <c r="AI46" s="547">
        <f t="shared" si="80"/>
        <v>0</v>
      </c>
      <c r="AJ46" s="550">
        <f t="shared" si="81"/>
        <v>0</v>
      </c>
      <c r="AK46" s="551">
        <f t="shared" si="82"/>
        <v>0</v>
      </c>
      <c r="AL46" s="529"/>
      <c r="AM46" s="502"/>
      <c r="AN46" s="530"/>
      <c r="AO46" s="498"/>
      <c r="AP46" s="499"/>
      <c r="AQ46" s="499"/>
      <c r="AR46" s="499"/>
      <c r="AS46" s="531">
        <f t="shared" si="3"/>
        <v>0</v>
      </c>
      <c r="AT46" s="532">
        <f t="shared" si="4"/>
        <v>0</v>
      </c>
      <c r="AU46" s="529">
        <v>0</v>
      </c>
      <c r="AV46" s="533">
        <v>0</v>
      </c>
      <c r="AW46" s="533">
        <v>0</v>
      </c>
      <c r="AX46" s="533">
        <v>0</v>
      </c>
      <c r="AY46" s="533">
        <f t="shared" si="5"/>
        <v>0</v>
      </c>
      <c r="AZ46" s="534">
        <f t="shared" si="6"/>
        <v>0</v>
      </c>
      <c r="BA46" s="535">
        <f t="shared" si="83"/>
        <v>0</v>
      </c>
      <c r="BB46" s="536">
        <f t="shared" si="84"/>
        <v>0</v>
      </c>
      <c r="BC46" s="523">
        <f t="shared" si="85"/>
        <v>0</v>
      </c>
      <c r="BD46" s="525">
        <f t="shared" si="86"/>
        <v>0</v>
      </c>
      <c r="BE46" s="525">
        <f t="shared" si="87"/>
        <v>0</v>
      </c>
      <c r="BF46" s="525">
        <f t="shared" si="88"/>
        <v>0</v>
      </c>
      <c r="BG46" s="525">
        <f t="shared" si="89"/>
        <v>0</v>
      </c>
      <c r="BH46" s="525">
        <f t="shared" si="90"/>
        <v>0</v>
      </c>
      <c r="BI46" s="526">
        <f t="shared" si="91"/>
        <v>0</v>
      </c>
      <c r="BJ46" s="537">
        <f t="shared" si="92"/>
        <v>0</v>
      </c>
      <c r="BK46" s="538">
        <f t="shared" si="93"/>
        <v>0</v>
      </c>
      <c r="BL46" s="538">
        <f t="shared" si="94"/>
        <v>0</v>
      </c>
      <c r="BM46" s="538">
        <f t="shared" si="95"/>
        <v>0</v>
      </c>
      <c r="BN46" s="538">
        <f t="shared" si="96"/>
        <v>0</v>
      </c>
      <c r="BO46" s="538">
        <f t="shared" si="97"/>
        <v>0</v>
      </c>
      <c r="BP46" s="539">
        <f t="shared" si="98"/>
        <v>0</v>
      </c>
      <c r="BQ46" s="540">
        <f t="shared" si="99"/>
        <v>0</v>
      </c>
      <c r="BR46" s="529"/>
      <c r="BS46" s="502"/>
      <c r="BT46" s="530"/>
      <c r="BU46" s="498"/>
      <c r="BV46" s="499"/>
      <c r="BW46" s="499"/>
      <c r="BX46" s="499"/>
      <c r="BY46" s="531">
        <f t="shared" si="9"/>
        <v>0</v>
      </c>
      <c r="BZ46" s="532">
        <f t="shared" si="10"/>
        <v>0</v>
      </c>
      <c r="CA46" s="529"/>
      <c r="CB46" s="533"/>
      <c r="CC46" s="533"/>
      <c r="CD46" s="533"/>
      <c r="CE46" s="533">
        <f t="shared" si="11"/>
        <v>0</v>
      </c>
      <c r="CF46" s="534">
        <f t="shared" si="12"/>
        <v>0</v>
      </c>
      <c r="CG46" s="774">
        <f t="shared" si="100"/>
        <v>0</v>
      </c>
      <c r="CH46" s="775">
        <f t="shared" si="101"/>
        <v>0</v>
      </c>
      <c r="CI46" s="548">
        <f t="shared" si="102"/>
        <v>0</v>
      </c>
      <c r="CJ46" s="773">
        <f t="shared" si="103"/>
        <v>0</v>
      </c>
      <c r="CK46" s="773">
        <f t="shared" si="104"/>
        <v>0</v>
      </c>
      <c r="CL46" s="773">
        <f t="shared" si="105"/>
        <v>0</v>
      </c>
      <c r="CM46" s="773">
        <f t="shared" si="106"/>
        <v>0</v>
      </c>
      <c r="CN46" s="773">
        <f t="shared" si="107"/>
        <v>0</v>
      </c>
      <c r="CO46" s="626">
        <f t="shared" si="108"/>
        <v>0</v>
      </c>
      <c r="CP46" s="1145">
        <f t="shared" si="109"/>
        <v>0</v>
      </c>
      <c r="CQ46" s="1146">
        <f t="shared" si="110"/>
        <v>0</v>
      </c>
      <c r="CR46" s="1146">
        <f t="shared" si="111"/>
        <v>0</v>
      </c>
      <c r="CS46" s="1146">
        <f t="shared" si="112"/>
        <v>0</v>
      </c>
      <c r="CT46" s="1146">
        <f t="shared" si="113"/>
        <v>0</v>
      </c>
      <c r="CU46" s="1146">
        <f t="shared" si="114"/>
        <v>0</v>
      </c>
      <c r="CV46" s="1256">
        <f t="shared" si="115"/>
        <v>0</v>
      </c>
      <c r="CW46" s="1157">
        <f t="shared" si="116"/>
        <v>0</v>
      </c>
      <c r="CX46" s="529"/>
      <c r="CY46" s="502"/>
      <c r="CZ46" s="530"/>
      <c r="DA46" s="498"/>
      <c r="DB46" s="499"/>
      <c r="DC46" s="499"/>
      <c r="DD46" s="499"/>
      <c r="DE46" s="531">
        <f t="shared" si="15"/>
        <v>0</v>
      </c>
      <c r="DF46" s="532">
        <f t="shared" si="16"/>
        <v>0</v>
      </c>
      <c r="DG46" s="529"/>
      <c r="DH46" s="533"/>
      <c r="DI46" s="533"/>
      <c r="DJ46" s="533"/>
      <c r="DK46" s="533">
        <f t="shared" si="17"/>
        <v>0</v>
      </c>
      <c r="DL46" s="534">
        <f t="shared" si="18"/>
        <v>0</v>
      </c>
      <c r="DM46" s="1258">
        <f t="shared" si="19"/>
        <v>0</v>
      </c>
      <c r="DN46" s="775">
        <f t="shared" si="20"/>
        <v>0</v>
      </c>
      <c r="DO46" s="548">
        <f t="shared" si="21"/>
        <v>0</v>
      </c>
      <c r="DP46" s="773">
        <f t="shared" si="22"/>
        <v>0</v>
      </c>
      <c r="DQ46" s="773">
        <f t="shared" si="23"/>
        <v>0</v>
      </c>
      <c r="DR46" s="773">
        <f t="shared" si="24"/>
        <v>0</v>
      </c>
      <c r="DS46" s="773">
        <f t="shared" si="25"/>
        <v>0</v>
      </c>
      <c r="DT46" s="773">
        <f t="shared" si="26"/>
        <v>0</v>
      </c>
      <c r="DU46" s="526">
        <f t="shared" si="117"/>
        <v>0</v>
      </c>
      <c r="DV46" s="1145">
        <f t="shared" si="27"/>
        <v>0</v>
      </c>
      <c r="DW46" s="1146">
        <f t="shared" si="28"/>
        <v>0</v>
      </c>
      <c r="DX46" s="1146">
        <f t="shared" si="29"/>
        <v>0</v>
      </c>
      <c r="DY46" s="1146">
        <f t="shared" si="30"/>
        <v>0</v>
      </c>
      <c r="DZ46" s="1146">
        <f t="shared" si="31"/>
        <v>0</v>
      </c>
      <c r="EA46" s="1146">
        <f t="shared" si="32"/>
        <v>0</v>
      </c>
      <c r="EB46" s="539">
        <f t="shared" si="118"/>
        <v>0</v>
      </c>
      <c r="EC46" s="540">
        <f t="shared" si="119"/>
        <v>0</v>
      </c>
      <c r="ES46" s="1258">
        <f t="shared" si="33"/>
        <v>0</v>
      </c>
      <c r="ET46" s="775">
        <f t="shared" si="34"/>
        <v>0</v>
      </c>
      <c r="EU46" s="548">
        <f t="shared" si="35"/>
        <v>0</v>
      </c>
      <c r="EV46" s="773">
        <f t="shared" si="36"/>
        <v>0</v>
      </c>
      <c r="EW46" s="773">
        <f t="shared" si="37"/>
        <v>0</v>
      </c>
      <c r="EX46" s="773">
        <f t="shared" si="38"/>
        <v>0</v>
      </c>
      <c r="EY46" s="773">
        <f t="shared" si="39"/>
        <v>0</v>
      </c>
      <c r="EZ46" s="773">
        <f t="shared" si="40"/>
        <v>0</v>
      </c>
      <c r="FA46" s="626">
        <f t="shared" si="120"/>
        <v>0</v>
      </c>
      <c r="FB46" s="1145">
        <f t="shared" si="41"/>
        <v>0</v>
      </c>
      <c r="FC46" s="1146">
        <f t="shared" si="42"/>
        <v>0</v>
      </c>
      <c r="FD46" s="1146">
        <f t="shared" si="43"/>
        <v>0</v>
      </c>
      <c r="FE46" s="1146">
        <f t="shared" si="44"/>
        <v>0</v>
      </c>
      <c r="FF46" s="1146">
        <f t="shared" si="45"/>
        <v>0</v>
      </c>
      <c r="FG46" s="1146">
        <f t="shared" si="46"/>
        <v>0</v>
      </c>
      <c r="FH46" s="1256">
        <f t="shared" si="121"/>
        <v>0</v>
      </c>
      <c r="FI46" s="1157">
        <f t="shared" si="122"/>
        <v>0</v>
      </c>
      <c r="FY46" s="1258">
        <f t="shared" si="47"/>
        <v>0</v>
      </c>
      <c r="FZ46" s="775">
        <f t="shared" si="48"/>
        <v>0</v>
      </c>
      <c r="GA46" s="548">
        <f t="shared" si="49"/>
        <v>0</v>
      </c>
      <c r="GB46" s="773">
        <f t="shared" si="50"/>
        <v>0</v>
      </c>
      <c r="GC46" s="773">
        <f t="shared" si="51"/>
        <v>0</v>
      </c>
      <c r="GD46" s="773">
        <f t="shared" si="52"/>
        <v>0</v>
      </c>
      <c r="GE46" s="773">
        <f t="shared" si="53"/>
        <v>0</v>
      </c>
      <c r="GF46" s="773">
        <f t="shared" si="54"/>
        <v>0</v>
      </c>
      <c r="GG46" s="626">
        <f t="shared" si="123"/>
        <v>0</v>
      </c>
      <c r="GH46" s="1145">
        <f t="shared" si="55"/>
        <v>0</v>
      </c>
      <c r="GI46" s="1146">
        <f t="shared" si="56"/>
        <v>0</v>
      </c>
      <c r="GJ46" s="1146">
        <f t="shared" si="57"/>
        <v>0</v>
      </c>
      <c r="GK46" s="1146">
        <f t="shared" si="58"/>
        <v>0</v>
      </c>
      <c r="GL46" s="1146">
        <f t="shared" si="59"/>
        <v>0</v>
      </c>
      <c r="GM46" s="1146">
        <f t="shared" si="60"/>
        <v>0</v>
      </c>
      <c r="GN46" s="1256">
        <f t="shared" si="124"/>
        <v>0</v>
      </c>
      <c r="GO46" s="1157">
        <f t="shared" si="125"/>
        <v>0</v>
      </c>
      <c r="HE46" s="1675">
        <f t="shared" si="61"/>
        <v>0</v>
      </c>
      <c r="HF46" s="775">
        <f t="shared" si="62"/>
        <v>0</v>
      </c>
      <c r="HG46" s="548">
        <f t="shared" si="63"/>
        <v>0</v>
      </c>
      <c r="HH46" s="773">
        <f t="shared" si="64"/>
        <v>0</v>
      </c>
      <c r="HI46" s="773">
        <f t="shared" si="65"/>
        <v>0</v>
      </c>
      <c r="HJ46" s="773">
        <f t="shared" si="66"/>
        <v>0</v>
      </c>
      <c r="HK46" s="773">
        <f t="shared" si="67"/>
        <v>0</v>
      </c>
      <c r="HL46" s="773">
        <f t="shared" si="68"/>
        <v>0</v>
      </c>
      <c r="HM46" s="626">
        <f t="shared" si="126"/>
        <v>0</v>
      </c>
      <c r="HN46" s="1145">
        <f t="shared" si="69"/>
        <v>0</v>
      </c>
      <c r="HO46" s="1146">
        <f t="shared" si="70"/>
        <v>0</v>
      </c>
      <c r="HP46" s="1146">
        <f t="shared" si="71"/>
        <v>0</v>
      </c>
      <c r="HQ46" s="1146">
        <f t="shared" si="72"/>
        <v>0</v>
      </c>
      <c r="HR46" s="1146">
        <f t="shared" si="73"/>
        <v>0</v>
      </c>
      <c r="HS46" s="1146">
        <f t="shared" si="74"/>
        <v>0</v>
      </c>
      <c r="HT46" s="1256">
        <f t="shared" si="127"/>
        <v>0</v>
      </c>
      <c r="HU46" s="1157">
        <f t="shared" si="128"/>
        <v>0</v>
      </c>
    </row>
    <row r="47" spans="1:229" ht="13.5" customHeight="1" outlineLevel="1" x14ac:dyDescent="0.2">
      <c r="A47" s="474"/>
      <c r="B47" s="1412"/>
      <c r="C47" s="511">
        <v>38</v>
      </c>
      <c r="D47" s="557" t="s">
        <v>30</v>
      </c>
      <c r="E47" s="1721">
        <v>8</v>
      </c>
      <c r="F47" s="558">
        <v>439.5</v>
      </c>
      <c r="G47" s="543">
        <f t="shared" si="129"/>
        <v>54.9375</v>
      </c>
      <c r="H47" s="559">
        <v>0</v>
      </c>
      <c r="I47" s="558">
        <v>0</v>
      </c>
      <c r="J47" s="542">
        <v>0</v>
      </c>
      <c r="K47" s="559">
        <v>0</v>
      </c>
      <c r="L47" s="558">
        <v>0</v>
      </c>
      <c r="M47" s="542">
        <v>0</v>
      </c>
      <c r="N47" s="545">
        <f t="shared" si="130"/>
        <v>439.5</v>
      </c>
      <c r="O47" s="518">
        <v>0</v>
      </c>
      <c r="P47" s="485">
        <v>2760837.68</v>
      </c>
      <c r="Q47" s="518">
        <v>0</v>
      </c>
      <c r="R47" s="519">
        <f t="shared" si="131"/>
        <v>2760837.68</v>
      </c>
      <c r="S47" s="546">
        <f t="shared" si="75"/>
        <v>2760837.68</v>
      </c>
      <c r="T47" s="521">
        <v>534898.39</v>
      </c>
      <c r="U47" s="547">
        <v>0</v>
      </c>
      <c r="V47" s="547">
        <v>0</v>
      </c>
      <c r="W47" s="548">
        <v>0</v>
      </c>
      <c r="X47" s="549">
        <v>0</v>
      </c>
      <c r="Y47" s="549">
        <v>0</v>
      </c>
      <c r="Z47" s="549">
        <v>0</v>
      </c>
      <c r="AA47" s="525">
        <f t="shared" si="76"/>
        <v>0</v>
      </c>
      <c r="AB47" s="524">
        <f t="shared" si="77"/>
        <v>0</v>
      </c>
      <c r="AC47" s="526">
        <f t="shared" si="78"/>
        <v>0</v>
      </c>
      <c r="AD47" s="547">
        <v>0</v>
      </c>
      <c r="AE47" s="547">
        <v>0</v>
      </c>
      <c r="AF47" s="547">
        <v>0</v>
      </c>
      <c r="AG47" s="547">
        <v>0</v>
      </c>
      <c r="AH47" s="363">
        <f t="shared" si="79"/>
        <v>0</v>
      </c>
      <c r="AI47" s="547">
        <f t="shared" si="80"/>
        <v>0</v>
      </c>
      <c r="AJ47" s="550">
        <f t="shared" si="81"/>
        <v>0</v>
      </c>
      <c r="AK47" s="551">
        <f t="shared" si="82"/>
        <v>0</v>
      </c>
      <c r="AL47" s="529"/>
      <c r="AM47" s="502"/>
      <c r="AN47" s="530"/>
      <c r="AO47" s="498"/>
      <c r="AP47" s="499"/>
      <c r="AQ47" s="499"/>
      <c r="AR47" s="499"/>
      <c r="AS47" s="531">
        <f t="shared" si="3"/>
        <v>0</v>
      </c>
      <c r="AT47" s="532">
        <f t="shared" si="4"/>
        <v>0</v>
      </c>
      <c r="AU47" s="529">
        <v>0</v>
      </c>
      <c r="AV47" s="533">
        <v>0</v>
      </c>
      <c r="AW47" s="533">
        <v>0</v>
      </c>
      <c r="AX47" s="533">
        <v>0</v>
      </c>
      <c r="AY47" s="533">
        <f t="shared" si="5"/>
        <v>0</v>
      </c>
      <c r="AZ47" s="534">
        <f t="shared" si="6"/>
        <v>0</v>
      </c>
      <c r="BA47" s="535">
        <f t="shared" si="83"/>
        <v>0</v>
      </c>
      <c r="BB47" s="536">
        <f t="shared" si="84"/>
        <v>0</v>
      </c>
      <c r="BC47" s="523">
        <f t="shared" si="85"/>
        <v>0</v>
      </c>
      <c r="BD47" s="525">
        <f t="shared" si="86"/>
        <v>0</v>
      </c>
      <c r="BE47" s="525">
        <f t="shared" si="87"/>
        <v>0</v>
      </c>
      <c r="BF47" s="525">
        <f t="shared" si="88"/>
        <v>0</v>
      </c>
      <c r="BG47" s="525">
        <f t="shared" si="89"/>
        <v>0</v>
      </c>
      <c r="BH47" s="525">
        <f t="shared" si="90"/>
        <v>0</v>
      </c>
      <c r="BI47" s="526">
        <f t="shared" si="91"/>
        <v>0</v>
      </c>
      <c r="BJ47" s="537">
        <f t="shared" si="92"/>
        <v>0</v>
      </c>
      <c r="BK47" s="538">
        <f t="shared" si="93"/>
        <v>0</v>
      </c>
      <c r="BL47" s="538">
        <f t="shared" si="94"/>
        <v>0</v>
      </c>
      <c r="BM47" s="538">
        <f t="shared" si="95"/>
        <v>0</v>
      </c>
      <c r="BN47" s="538">
        <f t="shared" si="96"/>
        <v>0</v>
      </c>
      <c r="BO47" s="538">
        <f t="shared" si="97"/>
        <v>0</v>
      </c>
      <c r="BP47" s="539">
        <f t="shared" si="98"/>
        <v>0</v>
      </c>
      <c r="BQ47" s="540">
        <f t="shared" si="99"/>
        <v>0</v>
      </c>
      <c r="BR47" s="529"/>
      <c r="BS47" s="502"/>
      <c r="BT47" s="530"/>
      <c r="BU47" s="498"/>
      <c r="BV47" s="499"/>
      <c r="BW47" s="499"/>
      <c r="BX47" s="499"/>
      <c r="BY47" s="531">
        <f t="shared" si="9"/>
        <v>0</v>
      </c>
      <c r="BZ47" s="532">
        <f t="shared" si="10"/>
        <v>0</v>
      </c>
      <c r="CA47" s="529"/>
      <c r="CB47" s="533"/>
      <c r="CC47" s="533"/>
      <c r="CD47" s="533"/>
      <c r="CE47" s="533">
        <f t="shared" si="11"/>
        <v>0</v>
      </c>
      <c r="CF47" s="534">
        <f t="shared" si="12"/>
        <v>0</v>
      </c>
      <c r="CG47" s="774">
        <f t="shared" si="100"/>
        <v>0</v>
      </c>
      <c r="CH47" s="775">
        <f t="shared" si="101"/>
        <v>0</v>
      </c>
      <c r="CI47" s="548">
        <f t="shared" si="102"/>
        <v>0</v>
      </c>
      <c r="CJ47" s="773">
        <f t="shared" si="103"/>
        <v>0</v>
      </c>
      <c r="CK47" s="773">
        <f t="shared" si="104"/>
        <v>0</v>
      </c>
      <c r="CL47" s="773">
        <f t="shared" si="105"/>
        <v>0</v>
      </c>
      <c r="CM47" s="773">
        <f t="shared" si="106"/>
        <v>0</v>
      </c>
      <c r="CN47" s="773">
        <f t="shared" si="107"/>
        <v>0</v>
      </c>
      <c r="CO47" s="626">
        <f t="shared" si="108"/>
        <v>0</v>
      </c>
      <c r="CP47" s="1145">
        <f t="shared" si="109"/>
        <v>0</v>
      </c>
      <c r="CQ47" s="1146">
        <f t="shared" si="110"/>
        <v>0</v>
      </c>
      <c r="CR47" s="1146">
        <f t="shared" si="111"/>
        <v>0</v>
      </c>
      <c r="CS47" s="1146">
        <f t="shared" si="112"/>
        <v>0</v>
      </c>
      <c r="CT47" s="1146">
        <f t="shared" si="113"/>
        <v>0</v>
      </c>
      <c r="CU47" s="1146">
        <f t="shared" si="114"/>
        <v>0</v>
      </c>
      <c r="CV47" s="1256">
        <f t="shared" si="115"/>
        <v>0</v>
      </c>
      <c r="CW47" s="1157">
        <f t="shared" si="116"/>
        <v>0</v>
      </c>
      <c r="CX47" s="529"/>
      <c r="CY47" s="502"/>
      <c r="CZ47" s="530"/>
      <c r="DA47" s="498"/>
      <c r="DB47" s="499"/>
      <c r="DC47" s="499"/>
      <c r="DD47" s="499"/>
      <c r="DE47" s="531">
        <f t="shared" si="15"/>
        <v>0</v>
      </c>
      <c r="DF47" s="532">
        <f t="shared" si="16"/>
        <v>0</v>
      </c>
      <c r="DG47" s="529"/>
      <c r="DH47" s="533"/>
      <c r="DI47" s="533"/>
      <c r="DJ47" s="533"/>
      <c r="DK47" s="533">
        <f t="shared" si="17"/>
        <v>0</v>
      </c>
      <c r="DL47" s="534">
        <f t="shared" si="18"/>
        <v>0</v>
      </c>
      <c r="DM47" s="1258">
        <f t="shared" si="19"/>
        <v>0</v>
      </c>
      <c r="DN47" s="775">
        <f t="shared" si="20"/>
        <v>0</v>
      </c>
      <c r="DO47" s="548">
        <f t="shared" si="21"/>
        <v>0</v>
      </c>
      <c r="DP47" s="773">
        <f t="shared" si="22"/>
        <v>0</v>
      </c>
      <c r="DQ47" s="773">
        <f t="shared" si="23"/>
        <v>0</v>
      </c>
      <c r="DR47" s="773">
        <f t="shared" si="24"/>
        <v>0</v>
      </c>
      <c r="DS47" s="773">
        <f t="shared" si="25"/>
        <v>0</v>
      </c>
      <c r="DT47" s="773">
        <f t="shared" si="26"/>
        <v>0</v>
      </c>
      <c r="DU47" s="526">
        <f t="shared" si="117"/>
        <v>0</v>
      </c>
      <c r="DV47" s="1145">
        <f t="shared" si="27"/>
        <v>0</v>
      </c>
      <c r="DW47" s="1146">
        <f t="shared" si="28"/>
        <v>0</v>
      </c>
      <c r="DX47" s="1146">
        <f t="shared" si="29"/>
        <v>0</v>
      </c>
      <c r="DY47" s="1146">
        <f t="shared" si="30"/>
        <v>0</v>
      </c>
      <c r="DZ47" s="1146">
        <f t="shared" si="31"/>
        <v>0</v>
      </c>
      <c r="EA47" s="1146">
        <f t="shared" si="32"/>
        <v>0</v>
      </c>
      <c r="EB47" s="539">
        <f t="shared" si="118"/>
        <v>0</v>
      </c>
      <c r="EC47" s="540">
        <f t="shared" si="119"/>
        <v>0</v>
      </c>
      <c r="ES47" s="1258">
        <f t="shared" si="33"/>
        <v>0</v>
      </c>
      <c r="ET47" s="775">
        <f t="shared" si="34"/>
        <v>0</v>
      </c>
      <c r="EU47" s="548">
        <f t="shared" si="35"/>
        <v>0</v>
      </c>
      <c r="EV47" s="773">
        <f t="shared" si="36"/>
        <v>0</v>
      </c>
      <c r="EW47" s="773">
        <f t="shared" si="37"/>
        <v>0</v>
      </c>
      <c r="EX47" s="773">
        <f t="shared" si="38"/>
        <v>0</v>
      </c>
      <c r="EY47" s="773">
        <f t="shared" si="39"/>
        <v>0</v>
      </c>
      <c r="EZ47" s="773">
        <f t="shared" si="40"/>
        <v>0</v>
      </c>
      <c r="FA47" s="626">
        <f t="shared" si="120"/>
        <v>0</v>
      </c>
      <c r="FB47" s="1145">
        <f t="shared" si="41"/>
        <v>0</v>
      </c>
      <c r="FC47" s="1146">
        <f t="shared" si="42"/>
        <v>0</v>
      </c>
      <c r="FD47" s="1146">
        <f t="shared" si="43"/>
        <v>0</v>
      </c>
      <c r="FE47" s="1146">
        <f t="shared" si="44"/>
        <v>0</v>
      </c>
      <c r="FF47" s="1146">
        <f t="shared" si="45"/>
        <v>0</v>
      </c>
      <c r="FG47" s="1146">
        <f t="shared" si="46"/>
        <v>0</v>
      </c>
      <c r="FH47" s="1256">
        <f t="shared" si="121"/>
        <v>0</v>
      </c>
      <c r="FI47" s="1157">
        <f t="shared" si="122"/>
        <v>0</v>
      </c>
      <c r="FY47" s="1258">
        <f t="shared" si="47"/>
        <v>0</v>
      </c>
      <c r="FZ47" s="775">
        <f t="shared" si="48"/>
        <v>0</v>
      </c>
      <c r="GA47" s="548">
        <f t="shared" si="49"/>
        <v>0</v>
      </c>
      <c r="GB47" s="773">
        <f t="shared" si="50"/>
        <v>0</v>
      </c>
      <c r="GC47" s="773">
        <f t="shared" si="51"/>
        <v>0</v>
      </c>
      <c r="GD47" s="773">
        <f t="shared" si="52"/>
        <v>0</v>
      </c>
      <c r="GE47" s="773">
        <f t="shared" si="53"/>
        <v>0</v>
      </c>
      <c r="GF47" s="773">
        <f t="shared" si="54"/>
        <v>0</v>
      </c>
      <c r="GG47" s="626">
        <f t="shared" si="123"/>
        <v>0</v>
      </c>
      <c r="GH47" s="1145">
        <f t="shared" si="55"/>
        <v>0</v>
      </c>
      <c r="GI47" s="1146">
        <f t="shared" si="56"/>
        <v>0</v>
      </c>
      <c r="GJ47" s="1146">
        <f t="shared" si="57"/>
        <v>0</v>
      </c>
      <c r="GK47" s="1146">
        <f t="shared" si="58"/>
        <v>0</v>
      </c>
      <c r="GL47" s="1146">
        <f t="shared" si="59"/>
        <v>0</v>
      </c>
      <c r="GM47" s="1146">
        <f t="shared" si="60"/>
        <v>0</v>
      </c>
      <c r="GN47" s="1256">
        <f t="shared" si="124"/>
        <v>0</v>
      </c>
      <c r="GO47" s="1157">
        <f t="shared" si="125"/>
        <v>0</v>
      </c>
      <c r="HE47" s="1675">
        <f t="shared" si="61"/>
        <v>0</v>
      </c>
      <c r="HF47" s="775">
        <f t="shared" si="62"/>
        <v>0</v>
      </c>
      <c r="HG47" s="548">
        <f t="shared" si="63"/>
        <v>0</v>
      </c>
      <c r="HH47" s="773">
        <f t="shared" si="64"/>
        <v>0</v>
      </c>
      <c r="HI47" s="773">
        <f t="shared" si="65"/>
        <v>0</v>
      </c>
      <c r="HJ47" s="773">
        <f t="shared" si="66"/>
        <v>0</v>
      </c>
      <c r="HK47" s="773">
        <f t="shared" si="67"/>
        <v>0</v>
      </c>
      <c r="HL47" s="773">
        <f t="shared" si="68"/>
        <v>0</v>
      </c>
      <c r="HM47" s="626">
        <f t="shared" si="126"/>
        <v>0</v>
      </c>
      <c r="HN47" s="1145">
        <f t="shared" si="69"/>
        <v>0</v>
      </c>
      <c r="HO47" s="1146">
        <f t="shared" si="70"/>
        <v>0</v>
      </c>
      <c r="HP47" s="1146">
        <f t="shared" si="71"/>
        <v>0</v>
      </c>
      <c r="HQ47" s="1146">
        <f t="shared" si="72"/>
        <v>0</v>
      </c>
      <c r="HR47" s="1146">
        <f t="shared" si="73"/>
        <v>0</v>
      </c>
      <c r="HS47" s="1146">
        <f t="shared" si="74"/>
        <v>0</v>
      </c>
      <c r="HT47" s="1256">
        <f t="shared" si="127"/>
        <v>0</v>
      </c>
      <c r="HU47" s="1157">
        <f t="shared" si="128"/>
        <v>0</v>
      </c>
    </row>
    <row r="48" spans="1:229" ht="13.5" customHeight="1" outlineLevel="1" x14ac:dyDescent="0.2">
      <c r="A48" s="474"/>
      <c r="B48" s="1412"/>
      <c r="C48" s="511">
        <v>39</v>
      </c>
      <c r="D48" s="561" t="s">
        <v>63</v>
      </c>
      <c r="E48" s="565">
        <v>20</v>
      </c>
      <c r="F48" s="566">
        <v>1370.24</v>
      </c>
      <c r="G48" s="543">
        <f t="shared" si="129"/>
        <v>68.512</v>
      </c>
      <c r="H48" s="516">
        <v>0</v>
      </c>
      <c r="I48" s="258">
        <v>0</v>
      </c>
      <c r="J48" s="542">
        <v>0</v>
      </c>
      <c r="K48" s="516">
        <v>0</v>
      </c>
      <c r="L48" s="258">
        <v>0</v>
      </c>
      <c r="M48" s="542">
        <v>0</v>
      </c>
      <c r="N48" s="545">
        <f t="shared" si="130"/>
        <v>1370.24</v>
      </c>
      <c r="O48" s="518">
        <v>0</v>
      </c>
      <c r="P48" s="485">
        <v>7622164.4900000012</v>
      </c>
      <c r="Q48" s="518">
        <v>1243599.6000000001</v>
      </c>
      <c r="R48" s="519">
        <f t="shared" si="131"/>
        <v>8865764.0900000017</v>
      </c>
      <c r="S48" s="546">
        <f t="shared" si="75"/>
        <v>8865764.0900000017</v>
      </c>
      <c r="T48" s="521">
        <v>1860877.14</v>
      </c>
      <c r="U48" s="547">
        <v>0</v>
      </c>
      <c r="V48" s="547">
        <v>0</v>
      </c>
      <c r="W48" s="548">
        <v>0</v>
      </c>
      <c r="X48" s="549">
        <v>0</v>
      </c>
      <c r="Y48" s="549">
        <v>0</v>
      </c>
      <c r="Z48" s="549">
        <v>0</v>
      </c>
      <c r="AA48" s="525">
        <f t="shared" si="76"/>
        <v>0</v>
      </c>
      <c r="AB48" s="524">
        <f t="shared" si="77"/>
        <v>0</v>
      </c>
      <c r="AC48" s="526">
        <f t="shared" si="78"/>
        <v>0</v>
      </c>
      <c r="AD48" s="547">
        <v>0</v>
      </c>
      <c r="AE48" s="547">
        <v>0</v>
      </c>
      <c r="AF48" s="547">
        <v>0</v>
      </c>
      <c r="AG48" s="547">
        <v>0</v>
      </c>
      <c r="AH48" s="363">
        <f t="shared" si="79"/>
        <v>0</v>
      </c>
      <c r="AI48" s="547">
        <f t="shared" si="80"/>
        <v>0</v>
      </c>
      <c r="AJ48" s="550">
        <f t="shared" si="81"/>
        <v>0</v>
      </c>
      <c r="AK48" s="551">
        <f t="shared" si="82"/>
        <v>0</v>
      </c>
      <c r="AL48" s="529"/>
      <c r="AM48" s="502"/>
      <c r="AN48" s="530"/>
      <c r="AO48" s="498"/>
      <c r="AP48" s="499"/>
      <c r="AQ48" s="499"/>
      <c r="AR48" s="499"/>
      <c r="AS48" s="531">
        <f t="shared" si="3"/>
        <v>0</v>
      </c>
      <c r="AT48" s="532">
        <f t="shared" si="4"/>
        <v>0</v>
      </c>
      <c r="AU48" s="529">
        <v>0</v>
      </c>
      <c r="AV48" s="533">
        <v>0</v>
      </c>
      <c r="AW48" s="533">
        <v>0</v>
      </c>
      <c r="AX48" s="533">
        <v>0</v>
      </c>
      <c r="AY48" s="533">
        <f t="shared" si="5"/>
        <v>0</v>
      </c>
      <c r="AZ48" s="534">
        <f t="shared" si="6"/>
        <v>0</v>
      </c>
      <c r="BA48" s="535">
        <f t="shared" si="83"/>
        <v>0</v>
      </c>
      <c r="BB48" s="536">
        <f t="shared" si="84"/>
        <v>0</v>
      </c>
      <c r="BC48" s="523">
        <f t="shared" si="85"/>
        <v>0</v>
      </c>
      <c r="BD48" s="525">
        <f t="shared" si="86"/>
        <v>0</v>
      </c>
      <c r="BE48" s="525">
        <f t="shared" si="87"/>
        <v>0</v>
      </c>
      <c r="BF48" s="525">
        <f t="shared" si="88"/>
        <v>0</v>
      </c>
      <c r="BG48" s="525">
        <f t="shared" si="89"/>
        <v>0</v>
      </c>
      <c r="BH48" s="525">
        <f t="shared" si="90"/>
        <v>0</v>
      </c>
      <c r="BI48" s="526">
        <f t="shared" si="91"/>
        <v>0</v>
      </c>
      <c r="BJ48" s="537">
        <f t="shared" si="92"/>
        <v>0</v>
      </c>
      <c r="BK48" s="538">
        <f t="shared" si="93"/>
        <v>0</v>
      </c>
      <c r="BL48" s="538">
        <f t="shared" si="94"/>
        <v>0</v>
      </c>
      <c r="BM48" s="538">
        <f t="shared" si="95"/>
        <v>0</v>
      </c>
      <c r="BN48" s="538">
        <f t="shared" si="96"/>
        <v>0</v>
      </c>
      <c r="BO48" s="538">
        <f t="shared" si="97"/>
        <v>0</v>
      </c>
      <c r="BP48" s="539">
        <f t="shared" si="98"/>
        <v>0</v>
      </c>
      <c r="BQ48" s="540">
        <f t="shared" si="99"/>
        <v>0</v>
      </c>
      <c r="BR48" s="529"/>
      <c r="BS48" s="502"/>
      <c r="BT48" s="530"/>
      <c r="BU48" s="498"/>
      <c r="BV48" s="499"/>
      <c r="BW48" s="499"/>
      <c r="BX48" s="499"/>
      <c r="BY48" s="531">
        <f t="shared" si="9"/>
        <v>0</v>
      </c>
      <c r="BZ48" s="532">
        <f t="shared" si="10"/>
        <v>0</v>
      </c>
      <c r="CA48" s="529"/>
      <c r="CB48" s="533"/>
      <c r="CC48" s="533"/>
      <c r="CD48" s="533"/>
      <c r="CE48" s="533">
        <f t="shared" si="11"/>
        <v>0</v>
      </c>
      <c r="CF48" s="534">
        <f t="shared" si="12"/>
        <v>0</v>
      </c>
      <c r="CG48" s="774">
        <f t="shared" si="100"/>
        <v>0</v>
      </c>
      <c r="CH48" s="775">
        <f t="shared" si="101"/>
        <v>0</v>
      </c>
      <c r="CI48" s="548">
        <f t="shared" si="102"/>
        <v>0</v>
      </c>
      <c r="CJ48" s="773">
        <f t="shared" si="103"/>
        <v>0</v>
      </c>
      <c r="CK48" s="773">
        <f t="shared" si="104"/>
        <v>0</v>
      </c>
      <c r="CL48" s="773">
        <f t="shared" si="105"/>
        <v>0</v>
      </c>
      <c r="CM48" s="773">
        <f t="shared" si="106"/>
        <v>0</v>
      </c>
      <c r="CN48" s="773">
        <f t="shared" si="107"/>
        <v>0</v>
      </c>
      <c r="CO48" s="626">
        <f t="shared" si="108"/>
        <v>0</v>
      </c>
      <c r="CP48" s="1145">
        <f t="shared" si="109"/>
        <v>0</v>
      </c>
      <c r="CQ48" s="1146">
        <f t="shared" si="110"/>
        <v>0</v>
      </c>
      <c r="CR48" s="1146">
        <f t="shared" si="111"/>
        <v>0</v>
      </c>
      <c r="CS48" s="1146">
        <f t="shared" si="112"/>
        <v>0</v>
      </c>
      <c r="CT48" s="1146">
        <f t="shared" si="113"/>
        <v>0</v>
      </c>
      <c r="CU48" s="1146">
        <f t="shared" si="114"/>
        <v>0</v>
      </c>
      <c r="CV48" s="1256">
        <f t="shared" si="115"/>
        <v>0</v>
      </c>
      <c r="CW48" s="1157">
        <f t="shared" si="116"/>
        <v>0</v>
      </c>
      <c r="CX48" s="529"/>
      <c r="CY48" s="502"/>
      <c r="CZ48" s="530"/>
      <c r="DA48" s="498"/>
      <c r="DB48" s="499"/>
      <c r="DC48" s="499"/>
      <c r="DD48" s="499"/>
      <c r="DE48" s="531">
        <f t="shared" si="15"/>
        <v>0</v>
      </c>
      <c r="DF48" s="532">
        <f t="shared" si="16"/>
        <v>0</v>
      </c>
      <c r="DG48" s="529"/>
      <c r="DH48" s="533"/>
      <c r="DI48" s="533"/>
      <c r="DJ48" s="533"/>
      <c r="DK48" s="533">
        <f t="shared" si="17"/>
        <v>0</v>
      </c>
      <c r="DL48" s="534">
        <f t="shared" si="18"/>
        <v>0</v>
      </c>
      <c r="DM48" s="1258">
        <f t="shared" si="19"/>
        <v>0</v>
      </c>
      <c r="DN48" s="775">
        <f t="shared" si="20"/>
        <v>0</v>
      </c>
      <c r="DO48" s="548">
        <f t="shared" si="21"/>
        <v>0</v>
      </c>
      <c r="DP48" s="773">
        <f t="shared" si="22"/>
        <v>0</v>
      </c>
      <c r="DQ48" s="773">
        <f t="shared" si="23"/>
        <v>0</v>
      </c>
      <c r="DR48" s="773">
        <f t="shared" si="24"/>
        <v>0</v>
      </c>
      <c r="DS48" s="773">
        <f t="shared" si="25"/>
        <v>0</v>
      </c>
      <c r="DT48" s="773">
        <f t="shared" si="26"/>
        <v>0</v>
      </c>
      <c r="DU48" s="526">
        <f t="shared" si="117"/>
        <v>0</v>
      </c>
      <c r="DV48" s="1145">
        <f t="shared" si="27"/>
        <v>0</v>
      </c>
      <c r="DW48" s="1146">
        <f t="shared" si="28"/>
        <v>0</v>
      </c>
      <c r="DX48" s="1146">
        <f t="shared" si="29"/>
        <v>0</v>
      </c>
      <c r="DY48" s="1146">
        <f t="shared" si="30"/>
        <v>0</v>
      </c>
      <c r="DZ48" s="1146">
        <f t="shared" si="31"/>
        <v>0</v>
      </c>
      <c r="EA48" s="1146">
        <f t="shared" si="32"/>
        <v>0</v>
      </c>
      <c r="EB48" s="539">
        <f t="shared" si="118"/>
        <v>0</v>
      </c>
      <c r="EC48" s="540">
        <f t="shared" si="119"/>
        <v>0</v>
      </c>
      <c r="ES48" s="1258">
        <f t="shared" si="33"/>
        <v>0</v>
      </c>
      <c r="ET48" s="775">
        <f t="shared" si="34"/>
        <v>0</v>
      </c>
      <c r="EU48" s="548">
        <f t="shared" si="35"/>
        <v>0</v>
      </c>
      <c r="EV48" s="773">
        <f t="shared" si="36"/>
        <v>0</v>
      </c>
      <c r="EW48" s="773">
        <f t="shared" si="37"/>
        <v>0</v>
      </c>
      <c r="EX48" s="773">
        <f t="shared" si="38"/>
        <v>0</v>
      </c>
      <c r="EY48" s="773">
        <f t="shared" si="39"/>
        <v>0</v>
      </c>
      <c r="EZ48" s="773">
        <f t="shared" si="40"/>
        <v>0</v>
      </c>
      <c r="FA48" s="626">
        <f t="shared" si="120"/>
        <v>0</v>
      </c>
      <c r="FB48" s="1145">
        <f t="shared" si="41"/>
        <v>0</v>
      </c>
      <c r="FC48" s="1146">
        <f t="shared" si="42"/>
        <v>0</v>
      </c>
      <c r="FD48" s="1146">
        <f t="shared" si="43"/>
        <v>0</v>
      </c>
      <c r="FE48" s="1146">
        <f t="shared" si="44"/>
        <v>0</v>
      </c>
      <c r="FF48" s="1146">
        <f t="shared" si="45"/>
        <v>0</v>
      </c>
      <c r="FG48" s="1146">
        <f t="shared" si="46"/>
        <v>0</v>
      </c>
      <c r="FH48" s="1256">
        <f t="shared" si="121"/>
        <v>0</v>
      </c>
      <c r="FI48" s="1157">
        <f t="shared" si="122"/>
        <v>0</v>
      </c>
      <c r="FY48" s="1258">
        <f t="shared" si="47"/>
        <v>0</v>
      </c>
      <c r="FZ48" s="775">
        <f t="shared" si="48"/>
        <v>0</v>
      </c>
      <c r="GA48" s="548">
        <f t="shared" si="49"/>
        <v>0</v>
      </c>
      <c r="GB48" s="773">
        <f t="shared" si="50"/>
        <v>0</v>
      </c>
      <c r="GC48" s="773">
        <f t="shared" si="51"/>
        <v>0</v>
      </c>
      <c r="GD48" s="773">
        <f t="shared" si="52"/>
        <v>0</v>
      </c>
      <c r="GE48" s="773">
        <f t="shared" si="53"/>
        <v>0</v>
      </c>
      <c r="GF48" s="773">
        <f t="shared" si="54"/>
        <v>0</v>
      </c>
      <c r="GG48" s="626">
        <f t="shared" si="123"/>
        <v>0</v>
      </c>
      <c r="GH48" s="1145">
        <f t="shared" si="55"/>
        <v>0</v>
      </c>
      <c r="GI48" s="1146">
        <f t="shared" si="56"/>
        <v>0</v>
      </c>
      <c r="GJ48" s="1146">
        <f t="shared" si="57"/>
        <v>0</v>
      </c>
      <c r="GK48" s="1146">
        <f t="shared" si="58"/>
        <v>0</v>
      </c>
      <c r="GL48" s="1146">
        <f t="shared" si="59"/>
        <v>0</v>
      </c>
      <c r="GM48" s="1146">
        <f t="shared" si="60"/>
        <v>0</v>
      </c>
      <c r="GN48" s="1256">
        <f t="shared" si="124"/>
        <v>0</v>
      </c>
      <c r="GO48" s="1157">
        <f t="shared" si="125"/>
        <v>0</v>
      </c>
      <c r="HE48" s="1675">
        <f t="shared" si="61"/>
        <v>0</v>
      </c>
      <c r="HF48" s="775">
        <f t="shared" si="62"/>
        <v>0</v>
      </c>
      <c r="HG48" s="548">
        <f t="shared" si="63"/>
        <v>0</v>
      </c>
      <c r="HH48" s="773">
        <f t="shared" si="64"/>
        <v>0</v>
      </c>
      <c r="HI48" s="773">
        <f t="shared" si="65"/>
        <v>0</v>
      </c>
      <c r="HJ48" s="773">
        <f t="shared" si="66"/>
        <v>0</v>
      </c>
      <c r="HK48" s="773">
        <f t="shared" si="67"/>
        <v>0</v>
      </c>
      <c r="HL48" s="773">
        <f t="shared" si="68"/>
        <v>0</v>
      </c>
      <c r="HM48" s="626">
        <f t="shared" si="126"/>
        <v>0</v>
      </c>
      <c r="HN48" s="1145">
        <f t="shared" si="69"/>
        <v>0</v>
      </c>
      <c r="HO48" s="1146">
        <f t="shared" si="70"/>
        <v>0</v>
      </c>
      <c r="HP48" s="1146">
        <f t="shared" si="71"/>
        <v>0</v>
      </c>
      <c r="HQ48" s="1146">
        <f t="shared" si="72"/>
        <v>0</v>
      </c>
      <c r="HR48" s="1146">
        <f t="shared" si="73"/>
        <v>0</v>
      </c>
      <c r="HS48" s="1146">
        <f t="shared" si="74"/>
        <v>0</v>
      </c>
      <c r="HT48" s="1256">
        <f t="shared" si="127"/>
        <v>0</v>
      </c>
      <c r="HU48" s="1157">
        <f t="shared" si="128"/>
        <v>0</v>
      </c>
    </row>
    <row r="49" spans="1:229" ht="13.5" customHeight="1" outlineLevel="1" x14ac:dyDescent="0.2">
      <c r="A49" s="474"/>
      <c r="B49" s="1412"/>
      <c r="C49" s="511">
        <v>40</v>
      </c>
      <c r="D49" s="557" t="s">
        <v>31</v>
      </c>
      <c r="E49" s="1721">
        <v>12</v>
      </c>
      <c r="F49" s="558">
        <v>831.48</v>
      </c>
      <c r="G49" s="543">
        <f t="shared" si="129"/>
        <v>69.290000000000006</v>
      </c>
      <c r="H49" s="559">
        <v>0</v>
      </c>
      <c r="I49" s="558">
        <v>0</v>
      </c>
      <c r="J49" s="542">
        <v>0</v>
      </c>
      <c r="K49" s="559">
        <v>0</v>
      </c>
      <c r="L49" s="558">
        <v>0</v>
      </c>
      <c r="M49" s="542">
        <v>0</v>
      </c>
      <c r="N49" s="545">
        <f t="shared" si="130"/>
        <v>831.48</v>
      </c>
      <c r="O49" s="518">
        <v>0</v>
      </c>
      <c r="P49" s="485">
        <v>4068400.55</v>
      </c>
      <c r="Q49" s="518">
        <v>973900.09</v>
      </c>
      <c r="R49" s="519">
        <f t="shared" si="131"/>
        <v>5042300.6399999997</v>
      </c>
      <c r="S49" s="546">
        <f t="shared" si="75"/>
        <v>5042300.6399999997</v>
      </c>
      <c r="T49" s="521">
        <v>1106712.55</v>
      </c>
      <c r="U49" s="547">
        <v>0</v>
      </c>
      <c r="V49" s="547">
        <v>0</v>
      </c>
      <c r="W49" s="548">
        <v>0</v>
      </c>
      <c r="X49" s="549">
        <v>0</v>
      </c>
      <c r="Y49" s="549">
        <v>0</v>
      </c>
      <c r="Z49" s="549">
        <v>0</v>
      </c>
      <c r="AA49" s="525">
        <f t="shared" si="76"/>
        <v>0</v>
      </c>
      <c r="AB49" s="524">
        <f t="shared" si="77"/>
        <v>0</v>
      </c>
      <c r="AC49" s="526">
        <f t="shared" si="78"/>
        <v>0</v>
      </c>
      <c r="AD49" s="547">
        <v>0</v>
      </c>
      <c r="AE49" s="547">
        <v>0</v>
      </c>
      <c r="AF49" s="547">
        <v>0</v>
      </c>
      <c r="AG49" s="547">
        <v>0</v>
      </c>
      <c r="AH49" s="363">
        <f t="shared" si="79"/>
        <v>0</v>
      </c>
      <c r="AI49" s="547">
        <f t="shared" si="80"/>
        <v>0</v>
      </c>
      <c r="AJ49" s="550">
        <f t="shared" si="81"/>
        <v>0</v>
      </c>
      <c r="AK49" s="551">
        <f t="shared" si="82"/>
        <v>0</v>
      </c>
      <c r="AL49" s="529"/>
      <c r="AM49" s="502"/>
      <c r="AN49" s="530"/>
      <c r="AO49" s="498"/>
      <c r="AP49" s="499"/>
      <c r="AQ49" s="499"/>
      <c r="AR49" s="499"/>
      <c r="AS49" s="531">
        <f t="shared" si="3"/>
        <v>0</v>
      </c>
      <c r="AT49" s="532">
        <f t="shared" si="4"/>
        <v>0</v>
      </c>
      <c r="AU49" s="529">
        <v>0</v>
      </c>
      <c r="AV49" s="533">
        <v>0</v>
      </c>
      <c r="AW49" s="533">
        <v>0</v>
      </c>
      <c r="AX49" s="533">
        <v>0</v>
      </c>
      <c r="AY49" s="533">
        <f t="shared" si="5"/>
        <v>0</v>
      </c>
      <c r="AZ49" s="534">
        <f t="shared" si="6"/>
        <v>0</v>
      </c>
      <c r="BA49" s="535">
        <f t="shared" si="83"/>
        <v>0</v>
      </c>
      <c r="BB49" s="536">
        <f t="shared" si="84"/>
        <v>0</v>
      </c>
      <c r="BC49" s="523">
        <f t="shared" si="85"/>
        <v>0</v>
      </c>
      <c r="BD49" s="525">
        <f t="shared" si="86"/>
        <v>0</v>
      </c>
      <c r="BE49" s="525">
        <f t="shared" si="87"/>
        <v>0</v>
      </c>
      <c r="BF49" s="525">
        <f t="shared" si="88"/>
        <v>0</v>
      </c>
      <c r="BG49" s="525">
        <f t="shared" si="89"/>
        <v>0</v>
      </c>
      <c r="BH49" s="525">
        <f t="shared" si="90"/>
        <v>0</v>
      </c>
      <c r="BI49" s="526">
        <f t="shared" si="91"/>
        <v>0</v>
      </c>
      <c r="BJ49" s="537">
        <f t="shared" si="92"/>
        <v>0</v>
      </c>
      <c r="BK49" s="538">
        <f t="shared" si="93"/>
        <v>0</v>
      </c>
      <c r="BL49" s="538">
        <f t="shared" si="94"/>
        <v>0</v>
      </c>
      <c r="BM49" s="538">
        <f t="shared" si="95"/>
        <v>0</v>
      </c>
      <c r="BN49" s="538">
        <f t="shared" si="96"/>
        <v>0</v>
      </c>
      <c r="BO49" s="538">
        <f t="shared" si="97"/>
        <v>0</v>
      </c>
      <c r="BP49" s="539">
        <f t="shared" si="98"/>
        <v>0</v>
      </c>
      <c r="BQ49" s="540">
        <f t="shared" si="99"/>
        <v>0</v>
      </c>
      <c r="BR49" s="529"/>
      <c r="BS49" s="502"/>
      <c r="BT49" s="530"/>
      <c r="BU49" s="498"/>
      <c r="BV49" s="499"/>
      <c r="BW49" s="499"/>
      <c r="BX49" s="499"/>
      <c r="BY49" s="531">
        <f t="shared" si="9"/>
        <v>0</v>
      </c>
      <c r="BZ49" s="532">
        <f t="shared" si="10"/>
        <v>0</v>
      </c>
      <c r="CA49" s="529"/>
      <c r="CB49" s="533"/>
      <c r="CC49" s="533"/>
      <c r="CD49" s="533"/>
      <c r="CE49" s="533">
        <f t="shared" si="11"/>
        <v>0</v>
      </c>
      <c r="CF49" s="534">
        <f t="shared" si="12"/>
        <v>0</v>
      </c>
      <c r="CG49" s="774">
        <f t="shared" si="100"/>
        <v>0</v>
      </c>
      <c r="CH49" s="775">
        <f t="shared" si="101"/>
        <v>0</v>
      </c>
      <c r="CI49" s="548">
        <f t="shared" si="102"/>
        <v>0</v>
      </c>
      <c r="CJ49" s="773">
        <f t="shared" si="103"/>
        <v>0</v>
      </c>
      <c r="CK49" s="773">
        <f t="shared" si="104"/>
        <v>0</v>
      </c>
      <c r="CL49" s="773">
        <f t="shared" si="105"/>
        <v>0</v>
      </c>
      <c r="CM49" s="773">
        <f t="shared" si="106"/>
        <v>0</v>
      </c>
      <c r="CN49" s="773">
        <f t="shared" si="107"/>
        <v>0</v>
      </c>
      <c r="CO49" s="626">
        <f t="shared" si="108"/>
        <v>0</v>
      </c>
      <c r="CP49" s="1145">
        <f t="shared" si="109"/>
        <v>0</v>
      </c>
      <c r="CQ49" s="1146">
        <f t="shared" si="110"/>
        <v>0</v>
      </c>
      <c r="CR49" s="1146">
        <f t="shared" si="111"/>
        <v>0</v>
      </c>
      <c r="CS49" s="1146">
        <f t="shared" si="112"/>
        <v>0</v>
      </c>
      <c r="CT49" s="1146">
        <f t="shared" si="113"/>
        <v>0</v>
      </c>
      <c r="CU49" s="1146">
        <f t="shared" si="114"/>
        <v>0</v>
      </c>
      <c r="CV49" s="1256">
        <f t="shared" si="115"/>
        <v>0</v>
      </c>
      <c r="CW49" s="1157">
        <f t="shared" si="116"/>
        <v>0</v>
      </c>
      <c r="CX49" s="529"/>
      <c r="CY49" s="502"/>
      <c r="CZ49" s="530"/>
      <c r="DA49" s="498"/>
      <c r="DB49" s="499"/>
      <c r="DC49" s="499"/>
      <c r="DD49" s="499"/>
      <c r="DE49" s="531">
        <f t="shared" si="15"/>
        <v>0</v>
      </c>
      <c r="DF49" s="532">
        <f t="shared" si="16"/>
        <v>0</v>
      </c>
      <c r="DG49" s="529"/>
      <c r="DH49" s="533"/>
      <c r="DI49" s="533"/>
      <c r="DJ49" s="533"/>
      <c r="DK49" s="533">
        <f t="shared" si="17"/>
        <v>0</v>
      </c>
      <c r="DL49" s="534">
        <f t="shared" si="18"/>
        <v>0</v>
      </c>
      <c r="DM49" s="1258">
        <f t="shared" si="19"/>
        <v>0</v>
      </c>
      <c r="DN49" s="775">
        <f t="shared" si="20"/>
        <v>0</v>
      </c>
      <c r="DO49" s="548">
        <f t="shared" si="21"/>
        <v>0</v>
      </c>
      <c r="DP49" s="773">
        <f t="shared" si="22"/>
        <v>0</v>
      </c>
      <c r="DQ49" s="773">
        <f t="shared" si="23"/>
        <v>0</v>
      </c>
      <c r="DR49" s="773">
        <f t="shared" si="24"/>
        <v>0</v>
      </c>
      <c r="DS49" s="773">
        <f t="shared" si="25"/>
        <v>0</v>
      </c>
      <c r="DT49" s="773">
        <f t="shared" si="26"/>
        <v>0</v>
      </c>
      <c r="DU49" s="526">
        <f t="shared" si="117"/>
        <v>0</v>
      </c>
      <c r="DV49" s="1145">
        <f t="shared" si="27"/>
        <v>0</v>
      </c>
      <c r="DW49" s="1146">
        <f t="shared" si="28"/>
        <v>0</v>
      </c>
      <c r="DX49" s="1146">
        <f t="shared" si="29"/>
        <v>0</v>
      </c>
      <c r="DY49" s="1146">
        <f t="shared" si="30"/>
        <v>0</v>
      </c>
      <c r="DZ49" s="1146">
        <f t="shared" si="31"/>
        <v>0</v>
      </c>
      <c r="EA49" s="1146">
        <f t="shared" si="32"/>
        <v>0</v>
      </c>
      <c r="EB49" s="539">
        <f t="shared" si="118"/>
        <v>0</v>
      </c>
      <c r="EC49" s="540">
        <f t="shared" si="119"/>
        <v>0</v>
      </c>
      <c r="ES49" s="1258">
        <f t="shared" si="33"/>
        <v>0</v>
      </c>
      <c r="ET49" s="775">
        <f t="shared" si="34"/>
        <v>0</v>
      </c>
      <c r="EU49" s="548">
        <f t="shared" si="35"/>
        <v>0</v>
      </c>
      <c r="EV49" s="773">
        <f t="shared" si="36"/>
        <v>0</v>
      </c>
      <c r="EW49" s="773">
        <f t="shared" si="37"/>
        <v>0</v>
      </c>
      <c r="EX49" s="773">
        <f t="shared" si="38"/>
        <v>0</v>
      </c>
      <c r="EY49" s="773">
        <f t="shared" si="39"/>
        <v>0</v>
      </c>
      <c r="EZ49" s="773">
        <f t="shared" si="40"/>
        <v>0</v>
      </c>
      <c r="FA49" s="626">
        <f t="shared" si="120"/>
        <v>0</v>
      </c>
      <c r="FB49" s="1145">
        <f t="shared" si="41"/>
        <v>0</v>
      </c>
      <c r="FC49" s="1146">
        <f t="shared" si="42"/>
        <v>0</v>
      </c>
      <c r="FD49" s="1146">
        <f t="shared" si="43"/>
        <v>0</v>
      </c>
      <c r="FE49" s="1146">
        <f t="shared" si="44"/>
        <v>0</v>
      </c>
      <c r="FF49" s="1146">
        <f t="shared" si="45"/>
        <v>0</v>
      </c>
      <c r="FG49" s="1146">
        <f t="shared" si="46"/>
        <v>0</v>
      </c>
      <c r="FH49" s="1256">
        <f t="shared" si="121"/>
        <v>0</v>
      </c>
      <c r="FI49" s="1157">
        <f t="shared" si="122"/>
        <v>0</v>
      </c>
      <c r="FY49" s="1258">
        <f t="shared" si="47"/>
        <v>0</v>
      </c>
      <c r="FZ49" s="775">
        <f t="shared" si="48"/>
        <v>0</v>
      </c>
      <c r="GA49" s="548">
        <f t="shared" si="49"/>
        <v>0</v>
      </c>
      <c r="GB49" s="773">
        <f t="shared" si="50"/>
        <v>0</v>
      </c>
      <c r="GC49" s="773">
        <f t="shared" si="51"/>
        <v>0</v>
      </c>
      <c r="GD49" s="773">
        <f t="shared" si="52"/>
        <v>0</v>
      </c>
      <c r="GE49" s="773">
        <f t="shared" si="53"/>
        <v>0</v>
      </c>
      <c r="GF49" s="773">
        <f t="shared" si="54"/>
        <v>0</v>
      </c>
      <c r="GG49" s="626">
        <f t="shared" si="123"/>
        <v>0</v>
      </c>
      <c r="GH49" s="1145">
        <f t="shared" si="55"/>
        <v>0</v>
      </c>
      <c r="GI49" s="1146">
        <f t="shared" si="56"/>
        <v>0</v>
      </c>
      <c r="GJ49" s="1146">
        <f t="shared" si="57"/>
        <v>0</v>
      </c>
      <c r="GK49" s="1146">
        <f t="shared" si="58"/>
        <v>0</v>
      </c>
      <c r="GL49" s="1146">
        <f t="shared" si="59"/>
        <v>0</v>
      </c>
      <c r="GM49" s="1146">
        <f t="shared" si="60"/>
        <v>0</v>
      </c>
      <c r="GN49" s="1256">
        <f t="shared" si="124"/>
        <v>0</v>
      </c>
      <c r="GO49" s="1157">
        <f t="shared" si="125"/>
        <v>0</v>
      </c>
      <c r="HE49" s="1675">
        <f t="shared" si="61"/>
        <v>0</v>
      </c>
      <c r="HF49" s="775">
        <f t="shared" si="62"/>
        <v>0</v>
      </c>
      <c r="HG49" s="548">
        <f t="shared" si="63"/>
        <v>0</v>
      </c>
      <c r="HH49" s="773">
        <f t="shared" si="64"/>
        <v>0</v>
      </c>
      <c r="HI49" s="773">
        <f t="shared" si="65"/>
        <v>0</v>
      </c>
      <c r="HJ49" s="773">
        <f t="shared" si="66"/>
        <v>0</v>
      </c>
      <c r="HK49" s="773">
        <f t="shared" si="67"/>
        <v>0</v>
      </c>
      <c r="HL49" s="773">
        <f t="shared" si="68"/>
        <v>0</v>
      </c>
      <c r="HM49" s="626">
        <f t="shared" si="126"/>
        <v>0</v>
      </c>
      <c r="HN49" s="1145">
        <f t="shared" si="69"/>
        <v>0</v>
      </c>
      <c r="HO49" s="1146">
        <f t="shared" si="70"/>
        <v>0</v>
      </c>
      <c r="HP49" s="1146">
        <f t="shared" si="71"/>
        <v>0</v>
      </c>
      <c r="HQ49" s="1146">
        <f t="shared" si="72"/>
        <v>0</v>
      </c>
      <c r="HR49" s="1146">
        <f t="shared" si="73"/>
        <v>0</v>
      </c>
      <c r="HS49" s="1146">
        <f t="shared" si="74"/>
        <v>0</v>
      </c>
      <c r="HT49" s="1256">
        <f t="shared" si="127"/>
        <v>0</v>
      </c>
      <c r="HU49" s="1157">
        <f t="shared" si="128"/>
        <v>0</v>
      </c>
    </row>
    <row r="50" spans="1:229" ht="13.5" customHeight="1" outlineLevel="1" x14ac:dyDescent="0.2">
      <c r="A50" s="474"/>
      <c r="B50" s="1412"/>
      <c r="C50" s="511">
        <v>41</v>
      </c>
      <c r="D50" s="561" t="s">
        <v>64</v>
      </c>
      <c r="E50" s="513">
        <v>26</v>
      </c>
      <c r="F50" s="514">
        <v>1561.23</v>
      </c>
      <c r="G50" s="543">
        <f t="shared" si="129"/>
        <v>60.04730769230769</v>
      </c>
      <c r="H50" s="516">
        <v>0</v>
      </c>
      <c r="I50" s="258">
        <v>0</v>
      </c>
      <c r="J50" s="542">
        <v>0</v>
      </c>
      <c r="K50" s="516">
        <v>0</v>
      </c>
      <c r="L50" s="258">
        <v>0</v>
      </c>
      <c r="M50" s="542">
        <v>0</v>
      </c>
      <c r="N50" s="545">
        <f t="shared" si="130"/>
        <v>1561.23</v>
      </c>
      <c r="O50" s="518">
        <v>0</v>
      </c>
      <c r="P50" s="485">
        <v>9102926.7799999993</v>
      </c>
      <c r="Q50" s="518">
        <v>2057278.44</v>
      </c>
      <c r="R50" s="519">
        <f t="shared" si="131"/>
        <v>11160205.219999999</v>
      </c>
      <c r="S50" s="546">
        <f t="shared" si="75"/>
        <v>11160205.219999999</v>
      </c>
      <c r="T50" s="521">
        <v>2086104.44</v>
      </c>
      <c r="U50" s="547">
        <v>0</v>
      </c>
      <c r="V50" s="547">
        <v>0</v>
      </c>
      <c r="W50" s="548">
        <v>0</v>
      </c>
      <c r="X50" s="549">
        <v>0</v>
      </c>
      <c r="Y50" s="549">
        <v>0</v>
      </c>
      <c r="Z50" s="549">
        <v>0</v>
      </c>
      <c r="AA50" s="525">
        <f t="shared" si="76"/>
        <v>0</v>
      </c>
      <c r="AB50" s="524">
        <f t="shared" si="77"/>
        <v>0</v>
      </c>
      <c r="AC50" s="526">
        <f t="shared" si="78"/>
        <v>0</v>
      </c>
      <c r="AD50" s="547">
        <v>0</v>
      </c>
      <c r="AE50" s="547">
        <v>0</v>
      </c>
      <c r="AF50" s="547">
        <v>0</v>
      </c>
      <c r="AG50" s="547">
        <v>0</v>
      </c>
      <c r="AH50" s="363">
        <f t="shared" si="79"/>
        <v>0</v>
      </c>
      <c r="AI50" s="547">
        <f t="shared" si="80"/>
        <v>0</v>
      </c>
      <c r="AJ50" s="550">
        <f t="shared" si="81"/>
        <v>0</v>
      </c>
      <c r="AK50" s="551">
        <f t="shared" si="82"/>
        <v>0</v>
      </c>
      <c r="AL50" s="529"/>
      <c r="AM50" s="502"/>
      <c r="AN50" s="530"/>
      <c r="AO50" s="498"/>
      <c r="AP50" s="499"/>
      <c r="AQ50" s="499"/>
      <c r="AR50" s="499"/>
      <c r="AS50" s="531">
        <f t="shared" si="3"/>
        <v>0</v>
      </c>
      <c r="AT50" s="532">
        <f t="shared" si="4"/>
        <v>0</v>
      </c>
      <c r="AU50" s="529">
        <v>0</v>
      </c>
      <c r="AV50" s="533">
        <v>0</v>
      </c>
      <c r="AW50" s="533">
        <v>0</v>
      </c>
      <c r="AX50" s="533">
        <v>0</v>
      </c>
      <c r="AY50" s="533">
        <f t="shared" si="5"/>
        <v>0</v>
      </c>
      <c r="AZ50" s="534">
        <f t="shared" si="6"/>
        <v>0</v>
      </c>
      <c r="BA50" s="535">
        <f t="shared" si="83"/>
        <v>0</v>
      </c>
      <c r="BB50" s="536">
        <f t="shared" si="84"/>
        <v>0</v>
      </c>
      <c r="BC50" s="523">
        <f t="shared" si="85"/>
        <v>0</v>
      </c>
      <c r="BD50" s="525">
        <f t="shared" si="86"/>
        <v>0</v>
      </c>
      <c r="BE50" s="525">
        <f t="shared" si="87"/>
        <v>0</v>
      </c>
      <c r="BF50" s="525">
        <f t="shared" si="88"/>
        <v>0</v>
      </c>
      <c r="BG50" s="525">
        <f t="shared" si="89"/>
        <v>0</v>
      </c>
      <c r="BH50" s="525">
        <f t="shared" si="90"/>
        <v>0</v>
      </c>
      <c r="BI50" s="526">
        <f t="shared" si="91"/>
        <v>0</v>
      </c>
      <c r="BJ50" s="537">
        <f t="shared" si="92"/>
        <v>0</v>
      </c>
      <c r="BK50" s="538">
        <f t="shared" si="93"/>
        <v>0</v>
      </c>
      <c r="BL50" s="538">
        <f t="shared" si="94"/>
        <v>0</v>
      </c>
      <c r="BM50" s="538">
        <f t="shared" si="95"/>
        <v>0</v>
      </c>
      <c r="BN50" s="538">
        <f t="shared" si="96"/>
        <v>0</v>
      </c>
      <c r="BO50" s="538">
        <f t="shared" si="97"/>
        <v>0</v>
      </c>
      <c r="BP50" s="539">
        <f t="shared" si="98"/>
        <v>0</v>
      </c>
      <c r="BQ50" s="540">
        <f t="shared" si="99"/>
        <v>0</v>
      </c>
      <c r="BR50" s="529"/>
      <c r="BS50" s="502"/>
      <c r="BT50" s="530"/>
      <c r="BU50" s="498"/>
      <c r="BV50" s="499"/>
      <c r="BW50" s="499"/>
      <c r="BX50" s="499"/>
      <c r="BY50" s="531">
        <f t="shared" si="9"/>
        <v>0</v>
      </c>
      <c r="BZ50" s="532">
        <f t="shared" si="10"/>
        <v>0</v>
      </c>
      <c r="CA50" s="529"/>
      <c r="CB50" s="533"/>
      <c r="CC50" s="533"/>
      <c r="CD50" s="533"/>
      <c r="CE50" s="533">
        <f t="shared" si="11"/>
        <v>0</v>
      </c>
      <c r="CF50" s="534">
        <f t="shared" si="12"/>
        <v>0</v>
      </c>
      <c r="CG50" s="774">
        <f t="shared" si="100"/>
        <v>0</v>
      </c>
      <c r="CH50" s="775">
        <f t="shared" si="101"/>
        <v>0</v>
      </c>
      <c r="CI50" s="548">
        <f t="shared" si="102"/>
        <v>0</v>
      </c>
      <c r="CJ50" s="773">
        <f t="shared" si="103"/>
        <v>0</v>
      </c>
      <c r="CK50" s="773">
        <f t="shared" si="104"/>
        <v>0</v>
      </c>
      <c r="CL50" s="773">
        <f t="shared" si="105"/>
        <v>0</v>
      </c>
      <c r="CM50" s="773">
        <f t="shared" si="106"/>
        <v>0</v>
      </c>
      <c r="CN50" s="773">
        <f t="shared" si="107"/>
        <v>0</v>
      </c>
      <c r="CO50" s="626">
        <f t="shared" si="108"/>
        <v>0</v>
      </c>
      <c r="CP50" s="1145">
        <f t="shared" si="109"/>
        <v>0</v>
      </c>
      <c r="CQ50" s="1146">
        <f t="shared" si="110"/>
        <v>0</v>
      </c>
      <c r="CR50" s="1146">
        <f t="shared" si="111"/>
        <v>0</v>
      </c>
      <c r="CS50" s="1146">
        <f t="shared" si="112"/>
        <v>0</v>
      </c>
      <c r="CT50" s="1146">
        <f t="shared" si="113"/>
        <v>0</v>
      </c>
      <c r="CU50" s="1146">
        <f t="shared" si="114"/>
        <v>0</v>
      </c>
      <c r="CV50" s="1256">
        <f t="shared" si="115"/>
        <v>0</v>
      </c>
      <c r="CW50" s="1157">
        <f t="shared" si="116"/>
        <v>0</v>
      </c>
      <c r="CX50" s="529"/>
      <c r="CY50" s="502"/>
      <c r="CZ50" s="530"/>
      <c r="DA50" s="498"/>
      <c r="DB50" s="499"/>
      <c r="DC50" s="499"/>
      <c r="DD50" s="499"/>
      <c r="DE50" s="531">
        <f t="shared" si="15"/>
        <v>0</v>
      </c>
      <c r="DF50" s="532">
        <f t="shared" si="16"/>
        <v>0</v>
      </c>
      <c r="DG50" s="529"/>
      <c r="DH50" s="533"/>
      <c r="DI50" s="533"/>
      <c r="DJ50" s="533"/>
      <c r="DK50" s="533">
        <f t="shared" si="17"/>
        <v>0</v>
      </c>
      <c r="DL50" s="534">
        <f t="shared" si="18"/>
        <v>0</v>
      </c>
      <c r="DM50" s="1258">
        <f t="shared" si="19"/>
        <v>0</v>
      </c>
      <c r="DN50" s="775">
        <f t="shared" si="20"/>
        <v>0</v>
      </c>
      <c r="DO50" s="548">
        <f t="shared" si="21"/>
        <v>0</v>
      </c>
      <c r="DP50" s="773">
        <f t="shared" si="22"/>
        <v>0</v>
      </c>
      <c r="DQ50" s="773">
        <f t="shared" si="23"/>
        <v>0</v>
      </c>
      <c r="DR50" s="773">
        <f t="shared" si="24"/>
        <v>0</v>
      </c>
      <c r="DS50" s="773">
        <f t="shared" si="25"/>
        <v>0</v>
      </c>
      <c r="DT50" s="773">
        <f t="shared" si="26"/>
        <v>0</v>
      </c>
      <c r="DU50" s="526">
        <f t="shared" si="117"/>
        <v>0</v>
      </c>
      <c r="DV50" s="1145">
        <f t="shared" si="27"/>
        <v>0</v>
      </c>
      <c r="DW50" s="1146">
        <f t="shared" si="28"/>
        <v>0</v>
      </c>
      <c r="DX50" s="1146">
        <f t="shared" si="29"/>
        <v>0</v>
      </c>
      <c r="DY50" s="1146">
        <f t="shared" si="30"/>
        <v>0</v>
      </c>
      <c r="DZ50" s="1146">
        <f t="shared" si="31"/>
        <v>0</v>
      </c>
      <c r="EA50" s="1146">
        <f t="shared" si="32"/>
        <v>0</v>
      </c>
      <c r="EB50" s="539">
        <f t="shared" si="118"/>
        <v>0</v>
      </c>
      <c r="EC50" s="540">
        <f t="shared" si="119"/>
        <v>0</v>
      </c>
      <c r="ES50" s="1258">
        <f t="shared" si="33"/>
        <v>0</v>
      </c>
      <c r="ET50" s="775">
        <f t="shared" si="34"/>
        <v>0</v>
      </c>
      <c r="EU50" s="548">
        <f t="shared" si="35"/>
        <v>0</v>
      </c>
      <c r="EV50" s="773">
        <f t="shared" si="36"/>
        <v>0</v>
      </c>
      <c r="EW50" s="773">
        <f t="shared" si="37"/>
        <v>0</v>
      </c>
      <c r="EX50" s="773">
        <f t="shared" si="38"/>
        <v>0</v>
      </c>
      <c r="EY50" s="773">
        <f t="shared" si="39"/>
        <v>0</v>
      </c>
      <c r="EZ50" s="773">
        <f t="shared" si="40"/>
        <v>0</v>
      </c>
      <c r="FA50" s="626">
        <f t="shared" si="120"/>
        <v>0</v>
      </c>
      <c r="FB50" s="1145">
        <f t="shared" si="41"/>
        <v>0</v>
      </c>
      <c r="FC50" s="1146">
        <f t="shared" si="42"/>
        <v>0</v>
      </c>
      <c r="FD50" s="1146">
        <f t="shared" si="43"/>
        <v>0</v>
      </c>
      <c r="FE50" s="1146">
        <f t="shared" si="44"/>
        <v>0</v>
      </c>
      <c r="FF50" s="1146">
        <f t="shared" si="45"/>
        <v>0</v>
      </c>
      <c r="FG50" s="1146">
        <f t="shared" si="46"/>
        <v>0</v>
      </c>
      <c r="FH50" s="1256">
        <f t="shared" si="121"/>
        <v>0</v>
      </c>
      <c r="FI50" s="1157">
        <f t="shared" si="122"/>
        <v>0</v>
      </c>
      <c r="FY50" s="1258">
        <f t="shared" si="47"/>
        <v>0</v>
      </c>
      <c r="FZ50" s="775">
        <f t="shared" si="48"/>
        <v>0</v>
      </c>
      <c r="GA50" s="548">
        <f t="shared" si="49"/>
        <v>0</v>
      </c>
      <c r="GB50" s="773">
        <f t="shared" si="50"/>
        <v>0</v>
      </c>
      <c r="GC50" s="773">
        <f t="shared" si="51"/>
        <v>0</v>
      </c>
      <c r="GD50" s="773">
        <f t="shared" si="52"/>
        <v>0</v>
      </c>
      <c r="GE50" s="773">
        <f t="shared" si="53"/>
        <v>0</v>
      </c>
      <c r="GF50" s="773">
        <f t="shared" si="54"/>
        <v>0</v>
      </c>
      <c r="GG50" s="626">
        <f t="shared" si="123"/>
        <v>0</v>
      </c>
      <c r="GH50" s="1145">
        <f t="shared" si="55"/>
        <v>0</v>
      </c>
      <c r="GI50" s="1146">
        <f t="shared" si="56"/>
        <v>0</v>
      </c>
      <c r="GJ50" s="1146">
        <f t="shared" si="57"/>
        <v>0</v>
      </c>
      <c r="GK50" s="1146">
        <f t="shared" si="58"/>
        <v>0</v>
      </c>
      <c r="GL50" s="1146">
        <f t="shared" si="59"/>
        <v>0</v>
      </c>
      <c r="GM50" s="1146">
        <f t="shared" si="60"/>
        <v>0</v>
      </c>
      <c r="GN50" s="1256">
        <f t="shared" si="124"/>
        <v>0</v>
      </c>
      <c r="GO50" s="1157">
        <f t="shared" si="125"/>
        <v>0</v>
      </c>
      <c r="HE50" s="1675">
        <f t="shared" si="61"/>
        <v>0</v>
      </c>
      <c r="HF50" s="775">
        <f t="shared" si="62"/>
        <v>0</v>
      </c>
      <c r="HG50" s="548">
        <f t="shared" si="63"/>
        <v>0</v>
      </c>
      <c r="HH50" s="773">
        <f t="shared" si="64"/>
        <v>0</v>
      </c>
      <c r="HI50" s="773">
        <f t="shared" si="65"/>
        <v>0</v>
      </c>
      <c r="HJ50" s="773">
        <f t="shared" si="66"/>
        <v>0</v>
      </c>
      <c r="HK50" s="773">
        <f t="shared" si="67"/>
        <v>0</v>
      </c>
      <c r="HL50" s="773">
        <f t="shared" si="68"/>
        <v>0</v>
      </c>
      <c r="HM50" s="626">
        <f t="shared" si="126"/>
        <v>0</v>
      </c>
      <c r="HN50" s="1145">
        <f t="shared" si="69"/>
        <v>0</v>
      </c>
      <c r="HO50" s="1146">
        <f t="shared" si="70"/>
        <v>0</v>
      </c>
      <c r="HP50" s="1146">
        <f t="shared" si="71"/>
        <v>0</v>
      </c>
      <c r="HQ50" s="1146">
        <f t="shared" si="72"/>
        <v>0</v>
      </c>
      <c r="HR50" s="1146">
        <f t="shared" si="73"/>
        <v>0</v>
      </c>
      <c r="HS50" s="1146">
        <f t="shared" si="74"/>
        <v>0</v>
      </c>
      <c r="HT50" s="1256">
        <f t="shared" si="127"/>
        <v>0</v>
      </c>
      <c r="HU50" s="1157">
        <f t="shared" si="128"/>
        <v>0</v>
      </c>
    </row>
    <row r="51" spans="1:229" ht="13.5" customHeight="1" outlineLevel="1" x14ac:dyDescent="0.2">
      <c r="A51" s="474"/>
      <c r="B51" s="1412"/>
      <c r="C51" s="511">
        <v>42</v>
      </c>
      <c r="D51" s="561" t="s">
        <v>81</v>
      </c>
      <c r="E51" s="513">
        <v>20</v>
      </c>
      <c r="F51" s="514">
        <v>1435.82</v>
      </c>
      <c r="G51" s="543">
        <f t="shared" si="129"/>
        <v>71.790999999999997</v>
      </c>
      <c r="H51" s="553">
        <v>0</v>
      </c>
      <c r="I51" s="178">
        <v>0</v>
      </c>
      <c r="J51" s="542">
        <v>0</v>
      </c>
      <c r="K51" s="553">
        <v>5</v>
      </c>
      <c r="L51" s="178">
        <v>461.5</v>
      </c>
      <c r="M51" s="542">
        <f>L51/K51</f>
        <v>92.3</v>
      </c>
      <c r="N51" s="545">
        <f t="shared" si="130"/>
        <v>1897.32</v>
      </c>
      <c r="O51" s="518">
        <f>496539.05+474794.65-24424.46</f>
        <v>946909.24</v>
      </c>
      <c r="P51" s="485">
        <f>8952710.27-neprodano!EC48</f>
        <v>8682338.4277599994</v>
      </c>
      <c r="Q51" s="518">
        <f>neprodano!ED48</f>
        <v>0</v>
      </c>
      <c r="R51" s="519">
        <f t="shared" si="131"/>
        <v>9629247.6677599996</v>
      </c>
      <c r="S51" s="546">
        <f t="shared" si="75"/>
        <v>9629247.6677599996</v>
      </c>
      <c r="T51" s="521">
        <v>2417706.2001574002</v>
      </c>
      <c r="U51" s="547">
        <v>0</v>
      </c>
      <c r="V51" s="547">
        <v>0</v>
      </c>
      <c r="W51" s="548">
        <v>0</v>
      </c>
      <c r="X51" s="549">
        <v>0</v>
      </c>
      <c r="Y51" s="549">
        <v>0</v>
      </c>
      <c r="Z51" s="549">
        <v>0</v>
      </c>
      <c r="AA51" s="525">
        <f t="shared" si="76"/>
        <v>0</v>
      </c>
      <c r="AB51" s="524">
        <f t="shared" si="77"/>
        <v>0</v>
      </c>
      <c r="AC51" s="526">
        <f t="shared" si="78"/>
        <v>0</v>
      </c>
      <c r="AD51" s="547">
        <v>0</v>
      </c>
      <c r="AE51" s="547">
        <v>0</v>
      </c>
      <c r="AF51" s="547">
        <v>0</v>
      </c>
      <c r="AG51" s="547">
        <v>0</v>
      </c>
      <c r="AH51" s="363">
        <f t="shared" si="79"/>
        <v>0</v>
      </c>
      <c r="AI51" s="547">
        <f t="shared" si="80"/>
        <v>0</v>
      </c>
      <c r="AJ51" s="550">
        <f t="shared" si="81"/>
        <v>0</v>
      </c>
      <c r="AK51" s="551">
        <f t="shared" si="82"/>
        <v>0</v>
      </c>
      <c r="AL51" s="529"/>
      <c r="AM51" s="502"/>
      <c r="AN51" s="530"/>
      <c r="AO51" s="498"/>
      <c r="AP51" s="499"/>
      <c r="AQ51" s="499"/>
      <c r="AR51" s="499"/>
      <c r="AS51" s="531">
        <f t="shared" si="3"/>
        <v>0</v>
      </c>
      <c r="AT51" s="532">
        <f t="shared" si="4"/>
        <v>0</v>
      </c>
      <c r="AU51" s="529">
        <v>0</v>
      </c>
      <c r="AV51" s="533">
        <v>0</v>
      </c>
      <c r="AW51" s="533">
        <v>0</v>
      </c>
      <c r="AX51" s="533">
        <v>0</v>
      </c>
      <c r="AY51" s="533">
        <f t="shared" si="5"/>
        <v>0</v>
      </c>
      <c r="AZ51" s="534">
        <f t="shared" si="6"/>
        <v>0</v>
      </c>
      <c r="BA51" s="535">
        <f t="shared" si="83"/>
        <v>0</v>
      </c>
      <c r="BB51" s="536">
        <f t="shared" si="84"/>
        <v>0</v>
      </c>
      <c r="BC51" s="523">
        <f t="shared" si="85"/>
        <v>0</v>
      </c>
      <c r="BD51" s="525">
        <f t="shared" si="86"/>
        <v>0</v>
      </c>
      <c r="BE51" s="525">
        <f t="shared" si="87"/>
        <v>0</v>
      </c>
      <c r="BF51" s="525">
        <f t="shared" si="88"/>
        <v>0</v>
      </c>
      <c r="BG51" s="525">
        <f t="shared" si="89"/>
        <v>0</v>
      </c>
      <c r="BH51" s="525">
        <f t="shared" si="90"/>
        <v>0</v>
      </c>
      <c r="BI51" s="526">
        <f t="shared" si="91"/>
        <v>0</v>
      </c>
      <c r="BJ51" s="537">
        <f t="shared" si="92"/>
        <v>0</v>
      </c>
      <c r="BK51" s="538">
        <f t="shared" si="93"/>
        <v>0</v>
      </c>
      <c r="BL51" s="538">
        <f t="shared" si="94"/>
        <v>0</v>
      </c>
      <c r="BM51" s="538">
        <f t="shared" si="95"/>
        <v>0</v>
      </c>
      <c r="BN51" s="538">
        <f t="shared" si="96"/>
        <v>0</v>
      </c>
      <c r="BO51" s="538">
        <f t="shared" si="97"/>
        <v>0</v>
      </c>
      <c r="BP51" s="539">
        <f t="shared" si="98"/>
        <v>0</v>
      </c>
      <c r="BQ51" s="540">
        <f t="shared" si="99"/>
        <v>0</v>
      </c>
      <c r="BR51" s="529"/>
      <c r="BS51" s="502"/>
      <c r="BT51" s="530"/>
      <c r="BU51" s="498"/>
      <c r="BV51" s="499"/>
      <c r="BW51" s="499"/>
      <c r="BX51" s="499"/>
      <c r="BY51" s="531">
        <f t="shared" si="9"/>
        <v>0</v>
      </c>
      <c r="BZ51" s="532">
        <f t="shared" si="10"/>
        <v>0</v>
      </c>
      <c r="CA51" s="529"/>
      <c r="CB51" s="533"/>
      <c r="CC51" s="533"/>
      <c r="CD51" s="533"/>
      <c r="CE51" s="533">
        <f t="shared" si="11"/>
        <v>0</v>
      </c>
      <c r="CF51" s="534">
        <f t="shared" si="12"/>
        <v>0</v>
      </c>
      <c r="CG51" s="774">
        <f t="shared" si="100"/>
        <v>0</v>
      </c>
      <c r="CH51" s="775">
        <f t="shared" si="101"/>
        <v>0</v>
      </c>
      <c r="CI51" s="548">
        <f t="shared" si="102"/>
        <v>0</v>
      </c>
      <c r="CJ51" s="773">
        <f t="shared" si="103"/>
        <v>0</v>
      </c>
      <c r="CK51" s="773">
        <f t="shared" si="104"/>
        <v>0</v>
      </c>
      <c r="CL51" s="773">
        <f t="shared" si="105"/>
        <v>0</v>
      </c>
      <c r="CM51" s="773">
        <f t="shared" si="106"/>
        <v>0</v>
      </c>
      <c r="CN51" s="773">
        <f t="shared" si="107"/>
        <v>0</v>
      </c>
      <c r="CO51" s="626">
        <f t="shared" si="108"/>
        <v>0</v>
      </c>
      <c r="CP51" s="1145">
        <f t="shared" si="109"/>
        <v>0</v>
      </c>
      <c r="CQ51" s="1146">
        <f t="shared" si="110"/>
        <v>0</v>
      </c>
      <c r="CR51" s="1146">
        <f t="shared" si="111"/>
        <v>0</v>
      </c>
      <c r="CS51" s="1146">
        <f t="shared" si="112"/>
        <v>0</v>
      </c>
      <c r="CT51" s="1146">
        <f t="shared" si="113"/>
        <v>0</v>
      </c>
      <c r="CU51" s="1146">
        <f t="shared" si="114"/>
        <v>0</v>
      </c>
      <c r="CV51" s="1256">
        <f t="shared" si="115"/>
        <v>0</v>
      </c>
      <c r="CW51" s="1157">
        <f t="shared" si="116"/>
        <v>0</v>
      </c>
      <c r="CX51" s="529"/>
      <c r="CY51" s="502"/>
      <c r="CZ51" s="530"/>
      <c r="DA51" s="498"/>
      <c r="DB51" s="499"/>
      <c r="DC51" s="499"/>
      <c r="DD51" s="499"/>
      <c r="DE51" s="531">
        <f t="shared" si="15"/>
        <v>0</v>
      </c>
      <c r="DF51" s="532">
        <f t="shared" si="16"/>
        <v>0</v>
      </c>
      <c r="DG51" s="529"/>
      <c r="DH51" s="533"/>
      <c r="DI51" s="533"/>
      <c r="DJ51" s="533"/>
      <c r="DK51" s="533">
        <f t="shared" si="17"/>
        <v>0</v>
      </c>
      <c r="DL51" s="534">
        <f t="shared" si="18"/>
        <v>0</v>
      </c>
      <c r="DM51" s="1258">
        <f t="shared" si="19"/>
        <v>0</v>
      </c>
      <c r="DN51" s="775">
        <f t="shared" si="20"/>
        <v>0</v>
      </c>
      <c r="DO51" s="548">
        <f t="shared" si="21"/>
        <v>0</v>
      </c>
      <c r="DP51" s="773">
        <f t="shared" si="22"/>
        <v>0</v>
      </c>
      <c r="DQ51" s="773">
        <f t="shared" si="23"/>
        <v>0</v>
      </c>
      <c r="DR51" s="773">
        <f t="shared" si="24"/>
        <v>0</v>
      </c>
      <c r="DS51" s="773">
        <f t="shared" si="25"/>
        <v>0</v>
      </c>
      <c r="DT51" s="773">
        <f t="shared" si="26"/>
        <v>0</v>
      </c>
      <c r="DU51" s="526">
        <f t="shared" si="117"/>
        <v>0</v>
      </c>
      <c r="DV51" s="1145">
        <f t="shared" si="27"/>
        <v>0</v>
      </c>
      <c r="DW51" s="1146">
        <f t="shared" si="28"/>
        <v>0</v>
      </c>
      <c r="DX51" s="1146">
        <f t="shared" si="29"/>
        <v>0</v>
      </c>
      <c r="DY51" s="1146">
        <f t="shared" si="30"/>
        <v>0</v>
      </c>
      <c r="DZ51" s="1146">
        <f t="shared" si="31"/>
        <v>0</v>
      </c>
      <c r="EA51" s="1146">
        <f t="shared" si="32"/>
        <v>0</v>
      </c>
      <c r="EB51" s="539">
        <f t="shared" si="118"/>
        <v>0</v>
      </c>
      <c r="EC51" s="540">
        <f t="shared" si="119"/>
        <v>0</v>
      </c>
      <c r="ES51" s="1258">
        <f t="shared" si="33"/>
        <v>0</v>
      </c>
      <c r="ET51" s="775">
        <f t="shared" si="34"/>
        <v>0</v>
      </c>
      <c r="EU51" s="548">
        <f t="shared" si="35"/>
        <v>0</v>
      </c>
      <c r="EV51" s="773">
        <f t="shared" si="36"/>
        <v>0</v>
      </c>
      <c r="EW51" s="773">
        <f t="shared" si="37"/>
        <v>0</v>
      </c>
      <c r="EX51" s="773">
        <f t="shared" si="38"/>
        <v>0</v>
      </c>
      <c r="EY51" s="773">
        <f t="shared" si="39"/>
        <v>0</v>
      </c>
      <c r="EZ51" s="773">
        <f t="shared" si="40"/>
        <v>0</v>
      </c>
      <c r="FA51" s="626">
        <f t="shared" si="120"/>
        <v>0</v>
      </c>
      <c r="FB51" s="1145">
        <f t="shared" si="41"/>
        <v>0</v>
      </c>
      <c r="FC51" s="1146">
        <f t="shared" si="42"/>
        <v>0</v>
      </c>
      <c r="FD51" s="1146">
        <f t="shared" si="43"/>
        <v>0</v>
      </c>
      <c r="FE51" s="1146">
        <f t="shared" si="44"/>
        <v>0</v>
      </c>
      <c r="FF51" s="1146">
        <f t="shared" si="45"/>
        <v>0</v>
      </c>
      <c r="FG51" s="1146">
        <f t="shared" si="46"/>
        <v>0</v>
      </c>
      <c r="FH51" s="1256">
        <f t="shared" si="121"/>
        <v>0</v>
      </c>
      <c r="FI51" s="1157">
        <f t="shared" si="122"/>
        <v>0</v>
      </c>
      <c r="FY51" s="1258">
        <f t="shared" si="47"/>
        <v>0</v>
      </c>
      <c r="FZ51" s="775">
        <f t="shared" si="48"/>
        <v>0</v>
      </c>
      <c r="GA51" s="548">
        <f t="shared" si="49"/>
        <v>0</v>
      </c>
      <c r="GB51" s="773">
        <f t="shared" si="50"/>
        <v>0</v>
      </c>
      <c r="GC51" s="773">
        <f t="shared" si="51"/>
        <v>0</v>
      </c>
      <c r="GD51" s="773">
        <f t="shared" si="52"/>
        <v>0</v>
      </c>
      <c r="GE51" s="773">
        <f t="shared" si="53"/>
        <v>0</v>
      </c>
      <c r="GF51" s="773">
        <f t="shared" si="54"/>
        <v>0</v>
      </c>
      <c r="GG51" s="626">
        <f t="shared" si="123"/>
        <v>0</v>
      </c>
      <c r="GH51" s="1145">
        <f t="shared" si="55"/>
        <v>0</v>
      </c>
      <c r="GI51" s="1146">
        <f t="shared" si="56"/>
        <v>0</v>
      </c>
      <c r="GJ51" s="1146">
        <f t="shared" si="57"/>
        <v>0</v>
      </c>
      <c r="GK51" s="1146">
        <f t="shared" si="58"/>
        <v>0</v>
      </c>
      <c r="GL51" s="1146">
        <f t="shared" si="59"/>
        <v>0</v>
      </c>
      <c r="GM51" s="1146">
        <f t="shared" si="60"/>
        <v>0</v>
      </c>
      <c r="GN51" s="1256">
        <f t="shared" si="124"/>
        <v>0</v>
      </c>
      <c r="GO51" s="1157">
        <f t="shared" si="125"/>
        <v>0</v>
      </c>
      <c r="HE51" s="1675">
        <f t="shared" si="61"/>
        <v>0</v>
      </c>
      <c r="HF51" s="775">
        <f t="shared" si="62"/>
        <v>0</v>
      </c>
      <c r="HG51" s="548">
        <f t="shared" si="63"/>
        <v>0</v>
      </c>
      <c r="HH51" s="773">
        <f t="shared" si="64"/>
        <v>0</v>
      </c>
      <c r="HI51" s="773">
        <f t="shared" si="65"/>
        <v>0</v>
      </c>
      <c r="HJ51" s="773">
        <f t="shared" si="66"/>
        <v>0</v>
      </c>
      <c r="HK51" s="773">
        <f t="shared" si="67"/>
        <v>0</v>
      </c>
      <c r="HL51" s="773">
        <f t="shared" si="68"/>
        <v>0</v>
      </c>
      <c r="HM51" s="626">
        <f t="shared" si="126"/>
        <v>0</v>
      </c>
      <c r="HN51" s="1145">
        <f t="shared" si="69"/>
        <v>0</v>
      </c>
      <c r="HO51" s="1146">
        <f t="shared" si="70"/>
        <v>0</v>
      </c>
      <c r="HP51" s="1146">
        <f t="shared" si="71"/>
        <v>0</v>
      </c>
      <c r="HQ51" s="1146">
        <f t="shared" si="72"/>
        <v>0</v>
      </c>
      <c r="HR51" s="1146">
        <f t="shared" si="73"/>
        <v>0</v>
      </c>
      <c r="HS51" s="1146">
        <f t="shared" si="74"/>
        <v>0</v>
      </c>
      <c r="HT51" s="1256">
        <f t="shared" si="127"/>
        <v>0</v>
      </c>
      <c r="HU51" s="1157">
        <f t="shared" si="128"/>
        <v>0</v>
      </c>
    </row>
    <row r="52" spans="1:229" ht="13.5" customHeight="1" outlineLevel="1" x14ac:dyDescent="0.2">
      <c r="A52" s="474"/>
      <c r="B52" s="1412"/>
      <c r="C52" s="511">
        <v>43</v>
      </c>
      <c r="D52" s="561" t="s">
        <v>65</v>
      </c>
      <c r="E52" s="513">
        <v>14</v>
      </c>
      <c r="F52" s="514">
        <v>862.06</v>
      </c>
      <c r="G52" s="543">
        <f t="shared" si="129"/>
        <v>61.575714285714284</v>
      </c>
      <c r="H52" s="553">
        <v>0</v>
      </c>
      <c r="I52" s="178">
        <v>0</v>
      </c>
      <c r="J52" s="542">
        <v>0</v>
      </c>
      <c r="K52" s="553">
        <v>1</v>
      </c>
      <c r="L52" s="178">
        <v>221.14</v>
      </c>
      <c r="M52" s="542">
        <f>L52/K52</f>
        <v>221.14</v>
      </c>
      <c r="N52" s="545">
        <f t="shared" si="130"/>
        <v>1083.1999999999998</v>
      </c>
      <c r="O52" s="518">
        <v>0</v>
      </c>
      <c r="P52" s="485">
        <v>5672506.8799999999</v>
      </c>
      <c r="Q52" s="518">
        <v>395513.12800000003</v>
      </c>
      <c r="R52" s="519">
        <f t="shared" si="131"/>
        <v>6068020.0079999994</v>
      </c>
      <c r="S52" s="546">
        <f t="shared" si="75"/>
        <v>6068020.0079999994</v>
      </c>
      <c r="T52" s="521">
        <v>1472197.14</v>
      </c>
      <c r="U52" s="547">
        <v>0</v>
      </c>
      <c r="V52" s="547">
        <v>0</v>
      </c>
      <c r="W52" s="548">
        <v>0</v>
      </c>
      <c r="X52" s="549">
        <v>0</v>
      </c>
      <c r="Y52" s="549">
        <v>0</v>
      </c>
      <c r="Z52" s="549">
        <v>0</v>
      </c>
      <c r="AA52" s="525">
        <f t="shared" si="76"/>
        <v>0</v>
      </c>
      <c r="AB52" s="524">
        <f t="shared" si="77"/>
        <v>0</v>
      </c>
      <c r="AC52" s="526">
        <f t="shared" si="78"/>
        <v>0</v>
      </c>
      <c r="AD52" s="547">
        <v>0</v>
      </c>
      <c r="AE52" s="547">
        <v>0</v>
      </c>
      <c r="AF52" s="547">
        <v>0</v>
      </c>
      <c r="AG52" s="547">
        <v>0</v>
      </c>
      <c r="AH52" s="363">
        <f t="shared" si="79"/>
        <v>0</v>
      </c>
      <c r="AI52" s="547">
        <f t="shared" si="80"/>
        <v>0</v>
      </c>
      <c r="AJ52" s="550">
        <f t="shared" si="81"/>
        <v>0</v>
      </c>
      <c r="AK52" s="551">
        <f t="shared" si="82"/>
        <v>0</v>
      </c>
      <c r="AL52" s="529"/>
      <c r="AM52" s="502"/>
      <c r="AN52" s="530"/>
      <c r="AO52" s="498"/>
      <c r="AP52" s="499"/>
      <c r="AQ52" s="499"/>
      <c r="AR52" s="499"/>
      <c r="AS52" s="531">
        <f t="shared" si="3"/>
        <v>0</v>
      </c>
      <c r="AT52" s="532">
        <f t="shared" si="4"/>
        <v>0</v>
      </c>
      <c r="AU52" s="529">
        <v>0</v>
      </c>
      <c r="AV52" s="533">
        <v>0</v>
      </c>
      <c r="AW52" s="533">
        <v>0</v>
      </c>
      <c r="AX52" s="533">
        <v>0</v>
      </c>
      <c r="AY52" s="533">
        <f t="shared" si="5"/>
        <v>0</v>
      </c>
      <c r="AZ52" s="534">
        <f t="shared" si="6"/>
        <v>0</v>
      </c>
      <c r="BA52" s="535">
        <f t="shared" si="83"/>
        <v>0</v>
      </c>
      <c r="BB52" s="536">
        <f t="shared" si="84"/>
        <v>0</v>
      </c>
      <c r="BC52" s="523">
        <f t="shared" si="85"/>
        <v>0</v>
      </c>
      <c r="BD52" s="525">
        <f t="shared" si="86"/>
        <v>0</v>
      </c>
      <c r="BE52" s="525">
        <f t="shared" si="87"/>
        <v>0</v>
      </c>
      <c r="BF52" s="525">
        <f t="shared" si="88"/>
        <v>0</v>
      </c>
      <c r="BG52" s="525">
        <f t="shared" si="89"/>
        <v>0</v>
      </c>
      <c r="BH52" s="525">
        <f t="shared" si="90"/>
        <v>0</v>
      </c>
      <c r="BI52" s="526">
        <f t="shared" si="91"/>
        <v>0</v>
      </c>
      <c r="BJ52" s="537">
        <f t="shared" si="92"/>
        <v>0</v>
      </c>
      <c r="BK52" s="538">
        <f t="shared" si="93"/>
        <v>0</v>
      </c>
      <c r="BL52" s="538">
        <f t="shared" si="94"/>
        <v>0</v>
      </c>
      <c r="BM52" s="538">
        <f t="shared" si="95"/>
        <v>0</v>
      </c>
      <c r="BN52" s="538">
        <f t="shared" si="96"/>
        <v>0</v>
      </c>
      <c r="BO52" s="538">
        <f t="shared" si="97"/>
        <v>0</v>
      </c>
      <c r="BP52" s="539">
        <f t="shared" si="98"/>
        <v>0</v>
      </c>
      <c r="BQ52" s="540">
        <f t="shared" si="99"/>
        <v>0</v>
      </c>
      <c r="BR52" s="529"/>
      <c r="BS52" s="502"/>
      <c r="BT52" s="530"/>
      <c r="BU52" s="498"/>
      <c r="BV52" s="499"/>
      <c r="BW52" s="499"/>
      <c r="BX52" s="499"/>
      <c r="BY52" s="531">
        <f t="shared" si="9"/>
        <v>0</v>
      </c>
      <c r="BZ52" s="532">
        <f t="shared" si="10"/>
        <v>0</v>
      </c>
      <c r="CA52" s="529"/>
      <c r="CB52" s="533"/>
      <c r="CC52" s="533"/>
      <c r="CD52" s="533"/>
      <c r="CE52" s="533">
        <f t="shared" si="11"/>
        <v>0</v>
      </c>
      <c r="CF52" s="534">
        <f t="shared" si="12"/>
        <v>0</v>
      </c>
      <c r="CG52" s="774">
        <f t="shared" si="100"/>
        <v>0</v>
      </c>
      <c r="CH52" s="775">
        <f t="shared" si="101"/>
        <v>0</v>
      </c>
      <c r="CI52" s="548">
        <f t="shared" si="102"/>
        <v>0</v>
      </c>
      <c r="CJ52" s="773">
        <f t="shared" si="103"/>
        <v>0</v>
      </c>
      <c r="CK52" s="773">
        <f t="shared" si="104"/>
        <v>0</v>
      </c>
      <c r="CL52" s="773">
        <f t="shared" si="105"/>
        <v>0</v>
      </c>
      <c r="CM52" s="773">
        <f t="shared" si="106"/>
        <v>0</v>
      </c>
      <c r="CN52" s="773">
        <f t="shared" si="107"/>
        <v>0</v>
      </c>
      <c r="CO52" s="626">
        <f t="shared" si="108"/>
        <v>0</v>
      </c>
      <c r="CP52" s="1145">
        <f t="shared" si="109"/>
        <v>0</v>
      </c>
      <c r="CQ52" s="1146">
        <f t="shared" si="110"/>
        <v>0</v>
      </c>
      <c r="CR52" s="1146">
        <f t="shared" si="111"/>
        <v>0</v>
      </c>
      <c r="CS52" s="1146">
        <f t="shared" si="112"/>
        <v>0</v>
      </c>
      <c r="CT52" s="1146">
        <f t="shared" si="113"/>
        <v>0</v>
      </c>
      <c r="CU52" s="1146">
        <f t="shared" si="114"/>
        <v>0</v>
      </c>
      <c r="CV52" s="1256">
        <f t="shared" si="115"/>
        <v>0</v>
      </c>
      <c r="CW52" s="1157">
        <f t="shared" si="116"/>
        <v>0</v>
      </c>
      <c r="CX52" s="529"/>
      <c r="CY52" s="502"/>
      <c r="CZ52" s="530"/>
      <c r="DA52" s="498"/>
      <c r="DB52" s="499"/>
      <c r="DC52" s="499"/>
      <c r="DD52" s="499"/>
      <c r="DE52" s="531">
        <f t="shared" si="15"/>
        <v>0</v>
      </c>
      <c r="DF52" s="532">
        <f t="shared" si="16"/>
        <v>0</v>
      </c>
      <c r="DG52" s="529"/>
      <c r="DH52" s="533"/>
      <c r="DI52" s="533"/>
      <c r="DJ52" s="533"/>
      <c r="DK52" s="533">
        <f t="shared" si="17"/>
        <v>0</v>
      </c>
      <c r="DL52" s="534">
        <f t="shared" si="18"/>
        <v>0</v>
      </c>
      <c r="DM52" s="1258">
        <f t="shared" si="19"/>
        <v>0</v>
      </c>
      <c r="DN52" s="775">
        <f t="shared" si="20"/>
        <v>0</v>
      </c>
      <c r="DO52" s="548">
        <f t="shared" si="21"/>
        <v>0</v>
      </c>
      <c r="DP52" s="773">
        <f t="shared" si="22"/>
        <v>0</v>
      </c>
      <c r="DQ52" s="773">
        <f t="shared" si="23"/>
        <v>0</v>
      </c>
      <c r="DR52" s="773">
        <f t="shared" si="24"/>
        <v>0</v>
      </c>
      <c r="DS52" s="773">
        <f t="shared" si="25"/>
        <v>0</v>
      </c>
      <c r="DT52" s="773">
        <f t="shared" si="26"/>
        <v>0</v>
      </c>
      <c r="DU52" s="526">
        <f t="shared" si="117"/>
        <v>0</v>
      </c>
      <c r="DV52" s="1145">
        <f t="shared" si="27"/>
        <v>0</v>
      </c>
      <c r="DW52" s="1146">
        <f t="shared" si="28"/>
        <v>0</v>
      </c>
      <c r="DX52" s="1146">
        <f t="shared" si="29"/>
        <v>0</v>
      </c>
      <c r="DY52" s="1146">
        <f t="shared" si="30"/>
        <v>0</v>
      </c>
      <c r="DZ52" s="1146">
        <f t="shared" si="31"/>
        <v>0</v>
      </c>
      <c r="EA52" s="1146">
        <f t="shared" si="32"/>
        <v>0</v>
      </c>
      <c r="EB52" s="539">
        <f t="shared" si="118"/>
        <v>0</v>
      </c>
      <c r="EC52" s="540">
        <f t="shared" si="119"/>
        <v>0</v>
      </c>
      <c r="ES52" s="1258">
        <f t="shared" si="33"/>
        <v>0</v>
      </c>
      <c r="ET52" s="775">
        <f t="shared" si="34"/>
        <v>0</v>
      </c>
      <c r="EU52" s="548">
        <f t="shared" si="35"/>
        <v>0</v>
      </c>
      <c r="EV52" s="773">
        <f t="shared" si="36"/>
        <v>0</v>
      </c>
      <c r="EW52" s="773">
        <f t="shared" si="37"/>
        <v>0</v>
      </c>
      <c r="EX52" s="773">
        <f t="shared" si="38"/>
        <v>0</v>
      </c>
      <c r="EY52" s="773">
        <f t="shared" si="39"/>
        <v>0</v>
      </c>
      <c r="EZ52" s="773">
        <f t="shared" si="40"/>
        <v>0</v>
      </c>
      <c r="FA52" s="626">
        <f t="shared" si="120"/>
        <v>0</v>
      </c>
      <c r="FB52" s="1145">
        <f t="shared" si="41"/>
        <v>0</v>
      </c>
      <c r="FC52" s="1146">
        <f t="shared" si="42"/>
        <v>0</v>
      </c>
      <c r="FD52" s="1146">
        <f t="shared" si="43"/>
        <v>0</v>
      </c>
      <c r="FE52" s="1146">
        <f t="shared" si="44"/>
        <v>0</v>
      </c>
      <c r="FF52" s="1146">
        <f t="shared" si="45"/>
        <v>0</v>
      </c>
      <c r="FG52" s="1146">
        <f t="shared" si="46"/>
        <v>0</v>
      </c>
      <c r="FH52" s="1256">
        <f t="shared" si="121"/>
        <v>0</v>
      </c>
      <c r="FI52" s="1157">
        <f t="shared" si="122"/>
        <v>0</v>
      </c>
      <c r="FY52" s="1258">
        <f t="shared" si="47"/>
        <v>0</v>
      </c>
      <c r="FZ52" s="775">
        <f t="shared" si="48"/>
        <v>0</v>
      </c>
      <c r="GA52" s="548">
        <f t="shared" si="49"/>
        <v>0</v>
      </c>
      <c r="GB52" s="773">
        <f t="shared" si="50"/>
        <v>0</v>
      </c>
      <c r="GC52" s="773">
        <f t="shared" si="51"/>
        <v>0</v>
      </c>
      <c r="GD52" s="773">
        <f t="shared" si="52"/>
        <v>0</v>
      </c>
      <c r="GE52" s="773">
        <f t="shared" si="53"/>
        <v>0</v>
      </c>
      <c r="GF52" s="773">
        <f t="shared" si="54"/>
        <v>0</v>
      </c>
      <c r="GG52" s="626">
        <f t="shared" si="123"/>
        <v>0</v>
      </c>
      <c r="GH52" s="1145">
        <f t="shared" si="55"/>
        <v>0</v>
      </c>
      <c r="GI52" s="1146">
        <f t="shared" si="56"/>
        <v>0</v>
      </c>
      <c r="GJ52" s="1146">
        <f t="shared" si="57"/>
        <v>0</v>
      </c>
      <c r="GK52" s="1146">
        <f t="shared" si="58"/>
        <v>0</v>
      </c>
      <c r="GL52" s="1146">
        <f t="shared" si="59"/>
        <v>0</v>
      </c>
      <c r="GM52" s="1146">
        <f t="shared" si="60"/>
        <v>0</v>
      </c>
      <c r="GN52" s="1256">
        <f t="shared" si="124"/>
        <v>0</v>
      </c>
      <c r="GO52" s="1157">
        <f t="shared" si="125"/>
        <v>0</v>
      </c>
      <c r="HE52" s="1675">
        <f t="shared" si="61"/>
        <v>0</v>
      </c>
      <c r="HF52" s="775">
        <f t="shared" si="62"/>
        <v>0</v>
      </c>
      <c r="HG52" s="548">
        <f t="shared" si="63"/>
        <v>0</v>
      </c>
      <c r="HH52" s="773">
        <f t="shared" si="64"/>
        <v>0</v>
      </c>
      <c r="HI52" s="773">
        <f t="shared" si="65"/>
        <v>0</v>
      </c>
      <c r="HJ52" s="773">
        <f t="shared" si="66"/>
        <v>0</v>
      </c>
      <c r="HK52" s="773">
        <f t="shared" si="67"/>
        <v>0</v>
      </c>
      <c r="HL52" s="773">
        <f t="shared" si="68"/>
        <v>0</v>
      </c>
      <c r="HM52" s="626">
        <f t="shared" si="126"/>
        <v>0</v>
      </c>
      <c r="HN52" s="1145">
        <f t="shared" si="69"/>
        <v>0</v>
      </c>
      <c r="HO52" s="1146">
        <f t="shared" si="70"/>
        <v>0</v>
      </c>
      <c r="HP52" s="1146">
        <f t="shared" si="71"/>
        <v>0</v>
      </c>
      <c r="HQ52" s="1146">
        <f t="shared" si="72"/>
        <v>0</v>
      </c>
      <c r="HR52" s="1146">
        <f t="shared" si="73"/>
        <v>0</v>
      </c>
      <c r="HS52" s="1146">
        <f t="shared" si="74"/>
        <v>0</v>
      </c>
      <c r="HT52" s="1256">
        <f t="shared" si="127"/>
        <v>0</v>
      </c>
      <c r="HU52" s="1157">
        <f t="shared" si="128"/>
        <v>0</v>
      </c>
    </row>
    <row r="53" spans="1:229" ht="13.5" customHeight="1" outlineLevel="1" x14ac:dyDescent="0.2">
      <c r="A53" s="474"/>
      <c r="B53" s="1412"/>
      <c r="C53" s="511">
        <v>44</v>
      </c>
      <c r="D53" s="560" t="s">
        <v>32</v>
      </c>
      <c r="E53" s="1721">
        <v>26</v>
      </c>
      <c r="F53" s="558">
        <v>1209.58</v>
      </c>
      <c r="G53" s="543">
        <f t="shared" si="129"/>
        <v>46.522307692307692</v>
      </c>
      <c r="H53" s="559">
        <v>0</v>
      </c>
      <c r="I53" s="558">
        <v>0</v>
      </c>
      <c r="J53" s="542">
        <v>0</v>
      </c>
      <c r="K53" s="559">
        <v>0</v>
      </c>
      <c r="L53" s="558">
        <v>0</v>
      </c>
      <c r="M53" s="542">
        <v>0</v>
      </c>
      <c r="N53" s="545">
        <f t="shared" si="130"/>
        <v>1209.58</v>
      </c>
      <c r="O53" s="518">
        <v>159755.04999999999</v>
      </c>
      <c r="P53" s="485">
        <v>5224981.03</v>
      </c>
      <c r="Q53" s="518">
        <v>1193480.8999999999</v>
      </c>
      <c r="R53" s="519">
        <f t="shared" si="131"/>
        <v>6578216.9800000004</v>
      </c>
      <c r="S53" s="546">
        <f t="shared" si="75"/>
        <v>6578216.9800000004</v>
      </c>
      <c r="T53" s="521">
        <v>1724894.09</v>
      </c>
      <c r="U53" s="547">
        <v>0</v>
      </c>
      <c r="V53" s="547">
        <v>0</v>
      </c>
      <c r="W53" s="548">
        <v>0</v>
      </c>
      <c r="X53" s="549">
        <v>0</v>
      </c>
      <c r="Y53" s="549">
        <v>0</v>
      </c>
      <c r="Z53" s="549">
        <v>0</v>
      </c>
      <c r="AA53" s="525">
        <f t="shared" si="76"/>
        <v>0</v>
      </c>
      <c r="AB53" s="524">
        <f t="shared" si="77"/>
        <v>0</v>
      </c>
      <c r="AC53" s="526">
        <f t="shared" si="78"/>
        <v>0</v>
      </c>
      <c r="AD53" s="547">
        <v>0</v>
      </c>
      <c r="AE53" s="547">
        <v>0</v>
      </c>
      <c r="AF53" s="547">
        <v>0</v>
      </c>
      <c r="AG53" s="547">
        <v>0</v>
      </c>
      <c r="AH53" s="363">
        <f t="shared" si="79"/>
        <v>0</v>
      </c>
      <c r="AI53" s="547">
        <f t="shared" si="80"/>
        <v>0</v>
      </c>
      <c r="AJ53" s="550">
        <f t="shared" si="81"/>
        <v>0</v>
      </c>
      <c r="AK53" s="551">
        <f t="shared" si="82"/>
        <v>0</v>
      </c>
      <c r="AL53" s="529"/>
      <c r="AM53" s="502"/>
      <c r="AN53" s="530"/>
      <c r="AO53" s="498"/>
      <c r="AP53" s="499"/>
      <c r="AQ53" s="499"/>
      <c r="AR53" s="499"/>
      <c r="AS53" s="531">
        <f t="shared" si="3"/>
        <v>0</v>
      </c>
      <c r="AT53" s="532">
        <f t="shared" si="4"/>
        <v>0</v>
      </c>
      <c r="AU53" s="529">
        <v>0</v>
      </c>
      <c r="AV53" s="533">
        <v>0</v>
      </c>
      <c r="AW53" s="533">
        <v>0</v>
      </c>
      <c r="AX53" s="533">
        <v>0</v>
      </c>
      <c r="AY53" s="533">
        <f t="shared" si="5"/>
        <v>0</v>
      </c>
      <c r="AZ53" s="534">
        <f t="shared" si="6"/>
        <v>0</v>
      </c>
      <c r="BA53" s="535">
        <f t="shared" si="83"/>
        <v>0</v>
      </c>
      <c r="BB53" s="536">
        <f t="shared" si="84"/>
        <v>0</v>
      </c>
      <c r="BC53" s="523">
        <f t="shared" si="85"/>
        <v>0</v>
      </c>
      <c r="BD53" s="525">
        <f t="shared" si="86"/>
        <v>0</v>
      </c>
      <c r="BE53" s="525">
        <f t="shared" si="87"/>
        <v>0</v>
      </c>
      <c r="BF53" s="525">
        <f t="shared" si="88"/>
        <v>0</v>
      </c>
      <c r="BG53" s="525">
        <f t="shared" si="89"/>
        <v>0</v>
      </c>
      <c r="BH53" s="525">
        <f t="shared" si="90"/>
        <v>0</v>
      </c>
      <c r="BI53" s="526">
        <f t="shared" si="91"/>
        <v>0</v>
      </c>
      <c r="BJ53" s="537">
        <f t="shared" si="92"/>
        <v>0</v>
      </c>
      <c r="BK53" s="538">
        <f t="shared" si="93"/>
        <v>0</v>
      </c>
      <c r="BL53" s="538">
        <f t="shared" si="94"/>
        <v>0</v>
      </c>
      <c r="BM53" s="538">
        <f t="shared" si="95"/>
        <v>0</v>
      </c>
      <c r="BN53" s="538">
        <f t="shared" si="96"/>
        <v>0</v>
      </c>
      <c r="BO53" s="538">
        <f t="shared" si="97"/>
        <v>0</v>
      </c>
      <c r="BP53" s="539">
        <f t="shared" si="98"/>
        <v>0</v>
      </c>
      <c r="BQ53" s="540">
        <f t="shared" si="99"/>
        <v>0</v>
      </c>
      <c r="BR53" s="529"/>
      <c r="BS53" s="502"/>
      <c r="BT53" s="530"/>
      <c r="BU53" s="498"/>
      <c r="BV53" s="499"/>
      <c r="BW53" s="499"/>
      <c r="BX53" s="499"/>
      <c r="BY53" s="531">
        <f t="shared" si="9"/>
        <v>0</v>
      </c>
      <c r="BZ53" s="532">
        <f t="shared" si="10"/>
        <v>0</v>
      </c>
      <c r="CA53" s="529"/>
      <c r="CB53" s="533"/>
      <c r="CC53" s="533"/>
      <c r="CD53" s="533"/>
      <c r="CE53" s="533">
        <f t="shared" si="11"/>
        <v>0</v>
      </c>
      <c r="CF53" s="534">
        <f t="shared" si="12"/>
        <v>0</v>
      </c>
      <c r="CG53" s="774">
        <f t="shared" si="100"/>
        <v>0</v>
      </c>
      <c r="CH53" s="775">
        <f t="shared" si="101"/>
        <v>0</v>
      </c>
      <c r="CI53" s="548">
        <f t="shared" si="102"/>
        <v>0</v>
      </c>
      <c r="CJ53" s="773">
        <f t="shared" si="103"/>
        <v>0</v>
      </c>
      <c r="CK53" s="773">
        <f t="shared" si="104"/>
        <v>0</v>
      </c>
      <c r="CL53" s="773">
        <f t="shared" si="105"/>
        <v>0</v>
      </c>
      <c r="CM53" s="773">
        <f t="shared" si="106"/>
        <v>0</v>
      </c>
      <c r="CN53" s="773">
        <f t="shared" si="107"/>
        <v>0</v>
      </c>
      <c r="CO53" s="626">
        <f t="shared" si="108"/>
        <v>0</v>
      </c>
      <c r="CP53" s="1145">
        <f t="shared" si="109"/>
        <v>0</v>
      </c>
      <c r="CQ53" s="1146">
        <f t="shared" si="110"/>
        <v>0</v>
      </c>
      <c r="CR53" s="1146">
        <f t="shared" si="111"/>
        <v>0</v>
      </c>
      <c r="CS53" s="1146">
        <f t="shared" si="112"/>
        <v>0</v>
      </c>
      <c r="CT53" s="1146">
        <f t="shared" si="113"/>
        <v>0</v>
      </c>
      <c r="CU53" s="1146">
        <f t="shared" si="114"/>
        <v>0</v>
      </c>
      <c r="CV53" s="1256">
        <f t="shared" si="115"/>
        <v>0</v>
      </c>
      <c r="CW53" s="1157">
        <f t="shared" si="116"/>
        <v>0</v>
      </c>
      <c r="CX53" s="529"/>
      <c r="CY53" s="502"/>
      <c r="CZ53" s="530"/>
      <c r="DA53" s="498"/>
      <c r="DB53" s="499"/>
      <c r="DC53" s="499"/>
      <c r="DD53" s="499"/>
      <c r="DE53" s="531">
        <f t="shared" si="15"/>
        <v>0</v>
      </c>
      <c r="DF53" s="532">
        <f t="shared" si="16"/>
        <v>0</v>
      </c>
      <c r="DG53" s="529"/>
      <c r="DH53" s="533"/>
      <c r="DI53" s="533"/>
      <c r="DJ53" s="533"/>
      <c r="DK53" s="533">
        <f t="shared" si="17"/>
        <v>0</v>
      </c>
      <c r="DL53" s="534">
        <f t="shared" si="18"/>
        <v>0</v>
      </c>
      <c r="DM53" s="1258">
        <f t="shared" si="19"/>
        <v>0</v>
      </c>
      <c r="DN53" s="775">
        <f t="shared" si="20"/>
        <v>0</v>
      </c>
      <c r="DO53" s="548">
        <f t="shared" si="21"/>
        <v>0</v>
      </c>
      <c r="DP53" s="773">
        <f t="shared" si="22"/>
        <v>0</v>
      </c>
      <c r="DQ53" s="773">
        <f t="shared" si="23"/>
        <v>0</v>
      </c>
      <c r="DR53" s="773">
        <f t="shared" si="24"/>
        <v>0</v>
      </c>
      <c r="DS53" s="773">
        <f t="shared" si="25"/>
        <v>0</v>
      </c>
      <c r="DT53" s="773">
        <f t="shared" si="26"/>
        <v>0</v>
      </c>
      <c r="DU53" s="526">
        <f t="shared" si="117"/>
        <v>0</v>
      </c>
      <c r="DV53" s="1145">
        <f t="shared" si="27"/>
        <v>0</v>
      </c>
      <c r="DW53" s="1146">
        <f t="shared" si="28"/>
        <v>0</v>
      </c>
      <c r="DX53" s="1146">
        <f t="shared" si="29"/>
        <v>0</v>
      </c>
      <c r="DY53" s="1146">
        <f t="shared" si="30"/>
        <v>0</v>
      </c>
      <c r="DZ53" s="1146">
        <f t="shared" si="31"/>
        <v>0</v>
      </c>
      <c r="EA53" s="1146">
        <f t="shared" si="32"/>
        <v>0</v>
      </c>
      <c r="EB53" s="539">
        <f t="shared" si="118"/>
        <v>0</v>
      </c>
      <c r="EC53" s="540">
        <f t="shared" si="119"/>
        <v>0</v>
      </c>
      <c r="ES53" s="1258">
        <f t="shared" si="33"/>
        <v>0</v>
      </c>
      <c r="ET53" s="775">
        <f t="shared" si="34"/>
        <v>0</v>
      </c>
      <c r="EU53" s="548">
        <f t="shared" si="35"/>
        <v>0</v>
      </c>
      <c r="EV53" s="773">
        <f t="shared" si="36"/>
        <v>0</v>
      </c>
      <c r="EW53" s="773">
        <f t="shared" si="37"/>
        <v>0</v>
      </c>
      <c r="EX53" s="773">
        <f t="shared" si="38"/>
        <v>0</v>
      </c>
      <c r="EY53" s="773">
        <f t="shared" si="39"/>
        <v>0</v>
      </c>
      <c r="EZ53" s="773">
        <f t="shared" si="40"/>
        <v>0</v>
      </c>
      <c r="FA53" s="626">
        <f t="shared" si="120"/>
        <v>0</v>
      </c>
      <c r="FB53" s="1145">
        <f t="shared" si="41"/>
        <v>0</v>
      </c>
      <c r="FC53" s="1146">
        <f t="shared" si="42"/>
        <v>0</v>
      </c>
      <c r="FD53" s="1146">
        <f t="shared" si="43"/>
        <v>0</v>
      </c>
      <c r="FE53" s="1146">
        <f t="shared" si="44"/>
        <v>0</v>
      </c>
      <c r="FF53" s="1146">
        <f t="shared" si="45"/>
        <v>0</v>
      </c>
      <c r="FG53" s="1146">
        <f t="shared" si="46"/>
        <v>0</v>
      </c>
      <c r="FH53" s="1256">
        <f t="shared" si="121"/>
        <v>0</v>
      </c>
      <c r="FI53" s="1157">
        <f t="shared" si="122"/>
        <v>0</v>
      </c>
      <c r="FY53" s="1258">
        <f t="shared" si="47"/>
        <v>0</v>
      </c>
      <c r="FZ53" s="775">
        <f t="shared" si="48"/>
        <v>0</v>
      </c>
      <c r="GA53" s="548">
        <f t="shared" si="49"/>
        <v>0</v>
      </c>
      <c r="GB53" s="773">
        <f t="shared" si="50"/>
        <v>0</v>
      </c>
      <c r="GC53" s="773">
        <f t="shared" si="51"/>
        <v>0</v>
      </c>
      <c r="GD53" s="773">
        <f t="shared" si="52"/>
        <v>0</v>
      </c>
      <c r="GE53" s="773">
        <f t="shared" si="53"/>
        <v>0</v>
      </c>
      <c r="GF53" s="773">
        <f t="shared" si="54"/>
        <v>0</v>
      </c>
      <c r="GG53" s="626">
        <f t="shared" si="123"/>
        <v>0</v>
      </c>
      <c r="GH53" s="1145">
        <f t="shared" si="55"/>
        <v>0</v>
      </c>
      <c r="GI53" s="1146">
        <f t="shared" si="56"/>
        <v>0</v>
      </c>
      <c r="GJ53" s="1146">
        <f t="shared" si="57"/>
        <v>0</v>
      </c>
      <c r="GK53" s="1146">
        <f t="shared" si="58"/>
        <v>0</v>
      </c>
      <c r="GL53" s="1146">
        <f t="shared" si="59"/>
        <v>0</v>
      </c>
      <c r="GM53" s="1146">
        <f t="shared" si="60"/>
        <v>0</v>
      </c>
      <c r="GN53" s="1256">
        <f t="shared" si="124"/>
        <v>0</v>
      </c>
      <c r="GO53" s="1157">
        <f t="shared" si="125"/>
        <v>0</v>
      </c>
      <c r="HE53" s="1675">
        <f t="shared" si="61"/>
        <v>0</v>
      </c>
      <c r="HF53" s="775">
        <f t="shared" si="62"/>
        <v>0</v>
      </c>
      <c r="HG53" s="548">
        <f t="shared" si="63"/>
        <v>0</v>
      </c>
      <c r="HH53" s="773">
        <f t="shared" si="64"/>
        <v>0</v>
      </c>
      <c r="HI53" s="773">
        <f t="shared" si="65"/>
        <v>0</v>
      </c>
      <c r="HJ53" s="773">
        <f t="shared" si="66"/>
        <v>0</v>
      </c>
      <c r="HK53" s="773">
        <f t="shared" si="67"/>
        <v>0</v>
      </c>
      <c r="HL53" s="773">
        <f t="shared" si="68"/>
        <v>0</v>
      </c>
      <c r="HM53" s="626">
        <f t="shared" si="126"/>
        <v>0</v>
      </c>
      <c r="HN53" s="1145">
        <f t="shared" si="69"/>
        <v>0</v>
      </c>
      <c r="HO53" s="1146">
        <f t="shared" si="70"/>
        <v>0</v>
      </c>
      <c r="HP53" s="1146">
        <f t="shared" si="71"/>
        <v>0</v>
      </c>
      <c r="HQ53" s="1146">
        <f t="shared" si="72"/>
        <v>0</v>
      </c>
      <c r="HR53" s="1146">
        <f t="shared" si="73"/>
        <v>0</v>
      </c>
      <c r="HS53" s="1146">
        <f t="shared" si="74"/>
        <v>0</v>
      </c>
      <c r="HT53" s="1256">
        <f t="shared" si="127"/>
        <v>0</v>
      </c>
      <c r="HU53" s="1157">
        <f t="shared" si="128"/>
        <v>0</v>
      </c>
    </row>
    <row r="54" spans="1:229" ht="13.5" customHeight="1" outlineLevel="1" x14ac:dyDescent="0.2">
      <c r="A54" s="474"/>
      <c r="B54" s="1412"/>
      <c r="C54" s="511">
        <v>45</v>
      </c>
      <c r="D54" s="557" t="s">
        <v>33</v>
      </c>
      <c r="E54" s="1721">
        <v>46</v>
      </c>
      <c r="F54" s="558">
        <v>2429.7800000000002</v>
      </c>
      <c r="G54" s="543">
        <f t="shared" si="129"/>
        <v>52.821304347826093</v>
      </c>
      <c r="H54" s="559">
        <v>0</v>
      </c>
      <c r="I54" s="558">
        <v>0</v>
      </c>
      <c r="J54" s="542">
        <v>0</v>
      </c>
      <c r="K54" s="559">
        <v>0</v>
      </c>
      <c r="L54" s="558">
        <v>0</v>
      </c>
      <c r="M54" s="542">
        <v>0</v>
      </c>
      <c r="N54" s="545">
        <f t="shared" si="130"/>
        <v>2429.7800000000002</v>
      </c>
      <c r="O54" s="518">
        <v>0</v>
      </c>
      <c r="P54" s="485">
        <v>10964105.6</v>
      </c>
      <c r="Q54" s="518">
        <v>1861507.89</v>
      </c>
      <c r="R54" s="519">
        <f t="shared" si="131"/>
        <v>12825613.49</v>
      </c>
      <c r="S54" s="546">
        <f t="shared" si="75"/>
        <v>12825613.49</v>
      </c>
      <c r="T54" s="521">
        <v>2732157.38</v>
      </c>
      <c r="U54" s="547">
        <v>0</v>
      </c>
      <c r="V54" s="547">
        <v>0</v>
      </c>
      <c r="W54" s="548">
        <v>0</v>
      </c>
      <c r="X54" s="549">
        <v>0</v>
      </c>
      <c r="Y54" s="549">
        <v>0</v>
      </c>
      <c r="Z54" s="549">
        <v>0</v>
      </c>
      <c r="AA54" s="525">
        <f t="shared" si="76"/>
        <v>0</v>
      </c>
      <c r="AB54" s="524">
        <f t="shared" si="77"/>
        <v>0</v>
      </c>
      <c r="AC54" s="526">
        <f t="shared" si="78"/>
        <v>0</v>
      </c>
      <c r="AD54" s="547">
        <v>0</v>
      </c>
      <c r="AE54" s="547">
        <v>0</v>
      </c>
      <c r="AF54" s="547">
        <v>0</v>
      </c>
      <c r="AG54" s="547">
        <v>0</v>
      </c>
      <c r="AH54" s="363">
        <f t="shared" si="79"/>
        <v>0</v>
      </c>
      <c r="AI54" s="547">
        <f t="shared" si="80"/>
        <v>0</v>
      </c>
      <c r="AJ54" s="550">
        <f t="shared" si="81"/>
        <v>0</v>
      </c>
      <c r="AK54" s="551">
        <f t="shared" si="82"/>
        <v>0</v>
      </c>
      <c r="AL54" s="529"/>
      <c r="AM54" s="502"/>
      <c r="AN54" s="530"/>
      <c r="AO54" s="498"/>
      <c r="AP54" s="499"/>
      <c r="AQ54" s="499"/>
      <c r="AR54" s="499"/>
      <c r="AS54" s="531">
        <f t="shared" si="3"/>
        <v>0</v>
      </c>
      <c r="AT54" s="532">
        <f t="shared" si="4"/>
        <v>0</v>
      </c>
      <c r="AU54" s="529">
        <v>0</v>
      </c>
      <c r="AV54" s="533">
        <v>0</v>
      </c>
      <c r="AW54" s="533">
        <v>0</v>
      </c>
      <c r="AX54" s="533">
        <v>0</v>
      </c>
      <c r="AY54" s="533">
        <f t="shared" si="5"/>
        <v>0</v>
      </c>
      <c r="AZ54" s="534">
        <f t="shared" si="6"/>
        <v>0</v>
      </c>
      <c r="BA54" s="535">
        <f t="shared" si="83"/>
        <v>0</v>
      </c>
      <c r="BB54" s="536">
        <f t="shared" si="84"/>
        <v>0</v>
      </c>
      <c r="BC54" s="523">
        <f t="shared" si="85"/>
        <v>0</v>
      </c>
      <c r="BD54" s="525">
        <f t="shared" si="86"/>
        <v>0</v>
      </c>
      <c r="BE54" s="525">
        <f t="shared" si="87"/>
        <v>0</v>
      </c>
      <c r="BF54" s="525">
        <f t="shared" si="88"/>
        <v>0</v>
      </c>
      <c r="BG54" s="525">
        <f t="shared" si="89"/>
        <v>0</v>
      </c>
      <c r="BH54" s="525">
        <f t="shared" si="90"/>
        <v>0</v>
      </c>
      <c r="BI54" s="526">
        <f t="shared" si="91"/>
        <v>0</v>
      </c>
      <c r="BJ54" s="537">
        <f t="shared" si="92"/>
        <v>0</v>
      </c>
      <c r="BK54" s="538">
        <f t="shared" si="93"/>
        <v>0</v>
      </c>
      <c r="BL54" s="538">
        <f t="shared" si="94"/>
        <v>0</v>
      </c>
      <c r="BM54" s="538">
        <f t="shared" si="95"/>
        <v>0</v>
      </c>
      <c r="BN54" s="538">
        <f t="shared" si="96"/>
        <v>0</v>
      </c>
      <c r="BO54" s="538">
        <f t="shared" si="97"/>
        <v>0</v>
      </c>
      <c r="BP54" s="539">
        <f t="shared" si="98"/>
        <v>0</v>
      </c>
      <c r="BQ54" s="540">
        <f t="shared" si="99"/>
        <v>0</v>
      </c>
      <c r="BR54" s="529"/>
      <c r="BS54" s="502"/>
      <c r="BT54" s="530"/>
      <c r="BU54" s="498"/>
      <c r="BV54" s="499"/>
      <c r="BW54" s="499"/>
      <c r="BX54" s="499"/>
      <c r="BY54" s="531">
        <f t="shared" si="9"/>
        <v>0</v>
      </c>
      <c r="BZ54" s="532">
        <f t="shared" si="10"/>
        <v>0</v>
      </c>
      <c r="CA54" s="529"/>
      <c r="CB54" s="533"/>
      <c r="CC54" s="533"/>
      <c r="CD54" s="533"/>
      <c r="CE54" s="533">
        <f t="shared" si="11"/>
        <v>0</v>
      </c>
      <c r="CF54" s="534">
        <f t="shared" si="12"/>
        <v>0</v>
      </c>
      <c r="CG54" s="774">
        <f t="shared" si="100"/>
        <v>0</v>
      </c>
      <c r="CH54" s="775">
        <f t="shared" si="101"/>
        <v>0</v>
      </c>
      <c r="CI54" s="548">
        <f t="shared" si="102"/>
        <v>0</v>
      </c>
      <c r="CJ54" s="773">
        <f t="shared" si="103"/>
        <v>0</v>
      </c>
      <c r="CK54" s="773">
        <f t="shared" si="104"/>
        <v>0</v>
      </c>
      <c r="CL54" s="773">
        <f t="shared" si="105"/>
        <v>0</v>
      </c>
      <c r="CM54" s="773">
        <f t="shared" si="106"/>
        <v>0</v>
      </c>
      <c r="CN54" s="773">
        <f t="shared" si="107"/>
        <v>0</v>
      </c>
      <c r="CO54" s="626">
        <f t="shared" si="108"/>
        <v>0</v>
      </c>
      <c r="CP54" s="1145">
        <f t="shared" si="109"/>
        <v>0</v>
      </c>
      <c r="CQ54" s="1146">
        <f t="shared" si="110"/>
        <v>0</v>
      </c>
      <c r="CR54" s="1146">
        <f t="shared" si="111"/>
        <v>0</v>
      </c>
      <c r="CS54" s="1146">
        <f t="shared" si="112"/>
        <v>0</v>
      </c>
      <c r="CT54" s="1146">
        <f t="shared" si="113"/>
        <v>0</v>
      </c>
      <c r="CU54" s="1146">
        <f t="shared" si="114"/>
        <v>0</v>
      </c>
      <c r="CV54" s="1256">
        <f t="shared" si="115"/>
        <v>0</v>
      </c>
      <c r="CW54" s="1157">
        <f t="shared" si="116"/>
        <v>0</v>
      </c>
      <c r="CX54" s="529"/>
      <c r="CY54" s="502"/>
      <c r="CZ54" s="530"/>
      <c r="DA54" s="498"/>
      <c r="DB54" s="499"/>
      <c r="DC54" s="499"/>
      <c r="DD54" s="499"/>
      <c r="DE54" s="531">
        <f t="shared" si="15"/>
        <v>0</v>
      </c>
      <c r="DF54" s="532">
        <f t="shared" si="16"/>
        <v>0</v>
      </c>
      <c r="DG54" s="529"/>
      <c r="DH54" s="533"/>
      <c r="DI54" s="533"/>
      <c r="DJ54" s="533"/>
      <c r="DK54" s="533">
        <f t="shared" si="17"/>
        <v>0</v>
      </c>
      <c r="DL54" s="534">
        <f t="shared" si="18"/>
        <v>0</v>
      </c>
      <c r="DM54" s="1258">
        <f t="shared" si="19"/>
        <v>0</v>
      </c>
      <c r="DN54" s="775">
        <f t="shared" si="20"/>
        <v>0</v>
      </c>
      <c r="DO54" s="548">
        <f t="shared" si="21"/>
        <v>0</v>
      </c>
      <c r="DP54" s="773">
        <f t="shared" si="22"/>
        <v>0</v>
      </c>
      <c r="DQ54" s="773">
        <f t="shared" si="23"/>
        <v>0</v>
      </c>
      <c r="DR54" s="773">
        <f t="shared" si="24"/>
        <v>0</v>
      </c>
      <c r="DS54" s="773">
        <f t="shared" si="25"/>
        <v>0</v>
      </c>
      <c r="DT54" s="773">
        <f t="shared" si="26"/>
        <v>0</v>
      </c>
      <c r="DU54" s="526">
        <f t="shared" si="117"/>
        <v>0</v>
      </c>
      <c r="DV54" s="1145">
        <f t="shared" si="27"/>
        <v>0</v>
      </c>
      <c r="DW54" s="1146">
        <f t="shared" si="28"/>
        <v>0</v>
      </c>
      <c r="DX54" s="1146">
        <f t="shared" si="29"/>
        <v>0</v>
      </c>
      <c r="DY54" s="1146">
        <f t="shared" si="30"/>
        <v>0</v>
      </c>
      <c r="DZ54" s="1146">
        <f t="shared" si="31"/>
        <v>0</v>
      </c>
      <c r="EA54" s="1146">
        <f t="shared" si="32"/>
        <v>0</v>
      </c>
      <c r="EB54" s="539">
        <f t="shared" si="118"/>
        <v>0</v>
      </c>
      <c r="EC54" s="540">
        <f t="shared" si="119"/>
        <v>0</v>
      </c>
      <c r="ES54" s="1258">
        <f t="shared" si="33"/>
        <v>0</v>
      </c>
      <c r="ET54" s="775">
        <f t="shared" si="34"/>
        <v>0</v>
      </c>
      <c r="EU54" s="548">
        <f t="shared" si="35"/>
        <v>0</v>
      </c>
      <c r="EV54" s="773">
        <f t="shared" si="36"/>
        <v>0</v>
      </c>
      <c r="EW54" s="773">
        <f t="shared" si="37"/>
        <v>0</v>
      </c>
      <c r="EX54" s="773">
        <f t="shared" si="38"/>
        <v>0</v>
      </c>
      <c r="EY54" s="773">
        <f t="shared" si="39"/>
        <v>0</v>
      </c>
      <c r="EZ54" s="773">
        <f t="shared" si="40"/>
        <v>0</v>
      </c>
      <c r="FA54" s="626">
        <f t="shared" si="120"/>
        <v>0</v>
      </c>
      <c r="FB54" s="1145">
        <f t="shared" si="41"/>
        <v>0</v>
      </c>
      <c r="FC54" s="1146">
        <f t="shared" si="42"/>
        <v>0</v>
      </c>
      <c r="FD54" s="1146">
        <f t="shared" si="43"/>
        <v>0</v>
      </c>
      <c r="FE54" s="1146">
        <f t="shared" si="44"/>
        <v>0</v>
      </c>
      <c r="FF54" s="1146">
        <f t="shared" si="45"/>
        <v>0</v>
      </c>
      <c r="FG54" s="1146">
        <f t="shared" si="46"/>
        <v>0</v>
      </c>
      <c r="FH54" s="1256">
        <f t="shared" si="121"/>
        <v>0</v>
      </c>
      <c r="FI54" s="1157">
        <f t="shared" si="122"/>
        <v>0</v>
      </c>
      <c r="FY54" s="1258">
        <f t="shared" si="47"/>
        <v>0</v>
      </c>
      <c r="FZ54" s="775">
        <f t="shared" si="48"/>
        <v>0</v>
      </c>
      <c r="GA54" s="548">
        <f t="shared" si="49"/>
        <v>0</v>
      </c>
      <c r="GB54" s="773">
        <f t="shared" si="50"/>
        <v>0</v>
      </c>
      <c r="GC54" s="773">
        <f t="shared" si="51"/>
        <v>0</v>
      </c>
      <c r="GD54" s="773">
        <f t="shared" si="52"/>
        <v>0</v>
      </c>
      <c r="GE54" s="773">
        <f t="shared" si="53"/>
        <v>0</v>
      </c>
      <c r="GF54" s="773">
        <f t="shared" si="54"/>
        <v>0</v>
      </c>
      <c r="GG54" s="626">
        <f t="shared" si="123"/>
        <v>0</v>
      </c>
      <c r="GH54" s="1145">
        <f t="shared" si="55"/>
        <v>0</v>
      </c>
      <c r="GI54" s="1146">
        <f t="shared" si="56"/>
        <v>0</v>
      </c>
      <c r="GJ54" s="1146">
        <f t="shared" si="57"/>
        <v>0</v>
      </c>
      <c r="GK54" s="1146">
        <f t="shared" si="58"/>
        <v>0</v>
      </c>
      <c r="GL54" s="1146">
        <f t="shared" si="59"/>
        <v>0</v>
      </c>
      <c r="GM54" s="1146">
        <f t="shared" si="60"/>
        <v>0</v>
      </c>
      <c r="GN54" s="1256">
        <f t="shared" si="124"/>
        <v>0</v>
      </c>
      <c r="GO54" s="1157">
        <f t="shared" si="125"/>
        <v>0</v>
      </c>
      <c r="HE54" s="1675">
        <f t="shared" si="61"/>
        <v>0</v>
      </c>
      <c r="HF54" s="775">
        <f t="shared" si="62"/>
        <v>0</v>
      </c>
      <c r="HG54" s="548">
        <f t="shared" si="63"/>
        <v>0</v>
      </c>
      <c r="HH54" s="773">
        <f t="shared" si="64"/>
        <v>0</v>
      </c>
      <c r="HI54" s="773">
        <f t="shared" si="65"/>
        <v>0</v>
      </c>
      <c r="HJ54" s="773">
        <f t="shared" si="66"/>
        <v>0</v>
      </c>
      <c r="HK54" s="773">
        <f t="shared" si="67"/>
        <v>0</v>
      </c>
      <c r="HL54" s="773">
        <f t="shared" si="68"/>
        <v>0</v>
      </c>
      <c r="HM54" s="626">
        <f t="shared" si="126"/>
        <v>0</v>
      </c>
      <c r="HN54" s="1145">
        <f t="shared" si="69"/>
        <v>0</v>
      </c>
      <c r="HO54" s="1146">
        <f t="shared" si="70"/>
        <v>0</v>
      </c>
      <c r="HP54" s="1146">
        <f t="shared" si="71"/>
        <v>0</v>
      </c>
      <c r="HQ54" s="1146">
        <f t="shared" si="72"/>
        <v>0</v>
      </c>
      <c r="HR54" s="1146">
        <f t="shared" si="73"/>
        <v>0</v>
      </c>
      <c r="HS54" s="1146">
        <f t="shared" si="74"/>
        <v>0</v>
      </c>
      <c r="HT54" s="1256">
        <f t="shared" si="127"/>
        <v>0</v>
      </c>
      <c r="HU54" s="1157">
        <f t="shared" si="128"/>
        <v>0</v>
      </c>
    </row>
    <row r="55" spans="1:229" ht="13.5" customHeight="1" outlineLevel="1" x14ac:dyDescent="0.2">
      <c r="A55" s="474"/>
      <c r="B55" s="1412"/>
      <c r="C55" s="511">
        <v>46</v>
      </c>
      <c r="D55" s="561" t="s">
        <v>66</v>
      </c>
      <c r="E55" s="513">
        <v>15</v>
      </c>
      <c r="F55" s="514">
        <v>1077.3699999999999</v>
      </c>
      <c r="G55" s="543">
        <f t="shared" si="129"/>
        <v>71.824666666666658</v>
      </c>
      <c r="H55" s="553">
        <v>0</v>
      </c>
      <c r="I55" s="178">
        <v>0</v>
      </c>
      <c r="J55" s="542">
        <v>0</v>
      </c>
      <c r="K55" s="553">
        <v>0</v>
      </c>
      <c r="L55" s="178">
        <v>0</v>
      </c>
      <c r="M55" s="542">
        <v>0</v>
      </c>
      <c r="N55" s="545">
        <f t="shared" si="130"/>
        <v>1077.3699999999999</v>
      </c>
      <c r="O55" s="518">
        <v>0</v>
      </c>
      <c r="P55" s="485">
        <v>5341336.1100000003</v>
      </c>
      <c r="Q55" s="518">
        <v>0</v>
      </c>
      <c r="R55" s="519">
        <f t="shared" si="131"/>
        <v>5341336.1100000003</v>
      </c>
      <c r="S55" s="546">
        <f t="shared" si="75"/>
        <v>5341336.1100000003</v>
      </c>
      <c r="T55" s="521">
        <v>1667692.75</v>
      </c>
      <c r="U55" s="547">
        <v>0</v>
      </c>
      <c r="V55" s="547">
        <v>0</v>
      </c>
      <c r="W55" s="548">
        <v>0</v>
      </c>
      <c r="X55" s="549">
        <v>0</v>
      </c>
      <c r="Y55" s="549">
        <v>0</v>
      </c>
      <c r="Z55" s="549">
        <v>0</v>
      </c>
      <c r="AA55" s="525">
        <f t="shared" si="76"/>
        <v>0</v>
      </c>
      <c r="AB55" s="524">
        <f t="shared" si="77"/>
        <v>0</v>
      </c>
      <c r="AC55" s="526">
        <f t="shared" si="78"/>
        <v>0</v>
      </c>
      <c r="AD55" s="547">
        <v>0</v>
      </c>
      <c r="AE55" s="547">
        <v>0</v>
      </c>
      <c r="AF55" s="547">
        <v>0</v>
      </c>
      <c r="AG55" s="547">
        <v>0</v>
      </c>
      <c r="AH55" s="363">
        <f t="shared" si="79"/>
        <v>0</v>
      </c>
      <c r="AI55" s="547">
        <f t="shared" si="80"/>
        <v>0</v>
      </c>
      <c r="AJ55" s="550">
        <f t="shared" si="81"/>
        <v>0</v>
      </c>
      <c r="AK55" s="551">
        <f t="shared" si="82"/>
        <v>0</v>
      </c>
      <c r="AL55" s="529"/>
      <c r="AM55" s="502"/>
      <c r="AN55" s="530"/>
      <c r="AO55" s="498"/>
      <c r="AP55" s="499"/>
      <c r="AQ55" s="499"/>
      <c r="AR55" s="499"/>
      <c r="AS55" s="531">
        <f t="shared" si="3"/>
        <v>0</v>
      </c>
      <c r="AT55" s="532">
        <f t="shared" si="4"/>
        <v>0</v>
      </c>
      <c r="AU55" s="529">
        <v>0</v>
      </c>
      <c r="AV55" s="533">
        <v>0</v>
      </c>
      <c r="AW55" s="533">
        <v>0</v>
      </c>
      <c r="AX55" s="533">
        <v>0</v>
      </c>
      <c r="AY55" s="533">
        <f t="shared" si="5"/>
        <v>0</v>
      </c>
      <c r="AZ55" s="534">
        <f t="shared" si="6"/>
        <v>0</v>
      </c>
      <c r="BA55" s="535">
        <f t="shared" si="83"/>
        <v>0</v>
      </c>
      <c r="BB55" s="536">
        <f t="shared" si="84"/>
        <v>0</v>
      </c>
      <c r="BC55" s="523">
        <f t="shared" si="85"/>
        <v>0</v>
      </c>
      <c r="BD55" s="525">
        <f t="shared" si="86"/>
        <v>0</v>
      </c>
      <c r="BE55" s="525">
        <f t="shared" si="87"/>
        <v>0</v>
      </c>
      <c r="BF55" s="525">
        <f t="shared" si="88"/>
        <v>0</v>
      </c>
      <c r="BG55" s="525">
        <f t="shared" si="89"/>
        <v>0</v>
      </c>
      <c r="BH55" s="525">
        <f t="shared" si="90"/>
        <v>0</v>
      </c>
      <c r="BI55" s="526">
        <f t="shared" si="91"/>
        <v>0</v>
      </c>
      <c r="BJ55" s="537">
        <f t="shared" si="92"/>
        <v>0</v>
      </c>
      <c r="BK55" s="538">
        <f t="shared" si="93"/>
        <v>0</v>
      </c>
      <c r="BL55" s="538">
        <f t="shared" si="94"/>
        <v>0</v>
      </c>
      <c r="BM55" s="538">
        <f t="shared" si="95"/>
        <v>0</v>
      </c>
      <c r="BN55" s="538">
        <f t="shared" si="96"/>
        <v>0</v>
      </c>
      <c r="BO55" s="538">
        <f t="shared" si="97"/>
        <v>0</v>
      </c>
      <c r="BP55" s="539">
        <f t="shared" si="98"/>
        <v>0</v>
      </c>
      <c r="BQ55" s="540">
        <f t="shared" si="99"/>
        <v>0</v>
      </c>
      <c r="BR55" s="529"/>
      <c r="BS55" s="502"/>
      <c r="BT55" s="530"/>
      <c r="BU55" s="498"/>
      <c r="BV55" s="499"/>
      <c r="BW55" s="499"/>
      <c r="BX55" s="499"/>
      <c r="BY55" s="531">
        <f t="shared" si="9"/>
        <v>0</v>
      </c>
      <c r="BZ55" s="532">
        <f t="shared" si="10"/>
        <v>0</v>
      </c>
      <c r="CA55" s="529"/>
      <c r="CB55" s="533"/>
      <c r="CC55" s="533"/>
      <c r="CD55" s="533"/>
      <c r="CE55" s="533">
        <f t="shared" si="11"/>
        <v>0</v>
      </c>
      <c r="CF55" s="534">
        <f t="shared" si="12"/>
        <v>0</v>
      </c>
      <c r="CG55" s="774">
        <f t="shared" si="100"/>
        <v>0</v>
      </c>
      <c r="CH55" s="775">
        <f t="shared" si="101"/>
        <v>0</v>
      </c>
      <c r="CI55" s="548">
        <f t="shared" si="102"/>
        <v>0</v>
      </c>
      <c r="CJ55" s="773">
        <f t="shared" si="103"/>
        <v>0</v>
      </c>
      <c r="CK55" s="773">
        <f t="shared" si="104"/>
        <v>0</v>
      </c>
      <c r="CL55" s="773">
        <f t="shared" si="105"/>
        <v>0</v>
      </c>
      <c r="CM55" s="773">
        <f t="shared" si="106"/>
        <v>0</v>
      </c>
      <c r="CN55" s="773">
        <f t="shared" si="107"/>
        <v>0</v>
      </c>
      <c r="CO55" s="626">
        <f t="shared" si="108"/>
        <v>0</v>
      </c>
      <c r="CP55" s="1145">
        <f t="shared" si="109"/>
        <v>0</v>
      </c>
      <c r="CQ55" s="1146">
        <f t="shared" si="110"/>
        <v>0</v>
      </c>
      <c r="CR55" s="1146">
        <f t="shared" si="111"/>
        <v>0</v>
      </c>
      <c r="CS55" s="1146">
        <f t="shared" si="112"/>
        <v>0</v>
      </c>
      <c r="CT55" s="1146">
        <f t="shared" si="113"/>
        <v>0</v>
      </c>
      <c r="CU55" s="1146">
        <f t="shared" si="114"/>
        <v>0</v>
      </c>
      <c r="CV55" s="1256">
        <f t="shared" si="115"/>
        <v>0</v>
      </c>
      <c r="CW55" s="1157">
        <f t="shared" si="116"/>
        <v>0</v>
      </c>
      <c r="CX55" s="529"/>
      <c r="CY55" s="502"/>
      <c r="CZ55" s="530"/>
      <c r="DA55" s="498"/>
      <c r="DB55" s="499"/>
      <c r="DC55" s="499"/>
      <c r="DD55" s="499"/>
      <c r="DE55" s="531">
        <f t="shared" si="15"/>
        <v>0</v>
      </c>
      <c r="DF55" s="532">
        <f t="shared" si="16"/>
        <v>0</v>
      </c>
      <c r="DG55" s="529"/>
      <c r="DH55" s="533"/>
      <c r="DI55" s="533"/>
      <c r="DJ55" s="533"/>
      <c r="DK55" s="533">
        <f t="shared" si="17"/>
        <v>0</v>
      </c>
      <c r="DL55" s="534">
        <f t="shared" si="18"/>
        <v>0</v>
      </c>
      <c r="DM55" s="1258">
        <f t="shared" si="19"/>
        <v>0</v>
      </c>
      <c r="DN55" s="775">
        <f t="shared" si="20"/>
        <v>0</v>
      </c>
      <c r="DO55" s="548">
        <f t="shared" si="21"/>
        <v>0</v>
      </c>
      <c r="DP55" s="773">
        <f t="shared" si="22"/>
        <v>0</v>
      </c>
      <c r="DQ55" s="773">
        <f t="shared" si="23"/>
        <v>0</v>
      </c>
      <c r="DR55" s="773">
        <f t="shared" si="24"/>
        <v>0</v>
      </c>
      <c r="DS55" s="773">
        <f t="shared" si="25"/>
        <v>0</v>
      </c>
      <c r="DT55" s="773">
        <f t="shared" si="26"/>
        <v>0</v>
      </c>
      <c r="DU55" s="526">
        <f t="shared" si="117"/>
        <v>0</v>
      </c>
      <c r="DV55" s="1145">
        <f t="shared" si="27"/>
        <v>0</v>
      </c>
      <c r="DW55" s="1146">
        <f t="shared" si="28"/>
        <v>0</v>
      </c>
      <c r="DX55" s="1146">
        <f t="shared" si="29"/>
        <v>0</v>
      </c>
      <c r="DY55" s="1146">
        <f t="shared" si="30"/>
        <v>0</v>
      </c>
      <c r="DZ55" s="1146">
        <f t="shared" si="31"/>
        <v>0</v>
      </c>
      <c r="EA55" s="1146">
        <f t="shared" si="32"/>
        <v>0</v>
      </c>
      <c r="EB55" s="539">
        <f t="shared" si="118"/>
        <v>0</v>
      </c>
      <c r="EC55" s="540">
        <f t="shared" si="119"/>
        <v>0</v>
      </c>
      <c r="ES55" s="1258">
        <f t="shared" si="33"/>
        <v>0</v>
      </c>
      <c r="ET55" s="775">
        <f t="shared" si="34"/>
        <v>0</v>
      </c>
      <c r="EU55" s="548">
        <f t="shared" si="35"/>
        <v>0</v>
      </c>
      <c r="EV55" s="773">
        <f t="shared" si="36"/>
        <v>0</v>
      </c>
      <c r="EW55" s="773">
        <f t="shared" si="37"/>
        <v>0</v>
      </c>
      <c r="EX55" s="773">
        <f t="shared" si="38"/>
        <v>0</v>
      </c>
      <c r="EY55" s="773">
        <f t="shared" si="39"/>
        <v>0</v>
      </c>
      <c r="EZ55" s="773">
        <f t="shared" si="40"/>
        <v>0</v>
      </c>
      <c r="FA55" s="626">
        <f t="shared" si="120"/>
        <v>0</v>
      </c>
      <c r="FB55" s="1145">
        <f t="shared" si="41"/>
        <v>0</v>
      </c>
      <c r="FC55" s="1146">
        <f t="shared" si="42"/>
        <v>0</v>
      </c>
      <c r="FD55" s="1146">
        <f t="shared" si="43"/>
        <v>0</v>
      </c>
      <c r="FE55" s="1146">
        <f t="shared" si="44"/>
        <v>0</v>
      </c>
      <c r="FF55" s="1146">
        <f t="shared" si="45"/>
        <v>0</v>
      </c>
      <c r="FG55" s="1146">
        <f t="shared" si="46"/>
        <v>0</v>
      </c>
      <c r="FH55" s="1256">
        <f t="shared" si="121"/>
        <v>0</v>
      </c>
      <c r="FI55" s="1157">
        <f t="shared" si="122"/>
        <v>0</v>
      </c>
      <c r="FY55" s="1258">
        <f t="shared" si="47"/>
        <v>0</v>
      </c>
      <c r="FZ55" s="775">
        <f t="shared" si="48"/>
        <v>0</v>
      </c>
      <c r="GA55" s="548">
        <f t="shared" si="49"/>
        <v>0</v>
      </c>
      <c r="GB55" s="773">
        <f t="shared" si="50"/>
        <v>0</v>
      </c>
      <c r="GC55" s="773">
        <f t="shared" si="51"/>
        <v>0</v>
      </c>
      <c r="GD55" s="773">
        <f t="shared" si="52"/>
        <v>0</v>
      </c>
      <c r="GE55" s="773">
        <f t="shared" si="53"/>
        <v>0</v>
      </c>
      <c r="GF55" s="773">
        <f t="shared" si="54"/>
        <v>0</v>
      </c>
      <c r="GG55" s="626">
        <f t="shared" si="123"/>
        <v>0</v>
      </c>
      <c r="GH55" s="1145">
        <f t="shared" si="55"/>
        <v>0</v>
      </c>
      <c r="GI55" s="1146">
        <f t="shared" si="56"/>
        <v>0</v>
      </c>
      <c r="GJ55" s="1146">
        <f t="shared" si="57"/>
        <v>0</v>
      </c>
      <c r="GK55" s="1146">
        <f t="shared" si="58"/>
        <v>0</v>
      </c>
      <c r="GL55" s="1146">
        <f t="shared" si="59"/>
        <v>0</v>
      </c>
      <c r="GM55" s="1146">
        <f t="shared" si="60"/>
        <v>0</v>
      </c>
      <c r="GN55" s="1256">
        <f t="shared" si="124"/>
        <v>0</v>
      </c>
      <c r="GO55" s="1157">
        <f t="shared" si="125"/>
        <v>0</v>
      </c>
      <c r="HE55" s="1675">
        <f t="shared" si="61"/>
        <v>0</v>
      </c>
      <c r="HF55" s="775">
        <f t="shared" si="62"/>
        <v>0</v>
      </c>
      <c r="HG55" s="548">
        <f t="shared" si="63"/>
        <v>0</v>
      </c>
      <c r="HH55" s="773">
        <f t="shared" si="64"/>
        <v>0</v>
      </c>
      <c r="HI55" s="773">
        <f t="shared" si="65"/>
        <v>0</v>
      </c>
      <c r="HJ55" s="773">
        <f t="shared" si="66"/>
        <v>0</v>
      </c>
      <c r="HK55" s="773">
        <f t="shared" si="67"/>
        <v>0</v>
      </c>
      <c r="HL55" s="773">
        <f t="shared" si="68"/>
        <v>0</v>
      </c>
      <c r="HM55" s="626">
        <f t="shared" si="126"/>
        <v>0</v>
      </c>
      <c r="HN55" s="1145">
        <f t="shared" si="69"/>
        <v>0</v>
      </c>
      <c r="HO55" s="1146">
        <f t="shared" si="70"/>
        <v>0</v>
      </c>
      <c r="HP55" s="1146">
        <f t="shared" si="71"/>
        <v>0</v>
      </c>
      <c r="HQ55" s="1146">
        <f t="shared" si="72"/>
        <v>0</v>
      </c>
      <c r="HR55" s="1146">
        <f t="shared" si="73"/>
        <v>0</v>
      </c>
      <c r="HS55" s="1146">
        <f t="shared" si="74"/>
        <v>0</v>
      </c>
      <c r="HT55" s="1256">
        <f t="shared" si="127"/>
        <v>0</v>
      </c>
      <c r="HU55" s="1157">
        <f t="shared" si="128"/>
        <v>0</v>
      </c>
    </row>
    <row r="56" spans="1:229" ht="13.5" customHeight="1" outlineLevel="1" x14ac:dyDescent="0.2">
      <c r="A56" s="474"/>
      <c r="B56" s="1412"/>
      <c r="C56" s="511">
        <v>47</v>
      </c>
      <c r="D56" s="560" t="s">
        <v>34</v>
      </c>
      <c r="E56" s="1722">
        <v>10</v>
      </c>
      <c r="F56" s="567">
        <v>605.78</v>
      </c>
      <c r="G56" s="543">
        <f t="shared" si="129"/>
        <v>60.577999999999996</v>
      </c>
      <c r="H56" s="568">
        <v>0</v>
      </c>
      <c r="I56" s="567">
        <v>0</v>
      </c>
      <c r="J56" s="542">
        <v>0</v>
      </c>
      <c r="K56" s="568">
        <v>0</v>
      </c>
      <c r="L56" s="567">
        <v>0</v>
      </c>
      <c r="M56" s="542">
        <v>0</v>
      </c>
      <c r="N56" s="545">
        <f t="shared" si="130"/>
        <v>605.78</v>
      </c>
      <c r="O56" s="569">
        <f>21266.39+216222.72</f>
        <v>237489.11</v>
      </c>
      <c r="P56" s="485">
        <v>4710753.5599999996</v>
      </c>
      <c r="Q56" s="569">
        <v>0</v>
      </c>
      <c r="R56" s="519">
        <f t="shared" si="131"/>
        <v>4948242.67</v>
      </c>
      <c r="S56" s="546">
        <f t="shared" si="75"/>
        <v>4948242.67</v>
      </c>
      <c r="T56" s="521">
        <v>818387.22</v>
      </c>
      <c r="U56" s="547">
        <v>0</v>
      </c>
      <c r="V56" s="547">
        <v>0</v>
      </c>
      <c r="W56" s="548">
        <v>0</v>
      </c>
      <c r="X56" s="549">
        <v>0</v>
      </c>
      <c r="Y56" s="549">
        <v>0</v>
      </c>
      <c r="Z56" s="549">
        <v>0</v>
      </c>
      <c r="AA56" s="525">
        <f t="shared" si="76"/>
        <v>0</v>
      </c>
      <c r="AB56" s="524">
        <f t="shared" si="77"/>
        <v>0</v>
      </c>
      <c r="AC56" s="526">
        <f t="shared" si="78"/>
        <v>0</v>
      </c>
      <c r="AD56" s="547">
        <v>0</v>
      </c>
      <c r="AE56" s="547">
        <v>0</v>
      </c>
      <c r="AF56" s="547">
        <v>0</v>
      </c>
      <c r="AG56" s="547">
        <v>0</v>
      </c>
      <c r="AH56" s="363">
        <f t="shared" si="79"/>
        <v>0</v>
      </c>
      <c r="AI56" s="547">
        <f t="shared" si="80"/>
        <v>0</v>
      </c>
      <c r="AJ56" s="550">
        <f t="shared" si="81"/>
        <v>0</v>
      </c>
      <c r="AK56" s="551">
        <f t="shared" si="82"/>
        <v>0</v>
      </c>
      <c r="AL56" s="529"/>
      <c r="AM56" s="502"/>
      <c r="AN56" s="530"/>
      <c r="AO56" s="498"/>
      <c r="AP56" s="499"/>
      <c r="AQ56" s="499"/>
      <c r="AR56" s="499"/>
      <c r="AS56" s="531">
        <f t="shared" si="3"/>
        <v>0</v>
      </c>
      <c r="AT56" s="532">
        <f t="shared" si="4"/>
        <v>0</v>
      </c>
      <c r="AU56" s="529">
        <v>0</v>
      </c>
      <c r="AV56" s="533">
        <v>0</v>
      </c>
      <c r="AW56" s="533">
        <v>0</v>
      </c>
      <c r="AX56" s="533">
        <v>0</v>
      </c>
      <c r="AY56" s="533">
        <f t="shared" si="5"/>
        <v>0</v>
      </c>
      <c r="AZ56" s="534">
        <f t="shared" si="6"/>
        <v>0</v>
      </c>
      <c r="BA56" s="535">
        <f t="shared" si="83"/>
        <v>0</v>
      </c>
      <c r="BB56" s="536">
        <f t="shared" si="84"/>
        <v>0</v>
      </c>
      <c r="BC56" s="523">
        <f t="shared" si="85"/>
        <v>0</v>
      </c>
      <c r="BD56" s="525">
        <f t="shared" si="86"/>
        <v>0</v>
      </c>
      <c r="BE56" s="525">
        <f t="shared" si="87"/>
        <v>0</v>
      </c>
      <c r="BF56" s="525">
        <f t="shared" si="88"/>
        <v>0</v>
      </c>
      <c r="BG56" s="525">
        <f t="shared" si="89"/>
        <v>0</v>
      </c>
      <c r="BH56" s="525">
        <f t="shared" si="90"/>
        <v>0</v>
      </c>
      <c r="BI56" s="526">
        <f t="shared" si="91"/>
        <v>0</v>
      </c>
      <c r="BJ56" s="537">
        <f t="shared" si="92"/>
        <v>0</v>
      </c>
      <c r="BK56" s="538">
        <f t="shared" si="93"/>
        <v>0</v>
      </c>
      <c r="BL56" s="538">
        <f t="shared" si="94"/>
        <v>0</v>
      </c>
      <c r="BM56" s="538">
        <f t="shared" si="95"/>
        <v>0</v>
      </c>
      <c r="BN56" s="538">
        <f t="shared" si="96"/>
        <v>0</v>
      </c>
      <c r="BO56" s="538">
        <f t="shared" si="97"/>
        <v>0</v>
      </c>
      <c r="BP56" s="539">
        <f t="shared" si="98"/>
        <v>0</v>
      </c>
      <c r="BQ56" s="540">
        <f t="shared" si="99"/>
        <v>0</v>
      </c>
      <c r="BR56" s="529"/>
      <c r="BS56" s="502"/>
      <c r="BT56" s="530"/>
      <c r="BU56" s="498"/>
      <c r="BV56" s="499"/>
      <c r="BW56" s="499"/>
      <c r="BX56" s="499"/>
      <c r="BY56" s="531">
        <f t="shared" si="9"/>
        <v>0</v>
      </c>
      <c r="BZ56" s="532">
        <f t="shared" si="10"/>
        <v>0</v>
      </c>
      <c r="CA56" s="529"/>
      <c r="CB56" s="533"/>
      <c r="CC56" s="533"/>
      <c r="CD56" s="533"/>
      <c r="CE56" s="533">
        <f t="shared" si="11"/>
        <v>0</v>
      </c>
      <c r="CF56" s="534">
        <f t="shared" si="12"/>
        <v>0</v>
      </c>
      <c r="CG56" s="774">
        <f t="shared" si="100"/>
        <v>0</v>
      </c>
      <c r="CH56" s="775">
        <f t="shared" si="101"/>
        <v>0</v>
      </c>
      <c r="CI56" s="548">
        <f t="shared" si="102"/>
        <v>0</v>
      </c>
      <c r="CJ56" s="773">
        <f t="shared" si="103"/>
        <v>0</v>
      </c>
      <c r="CK56" s="773">
        <f t="shared" si="104"/>
        <v>0</v>
      </c>
      <c r="CL56" s="773">
        <f t="shared" si="105"/>
        <v>0</v>
      </c>
      <c r="CM56" s="773">
        <f t="shared" si="106"/>
        <v>0</v>
      </c>
      <c r="CN56" s="773">
        <f t="shared" si="107"/>
        <v>0</v>
      </c>
      <c r="CO56" s="626">
        <f t="shared" si="108"/>
        <v>0</v>
      </c>
      <c r="CP56" s="1145">
        <f t="shared" si="109"/>
        <v>0</v>
      </c>
      <c r="CQ56" s="1146">
        <f t="shared" si="110"/>
        <v>0</v>
      </c>
      <c r="CR56" s="1146">
        <f t="shared" si="111"/>
        <v>0</v>
      </c>
      <c r="CS56" s="1146">
        <f t="shared" si="112"/>
        <v>0</v>
      </c>
      <c r="CT56" s="1146">
        <f t="shared" si="113"/>
        <v>0</v>
      </c>
      <c r="CU56" s="1146">
        <f t="shared" si="114"/>
        <v>0</v>
      </c>
      <c r="CV56" s="1256">
        <f t="shared" si="115"/>
        <v>0</v>
      </c>
      <c r="CW56" s="1157">
        <f t="shared" si="116"/>
        <v>0</v>
      </c>
      <c r="CX56" s="529"/>
      <c r="CY56" s="502"/>
      <c r="CZ56" s="530"/>
      <c r="DA56" s="498"/>
      <c r="DB56" s="499"/>
      <c r="DC56" s="499"/>
      <c r="DD56" s="499"/>
      <c r="DE56" s="531">
        <f t="shared" si="15"/>
        <v>0</v>
      </c>
      <c r="DF56" s="532">
        <f t="shared" si="16"/>
        <v>0</v>
      </c>
      <c r="DG56" s="529"/>
      <c r="DH56" s="533"/>
      <c r="DI56" s="533"/>
      <c r="DJ56" s="533"/>
      <c r="DK56" s="533">
        <f t="shared" si="17"/>
        <v>0</v>
      </c>
      <c r="DL56" s="534">
        <f t="shared" si="18"/>
        <v>0</v>
      </c>
      <c r="DM56" s="1258">
        <f t="shared" si="19"/>
        <v>0</v>
      </c>
      <c r="DN56" s="775">
        <f t="shared" si="20"/>
        <v>0</v>
      </c>
      <c r="DO56" s="548">
        <f t="shared" si="21"/>
        <v>0</v>
      </c>
      <c r="DP56" s="773">
        <f t="shared" si="22"/>
        <v>0</v>
      </c>
      <c r="DQ56" s="773">
        <f t="shared" si="23"/>
        <v>0</v>
      </c>
      <c r="DR56" s="773">
        <f t="shared" si="24"/>
        <v>0</v>
      </c>
      <c r="DS56" s="773">
        <f t="shared" si="25"/>
        <v>0</v>
      </c>
      <c r="DT56" s="773">
        <f t="shared" si="26"/>
        <v>0</v>
      </c>
      <c r="DU56" s="526">
        <f t="shared" si="117"/>
        <v>0</v>
      </c>
      <c r="DV56" s="1145">
        <f t="shared" si="27"/>
        <v>0</v>
      </c>
      <c r="DW56" s="1146">
        <f t="shared" si="28"/>
        <v>0</v>
      </c>
      <c r="DX56" s="1146">
        <f t="shared" si="29"/>
        <v>0</v>
      </c>
      <c r="DY56" s="1146">
        <f t="shared" si="30"/>
        <v>0</v>
      </c>
      <c r="DZ56" s="1146">
        <f t="shared" si="31"/>
        <v>0</v>
      </c>
      <c r="EA56" s="1146">
        <f t="shared" si="32"/>
        <v>0</v>
      </c>
      <c r="EB56" s="539">
        <f t="shared" si="118"/>
        <v>0</v>
      </c>
      <c r="EC56" s="540">
        <f t="shared" si="119"/>
        <v>0</v>
      </c>
      <c r="ES56" s="1258">
        <f t="shared" si="33"/>
        <v>0</v>
      </c>
      <c r="ET56" s="775">
        <f t="shared" si="34"/>
        <v>0</v>
      </c>
      <c r="EU56" s="548">
        <f t="shared" si="35"/>
        <v>0</v>
      </c>
      <c r="EV56" s="773">
        <f t="shared" si="36"/>
        <v>0</v>
      </c>
      <c r="EW56" s="773">
        <f t="shared" si="37"/>
        <v>0</v>
      </c>
      <c r="EX56" s="773">
        <f t="shared" si="38"/>
        <v>0</v>
      </c>
      <c r="EY56" s="773">
        <f t="shared" si="39"/>
        <v>0</v>
      </c>
      <c r="EZ56" s="773">
        <f t="shared" si="40"/>
        <v>0</v>
      </c>
      <c r="FA56" s="626">
        <f t="shared" si="120"/>
        <v>0</v>
      </c>
      <c r="FB56" s="1145">
        <f t="shared" si="41"/>
        <v>0</v>
      </c>
      <c r="FC56" s="1146">
        <f t="shared" si="42"/>
        <v>0</v>
      </c>
      <c r="FD56" s="1146">
        <f t="shared" si="43"/>
        <v>0</v>
      </c>
      <c r="FE56" s="1146">
        <f t="shared" si="44"/>
        <v>0</v>
      </c>
      <c r="FF56" s="1146">
        <f t="shared" si="45"/>
        <v>0</v>
      </c>
      <c r="FG56" s="1146">
        <f t="shared" si="46"/>
        <v>0</v>
      </c>
      <c r="FH56" s="1256">
        <f t="shared" si="121"/>
        <v>0</v>
      </c>
      <c r="FI56" s="1157">
        <f t="shared" si="122"/>
        <v>0</v>
      </c>
      <c r="FY56" s="1258">
        <f t="shared" si="47"/>
        <v>0</v>
      </c>
      <c r="FZ56" s="775">
        <f t="shared" si="48"/>
        <v>0</v>
      </c>
      <c r="GA56" s="548">
        <f t="shared" si="49"/>
        <v>0</v>
      </c>
      <c r="GB56" s="773">
        <f t="shared" si="50"/>
        <v>0</v>
      </c>
      <c r="GC56" s="773">
        <f t="shared" si="51"/>
        <v>0</v>
      </c>
      <c r="GD56" s="773">
        <f t="shared" si="52"/>
        <v>0</v>
      </c>
      <c r="GE56" s="773">
        <f t="shared" si="53"/>
        <v>0</v>
      </c>
      <c r="GF56" s="773">
        <f t="shared" si="54"/>
        <v>0</v>
      </c>
      <c r="GG56" s="626">
        <f t="shared" si="123"/>
        <v>0</v>
      </c>
      <c r="GH56" s="1145">
        <f t="shared" si="55"/>
        <v>0</v>
      </c>
      <c r="GI56" s="1146">
        <f t="shared" si="56"/>
        <v>0</v>
      </c>
      <c r="GJ56" s="1146">
        <f t="shared" si="57"/>
        <v>0</v>
      </c>
      <c r="GK56" s="1146">
        <f t="shared" si="58"/>
        <v>0</v>
      </c>
      <c r="GL56" s="1146">
        <f t="shared" si="59"/>
        <v>0</v>
      </c>
      <c r="GM56" s="1146">
        <f t="shared" si="60"/>
        <v>0</v>
      </c>
      <c r="GN56" s="1256">
        <f t="shared" si="124"/>
        <v>0</v>
      </c>
      <c r="GO56" s="1157">
        <f t="shared" si="125"/>
        <v>0</v>
      </c>
      <c r="HE56" s="1675">
        <f t="shared" si="61"/>
        <v>0</v>
      </c>
      <c r="HF56" s="775">
        <f t="shared" si="62"/>
        <v>0</v>
      </c>
      <c r="HG56" s="548">
        <f t="shared" si="63"/>
        <v>0</v>
      </c>
      <c r="HH56" s="773">
        <f t="shared" si="64"/>
        <v>0</v>
      </c>
      <c r="HI56" s="773">
        <f t="shared" si="65"/>
        <v>0</v>
      </c>
      <c r="HJ56" s="773">
        <f t="shared" si="66"/>
        <v>0</v>
      </c>
      <c r="HK56" s="773">
        <f t="shared" si="67"/>
        <v>0</v>
      </c>
      <c r="HL56" s="773">
        <f t="shared" si="68"/>
        <v>0</v>
      </c>
      <c r="HM56" s="626">
        <f t="shared" si="126"/>
        <v>0</v>
      </c>
      <c r="HN56" s="1145">
        <f t="shared" si="69"/>
        <v>0</v>
      </c>
      <c r="HO56" s="1146">
        <f t="shared" si="70"/>
        <v>0</v>
      </c>
      <c r="HP56" s="1146">
        <f t="shared" si="71"/>
        <v>0</v>
      </c>
      <c r="HQ56" s="1146">
        <f t="shared" si="72"/>
        <v>0</v>
      </c>
      <c r="HR56" s="1146">
        <f t="shared" si="73"/>
        <v>0</v>
      </c>
      <c r="HS56" s="1146">
        <f t="shared" si="74"/>
        <v>0</v>
      </c>
      <c r="HT56" s="1256">
        <f t="shared" si="127"/>
        <v>0</v>
      </c>
      <c r="HU56" s="1157">
        <f t="shared" si="128"/>
        <v>0</v>
      </c>
    </row>
    <row r="57" spans="1:229" ht="13.5" customHeight="1" outlineLevel="1" x14ac:dyDescent="0.2">
      <c r="A57" s="474"/>
      <c r="B57" s="1412"/>
      <c r="C57" s="511">
        <v>48</v>
      </c>
      <c r="D57" s="557" t="s">
        <v>35</v>
      </c>
      <c r="E57" s="1721">
        <v>52</v>
      </c>
      <c r="F57" s="558">
        <v>3380.6</v>
      </c>
      <c r="G57" s="543">
        <f t="shared" si="129"/>
        <v>65.011538461538464</v>
      </c>
      <c r="H57" s="559">
        <v>0</v>
      </c>
      <c r="I57" s="558">
        <v>0</v>
      </c>
      <c r="J57" s="542">
        <v>0</v>
      </c>
      <c r="K57" s="559">
        <v>0</v>
      </c>
      <c r="L57" s="558">
        <v>0</v>
      </c>
      <c r="M57" s="542">
        <v>0</v>
      </c>
      <c r="N57" s="545">
        <f t="shared" si="130"/>
        <v>3380.6</v>
      </c>
      <c r="O57" s="518">
        <v>0</v>
      </c>
      <c r="P57" s="485">
        <v>16082740.229999999</v>
      </c>
      <c r="Q57" s="518">
        <v>0</v>
      </c>
      <c r="R57" s="519">
        <f t="shared" si="131"/>
        <v>16082740.229999999</v>
      </c>
      <c r="S57" s="546">
        <f t="shared" si="75"/>
        <v>16082740.229999999</v>
      </c>
      <c r="T57" s="521">
        <v>4360496.17</v>
      </c>
      <c r="U57" s="547">
        <v>0</v>
      </c>
      <c r="V57" s="547">
        <v>0</v>
      </c>
      <c r="W57" s="548">
        <v>0</v>
      </c>
      <c r="X57" s="549">
        <v>0</v>
      </c>
      <c r="Y57" s="549">
        <v>0</v>
      </c>
      <c r="Z57" s="549">
        <v>0</v>
      </c>
      <c r="AA57" s="525">
        <f t="shared" si="76"/>
        <v>0</v>
      </c>
      <c r="AB57" s="524">
        <f t="shared" si="77"/>
        <v>0</v>
      </c>
      <c r="AC57" s="526">
        <f t="shared" si="78"/>
        <v>0</v>
      </c>
      <c r="AD57" s="547">
        <v>0</v>
      </c>
      <c r="AE57" s="547">
        <v>0</v>
      </c>
      <c r="AF57" s="547">
        <v>0</v>
      </c>
      <c r="AG57" s="547">
        <v>0</v>
      </c>
      <c r="AH57" s="363">
        <f t="shared" si="79"/>
        <v>0</v>
      </c>
      <c r="AI57" s="547">
        <f t="shared" si="80"/>
        <v>0</v>
      </c>
      <c r="AJ57" s="550">
        <f t="shared" si="81"/>
        <v>0</v>
      </c>
      <c r="AK57" s="551">
        <f t="shared" si="82"/>
        <v>0</v>
      </c>
      <c r="AL57" s="529"/>
      <c r="AM57" s="502"/>
      <c r="AN57" s="530"/>
      <c r="AO57" s="498"/>
      <c r="AP57" s="499"/>
      <c r="AQ57" s="499"/>
      <c r="AR57" s="499"/>
      <c r="AS57" s="531">
        <f t="shared" si="3"/>
        <v>0</v>
      </c>
      <c r="AT57" s="532">
        <f t="shared" si="4"/>
        <v>0</v>
      </c>
      <c r="AU57" s="529">
        <v>0</v>
      </c>
      <c r="AV57" s="533">
        <v>0</v>
      </c>
      <c r="AW57" s="533">
        <v>0</v>
      </c>
      <c r="AX57" s="533">
        <v>0</v>
      </c>
      <c r="AY57" s="533">
        <f t="shared" si="5"/>
        <v>0</v>
      </c>
      <c r="AZ57" s="534">
        <f t="shared" si="6"/>
        <v>0</v>
      </c>
      <c r="BA57" s="535">
        <f t="shared" si="83"/>
        <v>0</v>
      </c>
      <c r="BB57" s="536">
        <f t="shared" si="84"/>
        <v>0</v>
      </c>
      <c r="BC57" s="523">
        <f t="shared" si="85"/>
        <v>0</v>
      </c>
      <c r="BD57" s="525">
        <f t="shared" si="86"/>
        <v>0</v>
      </c>
      <c r="BE57" s="525">
        <f t="shared" si="87"/>
        <v>0</v>
      </c>
      <c r="BF57" s="525">
        <f t="shared" si="88"/>
        <v>0</v>
      </c>
      <c r="BG57" s="525">
        <f t="shared" si="89"/>
        <v>0</v>
      </c>
      <c r="BH57" s="525">
        <f t="shared" si="90"/>
        <v>0</v>
      </c>
      <c r="BI57" s="526">
        <f t="shared" si="91"/>
        <v>0</v>
      </c>
      <c r="BJ57" s="537">
        <f t="shared" si="92"/>
        <v>0</v>
      </c>
      <c r="BK57" s="538">
        <f t="shared" si="93"/>
        <v>0</v>
      </c>
      <c r="BL57" s="538">
        <f t="shared" si="94"/>
        <v>0</v>
      </c>
      <c r="BM57" s="538">
        <f t="shared" si="95"/>
        <v>0</v>
      </c>
      <c r="BN57" s="538">
        <f t="shared" si="96"/>
        <v>0</v>
      </c>
      <c r="BO57" s="538">
        <f t="shared" si="97"/>
        <v>0</v>
      </c>
      <c r="BP57" s="539">
        <f t="shared" si="98"/>
        <v>0</v>
      </c>
      <c r="BQ57" s="540">
        <f t="shared" si="99"/>
        <v>0</v>
      </c>
      <c r="BR57" s="529"/>
      <c r="BS57" s="502"/>
      <c r="BT57" s="530"/>
      <c r="BU57" s="498"/>
      <c r="BV57" s="499"/>
      <c r="BW57" s="499"/>
      <c r="BX57" s="499"/>
      <c r="BY57" s="531">
        <f t="shared" si="9"/>
        <v>0</v>
      </c>
      <c r="BZ57" s="532">
        <f t="shared" si="10"/>
        <v>0</v>
      </c>
      <c r="CA57" s="529"/>
      <c r="CB57" s="533"/>
      <c r="CC57" s="533"/>
      <c r="CD57" s="533"/>
      <c r="CE57" s="533">
        <f t="shared" si="11"/>
        <v>0</v>
      </c>
      <c r="CF57" s="534">
        <f t="shared" si="12"/>
        <v>0</v>
      </c>
      <c r="CG57" s="774">
        <f t="shared" si="100"/>
        <v>0</v>
      </c>
      <c r="CH57" s="775">
        <f t="shared" si="101"/>
        <v>0</v>
      </c>
      <c r="CI57" s="548">
        <f t="shared" si="102"/>
        <v>0</v>
      </c>
      <c r="CJ57" s="773">
        <f t="shared" si="103"/>
        <v>0</v>
      </c>
      <c r="CK57" s="773">
        <f t="shared" si="104"/>
        <v>0</v>
      </c>
      <c r="CL57" s="773">
        <f t="shared" si="105"/>
        <v>0</v>
      </c>
      <c r="CM57" s="773">
        <f t="shared" si="106"/>
        <v>0</v>
      </c>
      <c r="CN57" s="773">
        <f t="shared" si="107"/>
        <v>0</v>
      </c>
      <c r="CO57" s="626">
        <f t="shared" si="108"/>
        <v>0</v>
      </c>
      <c r="CP57" s="1145">
        <f t="shared" si="109"/>
        <v>0</v>
      </c>
      <c r="CQ57" s="1146">
        <f t="shared" si="110"/>
        <v>0</v>
      </c>
      <c r="CR57" s="1146">
        <f t="shared" si="111"/>
        <v>0</v>
      </c>
      <c r="CS57" s="1146">
        <f t="shared" si="112"/>
        <v>0</v>
      </c>
      <c r="CT57" s="1146">
        <f t="shared" si="113"/>
        <v>0</v>
      </c>
      <c r="CU57" s="1146">
        <f t="shared" si="114"/>
        <v>0</v>
      </c>
      <c r="CV57" s="1256">
        <f t="shared" si="115"/>
        <v>0</v>
      </c>
      <c r="CW57" s="1157">
        <f t="shared" si="116"/>
        <v>0</v>
      </c>
      <c r="CX57" s="529"/>
      <c r="CY57" s="502"/>
      <c r="CZ57" s="530"/>
      <c r="DA57" s="498"/>
      <c r="DB57" s="499"/>
      <c r="DC57" s="499"/>
      <c r="DD57" s="499"/>
      <c r="DE57" s="531">
        <f t="shared" si="15"/>
        <v>0</v>
      </c>
      <c r="DF57" s="532">
        <f t="shared" si="16"/>
        <v>0</v>
      </c>
      <c r="DG57" s="529"/>
      <c r="DH57" s="533"/>
      <c r="DI57" s="533"/>
      <c r="DJ57" s="533"/>
      <c r="DK57" s="533">
        <f t="shared" si="17"/>
        <v>0</v>
      </c>
      <c r="DL57" s="534">
        <f t="shared" si="18"/>
        <v>0</v>
      </c>
      <c r="DM57" s="1258">
        <f t="shared" si="19"/>
        <v>0</v>
      </c>
      <c r="DN57" s="775">
        <f t="shared" si="20"/>
        <v>0</v>
      </c>
      <c r="DO57" s="548">
        <f t="shared" si="21"/>
        <v>0</v>
      </c>
      <c r="DP57" s="773">
        <f t="shared" si="22"/>
        <v>0</v>
      </c>
      <c r="DQ57" s="773">
        <f t="shared" si="23"/>
        <v>0</v>
      </c>
      <c r="DR57" s="773">
        <f t="shared" si="24"/>
        <v>0</v>
      </c>
      <c r="DS57" s="773">
        <f t="shared" si="25"/>
        <v>0</v>
      </c>
      <c r="DT57" s="773">
        <f t="shared" si="26"/>
        <v>0</v>
      </c>
      <c r="DU57" s="526">
        <f t="shared" si="117"/>
        <v>0</v>
      </c>
      <c r="DV57" s="1145">
        <f t="shared" si="27"/>
        <v>0</v>
      </c>
      <c r="DW57" s="1146">
        <f t="shared" si="28"/>
        <v>0</v>
      </c>
      <c r="DX57" s="1146">
        <f t="shared" si="29"/>
        <v>0</v>
      </c>
      <c r="DY57" s="1146">
        <f t="shared" si="30"/>
        <v>0</v>
      </c>
      <c r="DZ57" s="1146">
        <f t="shared" si="31"/>
        <v>0</v>
      </c>
      <c r="EA57" s="1146">
        <f t="shared" si="32"/>
        <v>0</v>
      </c>
      <c r="EB57" s="539">
        <f t="shared" si="118"/>
        <v>0</v>
      </c>
      <c r="EC57" s="540">
        <f t="shared" si="119"/>
        <v>0</v>
      </c>
      <c r="ES57" s="1258">
        <f t="shared" si="33"/>
        <v>0</v>
      </c>
      <c r="ET57" s="775">
        <f t="shared" si="34"/>
        <v>0</v>
      </c>
      <c r="EU57" s="548">
        <f t="shared" si="35"/>
        <v>0</v>
      </c>
      <c r="EV57" s="773">
        <f t="shared" si="36"/>
        <v>0</v>
      </c>
      <c r="EW57" s="773">
        <f t="shared" si="37"/>
        <v>0</v>
      </c>
      <c r="EX57" s="773">
        <f t="shared" si="38"/>
        <v>0</v>
      </c>
      <c r="EY57" s="773">
        <f t="shared" si="39"/>
        <v>0</v>
      </c>
      <c r="EZ57" s="773">
        <f t="shared" si="40"/>
        <v>0</v>
      </c>
      <c r="FA57" s="626">
        <f t="shared" si="120"/>
        <v>0</v>
      </c>
      <c r="FB57" s="1145">
        <f t="shared" si="41"/>
        <v>0</v>
      </c>
      <c r="FC57" s="1146">
        <f t="shared" si="42"/>
        <v>0</v>
      </c>
      <c r="FD57" s="1146">
        <f t="shared" si="43"/>
        <v>0</v>
      </c>
      <c r="FE57" s="1146">
        <f t="shared" si="44"/>
        <v>0</v>
      </c>
      <c r="FF57" s="1146">
        <f t="shared" si="45"/>
        <v>0</v>
      </c>
      <c r="FG57" s="1146">
        <f t="shared" si="46"/>
        <v>0</v>
      </c>
      <c r="FH57" s="1256">
        <f t="shared" si="121"/>
        <v>0</v>
      </c>
      <c r="FI57" s="1157">
        <f t="shared" si="122"/>
        <v>0</v>
      </c>
      <c r="FY57" s="1258">
        <f t="shared" si="47"/>
        <v>0</v>
      </c>
      <c r="FZ57" s="775">
        <f t="shared" si="48"/>
        <v>0</v>
      </c>
      <c r="GA57" s="548">
        <f t="shared" si="49"/>
        <v>0</v>
      </c>
      <c r="GB57" s="773">
        <f t="shared" si="50"/>
        <v>0</v>
      </c>
      <c r="GC57" s="773">
        <f t="shared" si="51"/>
        <v>0</v>
      </c>
      <c r="GD57" s="773">
        <f t="shared" si="52"/>
        <v>0</v>
      </c>
      <c r="GE57" s="773">
        <f t="shared" si="53"/>
        <v>0</v>
      </c>
      <c r="GF57" s="773">
        <f t="shared" si="54"/>
        <v>0</v>
      </c>
      <c r="GG57" s="626">
        <f t="shared" si="123"/>
        <v>0</v>
      </c>
      <c r="GH57" s="1145">
        <f t="shared" si="55"/>
        <v>0</v>
      </c>
      <c r="GI57" s="1146">
        <f t="shared" si="56"/>
        <v>0</v>
      </c>
      <c r="GJ57" s="1146">
        <f t="shared" si="57"/>
        <v>0</v>
      </c>
      <c r="GK57" s="1146">
        <f t="shared" si="58"/>
        <v>0</v>
      </c>
      <c r="GL57" s="1146">
        <f t="shared" si="59"/>
        <v>0</v>
      </c>
      <c r="GM57" s="1146">
        <f t="shared" si="60"/>
        <v>0</v>
      </c>
      <c r="GN57" s="1256">
        <f t="shared" si="124"/>
        <v>0</v>
      </c>
      <c r="GO57" s="1157">
        <f t="shared" si="125"/>
        <v>0</v>
      </c>
      <c r="HE57" s="1675">
        <f t="shared" si="61"/>
        <v>0</v>
      </c>
      <c r="HF57" s="775">
        <f t="shared" si="62"/>
        <v>0</v>
      </c>
      <c r="HG57" s="548">
        <f t="shared" si="63"/>
        <v>0</v>
      </c>
      <c r="HH57" s="773">
        <f t="shared" si="64"/>
        <v>0</v>
      </c>
      <c r="HI57" s="773">
        <f t="shared" si="65"/>
        <v>0</v>
      </c>
      <c r="HJ57" s="773">
        <f t="shared" si="66"/>
        <v>0</v>
      </c>
      <c r="HK57" s="773">
        <f t="shared" si="67"/>
        <v>0</v>
      </c>
      <c r="HL57" s="773">
        <f t="shared" si="68"/>
        <v>0</v>
      </c>
      <c r="HM57" s="626">
        <f t="shared" si="126"/>
        <v>0</v>
      </c>
      <c r="HN57" s="1145">
        <f t="shared" si="69"/>
        <v>0</v>
      </c>
      <c r="HO57" s="1146">
        <f t="shared" si="70"/>
        <v>0</v>
      </c>
      <c r="HP57" s="1146">
        <f t="shared" si="71"/>
        <v>0</v>
      </c>
      <c r="HQ57" s="1146">
        <f t="shared" si="72"/>
        <v>0</v>
      </c>
      <c r="HR57" s="1146">
        <f t="shared" si="73"/>
        <v>0</v>
      </c>
      <c r="HS57" s="1146">
        <f t="shared" si="74"/>
        <v>0</v>
      </c>
      <c r="HT57" s="1256">
        <f t="shared" si="127"/>
        <v>0</v>
      </c>
      <c r="HU57" s="1157">
        <f t="shared" si="128"/>
        <v>0</v>
      </c>
    </row>
    <row r="58" spans="1:229" ht="13.5" customHeight="1" outlineLevel="1" x14ac:dyDescent="0.2">
      <c r="A58" s="474"/>
      <c r="B58" s="1412"/>
      <c r="C58" s="511">
        <v>49</v>
      </c>
      <c r="D58" s="560" t="s">
        <v>36</v>
      </c>
      <c r="E58" s="1721">
        <v>12</v>
      </c>
      <c r="F58" s="558">
        <v>731.06</v>
      </c>
      <c r="G58" s="543">
        <f t="shared" si="129"/>
        <v>60.92166666666666</v>
      </c>
      <c r="H58" s="559">
        <v>0</v>
      </c>
      <c r="I58" s="558">
        <v>0</v>
      </c>
      <c r="J58" s="542">
        <v>0</v>
      </c>
      <c r="K58" s="559">
        <v>6</v>
      </c>
      <c r="L58" s="558">
        <v>379.8</v>
      </c>
      <c r="M58" s="542">
        <f>L58/K58</f>
        <v>63.300000000000004</v>
      </c>
      <c r="N58" s="545">
        <f t="shared" si="130"/>
        <v>1110.8599999999999</v>
      </c>
      <c r="O58" s="518">
        <v>0</v>
      </c>
      <c r="P58" s="485">
        <v>4995229.3499999996</v>
      </c>
      <c r="Q58" s="518">
        <v>0</v>
      </c>
      <c r="R58" s="519">
        <f t="shared" si="131"/>
        <v>4995229.3499999996</v>
      </c>
      <c r="S58" s="546">
        <f t="shared" si="75"/>
        <v>4995229.3499999996</v>
      </c>
      <c r="T58" s="521">
        <v>954809.31</v>
      </c>
      <c r="U58" s="547">
        <v>0</v>
      </c>
      <c r="V58" s="547">
        <v>0</v>
      </c>
      <c r="W58" s="548">
        <v>0</v>
      </c>
      <c r="X58" s="549">
        <v>0</v>
      </c>
      <c r="Y58" s="549">
        <v>0</v>
      </c>
      <c r="Z58" s="549">
        <v>0</v>
      </c>
      <c r="AA58" s="525">
        <f t="shared" si="76"/>
        <v>0</v>
      </c>
      <c r="AB58" s="524">
        <f t="shared" si="77"/>
        <v>0</v>
      </c>
      <c r="AC58" s="526">
        <f t="shared" si="78"/>
        <v>0</v>
      </c>
      <c r="AD58" s="547">
        <v>0</v>
      </c>
      <c r="AE58" s="547">
        <v>0</v>
      </c>
      <c r="AF58" s="547">
        <v>0</v>
      </c>
      <c r="AG58" s="547">
        <v>0</v>
      </c>
      <c r="AH58" s="363">
        <f t="shared" si="79"/>
        <v>0</v>
      </c>
      <c r="AI58" s="547">
        <f t="shared" si="80"/>
        <v>0</v>
      </c>
      <c r="AJ58" s="550">
        <f t="shared" si="81"/>
        <v>0</v>
      </c>
      <c r="AK58" s="551">
        <f t="shared" si="82"/>
        <v>0</v>
      </c>
      <c r="AL58" s="529"/>
      <c r="AM58" s="502"/>
      <c r="AN58" s="530"/>
      <c r="AO58" s="498"/>
      <c r="AP58" s="499"/>
      <c r="AQ58" s="499"/>
      <c r="AR58" s="499"/>
      <c r="AS58" s="531">
        <f t="shared" si="3"/>
        <v>0</v>
      </c>
      <c r="AT58" s="532">
        <f t="shared" si="4"/>
        <v>0</v>
      </c>
      <c r="AU58" s="529">
        <v>0</v>
      </c>
      <c r="AV58" s="533">
        <v>0</v>
      </c>
      <c r="AW58" s="533">
        <v>0</v>
      </c>
      <c r="AX58" s="533">
        <v>0</v>
      </c>
      <c r="AY58" s="533">
        <f t="shared" si="5"/>
        <v>0</v>
      </c>
      <c r="AZ58" s="534">
        <f t="shared" si="6"/>
        <v>0</v>
      </c>
      <c r="BA58" s="535">
        <f t="shared" si="83"/>
        <v>0</v>
      </c>
      <c r="BB58" s="536">
        <f t="shared" si="84"/>
        <v>0</v>
      </c>
      <c r="BC58" s="523">
        <f t="shared" si="85"/>
        <v>0</v>
      </c>
      <c r="BD58" s="525">
        <f t="shared" si="86"/>
        <v>0</v>
      </c>
      <c r="BE58" s="525">
        <f t="shared" si="87"/>
        <v>0</v>
      </c>
      <c r="BF58" s="525">
        <f t="shared" si="88"/>
        <v>0</v>
      </c>
      <c r="BG58" s="525">
        <f t="shared" si="89"/>
        <v>0</v>
      </c>
      <c r="BH58" s="525">
        <f t="shared" si="90"/>
        <v>0</v>
      </c>
      <c r="BI58" s="526">
        <f t="shared" si="91"/>
        <v>0</v>
      </c>
      <c r="BJ58" s="537">
        <f t="shared" si="92"/>
        <v>0</v>
      </c>
      <c r="BK58" s="538">
        <f t="shared" si="93"/>
        <v>0</v>
      </c>
      <c r="BL58" s="538">
        <f t="shared" si="94"/>
        <v>0</v>
      </c>
      <c r="BM58" s="538">
        <f t="shared" si="95"/>
        <v>0</v>
      </c>
      <c r="BN58" s="538">
        <f t="shared" si="96"/>
        <v>0</v>
      </c>
      <c r="BO58" s="538">
        <f t="shared" si="97"/>
        <v>0</v>
      </c>
      <c r="BP58" s="539">
        <f t="shared" si="98"/>
        <v>0</v>
      </c>
      <c r="BQ58" s="540">
        <f t="shared" si="99"/>
        <v>0</v>
      </c>
      <c r="BR58" s="529"/>
      <c r="BS58" s="502"/>
      <c r="BT58" s="530"/>
      <c r="BU58" s="498"/>
      <c r="BV58" s="499"/>
      <c r="BW58" s="499"/>
      <c r="BX58" s="499"/>
      <c r="BY58" s="531">
        <f t="shared" si="9"/>
        <v>0</v>
      </c>
      <c r="BZ58" s="532">
        <f t="shared" si="10"/>
        <v>0</v>
      </c>
      <c r="CA58" s="529"/>
      <c r="CB58" s="533"/>
      <c r="CC58" s="533"/>
      <c r="CD58" s="533"/>
      <c r="CE58" s="533">
        <f t="shared" si="11"/>
        <v>0</v>
      </c>
      <c r="CF58" s="534">
        <f t="shared" si="12"/>
        <v>0</v>
      </c>
      <c r="CG58" s="774">
        <f t="shared" si="100"/>
        <v>0</v>
      </c>
      <c r="CH58" s="775">
        <f t="shared" si="101"/>
        <v>0</v>
      </c>
      <c r="CI58" s="548">
        <f t="shared" si="102"/>
        <v>0</v>
      </c>
      <c r="CJ58" s="773">
        <f t="shared" si="103"/>
        <v>0</v>
      </c>
      <c r="CK58" s="773">
        <f t="shared" si="104"/>
        <v>0</v>
      </c>
      <c r="CL58" s="773">
        <f t="shared" si="105"/>
        <v>0</v>
      </c>
      <c r="CM58" s="773">
        <f t="shared" si="106"/>
        <v>0</v>
      </c>
      <c r="CN58" s="773">
        <f t="shared" si="107"/>
        <v>0</v>
      </c>
      <c r="CO58" s="626">
        <f t="shared" si="108"/>
        <v>0</v>
      </c>
      <c r="CP58" s="1145">
        <f t="shared" si="109"/>
        <v>0</v>
      </c>
      <c r="CQ58" s="1146">
        <f t="shared" si="110"/>
        <v>0</v>
      </c>
      <c r="CR58" s="1146">
        <f t="shared" si="111"/>
        <v>0</v>
      </c>
      <c r="CS58" s="1146">
        <f t="shared" si="112"/>
        <v>0</v>
      </c>
      <c r="CT58" s="1146">
        <f t="shared" si="113"/>
        <v>0</v>
      </c>
      <c r="CU58" s="1146">
        <f t="shared" si="114"/>
        <v>0</v>
      </c>
      <c r="CV58" s="1256">
        <f t="shared" si="115"/>
        <v>0</v>
      </c>
      <c r="CW58" s="1157">
        <f t="shared" si="116"/>
        <v>0</v>
      </c>
      <c r="CX58" s="529"/>
      <c r="CY58" s="502"/>
      <c r="CZ58" s="530"/>
      <c r="DA58" s="498"/>
      <c r="DB58" s="499"/>
      <c r="DC58" s="499"/>
      <c r="DD58" s="499"/>
      <c r="DE58" s="531">
        <f t="shared" si="15"/>
        <v>0</v>
      </c>
      <c r="DF58" s="532">
        <f t="shared" si="16"/>
        <v>0</v>
      </c>
      <c r="DG58" s="529"/>
      <c r="DH58" s="533"/>
      <c r="DI58" s="533"/>
      <c r="DJ58" s="533"/>
      <c r="DK58" s="533">
        <f t="shared" si="17"/>
        <v>0</v>
      </c>
      <c r="DL58" s="534">
        <f t="shared" si="18"/>
        <v>0</v>
      </c>
      <c r="DM58" s="1258">
        <f t="shared" si="19"/>
        <v>0</v>
      </c>
      <c r="DN58" s="775">
        <f t="shared" si="20"/>
        <v>0</v>
      </c>
      <c r="DO58" s="548">
        <f t="shared" si="21"/>
        <v>0</v>
      </c>
      <c r="DP58" s="773">
        <f t="shared" si="22"/>
        <v>0</v>
      </c>
      <c r="DQ58" s="773">
        <f t="shared" si="23"/>
        <v>0</v>
      </c>
      <c r="DR58" s="773">
        <f t="shared" si="24"/>
        <v>0</v>
      </c>
      <c r="DS58" s="773">
        <f t="shared" si="25"/>
        <v>0</v>
      </c>
      <c r="DT58" s="773">
        <f t="shared" si="26"/>
        <v>0</v>
      </c>
      <c r="DU58" s="526">
        <f t="shared" si="117"/>
        <v>0</v>
      </c>
      <c r="DV58" s="1145">
        <f t="shared" si="27"/>
        <v>0</v>
      </c>
      <c r="DW58" s="1146">
        <f t="shared" si="28"/>
        <v>0</v>
      </c>
      <c r="DX58" s="1146">
        <f t="shared" si="29"/>
        <v>0</v>
      </c>
      <c r="DY58" s="1146">
        <f t="shared" si="30"/>
        <v>0</v>
      </c>
      <c r="DZ58" s="1146">
        <f t="shared" si="31"/>
        <v>0</v>
      </c>
      <c r="EA58" s="1146">
        <f t="shared" si="32"/>
        <v>0</v>
      </c>
      <c r="EB58" s="539">
        <f t="shared" si="118"/>
        <v>0</v>
      </c>
      <c r="EC58" s="540">
        <f t="shared" si="119"/>
        <v>0</v>
      </c>
      <c r="ES58" s="1258">
        <f t="shared" si="33"/>
        <v>0</v>
      </c>
      <c r="ET58" s="775">
        <f t="shared" si="34"/>
        <v>0</v>
      </c>
      <c r="EU58" s="548">
        <f t="shared" si="35"/>
        <v>0</v>
      </c>
      <c r="EV58" s="773">
        <f t="shared" si="36"/>
        <v>0</v>
      </c>
      <c r="EW58" s="773">
        <f t="shared" si="37"/>
        <v>0</v>
      </c>
      <c r="EX58" s="773">
        <f t="shared" si="38"/>
        <v>0</v>
      </c>
      <c r="EY58" s="773">
        <f t="shared" si="39"/>
        <v>0</v>
      </c>
      <c r="EZ58" s="773">
        <f t="shared" si="40"/>
        <v>0</v>
      </c>
      <c r="FA58" s="626">
        <f t="shared" si="120"/>
        <v>0</v>
      </c>
      <c r="FB58" s="1145">
        <f t="shared" si="41"/>
        <v>0</v>
      </c>
      <c r="FC58" s="1146">
        <f t="shared" si="42"/>
        <v>0</v>
      </c>
      <c r="FD58" s="1146">
        <f t="shared" si="43"/>
        <v>0</v>
      </c>
      <c r="FE58" s="1146">
        <f t="shared" si="44"/>
        <v>0</v>
      </c>
      <c r="FF58" s="1146">
        <f t="shared" si="45"/>
        <v>0</v>
      </c>
      <c r="FG58" s="1146">
        <f t="shared" si="46"/>
        <v>0</v>
      </c>
      <c r="FH58" s="1256">
        <f t="shared" si="121"/>
        <v>0</v>
      </c>
      <c r="FI58" s="1157">
        <f t="shared" si="122"/>
        <v>0</v>
      </c>
      <c r="FY58" s="1258">
        <f t="shared" si="47"/>
        <v>0</v>
      </c>
      <c r="FZ58" s="775">
        <f t="shared" si="48"/>
        <v>0</v>
      </c>
      <c r="GA58" s="548">
        <f t="shared" si="49"/>
        <v>0</v>
      </c>
      <c r="GB58" s="773">
        <f t="shared" si="50"/>
        <v>0</v>
      </c>
      <c r="GC58" s="773">
        <f t="shared" si="51"/>
        <v>0</v>
      </c>
      <c r="GD58" s="773">
        <f t="shared" si="52"/>
        <v>0</v>
      </c>
      <c r="GE58" s="773">
        <f t="shared" si="53"/>
        <v>0</v>
      </c>
      <c r="GF58" s="773">
        <f t="shared" si="54"/>
        <v>0</v>
      </c>
      <c r="GG58" s="626">
        <f t="shared" si="123"/>
        <v>0</v>
      </c>
      <c r="GH58" s="1145">
        <f t="shared" si="55"/>
        <v>0</v>
      </c>
      <c r="GI58" s="1146">
        <f t="shared" si="56"/>
        <v>0</v>
      </c>
      <c r="GJ58" s="1146">
        <f t="shared" si="57"/>
        <v>0</v>
      </c>
      <c r="GK58" s="1146">
        <f t="shared" si="58"/>
        <v>0</v>
      </c>
      <c r="GL58" s="1146">
        <f t="shared" si="59"/>
        <v>0</v>
      </c>
      <c r="GM58" s="1146">
        <f t="shared" si="60"/>
        <v>0</v>
      </c>
      <c r="GN58" s="1256">
        <f t="shared" si="124"/>
        <v>0</v>
      </c>
      <c r="GO58" s="1157">
        <f t="shared" si="125"/>
        <v>0</v>
      </c>
      <c r="HE58" s="1675">
        <f t="shared" si="61"/>
        <v>0</v>
      </c>
      <c r="HF58" s="775">
        <f t="shared" si="62"/>
        <v>0</v>
      </c>
      <c r="HG58" s="548">
        <f t="shared" si="63"/>
        <v>0</v>
      </c>
      <c r="HH58" s="773">
        <f t="shared" si="64"/>
        <v>0</v>
      </c>
      <c r="HI58" s="773">
        <f t="shared" si="65"/>
        <v>0</v>
      </c>
      <c r="HJ58" s="773">
        <f t="shared" si="66"/>
        <v>0</v>
      </c>
      <c r="HK58" s="773">
        <f t="shared" si="67"/>
        <v>0</v>
      </c>
      <c r="HL58" s="773">
        <f t="shared" si="68"/>
        <v>0</v>
      </c>
      <c r="HM58" s="626">
        <f t="shared" si="126"/>
        <v>0</v>
      </c>
      <c r="HN58" s="1145">
        <f t="shared" si="69"/>
        <v>0</v>
      </c>
      <c r="HO58" s="1146">
        <f t="shared" si="70"/>
        <v>0</v>
      </c>
      <c r="HP58" s="1146">
        <f t="shared" si="71"/>
        <v>0</v>
      </c>
      <c r="HQ58" s="1146">
        <f t="shared" si="72"/>
        <v>0</v>
      </c>
      <c r="HR58" s="1146">
        <f t="shared" si="73"/>
        <v>0</v>
      </c>
      <c r="HS58" s="1146">
        <f t="shared" si="74"/>
        <v>0</v>
      </c>
      <c r="HT58" s="1256">
        <f t="shared" si="127"/>
        <v>0</v>
      </c>
      <c r="HU58" s="1157">
        <f t="shared" si="128"/>
        <v>0</v>
      </c>
    </row>
    <row r="59" spans="1:229" ht="13.5" customHeight="1" outlineLevel="1" x14ac:dyDescent="0.2">
      <c r="A59" s="474"/>
      <c r="B59" s="1412"/>
      <c r="C59" s="511">
        <v>50</v>
      </c>
      <c r="D59" s="557" t="s">
        <v>37</v>
      </c>
      <c r="E59" s="1721">
        <v>30</v>
      </c>
      <c r="F59" s="558">
        <v>1879.76</v>
      </c>
      <c r="G59" s="543">
        <f t="shared" si="129"/>
        <v>62.658666666666669</v>
      </c>
      <c r="H59" s="559">
        <v>0</v>
      </c>
      <c r="I59" s="558">
        <v>0</v>
      </c>
      <c r="J59" s="542">
        <v>0</v>
      </c>
      <c r="K59" s="559">
        <v>0</v>
      </c>
      <c r="L59" s="558">
        <v>0</v>
      </c>
      <c r="M59" s="542">
        <v>0</v>
      </c>
      <c r="N59" s="545">
        <f t="shared" si="130"/>
        <v>1879.76</v>
      </c>
      <c r="O59" s="518">
        <v>0</v>
      </c>
      <c r="P59" s="485">
        <v>8180046.7499999991</v>
      </c>
      <c r="Q59" s="518">
        <v>0</v>
      </c>
      <c r="R59" s="519">
        <f t="shared" si="131"/>
        <v>8180046.7499999991</v>
      </c>
      <c r="S59" s="546">
        <f t="shared" si="75"/>
        <v>8180046.7499999991</v>
      </c>
      <c r="T59" s="521">
        <v>1908280.61</v>
      </c>
      <c r="U59" s="547">
        <v>0</v>
      </c>
      <c r="V59" s="547">
        <v>0</v>
      </c>
      <c r="W59" s="548">
        <v>0</v>
      </c>
      <c r="X59" s="549">
        <v>0</v>
      </c>
      <c r="Y59" s="549">
        <v>0</v>
      </c>
      <c r="Z59" s="549">
        <v>0</v>
      </c>
      <c r="AA59" s="525">
        <f t="shared" si="76"/>
        <v>0</v>
      </c>
      <c r="AB59" s="524">
        <f t="shared" si="77"/>
        <v>0</v>
      </c>
      <c r="AC59" s="526">
        <f t="shared" si="78"/>
        <v>0</v>
      </c>
      <c r="AD59" s="547">
        <v>0</v>
      </c>
      <c r="AE59" s="547">
        <v>0</v>
      </c>
      <c r="AF59" s="547">
        <v>0</v>
      </c>
      <c r="AG59" s="547">
        <v>0</v>
      </c>
      <c r="AH59" s="363">
        <f t="shared" si="79"/>
        <v>0</v>
      </c>
      <c r="AI59" s="547">
        <f t="shared" si="80"/>
        <v>0</v>
      </c>
      <c r="AJ59" s="550">
        <f t="shared" si="81"/>
        <v>0</v>
      </c>
      <c r="AK59" s="551">
        <f t="shared" si="82"/>
        <v>0</v>
      </c>
      <c r="AL59" s="529"/>
      <c r="AM59" s="502"/>
      <c r="AN59" s="530"/>
      <c r="AO59" s="498"/>
      <c r="AP59" s="499"/>
      <c r="AQ59" s="499"/>
      <c r="AR59" s="499"/>
      <c r="AS59" s="531">
        <f t="shared" si="3"/>
        <v>0</v>
      </c>
      <c r="AT59" s="532">
        <f t="shared" si="4"/>
        <v>0</v>
      </c>
      <c r="AU59" s="529">
        <v>0</v>
      </c>
      <c r="AV59" s="533">
        <v>0</v>
      </c>
      <c r="AW59" s="533">
        <v>0</v>
      </c>
      <c r="AX59" s="533">
        <v>0</v>
      </c>
      <c r="AY59" s="533">
        <f t="shared" si="5"/>
        <v>0</v>
      </c>
      <c r="AZ59" s="534">
        <f t="shared" si="6"/>
        <v>0</v>
      </c>
      <c r="BA59" s="535">
        <f t="shared" si="83"/>
        <v>0</v>
      </c>
      <c r="BB59" s="536">
        <f t="shared" si="84"/>
        <v>0</v>
      </c>
      <c r="BC59" s="523">
        <f t="shared" si="85"/>
        <v>0</v>
      </c>
      <c r="BD59" s="525">
        <f t="shared" si="86"/>
        <v>0</v>
      </c>
      <c r="BE59" s="525">
        <f t="shared" si="87"/>
        <v>0</v>
      </c>
      <c r="BF59" s="525">
        <f t="shared" si="88"/>
        <v>0</v>
      </c>
      <c r="BG59" s="525">
        <f t="shared" si="89"/>
        <v>0</v>
      </c>
      <c r="BH59" s="525">
        <f t="shared" si="90"/>
        <v>0</v>
      </c>
      <c r="BI59" s="526">
        <f t="shared" si="91"/>
        <v>0</v>
      </c>
      <c r="BJ59" s="537">
        <f t="shared" si="92"/>
        <v>0</v>
      </c>
      <c r="BK59" s="538">
        <f t="shared" si="93"/>
        <v>0</v>
      </c>
      <c r="BL59" s="538">
        <f t="shared" si="94"/>
        <v>0</v>
      </c>
      <c r="BM59" s="538">
        <f t="shared" si="95"/>
        <v>0</v>
      </c>
      <c r="BN59" s="538">
        <f t="shared" si="96"/>
        <v>0</v>
      </c>
      <c r="BO59" s="538">
        <f t="shared" si="97"/>
        <v>0</v>
      </c>
      <c r="BP59" s="539">
        <f t="shared" si="98"/>
        <v>0</v>
      </c>
      <c r="BQ59" s="540">
        <f t="shared" si="99"/>
        <v>0</v>
      </c>
      <c r="BR59" s="529"/>
      <c r="BS59" s="502"/>
      <c r="BT59" s="530"/>
      <c r="BU59" s="498"/>
      <c r="BV59" s="499"/>
      <c r="BW59" s="499"/>
      <c r="BX59" s="499"/>
      <c r="BY59" s="531">
        <f t="shared" si="9"/>
        <v>0</v>
      </c>
      <c r="BZ59" s="532">
        <f t="shared" si="10"/>
        <v>0</v>
      </c>
      <c r="CA59" s="529"/>
      <c r="CB59" s="533"/>
      <c r="CC59" s="533"/>
      <c r="CD59" s="533"/>
      <c r="CE59" s="533">
        <f t="shared" si="11"/>
        <v>0</v>
      </c>
      <c r="CF59" s="534">
        <f t="shared" si="12"/>
        <v>0</v>
      </c>
      <c r="CG59" s="774">
        <f t="shared" si="100"/>
        <v>0</v>
      </c>
      <c r="CH59" s="775">
        <f t="shared" si="101"/>
        <v>0</v>
      </c>
      <c r="CI59" s="548">
        <f t="shared" si="102"/>
        <v>0</v>
      </c>
      <c r="CJ59" s="773">
        <f t="shared" si="103"/>
        <v>0</v>
      </c>
      <c r="CK59" s="773">
        <f t="shared" si="104"/>
        <v>0</v>
      </c>
      <c r="CL59" s="773">
        <f t="shared" si="105"/>
        <v>0</v>
      </c>
      <c r="CM59" s="773">
        <f t="shared" si="106"/>
        <v>0</v>
      </c>
      <c r="CN59" s="773">
        <f t="shared" si="107"/>
        <v>0</v>
      </c>
      <c r="CO59" s="626">
        <f t="shared" si="108"/>
        <v>0</v>
      </c>
      <c r="CP59" s="1145">
        <f t="shared" si="109"/>
        <v>0</v>
      </c>
      <c r="CQ59" s="1146">
        <f t="shared" si="110"/>
        <v>0</v>
      </c>
      <c r="CR59" s="1146">
        <f t="shared" si="111"/>
        <v>0</v>
      </c>
      <c r="CS59" s="1146">
        <f t="shared" si="112"/>
        <v>0</v>
      </c>
      <c r="CT59" s="1146">
        <f t="shared" si="113"/>
        <v>0</v>
      </c>
      <c r="CU59" s="1146">
        <f t="shared" si="114"/>
        <v>0</v>
      </c>
      <c r="CV59" s="1256">
        <f t="shared" si="115"/>
        <v>0</v>
      </c>
      <c r="CW59" s="1157">
        <f t="shared" si="116"/>
        <v>0</v>
      </c>
      <c r="CX59" s="529"/>
      <c r="CY59" s="502"/>
      <c r="CZ59" s="530"/>
      <c r="DA59" s="498"/>
      <c r="DB59" s="499"/>
      <c r="DC59" s="499"/>
      <c r="DD59" s="499"/>
      <c r="DE59" s="531">
        <f t="shared" si="15"/>
        <v>0</v>
      </c>
      <c r="DF59" s="532">
        <f t="shared" si="16"/>
        <v>0</v>
      </c>
      <c r="DG59" s="529"/>
      <c r="DH59" s="533"/>
      <c r="DI59" s="533"/>
      <c r="DJ59" s="533"/>
      <c r="DK59" s="533">
        <f t="shared" si="17"/>
        <v>0</v>
      </c>
      <c r="DL59" s="534">
        <f t="shared" si="18"/>
        <v>0</v>
      </c>
      <c r="DM59" s="1258">
        <f t="shared" si="19"/>
        <v>0</v>
      </c>
      <c r="DN59" s="775">
        <f t="shared" si="20"/>
        <v>0</v>
      </c>
      <c r="DO59" s="548">
        <f t="shared" si="21"/>
        <v>0</v>
      </c>
      <c r="DP59" s="773">
        <f t="shared" si="22"/>
        <v>0</v>
      </c>
      <c r="DQ59" s="773">
        <f t="shared" si="23"/>
        <v>0</v>
      </c>
      <c r="DR59" s="773">
        <f t="shared" si="24"/>
        <v>0</v>
      </c>
      <c r="DS59" s="773">
        <f t="shared" si="25"/>
        <v>0</v>
      </c>
      <c r="DT59" s="773">
        <f t="shared" si="26"/>
        <v>0</v>
      </c>
      <c r="DU59" s="526">
        <f t="shared" si="117"/>
        <v>0</v>
      </c>
      <c r="DV59" s="1145">
        <f t="shared" si="27"/>
        <v>0</v>
      </c>
      <c r="DW59" s="1146">
        <f t="shared" si="28"/>
        <v>0</v>
      </c>
      <c r="DX59" s="1146">
        <f t="shared" si="29"/>
        <v>0</v>
      </c>
      <c r="DY59" s="1146">
        <f t="shared" si="30"/>
        <v>0</v>
      </c>
      <c r="DZ59" s="1146">
        <f t="shared" si="31"/>
        <v>0</v>
      </c>
      <c r="EA59" s="1146">
        <f t="shared" si="32"/>
        <v>0</v>
      </c>
      <c r="EB59" s="539">
        <f t="shared" si="118"/>
        <v>0</v>
      </c>
      <c r="EC59" s="540">
        <f t="shared" si="119"/>
        <v>0</v>
      </c>
      <c r="ES59" s="1258">
        <f t="shared" si="33"/>
        <v>0</v>
      </c>
      <c r="ET59" s="775">
        <f t="shared" si="34"/>
        <v>0</v>
      </c>
      <c r="EU59" s="548">
        <f t="shared" si="35"/>
        <v>0</v>
      </c>
      <c r="EV59" s="773">
        <f t="shared" si="36"/>
        <v>0</v>
      </c>
      <c r="EW59" s="773">
        <f t="shared" si="37"/>
        <v>0</v>
      </c>
      <c r="EX59" s="773">
        <f t="shared" si="38"/>
        <v>0</v>
      </c>
      <c r="EY59" s="773">
        <f t="shared" si="39"/>
        <v>0</v>
      </c>
      <c r="EZ59" s="773">
        <f t="shared" si="40"/>
        <v>0</v>
      </c>
      <c r="FA59" s="626">
        <f t="shared" si="120"/>
        <v>0</v>
      </c>
      <c r="FB59" s="1145">
        <f t="shared" si="41"/>
        <v>0</v>
      </c>
      <c r="FC59" s="1146">
        <f t="shared" si="42"/>
        <v>0</v>
      </c>
      <c r="FD59" s="1146">
        <f t="shared" si="43"/>
        <v>0</v>
      </c>
      <c r="FE59" s="1146">
        <f t="shared" si="44"/>
        <v>0</v>
      </c>
      <c r="FF59" s="1146">
        <f t="shared" si="45"/>
        <v>0</v>
      </c>
      <c r="FG59" s="1146">
        <f t="shared" si="46"/>
        <v>0</v>
      </c>
      <c r="FH59" s="1256">
        <f t="shared" si="121"/>
        <v>0</v>
      </c>
      <c r="FI59" s="1157">
        <f t="shared" si="122"/>
        <v>0</v>
      </c>
      <c r="FY59" s="1258">
        <f t="shared" si="47"/>
        <v>0</v>
      </c>
      <c r="FZ59" s="775">
        <f t="shared" si="48"/>
        <v>0</v>
      </c>
      <c r="GA59" s="548">
        <f t="shared" si="49"/>
        <v>0</v>
      </c>
      <c r="GB59" s="773">
        <f t="shared" si="50"/>
        <v>0</v>
      </c>
      <c r="GC59" s="773">
        <f t="shared" si="51"/>
        <v>0</v>
      </c>
      <c r="GD59" s="773">
        <f t="shared" si="52"/>
        <v>0</v>
      </c>
      <c r="GE59" s="773">
        <f t="shared" si="53"/>
        <v>0</v>
      </c>
      <c r="GF59" s="773">
        <f t="shared" si="54"/>
        <v>0</v>
      </c>
      <c r="GG59" s="626">
        <f t="shared" si="123"/>
        <v>0</v>
      </c>
      <c r="GH59" s="1145">
        <f t="shared" si="55"/>
        <v>0</v>
      </c>
      <c r="GI59" s="1146">
        <f t="shared" si="56"/>
        <v>0</v>
      </c>
      <c r="GJ59" s="1146">
        <f t="shared" si="57"/>
        <v>0</v>
      </c>
      <c r="GK59" s="1146">
        <f t="shared" si="58"/>
        <v>0</v>
      </c>
      <c r="GL59" s="1146">
        <f t="shared" si="59"/>
        <v>0</v>
      </c>
      <c r="GM59" s="1146">
        <f t="shared" si="60"/>
        <v>0</v>
      </c>
      <c r="GN59" s="1256">
        <f t="shared" si="124"/>
        <v>0</v>
      </c>
      <c r="GO59" s="1157">
        <f t="shared" si="125"/>
        <v>0</v>
      </c>
      <c r="HE59" s="1675">
        <f t="shared" si="61"/>
        <v>0</v>
      </c>
      <c r="HF59" s="775">
        <f t="shared" si="62"/>
        <v>0</v>
      </c>
      <c r="HG59" s="548">
        <f t="shared" si="63"/>
        <v>0</v>
      </c>
      <c r="HH59" s="773">
        <f t="shared" si="64"/>
        <v>0</v>
      </c>
      <c r="HI59" s="773">
        <f t="shared" si="65"/>
        <v>0</v>
      </c>
      <c r="HJ59" s="773">
        <f t="shared" si="66"/>
        <v>0</v>
      </c>
      <c r="HK59" s="773">
        <f t="shared" si="67"/>
        <v>0</v>
      </c>
      <c r="HL59" s="773">
        <f t="shared" si="68"/>
        <v>0</v>
      </c>
      <c r="HM59" s="626">
        <f t="shared" si="126"/>
        <v>0</v>
      </c>
      <c r="HN59" s="1145">
        <f t="shared" si="69"/>
        <v>0</v>
      </c>
      <c r="HO59" s="1146">
        <f t="shared" si="70"/>
        <v>0</v>
      </c>
      <c r="HP59" s="1146">
        <f t="shared" si="71"/>
        <v>0</v>
      </c>
      <c r="HQ59" s="1146">
        <f t="shared" si="72"/>
        <v>0</v>
      </c>
      <c r="HR59" s="1146">
        <f t="shared" si="73"/>
        <v>0</v>
      </c>
      <c r="HS59" s="1146">
        <f t="shared" si="74"/>
        <v>0</v>
      </c>
      <c r="HT59" s="1256">
        <f t="shared" si="127"/>
        <v>0</v>
      </c>
      <c r="HU59" s="1157">
        <f t="shared" si="128"/>
        <v>0</v>
      </c>
    </row>
    <row r="60" spans="1:229" ht="13.5" customHeight="1" outlineLevel="1" x14ac:dyDescent="0.2">
      <c r="A60" s="474"/>
      <c r="B60" s="1412"/>
      <c r="C60" s="511">
        <v>51</v>
      </c>
      <c r="D60" s="541" t="s">
        <v>38</v>
      </c>
      <c r="E60" s="1719">
        <v>18</v>
      </c>
      <c r="F60" s="542">
        <v>1097</v>
      </c>
      <c r="G60" s="543">
        <f t="shared" si="129"/>
        <v>60.944444444444443</v>
      </c>
      <c r="H60" s="544">
        <v>0</v>
      </c>
      <c r="I60" s="542">
        <v>0</v>
      </c>
      <c r="J60" s="542">
        <v>0</v>
      </c>
      <c r="K60" s="544">
        <v>0</v>
      </c>
      <c r="L60" s="542">
        <v>0</v>
      </c>
      <c r="M60" s="542">
        <v>0</v>
      </c>
      <c r="N60" s="545">
        <f t="shared" si="130"/>
        <v>1097</v>
      </c>
      <c r="O60" s="518">
        <v>0</v>
      </c>
      <c r="P60" s="485">
        <v>5171607.93</v>
      </c>
      <c r="Q60" s="518">
        <v>1558617.6</v>
      </c>
      <c r="R60" s="519">
        <f t="shared" si="131"/>
        <v>6730225.5299999993</v>
      </c>
      <c r="S60" s="546">
        <f t="shared" si="75"/>
        <v>6730225.5299999993</v>
      </c>
      <c r="T60" s="521">
        <v>1366317.96</v>
      </c>
      <c r="U60" s="547">
        <v>0</v>
      </c>
      <c r="V60" s="547">
        <v>0</v>
      </c>
      <c r="W60" s="548">
        <v>0</v>
      </c>
      <c r="X60" s="549">
        <v>0</v>
      </c>
      <c r="Y60" s="549">
        <v>0</v>
      </c>
      <c r="Z60" s="549">
        <v>0</v>
      </c>
      <c r="AA60" s="525">
        <f t="shared" si="76"/>
        <v>0</v>
      </c>
      <c r="AB60" s="524">
        <f t="shared" si="77"/>
        <v>0</v>
      </c>
      <c r="AC60" s="526">
        <f t="shared" si="78"/>
        <v>0</v>
      </c>
      <c r="AD60" s="547">
        <v>0</v>
      </c>
      <c r="AE60" s="547">
        <v>0</v>
      </c>
      <c r="AF60" s="547">
        <v>0</v>
      </c>
      <c r="AG60" s="547">
        <v>0</v>
      </c>
      <c r="AH60" s="363">
        <f t="shared" si="79"/>
        <v>0</v>
      </c>
      <c r="AI60" s="547">
        <f t="shared" si="80"/>
        <v>0</v>
      </c>
      <c r="AJ60" s="550">
        <f t="shared" si="81"/>
        <v>0</v>
      </c>
      <c r="AK60" s="551">
        <f t="shared" si="82"/>
        <v>0</v>
      </c>
      <c r="AL60" s="529"/>
      <c r="AM60" s="502"/>
      <c r="AN60" s="530"/>
      <c r="AO60" s="498"/>
      <c r="AP60" s="499"/>
      <c r="AQ60" s="499"/>
      <c r="AR60" s="499"/>
      <c r="AS60" s="531">
        <f t="shared" si="3"/>
        <v>0</v>
      </c>
      <c r="AT60" s="532">
        <f t="shared" si="4"/>
        <v>0</v>
      </c>
      <c r="AU60" s="529">
        <v>0</v>
      </c>
      <c r="AV60" s="533">
        <v>0</v>
      </c>
      <c r="AW60" s="533">
        <v>0</v>
      </c>
      <c r="AX60" s="533">
        <v>0</v>
      </c>
      <c r="AY60" s="533">
        <f t="shared" si="5"/>
        <v>0</v>
      </c>
      <c r="AZ60" s="534">
        <f t="shared" si="6"/>
        <v>0</v>
      </c>
      <c r="BA60" s="535">
        <f t="shared" si="83"/>
        <v>0</v>
      </c>
      <c r="BB60" s="536">
        <f t="shared" si="84"/>
        <v>0</v>
      </c>
      <c r="BC60" s="523">
        <f t="shared" si="85"/>
        <v>0</v>
      </c>
      <c r="BD60" s="525">
        <f t="shared" si="86"/>
        <v>0</v>
      </c>
      <c r="BE60" s="525">
        <f t="shared" si="87"/>
        <v>0</v>
      </c>
      <c r="BF60" s="525">
        <f t="shared" si="88"/>
        <v>0</v>
      </c>
      <c r="BG60" s="525">
        <f t="shared" si="89"/>
        <v>0</v>
      </c>
      <c r="BH60" s="525">
        <f t="shared" si="90"/>
        <v>0</v>
      </c>
      <c r="BI60" s="526">
        <f t="shared" si="91"/>
        <v>0</v>
      </c>
      <c r="BJ60" s="537">
        <f t="shared" si="92"/>
        <v>0</v>
      </c>
      <c r="BK60" s="538">
        <f t="shared" si="93"/>
        <v>0</v>
      </c>
      <c r="BL60" s="538">
        <f t="shared" si="94"/>
        <v>0</v>
      </c>
      <c r="BM60" s="538">
        <f t="shared" si="95"/>
        <v>0</v>
      </c>
      <c r="BN60" s="538">
        <f t="shared" si="96"/>
        <v>0</v>
      </c>
      <c r="BO60" s="538">
        <f t="shared" si="97"/>
        <v>0</v>
      </c>
      <c r="BP60" s="539">
        <f t="shared" si="98"/>
        <v>0</v>
      </c>
      <c r="BQ60" s="540">
        <f t="shared" si="99"/>
        <v>0</v>
      </c>
      <c r="BR60" s="529"/>
      <c r="BS60" s="502"/>
      <c r="BT60" s="530"/>
      <c r="BU60" s="498"/>
      <c r="BV60" s="499"/>
      <c r="BW60" s="499"/>
      <c r="BX60" s="499"/>
      <c r="BY60" s="531">
        <f t="shared" si="9"/>
        <v>0</v>
      </c>
      <c r="BZ60" s="532">
        <f t="shared" si="10"/>
        <v>0</v>
      </c>
      <c r="CA60" s="529"/>
      <c r="CB60" s="533"/>
      <c r="CC60" s="533"/>
      <c r="CD60" s="533"/>
      <c r="CE60" s="533">
        <f t="shared" si="11"/>
        <v>0</v>
      </c>
      <c r="CF60" s="534">
        <f t="shared" si="12"/>
        <v>0</v>
      </c>
      <c r="CG60" s="774">
        <f t="shared" si="100"/>
        <v>0</v>
      </c>
      <c r="CH60" s="775">
        <f t="shared" si="101"/>
        <v>0</v>
      </c>
      <c r="CI60" s="548">
        <f t="shared" si="102"/>
        <v>0</v>
      </c>
      <c r="CJ60" s="773">
        <f t="shared" si="103"/>
        <v>0</v>
      </c>
      <c r="CK60" s="773">
        <f t="shared" si="104"/>
        <v>0</v>
      </c>
      <c r="CL60" s="773">
        <f t="shared" si="105"/>
        <v>0</v>
      </c>
      <c r="CM60" s="773">
        <f t="shared" si="106"/>
        <v>0</v>
      </c>
      <c r="CN60" s="773">
        <f t="shared" si="107"/>
        <v>0</v>
      </c>
      <c r="CO60" s="626">
        <f t="shared" si="108"/>
        <v>0</v>
      </c>
      <c r="CP60" s="1145">
        <f t="shared" si="109"/>
        <v>0</v>
      </c>
      <c r="CQ60" s="1146">
        <f t="shared" si="110"/>
        <v>0</v>
      </c>
      <c r="CR60" s="1146">
        <f t="shared" si="111"/>
        <v>0</v>
      </c>
      <c r="CS60" s="1146">
        <f t="shared" si="112"/>
        <v>0</v>
      </c>
      <c r="CT60" s="1146">
        <f t="shared" si="113"/>
        <v>0</v>
      </c>
      <c r="CU60" s="1146">
        <f t="shared" si="114"/>
        <v>0</v>
      </c>
      <c r="CV60" s="1256">
        <f t="shared" si="115"/>
        <v>0</v>
      </c>
      <c r="CW60" s="1157">
        <f t="shared" si="116"/>
        <v>0</v>
      </c>
      <c r="CX60" s="529"/>
      <c r="CY60" s="502"/>
      <c r="CZ60" s="530"/>
      <c r="DA60" s="498"/>
      <c r="DB60" s="499"/>
      <c r="DC60" s="499"/>
      <c r="DD60" s="499"/>
      <c r="DE60" s="531">
        <f t="shared" si="15"/>
        <v>0</v>
      </c>
      <c r="DF60" s="532">
        <f t="shared" si="16"/>
        <v>0</v>
      </c>
      <c r="DG60" s="529"/>
      <c r="DH60" s="533"/>
      <c r="DI60" s="533"/>
      <c r="DJ60" s="533"/>
      <c r="DK60" s="533">
        <f t="shared" si="17"/>
        <v>0</v>
      </c>
      <c r="DL60" s="534">
        <f t="shared" si="18"/>
        <v>0</v>
      </c>
      <c r="DM60" s="1258">
        <f t="shared" si="19"/>
        <v>0</v>
      </c>
      <c r="DN60" s="775">
        <f t="shared" si="20"/>
        <v>0</v>
      </c>
      <c r="DO60" s="548">
        <f t="shared" si="21"/>
        <v>0</v>
      </c>
      <c r="DP60" s="773">
        <f t="shared" si="22"/>
        <v>0</v>
      </c>
      <c r="DQ60" s="773">
        <f t="shared" si="23"/>
        <v>0</v>
      </c>
      <c r="DR60" s="773">
        <f t="shared" si="24"/>
        <v>0</v>
      </c>
      <c r="DS60" s="773">
        <f t="shared" si="25"/>
        <v>0</v>
      </c>
      <c r="DT60" s="773">
        <f t="shared" si="26"/>
        <v>0</v>
      </c>
      <c r="DU60" s="526">
        <f t="shared" si="117"/>
        <v>0</v>
      </c>
      <c r="DV60" s="1145">
        <f t="shared" si="27"/>
        <v>0</v>
      </c>
      <c r="DW60" s="1146">
        <f t="shared" si="28"/>
        <v>0</v>
      </c>
      <c r="DX60" s="1146">
        <f t="shared" si="29"/>
        <v>0</v>
      </c>
      <c r="DY60" s="1146">
        <f t="shared" si="30"/>
        <v>0</v>
      </c>
      <c r="DZ60" s="1146">
        <f t="shared" si="31"/>
        <v>0</v>
      </c>
      <c r="EA60" s="1146">
        <f t="shared" si="32"/>
        <v>0</v>
      </c>
      <c r="EB60" s="539">
        <f t="shared" si="118"/>
        <v>0</v>
      </c>
      <c r="EC60" s="540">
        <f t="shared" si="119"/>
        <v>0</v>
      </c>
      <c r="ES60" s="1258">
        <f t="shared" si="33"/>
        <v>0</v>
      </c>
      <c r="ET60" s="775">
        <f t="shared" si="34"/>
        <v>0</v>
      </c>
      <c r="EU60" s="548">
        <f t="shared" si="35"/>
        <v>0</v>
      </c>
      <c r="EV60" s="773">
        <f t="shared" si="36"/>
        <v>0</v>
      </c>
      <c r="EW60" s="773">
        <f t="shared" si="37"/>
        <v>0</v>
      </c>
      <c r="EX60" s="773">
        <f t="shared" si="38"/>
        <v>0</v>
      </c>
      <c r="EY60" s="773">
        <f t="shared" si="39"/>
        <v>0</v>
      </c>
      <c r="EZ60" s="773">
        <f t="shared" si="40"/>
        <v>0</v>
      </c>
      <c r="FA60" s="626">
        <f t="shared" si="120"/>
        <v>0</v>
      </c>
      <c r="FB60" s="1145">
        <f t="shared" si="41"/>
        <v>0</v>
      </c>
      <c r="FC60" s="1146">
        <f t="shared" si="42"/>
        <v>0</v>
      </c>
      <c r="FD60" s="1146">
        <f t="shared" si="43"/>
        <v>0</v>
      </c>
      <c r="FE60" s="1146">
        <f t="shared" si="44"/>
        <v>0</v>
      </c>
      <c r="FF60" s="1146">
        <f t="shared" si="45"/>
        <v>0</v>
      </c>
      <c r="FG60" s="1146">
        <f t="shared" si="46"/>
        <v>0</v>
      </c>
      <c r="FH60" s="1256">
        <f t="shared" si="121"/>
        <v>0</v>
      </c>
      <c r="FI60" s="1157">
        <f t="shared" si="122"/>
        <v>0</v>
      </c>
      <c r="FY60" s="1258">
        <f t="shared" si="47"/>
        <v>0</v>
      </c>
      <c r="FZ60" s="775">
        <f t="shared" si="48"/>
        <v>0</v>
      </c>
      <c r="GA60" s="548">
        <f t="shared" si="49"/>
        <v>0</v>
      </c>
      <c r="GB60" s="773">
        <f t="shared" si="50"/>
        <v>0</v>
      </c>
      <c r="GC60" s="773">
        <f t="shared" si="51"/>
        <v>0</v>
      </c>
      <c r="GD60" s="773">
        <f t="shared" si="52"/>
        <v>0</v>
      </c>
      <c r="GE60" s="773">
        <f t="shared" si="53"/>
        <v>0</v>
      </c>
      <c r="GF60" s="773">
        <f t="shared" si="54"/>
        <v>0</v>
      </c>
      <c r="GG60" s="626">
        <f t="shared" si="123"/>
        <v>0</v>
      </c>
      <c r="GH60" s="1145">
        <f t="shared" si="55"/>
        <v>0</v>
      </c>
      <c r="GI60" s="1146">
        <f t="shared" si="56"/>
        <v>0</v>
      </c>
      <c r="GJ60" s="1146">
        <f t="shared" si="57"/>
        <v>0</v>
      </c>
      <c r="GK60" s="1146">
        <f t="shared" si="58"/>
        <v>0</v>
      </c>
      <c r="GL60" s="1146">
        <f t="shared" si="59"/>
        <v>0</v>
      </c>
      <c r="GM60" s="1146">
        <f t="shared" si="60"/>
        <v>0</v>
      </c>
      <c r="GN60" s="1256">
        <f t="shared" si="124"/>
        <v>0</v>
      </c>
      <c r="GO60" s="1157">
        <f t="shared" si="125"/>
        <v>0</v>
      </c>
      <c r="HE60" s="1675">
        <f t="shared" si="61"/>
        <v>0</v>
      </c>
      <c r="HF60" s="775">
        <f t="shared" si="62"/>
        <v>0</v>
      </c>
      <c r="HG60" s="548">
        <f t="shared" si="63"/>
        <v>0</v>
      </c>
      <c r="HH60" s="773">
        <f t="shared" si="64"/>
        <v>0</v>
      </c>
      <c r="HI60" s="773">
        <f t="shared" si="65"/>
        <v>0</v>
      </c>
      <c r="HJ60" s="773">
        <f t="shared" si="66"/>
        <v>0</v>
      </c>
      <c r="HK60" s="773">
        <f t="shared" si="67"/>
        <v>0</v>
      </c>
      <c r="HL60" s="773">
        <f t="shared" si="68"/>
        <v>0</v>
      </c>
      <c r="HM60" s="626">
        <f t="shared" si="126"/>
        <v>0</v>
      </c>
      <c r="HN60" s="1145">
        <f t="shared" si="69"/>
        <v>0</v>
      </c>
      <c r="HO60" s="1146">
        <f t="shared" si="70"/>
        <v>0</v>
      </c>
      <c r="HP60" s="1146">
        <f t="shared" si="71"/>
        <v>0</v>
      </c>
      <c r="HQ60" s="1146">
        <f t="shared" si="72"/>
        <v>0</v>
      </c>
      <c r="HR60" s="1146">
        <f t="shared" si="73"/>
        <v>0</v>
      </c>
      <c r="HS60" s="1146">
        <f t="shared" si="74"/>
        <v>0</v>
      </c>
      <c r="HT60" s="1256">
        <f t="shared" si="127"/>
        <v>0</v>
      </c>
      <c r="HU60" s="1157">
        <f t="shared" si="128"/>
        <v>0</v>
      </c>
    </row>
    <row r="61" spans="1:229" ht="13.5" customHeight="1" outlineLevel="1" x14ac:dyDescent="0.2">
      <c r="A61" s="474"/>
      <c r="B61" s="1412"/>
      <c r="C61" s="511">
        <v>52</v>
      </c>
      <c r="D61" s="560" t="s">
        <v>82</v>
      </c>
      <c r="E61" s="513">
        <v>29</v>
      </c>
      <c r="F61" s="514">
        <v>1843.24</v>
      </c>
      <c r="G61" s="543">
        <f t="shared" si="129"/>
        <v>63.56</v>
      </c>
      <c r="H61" s="516">
        <v>0</v>
      </c>
      <c r="I61" s="258">
        <v>0</v>
      </c>
      <c r="J61" s="542">
        <v>0</v>
      </c>
      <c r="K61" s="516">
        <v>0</v>
      </c>
      <c r="L61" s="258">
        <v>0</v>
      </c>
      <c r="M61" s="542">
        <v>0</v>
      </c>
      <c r="N61" s="545">
        <f t="shared" si="130"/>
        <v>1843.24</v>
      </c>
      <c r="O61" s="518">
        <v>0</v>
      </c>
      <c r="P61" s="485">
        <f>10645589.92-neprodano!EC49</f>
        <v>10165781.9778</v>
      </c>
      <c r="Q61" s="518">
        <f>2183541.014-neprodano!ED49</f>
        <v>2090983.6861999999</v>
      </c>
      <c r="R61" s="519">
        <f t="shared" si="131"/>
        <v>12256765.664000001</v>
      </c>
      <c r="S61" s="546">
        <f t="shared" si="75"/>
        <v>12256765.664000001</v>
      </c>
      <c r="T61" s="521">
        <v>2409156.0583044998</v>
      </c>
      <c r="U61" s="547">
        <v>0</v>
      </c>
      <c r="V61" s="547">
        <v>0</v>
      </c>
      <c r="W61" s="548">
        <v>0</v>
      </c>
      <c r="X61" s="549">
        <v>0</v>
      </c>
      <c r="Y61" s="549">
        <v>0</v>
      </c>
      <c r="Z61" s="549">
        <v>0</v>
      </c>
      <c r="AA61" s="525">
        <f t="shared" si="76"/>
        <v>0</v>
      </c>
      <c r="AB61" s="524">
        <f t="shared" si="77"/>
        <v>0</v>
      </c>
      <c r="AC61" s="526">
        <f t="shared" si="78"/>
        <v>0</v>
      </c>
      <c r="AD61" s="547">
        <v>0</v>
      </c>
      <c r="AE61" s="547">
        <v>0</v>
      </c>
      <c r="AF61" s="547">
        <v>0</v>
      </c>
      <c r="AG61" s="547">
        <v>0</v>
      </c>
      <c r="AH61" s="363">
        <f t="shared" si="79"/>
        <v>0</v>
      </c>
      <c r="AI61" s="547">
        <f t="shared" si="80"/>
        <v>0</v>
      </c>
      <c r="AJ61" s="550">
        <f t="shared" si="81"/>
        <v>0</v>
      </c>
      <c r="AK61" s="551">
        <f t="shared" si="82"/>
        <v>0</v>
      </c>
      <c r="AL61" s="529"/>
      <c r="AM61" s="502"/>
      <c r="AN61" s="530"/>
      <c r="AO61" s="498"/>
      <c r="AP61" s="499"/>
      <c r="AQ61" s="499"/>
      <c r="AR61" s="499"/>
      <c r="AS61" s="531">
        <f t="shared" si="3"/>
        <v>0</v>
      </c>
      <c r="AT61" s="532">
        <f t="shared" si="4"/>
        <v>0</v>
      </c>
      <c r="AU61" s="529">
        <v>0</v>
      </c>
      <c r="AV61" s="533">
        <v>0</v>
      </c>
      <c r="AW61" s="533">
        <v>0</v>
      </c>
      <c r="AX61" s="533">
        <v>0</v>
      </c>
      <c r="AY61" s="533">
        <f t="shared" si="5"/>
        <v>0</v>
      </c>
      <c r="AZ61" s="534">
        <f t="shared" si="6"/>
        <v>0</v>
      </c>
      <c r="BA61" s="535">
        <f t="shared" si="83"/>
        <v>0</v>
      </c>
      <c r="BB61" s="536">
        <f t="shared" si="84"/>
        <v>0</v>
      </c>
      <c r="BC61" s="523">
        <f t="shared" si="85"/>
        <v>0</v>
      </c>
      <c r="BD61" s="525">
        <f t="shared" si="86"/>
        <v>0</v>
      </c>
      <c r="BE61" s="525">
        <f t="shared" si="87"/>
        <v>0</v>
      </c>
      <c r="BF61" s="525">
        <f t="shared" si="88"/>
        <v>0</v>
      </c>
      <c r="BG61" s="525">
        <f t="shared" si="89"/>
        <v>0</v>
      </c>
      <c r="BH61" s="525">
        <f t="shared" si="90"/>
        <v>0</v>
      </c>
      <c r="BI61" s="526">
        <f t="shared" si="91"/>
        <v>0</v>
      </c>
      <c r="BJ61" s="537">
        <f t="shared" si="92"/>
        <v>0</v>
      </c>
      <c r="BK61" s="538">
        <f t="shared" si="93"/>
        <v>0</v>
      </c>
      <c r="BL61" s="538">
        <f t="shared" si="94"/>
        <v>0</v>
      </c>
      <c r="BM61" s="538">
        <f t="shared" si="95"/>
        <v>0</v>
      </c>
      <c r="BN61" s="538">
        <f t="shared" si="96"/>
        <v>0</v>
      </c>
      <c r="BO61" s="538">
        <f t="shared" si="97"/>
        <v>0</v>
      </c>
      <c r="BP61" s="539">
        <f t="shared" si="98"/>
        <v>0</v>
      </c>
      <c r="BQ61" s="540">
        <f t="shared" si="99"/>
        <v>0</v>
      </c>
      <c r="BR61" s="529"/>
      <c r="BS61" s="502"/>
      <c r="BT61" s="530"/>
      <c r="BU61" s="498"/>
      <c r="BV61" s="499"/>
      <c r="BW61" s="499"/>
      <c r="BX61" s="499"/>
      <c r="BY61" s="531">
        <f t="shared" si="9"/>
        <v>0</v>
      </c>
      <c r="BZ61" s="532">
        <f t="shared" si="10"/>
        <v>0</v>
      </c>
      <c r="CA61" s="529"/>
      <c r="CB61" s="533"/>
      <c r="CC61" s="533"/>
      <c r="CD61" s="533"/>
      <c r="CE61" s="533">
        <f t="shared" si="11"/>
        <v>0</v>
      </c>
      <c r="CF61" s="534">
        <f t="shared" si="12"/>
        <v>0</v>
      </c>
      <c r="CG61" s="774">
        <f t="shared" si="100"/>
        <v>0</v>
      </c>
      <c r="CH61" s="775">
        <f t="shared" si="101"/>
        <v>0</v>
      </c>
      <c r="CI61" s="548">
        <f t="shared" si="102"/>
        <v>0</v>
      </c>
      <c r="CJ61" s="773">
        <f t="shared" si="103"/>
        <v>0</v>
      </c>
      <c r="CK61" s="773">
        <f t="shared" si="104"/>
        <v>0</v>
      </c>
      <c r="CL61" s="773">
        <f t="shared" si="105"/>
        <v>0</v>
      </c>
      <c r="CM61" s="773">
        <f t="shared" si="106"/>
        <v>0</v>
      </c>
      <c r="CN61" s="773">
        <f t="shared" si="107"/>
        <v>0</v>
      </c>
      <c r="CO61" s="626">
        <f t="shared" si="108"/>
        <v>0</v>
      </c>
      <c r="CP61" s="1145">
        <f t="shared" si="109"/>
        <v>0</v>
      </c>
      <c r="CQ61" s="1146">
        <f t="shared" si="110"/>
        <v>0</v>
      </c>
      <c r="CR61" s="1146">
        <f t="shared" si="111"/>
        <v>0</v>
      </c>
      <c r="CS61" s="1146">
        <f t="shared" si="112"/>
        <v>0</v>
      </c>
      <c r="CT61" s="1146">
        <f t="shared" si="113"/>
        <v>0</v>
      </c>
      <c r="CU61" s="1146">
        <f t="shared" si="114"/>
        <v>0</v>
      </c>
      <c r="CV61" s="1256">
        <f t="shared" si="115"/>
        <v>0</v>
      </c>
      <c r="CW61" s="1157">
        <f t="shared" si="116"/>
        <v>0</v>
      </c>
      <c r="CX61" s="529"/>
      <c r="CY61" s="502"/>
      <c r="CZ61" s="530"/>
      <c r="DA61" s="498"/>
      <c r="DB61" s="499"/>
      <c r="DC61" s="499"/>
      <c r="DD61" s="499"/>
      <c r="DE61" s="531">
        <f t="shared" si="15"/>
        <v>0</v>
      </c>
      <c r="DF61" s="532">
        <f t="shared" si="16"/>
        <v>0</v>
      </c>
      <c r="DG61" s="529"/>
      <c r="DH61" s="533"/>
      <c r="DI61" s="533"/>
      <c r="DJ61" s="533"/>
      <c r="DK61" s="533">
        <f t="shared" si="17"/>
        <v>0</v>
      </c>
      <c r="DL61" s="534">
        <f t="shared" si="18"/>
        <v>0</v>
      </c>
      <c r="DM61" s="1258">
        <f t="shared" si="19"/>
        <v>0</v>
      </c>
      <c r="DN61" s="775">
        <f t="shared" si="20"/>
        <v>0</v>
      </c>
      <c r="DO61" s="548">
        <f t="shared" si="21"/>
        <v>0</v>
      </c>
      <c r="DP61" s="773">
        <f t="shared" si="22"/>
        <v>0</v>
      </c>
      <c r="DQ61" s="773">
        <f t="shared" si="23"/>
        <v>0</v>
      </c>
      <c r="DR61" s="773">
        <f t="shared" si="24"/>
        <v>0</v>
      </c>
      <c r="DS61" s="773">
        <f t="shared" si="25"/>
        <v>0</v>
      </c>
      <c r="DT61" s="773">
        <f t="shared" si="26"/>
        <v>0</v>
      </c>
      <c r="DU61" s="526">
        <f t="shared" si="117"/>
        <v>0</v>
      </c>
      <c r="DV61" s="1145">
        <f t="shared" si="27"/>
        <v>0</v>
      </c>
      <c r="DW61" s="1146">
        <f t="shared" si="28"/>
        <v>0</v>
      </c>
      <c r="DX61" s="1146">
        <f t="shared" si="29"/>
        <v>0</v>
      </c>
      <c r="DY61" s="1146">
        <f t="shared" si="30"/>
        <v>0</v>
      </c>
      <c r="DZ61" s="1146">
        <f t="shared" si="31"/>
        <v>0</v>
      </c>
      <c r="EA61" s="1146">
        <f t="shared" si="32"/>
        <v>0</v>
      </c>
      <c r="EB61" s="539">
        <f t="shared" si="118"/>
        <v>0</v>
      </c>
      <c r="EC61" s="540">
        <f t="shared" si="119"/>
        <v>0</v>
      </c>
      <c r="ES61" s="1258">
        <f t="shared" si="33"/>
        <v>0</v>
      </c>
      <c r="ET61" s="775">
        <f t="shared" si="34"/>
        <v>0</v>
      </c>
      <c r="EU61" s="548">
        <f t="shared" si="35"/>
        <v>0</v>
      </c>
      <c r="EV61" s="773">
        <f t="shared" si="36"/>
        <v>0</v>
      </c>
      <c r="EW61" s="773">
        <f t="shared" si="37"/>
        <v>0</v>
      </c>
      <c r="EX61" s="773">
        <f t="shared" si="38"/>
        <v>0</v>
      </c>
      <c r="EY61" s="773">
        <f t="shared" si="39"/>
        <v>0</v>
      </c>
      <c r="EZ61" s="773">
        <f t="shared" si="40"/>
        <v>0</v>
      </c>
      <c r="FA61" s="626">
        <f t="shared" si="120"/>
        <v>0</v>
      </c>
      <c r="FB61" s="1145">
        <f t="shared" si="41"/>
        <v>0</v>
      </c>
      <c r="FC61" s="1146">
        <f t="shared" si="42"/>
        <v>0</v>
      </c>
      <c r="FD61" s="1146">
        <f t="shared" si="43"/>
        <v>0</v>
      </c>
      <c r="FE61" s="1146">
        <f t="shared" si="44"/>
        <v>0</v>
      </c>
      <c r="FF61" s="1146">
        <f t="shared" si="45"/>
        <v>0</v>
      </c>
      <c r="FG61" s="1146">
        <f t="shared" si="46"/>
        <v>0</v>
      </c>
      <c r="FH61" s="1256">
        <f t="shared" si="121"/>
        <v>0</v>
      </c>
      <c r="FI61" s="1157">
        <f t="shared" si="122"/>
        <v>0</v>
      </c>
      <c r="FY61" s="1258">
        <f t="shared" si="47"/>
        <v>0</v>
      </c>
      <c r="FZ61" s="775">
        <f t="shared" si="48"/>
        <v>0</v>
      </c>
      <c r="GA61" s="548">
        <f t="shared" si="49"/>
        <v>0</v>
      </c>
      <c r="GB61" s="773">
        <f t="shared" si="50"/>
        <v>0</v>
      </c>
      <c r="GC61" s="773">
        <f t="shared" si="51"/>
        <v>0</v>
      </c>
      <c r="GD61" s="773">
        <f t="shared" si="52"/>
        <v>0</v>
      </c>
      <c r="GE61" s="773">
        <f t="shared" si="53"/>
        <v>0</v>
      </c>
      <c r="GF61" s="773">
        <f t="shared" si="54"/>
        <v>0</v>
      </c>
      <c r="GG61" s="626">
        <f t="shared" si="123"/>
        <v>0</v>
      </c>
      <c r="GH61" s="1145">
        <f t="shared" si="55"/>
        <v>0</v>
      </c>
      <c r="GI61" s="1146">
        <f t="shared" si="56"/>
        <v>0</v>
      </c>
      <c r="GJ61" s="1146">
        <f t="shared" si="57"/>
        <v>0</v>
      </c>
      <c r="GK61" s="1146">
        <f t="shared" si="58"/>
        <v>0</v>
      </c>
      <c r="GL61" s="1146">
        <f t="shared" si="59"/>
        <v>0</v>
      </c>
      <c r="GM61" s="1146">
        <f t="shared" si="60"/>
        <v>0</v>
      </c>
      <c r="GN61" s="1256">
        <f t="shared" si="124"/>
        <v>0</v>
      </c>
      <c r="GO61" s="1157">
        <f t="shared" si="125"/>
        <v>0</v>
      </c>
      <c r="HE61" s="1675">
        <f t="shared" si="61"/>
        <v>0</v>
      </c>
      <c r="HF61" s="775">
        <f t="shared" si="62"/>
        <v>0</v>
      </c>
      <c r="HG61" s="548">
        <f t="shared" si="63"/>
        <v>0</v>
      </c>
      <c r="HH61" s="773">
        <f t="shared" si="64"/>
        <v>0</v>
      </c>
      <c r="HI61" s="773">
        <f t="shared" si="65"/>
        <v>0</v>
      </c>
      <c r="HJ61" s="773">
        <f t="shared" si="66"/>
        <v>0</v>
      </c>
      <c r="HK61" s="773">
        <f t="shared" si="67"/>
        <v>0</v>
      </c>
      <c r="HL61" s="773">
        <f t="shared" si="68"/>
        <v>0</v>
      </c>
      <c r="HM61" s="626">
        <f t="shared" si="126"/>
        <v>0</v>
      </c>
      <c r="HN61" s="1145">
        <f t="shared" si="69"/>
        <v>0</v>
      </c>
      <c r="HO61" s="1146">
        <f t="shared" si="70"/>
        <v>0</v>
      </c>
      <c r="HP61" s="1146">
        <f t="shared" si="71"/>
        <v>0</v>
      </c>
      <c r="HQ61" s="1146">
        <f t="shared" si="72"/>
        <v>0</v>
      </c>
      <c r="HR61" s="1146">
        <f t="shared" si="73"/>
        <v>0</v>
      </c>
      <c r="HS61" s="1146">
        <f t="shared" si="74"/>
        <v>0</v>
      </c>
      <c r="HT61" s="1256">
        <f t="shared" si="127"/>
        <v>0</v>
      </c>
      <c r="HU61" s="1157">
        <f t="shared" si="128"/>
        <v>0</v>
      </c>
    </row>
    <row r="62" spans="1:229" ht="13.5" customHeight="1" outlineLevel="1" x14ac:dyDescent="0.2">
      <c r="A62" s="474"/>
      <c r="B62" s="1412"/>
      <c r="C62" s="511">
        <v>53</v>
      </c>
      <c r="D62" s="557" t="s">
        <v>39</v>
      </c>
      <c r="E62" s="1721">
        <v>29</v>
      </c>
      <c r="F62" s="558">
        <v>1929.95</v>
      </c>
      <c r="G62" s="543">
        <f t="shared" si="129"/>
        <v>66.55</v>
      </c>
      <c r="H62" s="559">
        <v>0</v>
      </c>
      <c r="I62" s="558">
        <v>0</v>
      </c>
      <c r="J62" s="542">
        <v>0</v>
      </c>
      <c r="K62" s="559">
        <v>0</v>
      </c>
      <c r="L62" s="558">
        <v>0</v>
      </c>
      <c r="M62" s="542">
        <v>0</v>
      </c>
      <c r="N62" s="545">
        <f t="shared" si="130"/>
        <v>1929.95</v>
      </c>
      <c r="O62" s="518">
        <v>0</v>
      </c>
      <c r="P62" s="485">
        <v>11021021.300000001</v>
      </c>
      <c r="Q62" s="518">
        <v>956547.24</v>
      </c>
      <c r="R62" s="519">
        <f t="shared" si="131"/>
        <v>11977568.540000001</v>
      </c>
      <c r="S62" s="546">
        <f t="shared" si="75"/>
        <v>11977568.540000001</v>
      </c>
      <c r="T62" s="521">
        <v>2514537.44</v>
      </c>
      <c r="U62" s="547">
        <v>0</v>
      </c>
      <c r="V62" s="547">
        <v>0</v>
      </c>
      <c r="W62" s="548">
        <v>0</v>
      </c>
      <c r="X62" s="549">
        <v>0</v>
      </c>
      <c r="Y62" s="549">
        <v>0</v>
      </c>
      <c r="Z62" s="549">
        <v>0</v>
      </c>
      <c r="AA62" s="525">
        <f t="shared" si="76"/>
        <v>0</v>
      </c>
      <c r="AB62" s="524">
        <f t="shared" si="77"/>
        <v>0</v>
      </c>
      <c r="AC62" s="526">
        <f t="shared" si="78"/>
        <v>0</v>
      </c>
      <c r="AD62" s="547">
        <v>0</v>
      </c>
      <c r="AE62" s="547">
        <v>0</v>
      </c>
      <c r="AF62" s="547">
        <v>0</v>
      </c>
      <c r="AG62" s="547">
        <v>0</v>
      </c>
      <c r="AH62" s="363">
        <f t="shared" si="79"/>
        <v>0</v>
      </c>
      <c r="AI62" s="547">
        <f t="shared" si="80"/>
        <v>0</v>
      </c>
      <c r="AJ62" s="550">
        <f t="shared" si="81"/>
        <v>0</v>
      </c>
      <c r="AK62" s="551">
        <f t="shared" si="82"/>
        <v>0</v>
      </c>
      <c r="AL62" s="529"/>
      <c r="AM62" s="502"/>
      <c r="AN62" s="530"/>
      <c r="AO62" s="498"/>
      <c r="AP62" s="499"/>
      <c r="AQ62" s="499"/>
      <c r="AR62" s="499"/>
      <c r="AS62" s="531">
        <f t="shared" si="3"/>
        <v>0</v>
      </c>
      <c r="AT62" s="532">
        <f t="shared" si="4"/>
        <v>0</v>
      </c>
      <c r="AU62" s="529">
        <v>0</v>
      </c>
      <c r="AV62" s="533">
        <v>0</v>
      </c>
      <c r="AW62" s="533">
        <v>0</v>
      </c>
      <c r="AX62" s="533">
        <v>0</v>
      </c>
      <c r="AY62" s="533">
        <f t="shared" si="5"/>
        <v>0</v>
      </c>
      <c r="AZ62" s="534">
        <f t="shared" si="6"/>
        <v>0</v>
      </c>
      <c r="BA62" s="535">
        <f t="shared" si="83"/>
        <v>0</v>
      </c>
      <c r="BB62" s="536">
        <f t="shared" si="84"/>
        <v>0</v>
      </c>
      <c r="BC62" s="523">
        <f t="shared" si="85"/>
        <v>0</v>
      </c>
      <c r="BD62" s="525">
        <f t="shared" si="86"/>
        <v>0</v>
      </c>
      <c r="BE62" s="525">
        <f t="shared" si="87"/>
        <v>0</v>
      </c>
      <c r="BF62" s="525">
        <f t="shared" si="88"/>
        <v>0</v>
      </c>
      <c r="BG62" s="525">
        <f t="shared" si="89"/>
        <v>0</v>
      </c>
      <c r="BH62" s="525">
        <f t="shared" si="90"/>
        <v>0</v>
      </c>
      <c r="BI62" s="526">
        <f t="shared" si="91"/>
        <v>0</v>
      </c>
      <c r="BJ62" s="537">
        <f t="shared" si="92"/>
        <v>0</v>
      </c>
      <c r="BK62" s="538">
        <f t="shared" si="93"/>
        <v>0</v>
      </c>
      <c r="BL62" s="538">
        <f t="shared" si="94"/>
        <v>0</v>
      </c>
      <c r="BM62" s="538">
        <f t="shared" si="95"/>
        <v>0</v>
      </c>
      <c r="BN62" s="538">
        <f t="shared" si="96"/>
        <v>0</v>
      </c>
      <c r="BO62" s="538">
        <f t="shared" si="97"/>
        <v>0</v>
      </c>
      <c r="BP62" s="539">
        <f t="shared" si="98"/>
        <v>0</v>
      </c>
      <c r="BQ62" s="540">
        <f t="shared" si="99"/>
        <v>0</v>
      </c>
      <c r="BR62" s="529"/>
      <c r="BS62" s="502"/>
      <c r="BT62" s="530"/>
      <c r="BU62" s="498"/>
      <c r="BV62" s="499"/>
      <c r="BW62" s="499"/>
      <c r="BX62" s="499"/>
      <c r="BY62" s="531">
        <f t="shared" si="9"/>
        <v>0</v>
      </c>
      <c r="BZ62" s="532">
        <f t="shared" si="10"/>
        <v>0</v>
      </c>
      <c r="CA62" s="529"/>
      <c r="CB62" s="533"/>
      <c r="CC62" s="533"/>
      <c r="CD62" s="533"/>
      <c r="CE62" s="533">
        <f t="shared" si="11"/>
        <v>0</v>
      </c>
      <c r="CF62" s="534">
        <f t="shared" si="12"/>
        <v>0</v>
      </c>
      <c r="CG62" s="774">
        <f t="shared" si="100"/>
        <v>0</v>
      </c>
      <c r="CH62" s="775">
        <f t="shared" si="101"/>
        <v>0</v>
      </c>
      <c r="CI62" s="548">
        <f t="shared" si="102"/>
        <v>0</v>
      </c>
      <c r="CJ62" s="773">
        <f t="shared" si="103"/>
        <v>0</v>
      </c>
      <c r="CK62" s="773">
        <f t="shared" si="104"/>
        <v>0</v>
      </c>
      <c r="CL62" s="773">
        <f t="shared" si="105"/>
        <v>0</v>
      </c>
      <c r="CM62" s="773">
        <f t="shared" si="106"/>
        <v>0</v>
      </c>
      <c r="CN62" s="773">
        <f t="shared" si="107"/>
        <v>0</v>
      </c>
      <c r="CO62" s="626">
        <f t="shared" si="108"/>
        <v>0</v>
      </c>
      <c r="CP62" s="1145">
        <f t="shared" si="109"/>
        <v>0</v>
      </c>
      <c r="CQ62" s="1146">
        <f t="shared" si="110"/>
        <v>0</v>
      </c>
      <c r="CR62" s="1146">
        <f t="shared" si="111"/>
        <v>0</v>
      </c>
      <c r="CS62" s="1146">
        <f t="shared" si="112"/>
        <v>0</v>
      </c>
      <c r="CT62" s="1146">
        <f t="shared" si="113"/>
        <v>0</v>
      </c>
      <c r="CU62" s="1146">
        <f t="shared" si="114"/>
        <v>0</v>
      </c>
      <c r="CV62" s="1256">
        <f t="shared" si="115"/>
        <v>0</v>
      </c>
      <c r="CW62" s="1157">
        <f t="shared" si="116"/>
        <v>0</v>
      </c>
      <c r="CX62" s="529"/>
      <c r="CY62" s="502"/>
      <c r="CZ62" s="530"/>
      <c r="DA62" s="498"/>
      <c r="DB62" s="499"/>
      <c r="DC62" s="499"/>
      <c r="DD62" s="499"/>
      <c r="DE62" s="531">
        <f t="shared" si="15"/>
        <v>0</v>
      </c>
      <c r="DF62" s="532">
        <f t="shared" si="16"/>
        <v>0</v>
      </c>
      <c r="DG62" s="529"/>
      <c r="DH62" s="533"/>
      <c r="DI62" s="533"/>
      <c r="DJ62" s="533"/>
      <c r="DK62" s="533">
        <f t="shared" si="17"/>
        <v>0</v>
      </c>
      <c r="DL62" s="534">
        <f t="shared" si="18"/>
        <v>0</v>
      </c>
      <c r="DM62" s="1258">
        <f t="shared" si="19"/>
        <v>0</v>
      </c>
      <c r="DN62" s="775">
        <f t="shared" si="20"/>
        <v>0</v>
      </c>
      <c r="DO62" s="548">
        <f t="shared" si="21"/>
        <v>0</v>
      </c>
      <c r="DP62" s="773">
        <f t="shared" si="22"/>
        <v>0</v>
      </c>
      <c r="DQ62" s="773">
        <f t="shared" si="23"/>
        <v>0</v>
      </c>
      <c r="DR62" s="773">
        <f t="shared" si="24"/>
        <v>0</v>
      </c>
      <c r="DS62" s="773">
        <f t="shared" si="25"/>
        <v>0</v>
      </c>
      <c r="DT62" s="773">
        <f t="shared" si="26"/>
        <v>0</v>
      </c>
      <c r="DU62" s="526">
        <f t="shared" si="117"/>
        <v>0</v>
      </c>
      <c r="DV62" s="1145">
        <f t="shared" si="27"/>
        <v>0</v>
      </c>
      <c r="DW62" s="1146">
        <f t="shared" si="28"/>
        <v>0</v>
      </c>
      <c r="DX62" s="1146">
        <f t="shared" si="29"/>
        <v>0</v>
      </c>
      <c r="DY62" s="1146">
        <f t="shared" si="30"/>
        <v>0</v>
      </c>
      <c r="DZ62" s="1146">
        <f t="shared" si="31"/>
        <v>0</v>
      </c>
      <c r="EA62" s="1146">
        <f t="shared" si="32"/>
        <v>0</v>
      </c>
      <c r="EB62" s="539">
        <f t="shared" si="118"/>
        <v>0</v>
      </c>
      <c r="EC62" s="540">
        <f t="shared" si="119"/>
        <v>0</v>
      </c>
      <c r="ES62" s="1258">
        <f t="shared" si="33"/>
        <v>0</v>
      </c>
      <c r="ET62" s="775">
        <f t="shared" si="34"/>
        <v>0</v>
      </c>
      <c r="EU62" s="548">
        <f t="shared" si="35"/>
        <v>0</v>
      </c>
      <c r="EV62" s="773">
        <f t="shared" si="36"/>
        <v>0</v>
      </c>
      <c r="EW62" s="773">
        <f t="shared" si="37"/>
        <v>0</v>
      </c>
      <c r="EX62" s="773">
        <f t="shared" si="38"/>
        <v>0</v>
      </c>
      <c r="EY62" s="773">
        <f t="shared" si="39"/>
        <v>0</v>
      </c>
      <c r="EZ62" s="773">
        <f t="shared" si="40"/>
        <v>0</v>
      </c>
      <c r="FA62" s="626">
        <f t="shared" si="120"/>
        <v>0</v>
      </c>
      <c r="FB62" s="1145">
        <f t="shared" si="41"/>
        <v>0</v>
      </c>
      <c r="FC62" s="1146">
        <f t="shared" si="42"/>
        <v>0</v>
      </c>
      <c r="FD62" s="1146">
        <f t="shared" si="43"/>
        <v>0</v>
      </c>
      <c r="FE62" s="1146">
        <f t="shared" si="44"/>
        <v>0</v>
      </c>
      <c r="FF62" s="1146">
        <f t="shared" si="45"/>
        <v>0</v>
      </c>
      <c r="FG62" s="1146">
        <f t="shared" si="46"/>
        <v>0</v>
      </c>
      <c r="FH62" s="1256">
        <f t="shared" si="121"/>
        <v>0</v>
      </c>
      <c r="FI62" s="1157">
        <f t="shared" si="122"/>
        <v>0</v>
      </c>
      <c r="FY62" s="1258">
        <f t="shared" si="47"/>
        <v>0</v>
      </c>
      <c r="FZ62" s="775">
        <f t="shared" si="48"/>
        <v>0</v>
      </c>
      <c r="GA62" s="548">
        <f t="shared" si="49"/>
        <v>0</v>
      </c>
      <c r="GB62" s="773">
        <f t="shared" si="50"/>
        <v>0</v>
      </c>
      <c r="GC62" s="773">
        <f t="shared" si="51"/>
        <v>0</v>
      </c>
      <c r="GD62" s="773">
        <f t="shared" si="52"/>
        <v>0</v>
      </c>
      <c r="GE62" s="773">
        <f t="shared" si="53"/>
        <v>0</v>
      </c>
      <c r="GF62" s="773">
        <f t="shared" si="54"/>
        <v>0</v>
      </c>
      <c r="GG62" s="626">
        <f t="shared" si="123"/>
        <v>0</v>
      </c>
      <c r="GH62" s="1145">
        <f t="shared" si="55"/>
        <v>0</v>
      </c>
      <c r="GI62" s="1146">
        <f t="shared" si="56"/>
        <v>0</v>
      </c>
      <c r="GJ62" s="1146">
        <f t="shared" si="57"/>
        <v>0</v>
      </c>
      <c r="GK62" s="1146">
        <f t="shared" si="58"/>
        <v>0</v>
      </c>
      <c r="GL62" s="1146">
        <f t="shared" si="59"/>
        <v>0</v>
      </c>
      <c r="GM62" s="1146">
        <f t="shared" si="60"/>
        <v>0</v>
      </c>
      <c r="GN62" s="1256">
        <f t="shared" si="124"/>
        <v>0</v>
      </c>
      <c r="GO62" s="1157">
        <f t="shared" si="125"/>
        <v>0</v>
      </c>
      <c r="HE62" s="1675">
        <f t="shared" si="61"/>
        <v>0</v>
      </c>
      <c r="HF62" s="775">
        <f t="shared" si="62"/>
        <v>0</v>
      </c>
      <c r="HG62" s="548">
        <f t="shared" si="63"/>
        <v>0</v>
      </c>
      <c r="HH62" s="773">
        <f t="shared" si="64"/>
        <v>0</v>
      </c>
      <c r="HI62" s="773">
        <f t="shared" si="65"/>
        <v>0</v>
      </c>
      <c r="HJ62" s="773">
        <f t="shared" si="66"/>
        <v>0</v>
      </c>
      <c r="HK62" s="773">
        <f t="shared" si="67"/>
        <v>0</v>
      </c>
      <c r="HL62" s="773">
        <f t="shared" si="68"/>
        <v>0</v>
      </c>
      <c r="HM62" s="626">
        <f t="shared" si="126"/>
        <v>0</v>
      </c>
      <c r="HN62" s="1145">
        <f t="shared" si="69"/>
        <v>0</v>
      </c>
      <c r="HO62" s="1146">
        <f t="shared" si="70"/>
        <v>0</v>
      </c>
      <c r="HP62" s="1146">
        <f t="shared" si="71"/>
        <v>0</v>
      </c>
      <c r="HQ62" s="1146">
        <f t="shared" si="72"/>
        <v>0</v>
      </c>
      <c r="HR62" s="1146">
        <f t="shared" si="73"/>
        <v>0</v>
      </c>
      <c r="HS62" s="1146">
        <f t="shared" si="74"/>
        <v>0</v>
      </c>
      <c r="HT62" s="1256">
        <f t="shared" si="127"/>
        <v>0</v>
      </c>
      <c r="HU62" s="1157">
        <f t="shared" si="128"/>
        <v>0</v>
      </c>
    </row>
    <row r="63" spans="1:229" ht="13.5" customHeight="1" outlineLevel="1" x14ac:dyDescent="0.2">
      <c r="A63" s="474"/>
      <c r="B63" s="1412"/>
      <c r="C63" s="511">
        <v>54</v>
      </c>
      <c r="D63" s="557" t="s">
        <v>40</v>
      </c>
      <c r="E63" s="1721">
        <v>64</v>
      </c>
      <c r="F63" s="558">
        <v>3946.05</v>
      </c>
      <c r="G63" s="543">
        <f t="shared" si="129"/>
        <v>61.657031250000003</v>
      </c>
      <c r="H63" s="559">
        <v>0</v>
      </c>
      <c r="I63" s="558">
        <v>0</v>
      </c>
      <c r="J63" s="542">
        <v>0</v>
      </c>
      <c r="K63" s="559">
        <v>0</v>
      </c>
      <c r="L63" s="558">
        <v>0</v>
      </c>
      <c r="M63" s="542">
        <v>0</v>
      </c>
      <c r="N63" s="545">
        <f t="shared" si="130"/>
        <v>3946.05</v>
      </c>
      <c r="O63" s="518">
        <v>0</v>
      </c>
      <c r="P63" s="485">
        <v>21078617.75</v>
      </c>
      <c r="Q63" s="518">
        <v>5051339.83</v>
      </c>
      <c r="R63" s="519">
        <f t="shared" si="131"/>
        <v>26129957.579999998</v>
      </c>
      <c r="S63" s="546">
        <f t="shared" si="75"/>
        <v>26129957.579999998</v>
      </c>
      <c r="T63" s="521">
        <v>5077441.57</v>
      </c>
      <c r="U63" s="547">
        <v>0</v>
      </c>
      <c r="V63" s="547">
        <v>0</v>
      </c>
      <c r="W63" s="548">
        <v>0</v>
      </c>
      <c r="X63" s="549">
        <v>0</v>
      </c>
      <c r="Y63" s="549">
        <v>0</v>
      </c>
      <c r="Z63" s="549">
        <v>0</v>
      </c>
      <c r="AA63" s="525">
        <f t="shared" si="76"/>
        <v>0</v>
      </c>
      <c r="AB63" s="524">
        <f t="shared" si="77"/>
        <v>0</v>
      </c>
      <c r="AC63" s="526">
        <f t="shared" si="78"/>
        <v>0</v>
      </c>
      <c r="AD63" s="547">
        <v>0</v>
      </c>
      <c r="AE63" s="547">
        <v>0</v>
      </c>
      <c r="AF63" s="547">
        <v>0</v>
      </c>
      <c r="AG63" s="547">
        <v>0</v>
      </c>
      <c r="AH63" s="363">
        <f t="shared" si="79"/>
        <v>0</v>
      </c>
      <c r="AI63" s="547">
        <f t="shared" si="80"/>
        <v>0</v>
      </c>
      <c r="AJ63" s="550">
        <f t="shared" si="81"/>
        <v>0</v>
      </c>
      <c r="AK63" s="551">
        <f t="shared" si="82"/>
        <v>0</v>
      </c>
      <c r="AL63" s="529"/>
      <c r="AM63" s="502"/>
      <c r="AN63" s="530"/>
      <c r="AO63" s="498"/>
      <c r="AP63" s="499"/>
      <c r="AQ63" s="499"/>
      <c r="AR63" s="499"/>
      <c r="AS63" s="531">
        <f t="shared" si="3"/>
        <v>0</v>
      </c>
      <c r="AT63" s="532">
        <f t="shared" si="4"/>
        <v>0</v>
      </c>
      <c r="AU63" s="529">
        <v>0</v>
      </c>
      <c r="AV63" s="533">
        <v>0</v>
      </c>
      <c r="AW63" s="533">
        <v>0</v>
      </c>
      <c r="AX63" s="533">
        <v>0</v>
      </c>
      <c r="AY63" s="533">
        <f t="shared" si="5"/>
        <v>0</v>
      </c>
      <c r="AZ63" s="534">
        <f t="shared" si="6"/>
        <v>0</v>
      </c>
      <c r="BA63" s="535">
        <f t="shared" si="83"/>
        <v>0</v>
      </c>
      <c r="BB63" s="536">
        <f t="shared" si="84"/>
        <v>0</v>
      </c>
      <c r="BC63" s="523">
        <f t="shared" si="85"/>
        <v>0</v>
      </c>
      <c r="BD63" s="525">
        <f t="shared" si="86"/>
        <v>0</v>
      </c>
      <c r="BE63" s="525">
        <f t="shared" si="87"/>
        <v>0</v>
      </c>
      <c r="BF63" s="525">
        <f t="shared" si="88"/>
        <v>0</v>
      </c>
      <c r="BG63" s="525">
        <f t="shared" si="89"/>
        <v>0</v>
      </c>
      <c r="BH63" s="525">
        <f t="shared" si="90"/>
        <v>0</v>
      </c>
      <c r="BI63" s="526">
        <f t="shared" si="91"/>
        <v>0</v>
      </c>
      <c r="BJ63" s="537">
        <f t="shared" si="92"/>
        <v>0</v>
      </c>
      <c r="BK63" s="538">
        <f t="shared" si="93"/>
        <v>0</v>
      </c>
      <c r="BL63" s="538">
        <f t="shared" si="94"/>
        <v>0</v>
      </c>
      <c r="BM63" s="538">
        <f t="shared" si="95"/>
        <v>0</v>
      </c>
      <c r="BN63" s="538">
        <f t="shared" si="96"/>
        <v>0</v>
      </c>
      <c r="BO63" s="538">
        <f t="shared" si="97"/>
        <v>0</v>
      </c>
      <c r="BP63" s="539">
        <f t="shared" si="98"/>
        <v>0</v>
      </c>
      <c r="BQ63" s="540">
        <f t="shared" si="99"/>
        <v>0</v>
      </c>
      <c r="BR63" s="529"/>
      <c r="BS63" s="502"/>
      <c r="BT63" s="530"/>
      <c r="BU63" s="498"/>
      <c r="BV63" s="499"/>
      <c r="BW63" s="499"/>
      <c r="BX63" s="499"/>
      <c r="BY63" s="531">
        <f t="shared" si="9"/>
        <v>0</v>
      </c>
      <c r="BZ63" s="532">
        <f t="shared" si="10"/>
        <v>0</v>
      </c>
      <c r="CA63" s="529"/>
      <c r="CB63" s="533"/>
      <c r="CC63" s="533"/>
      <c r="CD63" s="533"/>
      <c r="CE63" s="533">
        <f t="shared" si="11"/>
        <v>0</v>
      </c>
      <c r="CF63" s="534">
        <f t="shared" si="12"/>
        <v>0</v>
      </c>
      <c r="CG63" s="774">
        <f t="shared" si="100"/>
        <v>0</v>
      </c>
      <c r="CH63" s="775">
        <f t="shared" si="101"/>
        <v>0</v>
      </c>
      <c r="CI63" s="548">
        <f t="shared" si="102"/>
        <v>0</v>
      </c>
      <c r="CJ63" s="773">
        <f t="shared" si="103"/>
        <v>0</v>
      </c>
      <c r="CK63" s="773">
        <f t="shared" si="104"/>
        <v>0</v>
      </c>
      <c r="CL63" s="773">
        <f t="shared" si="105"/>
        <v>0</v>
      </c>
      <c r="CM63" s="773">
        <f t="shared" si="106"/>
        <v>0</v>
      </c>
      <c r="CN63" s="773">
        <f t="shared" si="107"/>
        <v>0</v>
      </c>
      <c r="CO63" s="626">
        <f t="shared" si="108"/>
        <v>0</v>
      </c>
      <c r="CP63" s="1145">
        <f t="shared" si="109"/>
        <v>0</v>
      </c>
      <c r="CQ63" s="1146">
        <f t="shared" si="110"/>
        <v>0</v>
      </c>
      <c r="CR63" s="1146">
        <f t="shared" si="111"/>
        <v>0</v>
      </c>
      <c r="CS63" s="1146">
        <f t="shared" si="112"/>
        <v>0</v>
      </c>
      <c r="CT63" s="1146">
        <f t="shared" si="113"/>
        <v>0</v>
      </c>
      <c r="CU63" s="1146">
        <f t="shared" si="114"/>
        <v>0</v>
      </c>
      <c r="CV63" s="1256">
        <f t="shared" si="115"/>
        <v>0</v>
      </c>
      <c r="CW63" s="1157">
        <f t="shared" si="116"/>
        <v>0</v>
      </c>
      <c r="CX63" s="529"/>
      <c r="CY63" s="502"/>
      <c r="CZ63" s="530"/>
      <c r="DA63" s="498"/>
      <c r="DB63" s="499"/>
      <c r="DC63" s="499"/>
      <c r="DD63" s="499"/>
      <c r="DE63" s="531">
        <f t="shared" si="15"/>
        <v>0</v>
      </c>
      <c r="DF63" s="532">
        <f t="shared" si="16"/>
        <v>0</v>
      </c>
      <c r="DG63" s="529"/>
      <c r="DH63" s="533"/>
      <c r="DI63" s="533"/>
      <c r="DJ63" s="533"/>
      <c r="DK63" s="533">
        <f t="shared" si="17"/>
        <v>0</v>
      </c>
      <c r="DL63" s="534">
        <f t="shared" si="18"/>
        <v>0</v>
      </c>
      <c r="DM63" s="1258">
        <f t="shared" si="19"/>
        <v>0</v>
      </c>
      <c r="DN63" s="775">
        <f t="shared" si="20"/>
        <v>0</v>
      </c>
      <c r="DO63" s="548">
        <f t="shared" si="21"/>
        <v>0</v>
      </c>
      <c r="DP63" s="773">
        <f t="shared" si="22"/>
        <v>0</v>
      </c>
      <c r="DQ63" s="773">
        <f t="shared" si="23"/>
        <v>0</v>
      </c>
      <c r="DR63" s="773">
        <f t="shared" si="24"/>
        <v>0</v>
      </c>
      <c r="DS63" s="773">
        <f t="shared" si="25"/>
        <v>0</v>
      </c>
      <c r="DT63" s="773">
        <f t="shared" si="26"/>
        <v>0</v>
      </c>
      <c r="DU63" s="526">
        <f t="shared" si="117"/>
        <v>0</v>
      </c>
      <c r="DV63" s="1145">
        <f t="shared" si="27"/>
        <v>0</v>
      </c>
      <c r="DW63" s="1146">
        <f t="shared" si="28"/>
        <v>0</v>
      </c>
      <c r="DX63" s="1146">
        <f t="shared" si="29"/>
        <v>0</v>
      </c>
      <c r="DY63" s="1146">
        <f t="shared" si="30"/>
        <v>0</v>
      </c>
      <c r="DZ63" s="1146">
        <f t="shared" si="31"/>
        <v>0</v>
      </c>
      <c r="EA63" s="1146">
        <f t="shared" si="32"/>
        <v>0</v>
      </c>
      <c r="EB63" s="539">
        <f t="shared" si="118"/>
        <v>0</v>
      </c>
      <c r="EC63" s="540">
        <f t="shared" si="119"/>
        <v>0</v>
      </c>
      <c r="ES63" s="1258">
        <f t="shared" si="33"/>
        <v>0</v>
      </c>
      <c r="ET63" s="775">
        <f t="shared" si="34"/>
        <v>0</v>
      </c>
      <c r="EU63" s="548">
        <f t="shared" si="35"/>
        <v>0</v>
      </c>
      <c r="EV63" s="773">
        <f t="shared" si="36"/>
        <v>0</v>
      </c>
      <c r="EW63" s="773">
        <f t="shared" si="37"/>
        <v>0</v>
      </c>
      <c r="EX63" s="773">
        <f t="shared" si="38"/>
        <v>0</v>
      </c>
      <c r="EY63" s="773">
        <f t="shared" si="39"/>
        <v>0</v>
      </c>
      <c r="EZ63" s="773">
        <f t="shared" si="40"/>
        <v>0</v>
      </c>
      <c r="FA63" s="626">
        <f t="shared" si="120"/>
        <v>0</v>
      </c>
      <c r="FB63" s="1145">
        <f t="shared" si="41"/>
        <v>0</v>
      </c>
      <c r="FC63" s="1146">
        <f t="shared" si="42"/>
        <v>0</v>
      </c>
      <c r="FD63" s="1146">
        <f t="shared" si="43"/>
        <v>0</v>
      </c>
      <c r="FE63" s="1146">
        <f t="shared" si="44"/>
        <v>0</v>
      </c>
      <c r="FF63" s="1146">
        <f t="shared" si="45"/>
        <v>0</v>
      </c>
      <c r="FG63" s="1146">
        <f t="shared" si="46"/>
        <v>0</v>
      </c>
      <c r="FH63" s="1256">
        <f t="shared" si="121"/>
        <v>0</v>
      </c>
      <c r="FI63" s="1157">
        <f t="shared" si="122"/>
        <v>0</v>
      </c>
      <c r="FY63" s="1258">
        <f t="shared" si="47"/>
        <v>0</v>
      </c>
      <c r="FZ63" s="775">
        <f t="shared" si="48"/>
        <v>0</v>
      </c>
      <c r="GA63" s="548">
        <f t="shared" si="49"/>
        <v>0</v>
      </c>
      <c r="GB63" s="773">
        <f t="shared" si="50"/>
        <v>0</v>
      </c>
      <c r="GC63" s="773">
        <f t="shared" si="51"/>
        <v>0</v>
      </c>
      <c r="GD63" s="773">
        <f t="shared" si="52"/>
        <v>0</v>
      </c>
      <c r="GE63" s="773">
        <f t="shared" si="53"/>
        <v>0</v>
      </c>
      <c r="GF63" s="773">
        <f t="shared" si="54"/>
        <v>0</v>
      </c>
      <c r="GG63" s="626">
        <f t="shared" si="123"/>
        <v>0</v>
      </c>
      <c r="GH63" s="1145">
        <f t="shared" si="55"/>
        <v>0</v>
      </c>
      <c r="GI63" s="1146">
        <f t="shared" si="56"/>
        <v>0</v>
      </c>
      <c r="GJ63" s="1146">
        <f t="shared" si="57"/>
        <v>0</v>
      </c>
      <c r="GK63" s="1146">
        <f t="shared" si="58"/>
        <v>0</v>
      </c>
      <c r="GL63" s="1146">
        <f t="shared" si="59"/>
        <v>0</v>
      </c>
      <c r="GM63" s="1146">
        <f t="shared" si="60"/>
        <v>0</v>
      </c>
      <c r="GN63" s="1256">
        <f t="shared" si="124"/>
        <v>0</v>
      </c>
      <c r="GO63" s="1157">
        <f t="shared" si="125"/>
        <v>0</v>
      </c>
      <c r="HE63" s="1675">
        <f t="shared" si="61"/>
        <v>0</v>
      </c>
      <c r="HF63" s="775">
        <f t="shared" si="62"/>
        <v>0</v>
      </c>
      <c r="HG63" s="548">
        <f t="shared" si="63"/>
        <v>0</v>
      </c>
      <c r="HH63" s="773">
        <f t="shared" si="64"/>
        <v>0</v>
      </c>
      <c r="HI63" s="773">
        <f t="shared" si="65"/>
        <v>0</v>
      </c>
      <c r="HJ63" s="773">
        <f t="shared" si="66"/>
        <v>0</v>
      </c>
      <c r="HK63" s="773">
        <f t="shared" si="67"/>
        <v>0</v>
      </c>
      <c r="HL63" s="773">
        <f t="shared" si="68"/>
        <v>0</v>
      </c>
      <c r="HM63" s="626">
        <f t="shared" si="126"/>
        <v>0</v>
      </c>
      <c r="HN63" s="1145">
        <f t="shared" si="69"/>
        <v>0</v>
      </c>
      <c r="HO63" s="1146">
        <f t="shared" si="70"/>
        <v>0</v>
      </c>
      <c r="HP63" s="1146">
        <f t="shared" si="71"/>
        <v>0</v>
      </c>
      <c r="HQ63" s="1146">
        <f t="shared" si="72"/>
        <v>0</v>
      </c>
      <c r="HR63" s="1146">
        <f t="shared" si="73"/>
        <v>0</v>
      </c>
      <c r="HS63" s="1146">
        <f t="shared" si="74"/>
        <v>0</v>
      </c>
      <c r="HT63" s="1256">
        <f t="shared" si="127"/>
        <v>0</v>
      </c>
      <c r="HU63" s="1157">
        <f t="shared" si="128"/>
        <v>0</v>
      </c>
    </row>
    <row r="64" spans="1:229" ht="13.5" customHeight="1" outlineLevel="1" x14ac:dyDescent="0.2">
      <c r="A64" s="474"/>
      <c r="B64" s="1412"/>
      <c r="C64" s="511">
        <v>55</v>
      </c>
      <c r="D64" s="570" t="s">
        <v>41</v>
      </c>
      <c r="E64" s="1723">
        <v>50</v>
      </c>
      <c r="F64" s="571">
        <v>3333.89</v>
      </c>
      <c r="G64" s="543">
        <f t="shared" si="129"/>
        <v>66.677799999999991</v>
      </c>
      <c r="H64" s="559">
        <v>0</v>
      </c>
      <c r="I64" s="558">
        <v>0</v>
      </c>
      <c r="J64" s="542">
        <v>0</v>
      </c>
      <c r="K64" s="559">
        <v>0</v>
      </c>
      <c r="L64" s="558">
        <v>0</v>
      </c>
      <c r="M64" s="542">
        <v>0</v>
      </c>
      <c r="N64" s="545">
        <f t="shared" si="130"/>
        <v>3333.89</v>
      </c>
      <c r="O64" s="518">
        <v>0</v>
      </c>
      <c r="P64" s="485">
        <v>16379995.119999999</v>
      </c>
      <c r="Q64" s="518">
        <v>3925122.06</v>
      </c>
      <c r="R64" s="519">
        <f t="shared" si="131"/>
        <v>20305117.18</v>
      </c>
      <c r="S64" s="546">
        <f t="shared" si="75"/>
        <v>20305117.18</v>
      </c>
      <c r="T64" s="521">
        <v>4385671.97</v>
      </c>
      <c r="U64" s="547">
        <v>0</v>
      </c>
      <c r="V64" s="547">
        <v>0</v>
      </c>
      <c r="W64" s="548">
        <v>0</v>
      </c>
      <c r="X64" s="549">
        <v>0</v>
      </c>
      <c r="Y64" s="549">
        <v>0</v>
      </c>
      <c r="Z64" s="549">
        <v>0</v>
      </c>
      <c r="AA64" s="525">
        <f t="shared" si="76"/>
        <v>0</v>
      </c>
      <c r="AB64" s="524">
        <f t="shared" si="77"/>
        <v>0</v>
      </c>
      <c r="AC64" s="526">
        <f t="shared" si="78"/>
        <v>0</v>
      </c>
      <c r="AD64" s="547">
        <v>0</v>
      </c>
      <c r="AE64" s="547">
        <v>0</v>
      </c>
      <c r="AF64" s="547">
        <v>0</v>
      </c>
      <c r="AG64" s="547">
        <v>0</v>
      </c>
      <c r="AH64" s="363">
        <f t="shared" si="79"/>
        <v>0</v>
      </c>
      <c r="AI64" s="547">
        <f t="shared" si="80"/>
        <v>0</v>
      </c>
      <c r="AJ64" s="550">
        <f t="shared" si="81"/>
        <v>0</v>
      </c>
      <c r="AK64" s="551">
        <f t="shared" si="82"/>
        <v>0</v>
      </c>
      <c r="AL64" s="529"/>
      <c r="AM64" s="502"/>
      <c r="AN64" s="530"/>
      <c r="AO64" s="498"/>
      <c r="AP64" s="499"/>
      <c r="AQ64" s="499"/>
      <c r="AR64" s="499"/>
      <c r="AS64" s="531">
        <f t="shared" si="3"/>
        <v>0</v>
      </c>
      <c r="AT64" s="532">
        <f t="shared" si="4"/>
        <v>0</v>
      </c>
      <c r="AU64" s="529">
        <v>0</v>
      </c>
      <c r="AV64" s="533">
        <v>0</v>
      </c>
      <c r="AW64" s="533">
        <v>0</v>
      </c>
      <c r="AX64" s="533">
        <v>0</v>
      </c>
      <c r="AY64" s="533">
        <f t="shared" si="5"/>
        <v>0</v>
      </c>
      <c r="AZ64" s="534">
        <f t="shared" si="6"/>
        <v>0</v>
      </c>
      <c r="BA64" s="535">
        <f t="shared" si="83"/>
        <v>0</v>
      </c>
      <c r="BB64" s="536">
        <f t="shared" si="84"/>
        <v>0</v>
      </c>
      <c r="BC64" s="523">
        <f t="shared" si="85"/>
        <v>0</v>
      </c>
      <c r="BD64" s="525">
        <f t="shared" si="86"/>
        <v>0</v>
      </c>
      <c r="BE64" s="525">
        <f t="shared" si="87"/>
        <v>0</v>
      </c>
      <c r="BF64" s="525">
        <f t="shared" si="88"/>
        <v>0</v>
      </c>
      <c r="BG64" s="525">
        <f t="shared" si="89"/>
        <v>0</v>
      </c>
      <c r="BH64" s="525">
        <f t="shared" si="90"/>
        <v>0</v>
      </c>
      <c r="BI64" s="526">
        <f t="shared" si="91"/>
        <v>0</v>
      </c>
      <c r="BJ64" s="537">
        <f t="shared" si="92"/>
        <v>0</v>
      </c>
      <c r="BK64" s="538">
        <f t="shared" si="93"/>
        <v>0</v>
      </c>
      <c r="BL64" s="538">
        <f t="shared" si="94"/>
        <v>0</v>
      </c>
      <c r="BM64" s="538">
        <f t="shared" si="95"/>
        <v>0</v>
      </c>
      <c r="BN64" s="538">
        <f t="shared" si="96"/>
        <v>0</v>
      </c>
      <c r="BO64" s="538">
        <f t="shared" si="97"/>
        <v>0</v>
      </c>
      <c r="BP64" s="539">
        <f t="shared" si="98"/>
        <v>0</v>
      </c>
      <c r="BQ64" s="540">
        <f t="shared" si="99"/>
        <v>0</v>
      </c>
      <c r="BR64" s="529"/>
      <c r="BS64" s="502"/>
      <c r="BT64" s="530"/>
      <c r="BU64" s="498"/>
      <c r="BV64" s="499"/>
      <c r="BW64" s="499"/>
      <c r="BX64" s="499"/>
      <c r="BY64" s="531">
        <f t="shared" si="9"/>
        <v>0</v>
      </c>
      <c r="BZ64" s="532">
        <f t="shared" si="10"/>
        <v>0</v>
      </c>
      <c r="CA64" s="529"/>
      <c r="CB64" s="533"/>
      <c r="CC64" s="533"/>
      <c r="CD64" s="533"/>
      <c r="CE64" s="533">
        <f t="shared" si="11"/>
        <v>0</v>
      </c>
      <c r="CF64" s="534">
        <f t="shared" si="12"/>
        <v>0</v>
      </c>
      <c r="CG64" s="774">
        <f t="shared" si="100"/>
        <v>0</v>
      </c>
      <c r="CH64" s="775">
        <f t="shared" si="101"/>
        <v>0</v>
      </c>
      <c r="CI64" s="548">
        <f t="shared" si="102"/>
        <v>0</v>
      </c>
      <c r="CJ64" s="773">
        <f t="shared" si="103"/>
        <v>0</v>
      </c>
      <c r="CK64" s="773">
        <f t="shared" si="104"/>
        <v>0</v>
      </c>
      <c r="CL64" s="773">
        <f t="shared" si="105"/>
        <v>0</v>
      </c>
      <c r="CM64" s="773">
        <f t="shared" si="106"/>
        <v>0</v>
      </c>
      <c r="CN64" s="773">
        <f t="shared" si="107"/>
        <v>0</v>
      </c>
      <c r="CO64" s="626">
        <f t="shared" si="108"/>
        <v>0</v>
      </c>
      <c r="CP64" s="1145">
        <f t="shared" si="109"/>
        <v>0</v>
      </c>
      <c r="CQ64" s="1146">
        <f t="shared" si="110"/>
        <v>0</v>
      </c>
      <c r="CR64" s="1146">
        <f t="shared" si="111"/>
        <v>0</v>
      </c>
      <c r="CS64" s="1146">
        <f t="shared" si="112"/>
        <v>0</v>
      </c>
      <c r="CT64" s="1146">
        <f t="shared" si="113"/>
        <v>0</v>
      </c>
      <c r="CU64" s="1146">
        <f t="shared" si="114"/>
        <v>0</v>
      </c>
      <c r="CV64" s="1256">
        <f t="shared" si="115"/>
        <v>0</v>
      </c>
      <c r="CW64" s="1157">
        <f t="shared" si="116"/>
        <v>0</v>
      </c>
      <c r="CX64" s="529"/>
      <c r="CY64" s="502"/>
      <c r="CZ64" s="530"/>
      <c r="DA64" s="498"/>
      <c r="DB64" s="499"/>
      <c r="DC64" s="499"/>
      <c r="DD64" s="499"/>
      <c r="DE64" s="531">
        <f t="shared" si="15"/>
        <v>0</v>
      </c>
      <c r="DF64" s="532">
        <f t="shared" si="16"/>
        <v>0</v>
      </c>
      <c r="DG64" s="529"/>
      <c r="DH64" s="533"/>
      <c r="DI64" s="533"/>
      <c r="DJ64" s="533"/>
      <c r="DK64" s="533">
        <f t="shared" si="17"/>
        <v>0</v>
      </c>
      <c r="DL64" s="534">
        <f t="shared" si="18"/>
        <v>0</v>
      </c>
      <c r="DM64" s="1258">
        <f t="shared" si="19"/>
        <v>0</v>
      </c>
      <c r="DN64" s="775">
        <f t="shared" si="20"/>
        <v>0</v>
      </c>
      <c r="DO64" s="548">
        <f t="shared" si="21"/>
        <v>0</v>
      </c>
      <c r="DP64" s="773">
        <f t="shared" si="22"/>
        <v>0</v>
      </c>
      <c r="DQ64" s="773">
        <f t="shared" si="23"/>
        <v>0</v>
      </c>
      <c r="DR64" s="773">
        <f t="shared" si="24"/>
        <v>0</v>
      </c>
      <c r="DS64" s="773">
        <f t="shared" si="25"/>
        <v>0</v>
      </c>
      <c r="DT64" s="773">
        <f t="shared" si="26"/>
        <v>0</v>
      </c>
      <c r="DU64" s="526">
        <f t="shared" si="117"/>
        <v>0</v>
      </c>
      <c r="DV64" s="1145">
        <f t="shared" si="27"/>
        <v>0</v>
      </c>
      <c r="DW64" s="1146">
        <f t="shared" si="28"/>
        <v>0</v>
      </c>
      <c r="DX64" s="1146">
        <f t="shared" si="29"/>
        <v>0</v>
      </c>
      <c r="DY64" s="1146">
        <f t="shared" si="30"/>
        <v>0</v>
      </c>
      <c r="DZ64" s="1146">
        <f t="shared" si="31"/>
        <v>0</v>
      </c>
      <c r="EA64" s="1146">
        <f t="shared" si="32"/>
        <v>0</v>
      </c>
      <c r="EB64" s="539">
        <f t="shared" si="118"/>
        <v>0</v>
      </c>
      <c r="EC64" s="540">
        <f t="shared" si="119"/>
        <v>0</v>
      </c>
      <c r="ES64" s="1258">
        <f t="shared" si="33"/>
        <v>0</v>
      </c>
      <c r="ET64" s="775">
        <f t="shared" si="34"/>
        <v>0</v>
      </c>
      <c r="EU64" s="548">
        <f t="shared" si="35"/>
        <v>0</v>
      </c>
      <c r="EV64" s="773">
        <f t="shared" si="36"/>
        <v>0</v>
      </c>
      <c r="EW64" s="773">
        <f t="shared" si="37"/>
        <v>0</v>
      </c>
      <c r="EX64" s="773">
        <f t="shared" si="38"/>
        <v>0</v>
      </c>
      <c r="EY64" s="773">
        <f t="shared" si="39"/>
        <v>0</v>
      </c>
      <c r="EZ64" s="773">
        <f t="shared" si="40"/>
        <v>0</v>
      </c>
      <c r="FA64" s="626">
        <f t="shared" si="120"/>
        <v>0</v>
      </c>
      <c r="FB64" s="1145">
        <f t="shared" si="41"/>
        <v>0</v>
      </c>
      <c r="FC64" s="1146">
        <f t="shared" si="42"/>
        <v>0</v>
      </c>
      <c r="FD64" s="1146">
        <f t="shared" si="43"/>
        <v>0</v>
      </c>
      <c r="FE64" s="1146">
        <f t="shared" si="44"/>
        <v>0</v>
      </c>
      <c r="FF64" s="1146">
        <f t="shared" si="45"/>
        <v>0</v>
      </c>
      <c r="FG64" s="1146">
        <f t="shared" si="46"/>
        <v>0</v>
      </c>
      <c r="FH64" s="1256">
        <f t="shared" si="121"/>
        <v>0</v>
      </c>
      <c r="FI64" s="1157">
        <f t="shared" si="122"/>
        <v>0</v>
      </c>
      <c r="FY64" s="1258">
        <f t="shared" si="47"/>
        <v>0</v>
      </c>
      <c r="FZ64" s="775">
        <f t="shared" si="48"/>
        <v>0</v>
      </c>
      <c r="GA64" s="548">
        <f t="shared" si="49"/>
        <v>0</v>
      </c>
      <c r="GB64" s="773">
        <f t="shared" si="50"/>
        <v>0</v>
      </c>
      <c r="GC64" s="773">
        <f t="shared" si="51"/>
        <v>0</v>
      </c>
      <c r="GD64" s="773">
        <f t="shared" si="52"/>
        <v>0</v>
      </c>
      <c r="GE64" s="773">
        <f t="shared" si="53"/>
        <v>0</v>
      </c>
      <c r="GF64" s="773">
        <f t="shared" si="54"/>
        <v>0</v>
      </c>
      <c r="GG64" s="626">
        <f t="shared" si="123"/>
        <v>0</v>
      </c>
      <c r="GH64" s="1145">
        <f t="shared" si="55"/>
        <v>0</v>
      </c>
      <c r="GI64" s="1146">
        <f t="shared" si="56"/>
        <v>0</v>
      </c>
      <c r="GJ64" s="1146">
        <f t="shared" si="57"/>
        <v>0</v>
      </c>
      <c r="GK64" s="1146">
        <f t="shared" si="58"/>
        <v>0</v>
      </c>
      <c r="GL64" s="1146">
        <f t="shared" si="59"/>
        <v>0</v>
      </c>
      <c r="GM64" s="1146">
        <f t="shared" si="60"/>
        <v>0</v>
      </c>
      <c r="GN64" s="1256">
        <f t="shared" si="124"/>
        <v>0</v>
      </c>
      <c r="GO64" s="1157">
        <f t="shared" si="125"/>
        <v>0</v>
      </c>
      <c r="HE64" s="1675">
        <f t="shared" si="61"/>
        <v>0</v>
      </c>
      <c r="HF64" s="775">
        <f t="shared" si="62"/>
        <v>0</v>
      </c>
      <c r="HG64" s="548">
        <f t="shared" si="63"/>
        <v>0</v>
      </c>
      <c r="HH64" s="773">
        <f t="shared" si="64"/>
        <v>0</v>
      </c>
      <c r="HI64" s="773">
        <f t="shared" si="65"/>
        <v>0</v>
      </c>
      <c r="HJ64" s="773">
        <f t="shared" si="66"/>
        <v>0</v>
      </c>
      <c r="HK64" s="773">
        <f t="shared" si="67"/>
        <v>0</v>
      </c>
      <c r="HL64" s="773">
        <f t="shared" si="68"/>
        <v>0</v>
      </c>
      <c r="HM64" s="626">
        <f t="shared" si="126"/>
        <v>0</v>
      </c>
      <c r="HN64" s="1145">
        <f t="shared" si="69"/>
        <v>0</v>
      </c>
      <c r="HO64" s="1146">
        <f t="shared" si="70"/>
        <v>0</v>
      </c>
      <c r="HP64" s="1146">
        <f t="shared" si="71"/>
        <v>0</v>
      </c>
      <c r="HQ64" s="1146">
        <f t="shared" si="72"/>
        <v>0</v>
      </c>
      <c r="HR64" s="1146">
        <f t="shared" si="73"/>
        <v>0</v>
      </c>
      <c r="HS64" s="1146">
        <f t="shared" si="74"/>
        <v>0</v>
      </c>
      <c r="HT64" s="1256">
        <f t="shared" si="127"/>
        <v>0</v>
      </c>
      <c r="HU64" s="1157">
        <f t="shared" si="128"/>
        <v>0</v>
      </c>
    </row>
    <row r="65" spans="1:229" ht="13.5" customHeight="1" outlineLevel="1" x14ac:dyDescent="0.2">
      <c r="A65" s="474"/>
      <c r="B65" s="1412"/>
      <c r="C65" s="511">
        <v>56</v>
      </c>
      <c r="D65" s="557" t="s">
        <v>42</v>
      </c>
      <c r="E65" s="1721">
        <v>93</v>
      </c>
      <c r="F65" s="558">
        <v>5398.01</v>
      </c>
      <c r="G65" s="543">
        <f t="shared" si="129"/>
        <v>58.043118279569896</v>
      </c>
      <c r="H65" s="544">
        <v>0</v>
      </c>
      <c r="I65" s="542">
        <v>0</v>
      </c>
      <c r="J65" s="542">
        <v>0</v>
      </c>
      <c r="K65" s="544">
        <v>4</v>
      </c>
      <c r="L65" s="542">
        <v>253.06</v>
      </c>
      <c r="M65" s="542">
        <f>L65/K65</f>
        <v>63.265000000000001</v>
      </c>
      <c r="N65" s="545">
        <f t="shared" si="130"/>
        <v>5651.0700000000006</v>
      </c>
      <c r="O65" s="518">
        <v>0</v>
      </c>
      <c r="P65" s="485">
        <v>23546943.390000001</v>
      </c>
      <c r="Q65" s="484">
        <v>4486109.51</v>
      </c>
      <c r="R65" s="519">
        <f t="shared" si="131"/>
        <v>28033052.899999999</v>
      </c>
      <c r="S65" s="546">
        <f t="shared" si="75"/>
        <v>28033052.899999999</v>
      </c>
      <c r="T65" s="521">
        <v>5153820.68</v>
      </c>
      <c r="U65" s="547">
        <v>0</v>
      </c>
      <c r="V65" s="547">
        <v>0</v>
      </c>
      <c r="W65" s="548">
        <v>0</v>
      </c>
      <c r="X65" s="549">
        <v>0</v>
      </c>
      <c r="Y65" s="549">
        <v>0</v>
      </c>
      <c r="Z65" s="549">
        <v>0</v>
      </c>
      <c r="AA65" s="525">
        <f t="shared" si="76"/>
        <v>0</v>
      </c>
      <c r="AB65" s="524">
        <f t="shared" si="77"/>
        <v>0</v>
      </c>
      <c r="AC65" s="526">
        <f t="shared" si="78"/>
        <v>0</v>
      </c>
      <c r="AD65" s="547">
        <v>0</v>
      </c>
      <c r="AE65" s="547">
        <v>0</v>
      </c>
      <c r="AF65" s="547">
        <v>0</v>
      </c>
      <c r="AG65" s="547">
        <v>0</v>
      </c>
      <c r="AH65" s="363">
        <f t="shared" si="79"/>
        <v>0</v>
      </c>
      <c r="AI65" s="547">
        <f t="shared" si="80"/>
        <v>0</v>
      </c>
      <c r="AJ65" s="550">
        <f t="shared" si="81"/>
        <v>0</v>
      </c>
      <c r="AK65" s="551">
        <f t="shared" si="82"/>
        <v>0</v>
      </c>
      <c r="AL65" s="529"/>
      <c r="AM65" s="502"/>
      <c r="AN65" s="530"/>
      <c r="AO65" s="498"/>
      <c r="AP65" s="499"/>
      <c r="AQ65" s="499"/>
      <c r="AR65" s="499"/>
      <c r="AS65" s="531">
        <f t="shared" si="3"/>
        <v>0</v>
      </c>
      <c r="AT65" s="532">
        <f t="shared" si="4"/>
        <v>0</v>
      </c>
      <c r="AU65" s="529">
        <v>0</v>
      </c>
      <c r="AV65" s="533">
        <v>0</v>
      </c>
      <c r="AW65" s="533">
        <v>0</v>
      </c>
      <c r="AX65" s="533">
        <v>0</v>
      </c>
      <c r="AY65" s="533">
        <f t="shared" si="5"/>
        <v>0</v>
      </c>
      <c r="AZ65" s="534">
        <f t="shared" si="6"/>
        <v>0</v>
      </c>
      <c r="BA65" s="535">
        <f t="shared" si="83"/>
        <v>0</v>
      </c>
      <c r="BB65" s="536">
        <f t="shared" si="84"/>
        <v>0</v>
      </c>
      <c r="BC65" s="523">
        <f t="shared" si="85"/>
        <v>0</v>
      </c>
      <c r="BD65" s="525">
        <f t="shared" si="86"/>
        <v>0</v>
      </c>
      <c r="BE65" s="525">
        <f t="shared" si="87"/>
        <v>0</v>
      </c>
      <c r="BF65" s="525">
        <f t="shared" si="88"/>
        <v>0</v>
      </c>
      <c r="BG65" s="525">
        <f t="shared" si="89"/>
        <v>0</v>
      </c>
      <c r="BH65" s="525">
        <f t="shared" si="90"/>
        <v>0</v>
      </c>
      <c r="BI65" s="526">
        <f t="shared" si="91"/>
        <v>0</v>
      </c>
      <c r="BJ65" s="537">
        <f t="shared" si="92"/>
        <v>0</v>
      </c>
      <c r="BK65" s="538">
        <f t="shared" si="93"/>
        <v>0</v>
      </c>
      <c r="BL65" s="538">
        <f t="shared" si="94"/>
        <v>0</v>
      </c>
      <c r="BM65" s="538">
        <f t="shared" si="95"/>
        <v>0</v>
      </c>
      <c r="BN65" s="538">
        <f t="shared" si="96"/>
        <v>0</v>
      </c>
      <c r="BO65" s="538">
        <f t="shared" si="97"/>
        <v>0</v>
      </c>
      <c r="BP65" s="539">
        <f t="shared" si="98"/>
        <v>0</v>
      </c>
      <c r="BQ65" s="540">
        <f t="shared" si="99"/>
        <v>0</v>
      </c>
      <c r="BR65" s="529"/>
      <c r="BS65" s="502"/>
      <c r="BT65" s="530"/>
      <c r="BU65" s="498"/>
      <c r="BV65" s="499"/>
      <c r="BW65" s="499"/>
      <c r="BX65" s="499"/>
      <c r="BY65" s="531">
        <f t="shared" si="9"/>
        <v>0</v>
      </c>
      <c r="BZ65" s="532">
        <f t="shared" si="10"/>
        <v>0</v>
      </c>
      <c r="CA65" s="529"/>
      <c r="CB65" s="533"/>
      <c r="CC65" s="533"/>
      <c r="CD65" s="533"/>
      <c r="CE65" s="533">
        <f t="shared" si="11"/>
        <v>0</v>
      </c>
      <c r="CF65" s="534">
        <f t="shared" si="12"/>
        <v>0</v>
      </c>
      <c r="CG65" s="774">
        <f t="shared" si="100"/>
        <v>0</v>
      </c>
      <c r="CH65" s="775">
        <f t="shared" si="101"/>
        <v>0</v>
      </c>
      <c r="CI65" s="548">
        <f t="shared" si="102"/>
        <v>0</v>
      </c>
      <c r="CJ65" s="773">
        <f t="shared" si="103"/>
        <v>0</v>
      </c>
      <c r="CK65" s="773">
        <f t="shared" si="104"/>
        <v>0</v>
      </c>
      <c r="CL65" s="773">
        <f t="shared" si="105"/>
        <v>0</v>
      </c>
      <c r="CM65" s="773">
        <f t="shared" si="106"/>
        <v>0</v>
      </c>
      <c r="CN65" s="773">
        <f t="shared" si="107"/>
        <v>0</v>
      </c>
      <c r="CO65" s="626">
        <f t="shared" si="108"/>
        <v>0</v>
      </c>
      <c r="CP65" s="1145">
        <f t="shared" si="109"/>
        <v>0</v>
      </c>
      <c r="CQ65" s="1146">
        <f t="shared" si="110"/>
        <v>0</v>
      </c>
      <c r="CR65" s="1146">
        <f t="shared" si="111"/>
        <v>0</v>
      </c>
      <c r="CS65" s="1146">
        <f t="shared" si="112"/>
        <v>0</v>
      </c>
      <c r="CT65" s="1146">
        <f t="shared" si="113"/>
        <v>0</v>
      </c>
      <c r="CU65" s="1146">
        <f t="shared" si="114"/>
        <v>0</v>
      </c>
      <c r="CV65" s="1256">
        <f t="shared" si="115"/>
        <v>0</v>
      </c>
      <c r="CW65" s="1157">
        <f t="shared" si="116"/>
        <v>0</v>
      </c>
      <c r="CX65" s="529"/>
      <c r="CY65" s="502"/>
      <c r="CZ65" s="530"/>
      <c r="DA65" s="498"/>
      <c r="DB65" s="499"/>
      <c r="DC65" s="499"/>
      <c r="DD65" s="499"/>
      <c r="DE65" s="531">
        <f t="shared" si="15"/>
        <v>0</v>
      </c>
      <c r="DF65" s="532">
        <f t="shared" si="16"/>
        <v>0</v>
      </c>
      <c r="DG65" s="529"/>
      <c r="DH65" s="533"/>
      <c r="DI65" s="533"/>
      <c r="DJ65" s="533"/>
      <c r="DK65" s="533">
        <f t="shared" si="17"/>
        <v>0</v>
      </c>
      <c r="DL65" s="534">
        <f t="shared" si="18"/>
        <v>0</v>
      </c>
      <c r="DM65" s="1258">
        <f t="shared" si="19"/>
        <v>0</v>
      </c>
      <c r="DN65" s="775">
        <f t="shared" si="20"/>
        <v>0</v>
      </c>
      <c r="DO65" s="548">
        <f t="shared" si="21"/>
        <v>0</v>
      </c>
      <c r="DP65" s="773">
        <f t="shared" si="22"/>
        <v>0</v>
      </c>
      <c r="DQ65" s="773">
        <f t="shared" si="23"/>
        <v>0</v>
      </c>
      <c r="DR65" s="773">
        <f t="shared" si="24"/>
        <v>0</v>
      </c>
      <c r="DS65" s="773">
        <f t="shared" si="25"/>
        <v>0</v>
      </c>
      <c r="DT65" s="773">
        <f t="shared" si="26"/>
        <v>0</v>
      </c>
      <c r="DU65" s="526">
        <f t="shared" si="117"/>
        <v>0</v>
      </c>
      <c r="DV65" s="1145">
        <f t="shared" si="27"/>
        <v>0</v>
      </c>
      <c r="DW65" s="1146">
        <f t="shared" si="28"/>
        <v>0</v>
      </c>
      <c r="DX65" s="1146">
        <f t="shared" si="29"/>
        <v>0</v>
      </c>
      <c r="DY65" s="1146">
        <f t="shared" si="30"/>
        <v>0</v>
      </c>
      <c r="DZ65" s="1146">
        <f t="shared" si="31"/>
        <v>0</v>
      </c>
      <c r="EA65" s="1146">
        <f t="shared" si="32"/>
        <v>0</v>
      </c>
      <c r="EB65" s="539">
        <f t="shared" si="118"/>
        <v>0</v>
      </c>
      <c r="EC65" s="540">
        <f t="shared" si="119"/>
        <v>0</v>
      </c>
      <c r="ES65" s="1258">
        <f t="shared" si="33"/>
        <v>0</v>
      </c>
      <c r="ET65" s="775">
        <f t="shared" si="34"/>
        <v>0</v>
      </c>
      <c r="EU65" s="548">
        <f t="shared" si="35"/>
        <v>0</v>
      </c>
      <c r="EV65" s="773">
        <f t="shared" si="36"/>
        <v>0</v>
      </c>
      <c r="EW65" s="773">
        <f t="shared" si="37"/>
        <v>0</v>
      </c>
      <c r="EX65" s="773">
        <f t="shared" si="38"/>
        <v>0</v>
      </c>
      <c r="EY65" s="773">
        <f t="shared" si="39"/>
        <v>0</v>
      </c>
      <c r="EZ65" s="773">
        <f t="shared" si="40"/>
        <v>0</v>
      </c>
      <c r="FA65" s="626">
        <f t="shared" si="120"/>
        <v>0</v>
      </c>
      <c r="FB65" s="1145">
        <f t="shared" si="41"/>
        <v>0</v>
      </c>
      <c r="FC65" s="1146">
        <f t="shared" si="42"/>
        <v>0</v>
      </c>
      <c r="FD65" s="1146">
        <f t="shared" si="43"/>
        <v>0</v>
      </c>
      <c r="FE65" s="1146">
        <f t="shared" si="44"/>
        <v>0</v>
      </c>
      <c r="FF65" s="1146">
        <f t="shared" si="45"/>
        <v>0</v>
      </c>
      <c r="FG65" s="1146">
        <f t="shared" si="46"/>
        <v>0</v>
      </c>
      <c r="FH65" s="1256">
        <f t="shared" si="121"/>
        <v>0</v>
      </c>
      <c r="FI65" s="1157">
        <f t="shared" si="122"/>
        <v>0</v>
      </c>
      <c r="FY65" s="1258">
        <f t="shared" si="47"/>
        <v>0</v>
      </c>
      <c r="FZ65" s="775">
        <f t="shared" si="48"/>
        <v>0</v>
      </c>
      <c r="GA65" s="548">
        <f t="shared" si="49"/>
        <v>0</v>
      </c>
      <c r="GB65" s="773">
        <f t="shared" si="50"/>
        <v>0</v>
      </c>
      <c r="GC65" s="773">
        <f t="shared" si="51"/>
        <v>0</v>
      </c>
      <c r="GD65" s="773">
        <f t="shared" si="52"/>
        <v>0</v>
      </c>
      <c r="GE65" s="773">
        <f t="shared" si="53"/>
        <v>0</v>
      </c>
      <c r="GF65" s="773">
        <f t="shared" si="54"/>
        <v>0</v>
      </c>
      <c r="GG65" s="626">
        <f t="shared" si="123"/>
        <v>0</v>
      </c>
      <c r="GH65" s="1145">
        <f t="shared" si="55"/>
        <v>0</v>
      </c>
      <c r="GI65" s="1146">
        <f t="shared" si="56"/>
        <v>0</v>
      </c>
      <c r="GJ65" s="1146">
        <f t="shared" si="57"/>
        <v>0</v>
      </c>
      <c r="GK65" s="1146">
        <f t="shared" si="58"/>
        <v>0</v>
      </c>
      <c r="GL65" s="1146">
        <f t="shared" si="59"/>
        <v>0</v>
      </c>
      <c r="GM65" s="1146">
        <f t="shared" si="60"/>
        <v>0</v>
      </c>
      <c r="GN65" s="1256">
        <f t="shared" si="124"/>
        <v>0</v>
      </c>
      <c r="GO65" s="1157">
        <f t="shared" si="125"/>
        <v>0</v>
      </c>
      <c r="HE65" s="1675">
        <f t="shared" si="61"/>
        <v>0</v>
      </c>
      <c r="HF65" s="775">
        <f t="shared" si="62"/>
        <v>0</v>
      </c>
      <c r="HG65" s="548">
        <f t="shared" si="63"/>
        <v>0</v>
      </c>
      <c r="HH65" s="773">
        <f t="shared" si="64"/>
        <v>0</v>
      </c>
      <c r="HI65" s="773">
        <f t="shared" si="65"/>
        <v>0</v>
      </c>
      <c r="HJ65" s="773">
        <f t="shared" si="66"/>
        <v>0</v>
      </c>
      <c r="HK65" s="773">
        <f t="shared" si="67"/>
        <v>0</v>
      </c>
      <c r="HL65" s="773">
        <f t="shared" si="68"/>
        <v>0</v>
      </c>
      <c r="HM65" s="626">
        <f t="shared" si="126"/>
        <v>0</v>
      </c>
      <c r="HN65" s="1145">
        <f t="shared" si="69"/>
        <v>0</v>
      </c>
      <c r="HO65" s="1146">
        <f t="shared" si="70"/>
        <v>0</v>
      </c>
      <c r="HP65" s="1146">
        <f t="shared" si="71"/>
        <v>0</v>
      </c>
      <c r="HQ65" s="1146">
        <f t="shared" si="72"/>
        <v>0</v>
      </c>
      <c r="HR65" s="1146">
        <f t="shared" si="73"/>
        <v>0</v>
      </c>
      <c r="HS65" s="1146">
        <f t="shared" si="74"/>
        <v>0</v>
      </c>
      <c r="HT65" s="1256">
        <f t="shared" si="127"/>
        <v>0</v>
      </c>
      <c r="HU65" s="1157">
        <f t="shared" si="128"/>
        <v>0</v>
      </c>
    </row>
    <row r="66" spans="1:229" ht="13.5" customHeight="1" outlineLevel="1" x14ac:dyDescent="0.2">
      <c r="A66" s="474"/>
      <c r="B66" s="1412"/>
      <c r="C66" s="511">
        <v>57</v>
      </c>
      <c r="D66" s="561" t="s">
        <v>67</v>
      </c>
      <c r="E66" s="552">
        <v>21</v>
      </c>
      <c r="F66" s="515">
        <v>1232.51</v>
      </c>
      <c r="G66" s="543">
        <f t="shared" si="129"/>
        <v>58.690952380952382</v>
      </c>
      <c r="H66" s="553">
        <v>0</v>
      </c>
      <c r="I66" s="178">
        <v>0</v>
      </c>
      <c r="J66" s="542">
        <v>0</v>
      </c>
      <c r="K66" s="572">
        <v>1</v>
      </c>
      <c r="L66" s="482">
        <v>56.24</v>
      </c>
      <c r="M66" s="542">
        <f>L66/K66</f>
        <v>56.24</v>
      </c>
      <c r="N66" s="545">
        <f t="shared" si="130"/>
        <v>1288.75</v>
      </c>
      <c r="O66" s="518">
        <v>0</v>
      </c>
      <c r="P66" s="485">
        <v>7141948.0499999998</v>
      </c>
      <c r="Q66" s="518">
        <v>1825661.4</v>
      </c>
      <c r="R66" s="519">
        <f t="shared" si="131"/>
        <v>8967609.4499999993</v>
      </c>
      <c r="S66" s="546">
        <f t="shared" si="75"/>
        <v>8967609.4499999993</v>
      </c>
      <c r="T66" s="521">
        <v>1539518.49</v>
      </c>
      <c r="U66" s="547">
        <v>0</v>
      </c>
      <c r="V66" s="547">
        <v>0</v>
      </c>
      <c r="W66" s="548">
        <v>0</v>
      </c>
      <c r="X66" s="549">
        <v>0</v>
      </c>
      <c r="Y66" s="549">
        <v>0</v>
      </c>
      <c r="Z66" s="549">
        <v>0</v>
      </c>
      <c r="AA66" s="525">
        <f t="shared" si="76"/>
        <v>0</v>
      </c>
      <c r="AB66" s="524">
        <f t="shared" si="77"/>
        <v>0</v>
      </c>
      <c r="AC66" s="526">
        <f t="shared" si="78"/>
        <v>0</v>
      </c>
      <c r="AD66" s="547">
        <v>0</v>
      </c>
      <c r="AE66" s="547">
        <v>0</v>
      </c>
      <c r="AF66" s="547">
        <v>0</v>
      </c>
      <c r="AG66" s="547">
        <v>0</v>
      </c>
      <c r="AH66" s="363">
        <f t="shared" si="79"/>
        <v>0</v>
      </c>
      <c r="AI66" s="547">
        <f t="shared" si="80"/>
        <v>0</v>
      </c>
      <c r="AJ66" s="550">
        <f t="shared" si="81"/>
        <v>0</v>
      </c>
      <c r="AK66" s="551">
        <f t="shared" si="82"/>
        <v>0</v>
      </c>
      <c r="AL66" s="529"/>
      <c r="AM66" s="502"/>
      <c r="AN66" s="530"/>
      <c r="AO66" s="498"/>
      <c r="AP66" s="499"/>
      <c r="AQ66" s="499"/>
      <c r="AR66" s="499"/>
      <c r="AS66" s="531">
        <f t="shared" si="3"/>
        <v>0</v>
      </c>
      <c r="AT66" s="532">
        <f t="shared" si="4"/>
        <v>0</v>
      </c>
      <c r="AU66" s="529">
        <v>0</v>
      </c>
      <c r="AV66" s="533">
        <v>0</v>
      </c>
      <c r="AW66" s="533">
        <v>0</v>
      </c>
      <c r="AX66" s="533">
        <v>0</v>
      </c>
      <c r="AY66" s="533">
        <f t="shared" si="5"/>
        <v>0</v>
      </c>
      <c r="AZ66" s="534">
        <f t="shared" si="6"/>
        <v>0</v>
      </c>
      <c r="BA66" s="535">
        <f t="shared" si="83"/>
        <v>0</v>
      </c>
      <c r="BB66" s="536">
        <f t="shared" si="84"/>
        <v>0</v>
      </c>
      <c r="BC66" s="523">
        <f t="shared" si="85"/>
        <v>0</v>
      </c>
      <c r="BD66" s="525">
        <f t="shared" si="86"/>
        <v>0</v>
      </c>
      <c r="BE66" s="525">
        <f t="shared" si="87"/>
        <v>0</v>
      </c>
      <c r="BF66" s="525">
        <f t="shared" si="88"/>
        <v>0</v>
      </c>
      <c r="BG66" s="525">
        <f t="shared" si="89"/>
        <v>0</v>
      </c>
      <c r="BH66" s="525">
        <f t="shared" si="90"/>
        <v>0</v>
      </c>
      <c r="BI66" s="526">
        <f t="shared" si="91"/>
        <v>0</v>
      </c>
      <c r="BJ66" s="537">
        <f t="shared" si="92"/>
        <v>0</v>
      </c>
      <c r="BK66" s="538">
        <f t="shared" si="93"/>
        <v>0</v>
      </c>
      <c r="BL66" s="538">
        <f t="shared" si="94"/>
        <v>0</v>
      </c>
      <c r="BM66" s="538">
        <f t="shared" si="95"/>
        <v>0</v>
      </c>
      <c r="BN66" s="538">
        <f t="shared" si="96"/>
        <v>0</v>
      </c>
      <c r="BO66" s="538">
        <f t="shared" si="97"/>
        <v>0</v>
      </c>
      <c r="BP66" s="539">
        <f t="shared" si="98"/>
        <v>0</v>
      </c>
      <c r="BQ66" s="540">
        <f t="shared" si="99"/>
        <v>0</v>
      </c>
      <c r="BR66" s="529"/>
      <c r="BS66" s="502"/>
      <c r="BT66" s="530"/>
      <c r="BU66" s="498"/>
      <c r="BV66" s="499"/>
      <c r="BW66" s="499"/>
      <c r="BX66" s="499"/>
      <c r="BY66" s="531">
        <f t="shared" si="9"/>
        <v>0</v>
      </c>
      <c r="BZ66" s="532">
        <f t="shared" si="10"/>
        <v>0</v>
      </c>
      <c r="CA66" s="529"/>
      <c r="CB66" s="533"/>
      <c r="CC66" s="533"/>
      <c r="CD66" s="533"/>
      <c r="CE66" s="533">
        <f t="shared" si="11"/>
        <v>0</v>
      </c>
      <c r="CF66" s="534">
        <f t="shared" si="12"/>
        <v>0</v>
      </c>
      <c r="CG66" s="774">
        <f t="shared" si="100"/>
        <v>0</v>
      </c>
      <c r="CH66" s="775">
        <f t="shared" si="101"/>
        <v>0</v>
      </c>
      <c r="CI66" s="548">
        <f t="shared" si="102"/>
        <v>0</v>
      </c>
      <c r="CJ66" s="773">
        <f t="shared" si="103"/>
        <v>0</v>
      </c>
      <c r="CK66" s="773">
        <f t="shared" si="104"/>
        <v>0</v>
      </c>
      <c r="CL66" s="773">
        <f t="shared" si="105"/>
        <v>0</v>
      </c>
      <c r="CM66" s="773">
        <f t="shared" si="106"/>
        <v>0</v>
      </c>
      <c r="CN66" s="773">
        <f t="shared" si="107"/>
        <v>0</v>
      </c>
      <c r="CO66" s="626">
        <f t="shared" si="108"/>
        <v>0</v>
      </c>
      <c r="CP66" s="1145">
        <f t="shared" si="109"/>
        <v>0</v>
      </c>
      <c r="CQ66" s="1146">
        <f t="shared" si="110"/>
        <v>0</v>
      </c>
      <c r="CR66" s="1146">
        <f t="shared" si="111"/>
        <v>0</v>
      </c>
      <c r="CS66" s="1146">
        <f t="shared" si="112"/>
        <v>0</v>
      </c>
      <c r="CT66" s="1146">
        <f t="shared" si="113"/>
        <v>0</v>
      </c>
      <c r="CU66" s="1146">
        <f t="shared" si="114"/>
        <v>0</v>
      </c>
      <c r="CV66" s="1256">
        <f t="shared" si="115"/>
        <v>0</v>
      </c>
      <c r="CW66" s="1157">
        <f t="shared" si="116"/>
        <v>0</v>
      </c>
      <c r="CX66" s="529"/>
      <c r="CY66" s="502"/>
      <c r="CZ66" s="530"/>
      <c r="DA66" s="498"/>
      <c r="DB66" s="499"/>
      <c r="DC66" s="499"/>
      <c r="DD66" s="499"/>
      <c r="DE66" s="531">
        <f t="shared" si="15"/>
        <v>0</v>
      </c>
      <c r="DF66" s="532">
        <f t="shared" si="16"/>
        <v>0</v>
      </c>
      <c r="DG66" s="529"/>
      <c r="DH66" s="533"/>
      <c r="DI66" s="533"/>
      <c r="DJ66" s="533"/>
      <c r="DK66" s="533">
        <f t="shared" si="17"/>
        <v>0</v>
      </c>
      <c r="DL66" s="534">
        <f t="shared" si="18"/>
        <v>0</v>
      </c>
      <c r="DM66" s="1258">
        <f t="shared" si="19"/>
        <v>0</v>
      </c>
      <c r="DN66" s="775">
        <f t="shared" si="20"/>
        <v>0</v>
      </c>
      <c r="DO66" s="548">
        <f t="shared" si="21"/>
        <v>0</v>
      </c>
      <c r="DP66" s="773">
        <f t="shared" si="22"/>
        <v>0</v>
      </c>
      <c r="DQ66" s="773">
        <f t="shared" si="23"/>
        <v>0</v>
      </c>
      <c r="DR66" s="773">
        <f t="shared" si="24"/>
        <v>0</v>
      </c>
      <c r="DS66" s="773">
        <f t="shared" si="25"/>
        <v>0</v>
      </c>
      <c r="DT66" s="773">
        <f t="shared" si="26"/>
        <v>0</v>
      </c>
      <c r="DU66" s="526">
        <f t="shared" si="117"/>
        <v>0</v>
      </c>
      <c r="DV66" s="1145">
        <f t="shared" si="27"/>
        <v>0</v>
      </c>
      <c r="DW66" s="1146">
        <f t="shared" si="28"/>
        <v>0</v>
      </c>
      <c r="DX66" s="1146">
        <f t="shared" si="29"/>
        <v>0</v>
      </c>
      <c r="DY66" s="1146">
        <f t="shared" si="30"/>
        <v>0</v>
      </c>
      <c r="DZ66" s="1146">
        <f t="shared" si="31"/>
        <v>0</v>
      </c>
      <c r="EA66" s="1146">
        <f t="shared" si="32"/>
        <v>0</v>
      </c>
      <c r="EB66" s="539">
        <f t="shared" si="118"/>
        <v>0</v>
      </c>
      <c r="EC66" s="540">
        <f t="shared" si="119"/>
        <v>0</v>
      </c>
      <c r="ES66" s="1258">
        <f t="shared" si="33"/>
        <v>0</v>
      </c>
      <c r="ET66" s="775">
        <f t="shared" si="34"/>
        <v>0</v>
      </c>
      <c r="EU66" s="548">
        <f t="shared" si="35"/>
        <v>0</v>
      </c>
      <c r="EV66" s="773">
        <f t="shared" si="36"/>
        <v>0</v>
      </c>
      <c r="EW66" s="773">
        <f t="shared" si="37"/>
        <v>0</v>
      </c>
      <c r="EX66" s="773">
        <f t="shared" si="38"/>
        <v>0</v>
      </c>
      <c r="EY66" s="773">
        <f t="shared" si="39"/>
        <v>0</v>
      </c>
      <c r="EZ66" s="773">
        <f t="shared" si="40"/>
        <v>0</v>
      </c>
      <c r="FA66" s="626">
        <f t="shared" si="120"/>
        <v>0</v>
      </c>
      <c r="FB66" s="1145">
        <f t="shared" si="41"/>
        <v>0</v>
      </c>
      <c r="FC66" s="1146">
        <f t="shared" si="42"/>
        <v>0</v>
      </c>
      <c r="FD66" s="1146">
        <f t="shared" si="43"/>
        <v>0</v>
      </c>
      <c r="FE66" s="1146">
        <f t="shared" si="44"/>
        <v>0</v>
      </c>
      <c r="FF66" s="1146">
        <f t="shared" si="45"/>
        <v>0</v>
      </c>
      <c r="FG66" s="1146">
        <f t="shared" si="46"/>
        <v>0</v>
      </c>
      <c r="FH66" s="1256">
        <f t="shared" si="121"/>
        <v>0</v>
      </c>
      <c r="FI66" s="1157">
        <f t="shared" si="122"/>
        <v>0</v>
      </c>
      <c r="FY66" s="1258">
        <f t="shared" si="47"/>
        <v>0</v>
      </c>
      <c r="FZ66" s="775">
        <f t="shared" si="48"/>
        <v>0</v>
      </c>
      <c r="GA66" s="548">
        <f t="shared" si="49"/>
        <v>0</v>
      </c>
      <c r="GB66" s="773">
        <f t="shared" si="50"/>
        <v>0</v>
      </c>
      <c r="GC66" s="773">
        <f t="shared" si="51"/>
        <v>0</v>
      </c>
      <c r="GD66" s="773">
        <f t="shared" si="52"/>
        <v>0</v>
      </c>
      <c r="GE66" s="773">
        <f t="shared" si="53"/>
        <v>0</v>
      </c>
      <c r="GF66" s="773">
        <f t="shared" si="54"/>
        <v>0</v>
      </c>
      <c r="GG66" s="626">
        <f t="shared" si="123"/>
        <v>0</v>
      </c>
      <c r="GH66" s="1145">
        <f t="shared" si="55"/>
        <v>0</v>
      </c>
      <c r="GI66" s="1146">
        <f t="shared" si="56"/>
        <v>0</v>
      </c>
      <c r="GJ66" s="1146">
        <f t="shared" si="57"/>
        <v>0</v>
      </c>
      <c r="GK66" s="1146">
        <f t="shared" si="58"/>
        <v>0</v>
      </c>
      <c r="GL66" s="1146">
        <f t="shared" si="59"/>
        <v>0</v>
      </c>
      <c r="GM66" s="1146">
        <f t="shared" si="60"/>
        <v>0</v>
      </c>
      <c r="GN66" s="1256">
        <f t="shared" si="124"/>
        <v>0</v>
      </c>
      <c r="GO66" s="1157">
        <f t="shared" si="125"/>
        <v>0</v>
      </c>
      <c r="HE66" s="1675">
        <f t="shared" si="61"/>
        <v>0</v>
      </c>
      <c r="HF66" s="775">
        <f t="shared" si="62"/>
        <v>0</v>
      </c>
      <c r="HG66" s="548">
        <f t="shared" si="63"/>
        <v>0</v>
      </c>
      <c r="HH66" s="773">
        <f t="shared" si="64"/>
        <v>0</v>
      </c>
      <c r="HI66" s="773">
        <f t="shared" si="65"/>
        <v>0</v>
      </c>
      <c r="HJ66" s="773">
        <f t="shared" si="66"/>
        <v>0</v>
      </c>
      <c r="HK66" s="773">
        <f t="shared" si="67"/>
        <v>0</v>
      </c>
      <c r="HL66" s="773">
        <f t="shared" si="68"/>
        <v>0</v>
      </c>
      <c r="HM66" s="626">
        <f t="shared" si="126"/>
        <v>0</v>
      </c>
      <c r="HN66" s="1145">
        <f t="shared" si="69"/>
        <v>0</v>
      </c>
      <c r="HO66" s="1146">
        <f t="shared" si="70"/>
        <v>0</v>
      </c>
      <c r="HP66" s="1146">
        <f t="shared" si="71"/>
        <v>0</v>
      </c>
      <c r="HQ66" s="1146">
        <f t="shared" si="72"/>
        <v>0</v>
      </c>
      <c r="HR66" s="1146">
        <f t="shared" si="73"/>
        <v>0</v>
      </c>
      <c r="HS66" s="1146">
        <f t="shared" si="74"/>
        <v>0</v>
      </c>
      <c r="HT66" s="1256">
        <f t="shared" si="127"/>
        <v>0</v>
      </c>
      <c r="HU66" s="1157">
        <f t="shared" si="128"/>
        <v>0</v>
      </c>
    </row>
    <row r="67" spans="1:229" ht="13.5" customHeight="1" outlineLevel="1" x14ac:dyDescent="0.2">
      <c r="A67" s="474"/>
      <c r="B67" s="1412"/>
      <c r="C67" s="511">
        <v>58</v>
      </c>
      <c r="D67" s="541" t="s">
        <v>43</v>
      </c>
      <c r="E67" s="1721">
        <v>38</v>
      </c>
      <c r="F67" s="558">
        <v>2209.54</v>
      </c>
      <c r="G67" s="543">
        <f t="shared" si="129"/>
        <v>58.145789473684211</v>
      </c>
      <c r="H67" s="559">
        <v>0</v>
      </c>
      <c r="I67" s="558">
        <v>0</v>
      </c>
      <c r="J67" s="542">
        <v>0</v>
      </c>
      <c r="K67" s="559">
        <v>2</v>
      </c>
      <c r="L67" s="558">
        <v>107.45</v>
      </c>
      <c r="M67" s="542">
        <f>L67/K67</f>
        <v>53.725000000000001</v>
      </c>
      <c r="N67" s="545">
        <f t="shared" si="130"/>
        <v>2316.9899999999998</v>
      </c>
      <c r="O67" s="518">
        <v>0</v>
      </c>
      <c r="P67" s="485">
        <v>13068075.760000002</v>
      </c>
      <c r="Q67" s="518">
        <v>2598347.2000000002</v>
      </c>
      <c r="R67" s="519">
        <f t="shared" si="131"/>
        <v>15666422.960000001</v>
      </c>
      <c r="S67" s="546">
        <f t="shared" si="75"/>
        <v>15666422.960000001</v>
      </c>
      <c r="T67" s="521">
        <v>2928963.21</v>
      </c>
      <c r="U67" s="547">
        <v>0</v>
      </c>
      <c r="V67" s="547">
        <v>0</v>
      </c>
      <c r="W67" s="548">
        <v>0</v>
      </c>
      <c r="X67" s="549">
        <v>0</v>
      </c>
      <c r="Y67" s="549">
        <v>0</v>
      </c>
      <c r="Z67" s="549">
        <v>0</v>
      </c>
      <c r="AA67" s="525">
        <f t="shared" si="76"/>
        <v>0</v>
      </c>
      <c r="AB67" s="524">
        <f t="shared" si="77"/>
        <v>0</v>
      </c>
      <c r="AC67" s="526">
        <f t="shared" si="78"/>
        <v>0</v>
      </c>
      <c r="AD67" s="547">
        <v>0</v>
      </c>
      <c r="AE67" s="547">
        <v>0</v>
      </c>
      <c r="AF67" s="547">
        <v>0</v>
      </c>
      <c r="AG67" s="547">
        <v>0</v>
      </c>
      <c r="AH67" s="363">
        <f t="shared" si="79"/>
        <v>0</v>
      </c>
      <c r="AI67" s="547">
        <f t="shared" si="80"/>
        <v>0</v>
      </c>
      <c r="AJ67" s="550">
        <f t="shared" si="81"/>
        <v>0</v>
      </c>
      <c r="AK67" s="551">
        <f t="shared" si="82"/>
        <v>0</v>
      </c>
      <c r="AL67" s="529"/>
      <c r="AM67" s="502"/>
      <c r="AN67" s="530"/>
      <c r="AO67" s="498"/>
      <c r="AP67" s="499"/>
      <c r="AQ67" s="499"/>
      <c r="AR67" s="499"/>
      <c r="AS67" s="531">
        <f t="shared" si="3"/>
        <v>0</v>
      </c>
      <c r="AT67" s="532">
        <f t="shared" si="4"/>
        <v>0</v>
      </c>
      <c r="AU67" s="529">
        <v>0</v>
      </c>
      <c r="AV67" s="533">
        <v>0</v>
      </c>
      <c r="AW67" s="533">
        <v>0</v>
      </c>
      <c r="AX67" s="533">
        <v>0</v>
      </c>
      <c r="AY67" s="533">
        <f t="shared" si="5"/>
        <v>0</v>
      </c>
      <c r="AZ67" s="534">
        <f t="shared" si="6"/>
        <v>0</v>
      </c>
      <c r="BA67" s="535">
        <f t="shared" si="83"/>
        <v>0</v>
      </c>
      <c r="BB67" s="536">
        <f t="shared" si="84"/>
        <v>0</v>
      </c>
      <c r="BC67" s="523">
        <f t="shared" si="85"/>
        <v>0</v>
      </c>
      <c r="BD67" s="525">
        <f t="shared" si="86"/>
        <v>0</v>
      </c>
      <c r="BE67" s="525">
        <f t="shared" si="87"/>
        <v>0</v>
      </c>
      <c r="BF67" s="525">
        <f t="shared" si="88"/>
        <v>0</v>
      </c>
      <c r="BG67" s="525">
        <f t="shared" si="89"/>
        <v>0</v>
      </c>
      <c r="BH67" s="525">
        <f t="shared" si="90"/>
        <v>0</v>
      </c>
      <c r="BI67" s="526">
        <f t="shared" si="91"/>
        <v>0</v>
      </c>
      <c r="BJ67" s="537">
        <f t="shared" si="92"/>
        <v>0</v>
      </c>
      <c r="BK67" s="538">
        <f t="shared" si="93"/>
        <v>0</v>
      </c>
      <c r="BL67" s="538">
        <f t="shared" si="94"/>
        <v>0</v>
      </c>
      <c r="BM67" s="538">
        <f t="shared" si="95"/>
        <v>0</v>
      </c>
      <c r="BN67" s="538">
        <f t="shared" si="96"/>
        <v>0</v>
      </c>
      <c r="BO67" s="538">
        <f t="shared" si="97"/>
        <v>0</v>
      </c>
      <c r="BP67" s="539">
        <f t="shared" si="98"/>
        <v>0</v>
      </c>
      <c r="BQ67" s="540">
        <f t="shared" si="99"/>
        <v>0</v>
      </c>
      <c r="BR67" s="529"/>
      <c r="BS67" s="502"/>
      <c r="BT67" s="530"/>
      <c r="BU67" s="498"/>
      <c r="BV67" s="499"/>
      <c r="BW67" s="499"/>
      <c r="BX67" s="499"/>
      <c r="BY67" s="531">
        <f t="shared" si="9"/>
        <v>0</v>
      </c>
      <c r="BZ67" s="532">
        <f t="shared" si="10"/>
        <v>0</v>
      </c>
      <c r="CA67" s="529"/>
      <c r="CB67" s="533"/>
      <c r="CC67" s="533"/>
      <c r="CD67" s="533"/>
      <c r="CE67" s="533">
        <f t="shared" si="11"/>
        <v>0</v>
      </c>
      <c r="CF67" s="534">
        <f t="shared" si="12"/>
        <v>0</v>
      </c>
      <c r="CG67" s="774">
        <f t="shared" si="100"/>
        <v>0</v>
      </c>
      <c r="CH67" s="775">
        <f t="shared" si="101"/>
        <v>0</v>
      </c>
      <c r="CI67" s="548">
        <f t="shared" si="102"/>
        <v>0</v>
      </c>
      <c r="CJ67" s="773">
        <f t="shared" si="103"/>
        <v>0</v>
      </c>
      <c r="CK67" s="773">
        <f t="shared" si="104"/>
        <v>0</v>
      </c>
      <c r="CL67" s="773">
        <f t="shared" si="105"/>
        <v>0</v>
      </c>
      <c r="CM67" s="773">
        <f t="shared" si="106"/>
        <v>0</v>
      </c>
      <c r="CN67" s="773">
        <f t="shared" si="107"/>
        <v>0</v>
      </c>
      <c r="CO67" s="626">
        <f t="shared" si="108"/>
        <v>0</v>
      </c>
      <c r="CP67" s="1145">
        <f t="shared" si="109"/>
        <v>0</v>
      </c>
      <c r="CQ67" s="1146">
        <f t="shared" si="110"/>
        <v>0</v>
      </c>
      <c r="CR67" s="1146">
        <f t="shared" si="111"/>
        <v>0</v>
      </c>
      <c r="CS67" s="1146">
        <f t="shared" si="112"/>
        <v>0</v>
      </c>
      <c r="CT67" s="1146">
        <f t="shared" si="113"/>
        <v>0</v>
      </c>
      <c r="CU67" s="1146">
        <f t="shared" si="114"/>
        <v>0</v>
      </c>
      <c r="CV67" s="1256">
        <f t="shared" si="115"/>
        <v>0</v>
      </c>
      <c r="CW67" s="1157">
        <f t="shared" si="116"/>
        <v>0</v>
      </c>
      <c r="CX67" s="529"/>
      <c r="CY67" s="502"/>
      <c r="CZ67" s="530"/>
      <c r="DA67" s="498"/>
      <c r="DB67" s="499"/>
      <c r="DC67" s="499"/>
      <c r="DD67" s="499"/>
      <c r="DE67" s="531">
        <f t="shared" si="15"/>
        <v>0</v>
      </c>
      <c r="DF67" s="532">
        <f t="shared" si="16"/>
        <v>0</v>
      </c>
      <c r="DG67" s="529"/>
      <c r="DH67" s="533"/>
      <c r="DI67" s="533"/>
      <c r="DJ67" s="533"/>
      <c r="DK67" s="533">
        <f t="shared" si="17"/>
        <v>0</v>
      </c>
      <c r="DL67" s="534">
        <f t="shared" si="18"/>
        <v>0</v>
      </c>
      <c r="DM67" s="1258">
        <f t="shared" si="19"/>
        <v>0</v>
      </c>
      <c r="DN67" s="775">
        <f t="shared" si="20"/>
        <v>0</v>
      </c>
      <c r="DO67" s="548">
        <f t="shared" si="21"/>
        <v>0</v>
      </c>
      <c r="DP67" s="773">
        <f t="shared" si="22"/>
        <v>0</v>
      </c>
      <c r="DQ67" s="773">
        <f t="shared" si="23"/>
        <v>0</v>
      </c>
      <c r="DR67" s="773">
        <f t="shared" si="24"/>
        <v>0</v>
      </c>
      <c r="DS67" s="773">
        <f t="shared" si="25"/>
        <v>0</v>
      </c>
      <c r="DT67" s="773">
        <f t="shared" si="26"/>
        <v>0</v>
      </c>
      <c r="DU67" s="526">
        <f t="shared" si="117"/>
        <v>0</v>
      </c>
      <c r="DV67" s="1145">
        <f t="shared" si="27"/>
        <v>0</v>
      </c>
      <c r="DW67" s="1146">
        <f t="shared" si="28"/>
        <v>0</v>
      </c>
      <c r="DX67" s="1146">
        <f t="shared" si="29"/>
        <v>0</v>
      </c>
      <c r="DY67" s="1146">
        <f t="shared" si="30"/>
        <v>0</v>
      </c>
      <c r="DZ67" s="1146">
        <f t="shared" si="31"/>
        <v>0</v>
      </c>
      <c r="EA67" s="1146">
        <f t="shared" si="32"/>
        <v>0</v>
      </c>
      <c r="EB67" s="539">
        <f t="shared" si="118"/>
        <v>0</v>
      </c>
      <c r="EC67" s="540">
        <f t="shared" si="119"/>
        <v>0</v>
      </c>
      <c r="ES67" s="1258">
        <f t="shared" si="33"/>
        <v>0</v>
      </c>
      <c r="ET67" s="775">
        <f t="shared" si="34"/>
        <v>0</v>
      </c>
      <c r="EU67" s="548">
        <f t="shared" si="35"/>
        <v>0</v>
      </c>
      <c r="EV67" s="773">
        <f t="shared" si="36"/>
        <v>0</v>
      </c>
      <c r="EW67" s="773">
        <f t="shared" si="37"/>
        <v>0</v>
      </c>
      <c r="EX67" s="773">
        <f t="shared" si="38"/>
        <v>0</v>
      </c>
      <c r="EY67" s="773">
        <f t="shared" si="39"/>
        <v>0</v>
      </c>
      <c r="EZ67" s="773">
        <f t="shared" si="40"/>
        <v>0</v>
      </c>
      <c r="FA67" s="626">
        <f t="shared" si="120"/>
        <v>0</v>
      </c>
      <c r="FB67" s="1145">
        <f t="shared" si="41"/>
        <v>0</v>
      </c>
      <c r="FC67" s="1146">
        <f t="shared" si="42"/>
        <v>0</v>
      </c>
      <c r="FD67" s="1146">
        <f t="shared" si="43"/>
        <v>0</v>
      </c>
      <c r="FE67" s="1146">
        <f t="shared" si="44"/>
        <v>0</v>
      </c>
      <c r="FF67" s="1146">
        <f t="shared" si="45"/>
        <v>0</v>
      </c>
      <c r="FG67" s="1146">
        <f t="shared" si="46"/>
        <v>0</v>
      </c>
      <c r="FH67" s="1256">
        <f t="shared" si="121"/>
        <v>0</v>
      </c>
      <c r="FI67" s="1157">
        <f t="shared" si="122"/>
        <v>0</v>
      </c>
      <c r="FY67" s="1258">
        <f t="shared" si="47"/>
        <v>0</v>
      </c>
      <c r="FZ67" s="775">
        <f t="shared" si="48"/>
        <v>0</v>
      </c>
      <c r="GA67" s="548">
        <f t="shared" si="49"/>
        <v>0</v>
      </c>
      <c r="GB67" s="773">
        <f t="shared" si="50"/>
        <v>0</v>
      </c>
      <c r="GC67" s="773">
        <f t="shared" si="51"/>
        <v>0</v>
      </c>
      <c r="GD67" s="773">
        <f t="shared" si="52"/>
        <v>0</v>
      </c>
      <c r="GE67" s="773">
        <f t="shared" si="53"/>
        <v>0</v>
      </c>
      <c r="GF67" s="773">
        <f t="shared" si="54"/>
        <v>0</v>
      </c>
      <c r="GG67" s="626">
        <f t="shared" si="123"/>
        <v>0</v>
      </c>
      <c r="GH67" s="1145">
        <f t="shared" si="55"/>
        <v>0</v>
      </c>
      <c r="GI67" s="1146">
        <f t="shared" si="56"/>
        <v>0</v>
      </c>
      <c r="GJ67" s="1146">
        <f t="shared" si="57"/>
        <v>0</v>
      </c>
      <c r="GK67" s="1146">
        <f t="shared" si="58"/>
        <v>0</v>
      </c>
      <c r="GL67" s="1146">
        <f t="shared" si="59"/>
        <v>0</v>
      </c>
      <c r="GM67" s="1146">
        <f t="shared" si="60"/>
        <v>0</v>
      </c>
      <c r="GN67" s="1256">
        <f t="shared" si="124"/>
        <v>0</v>
      </c>
      <c r="GO67" s="1157">
        <f t="shared" si="125"/>
        <v>0</v>
      </c>
      <c r="HE67" s="1675">
        <f t="shared" si="61"/>
        <v>0</v>
      </c>
      <c r="HF67" s="775">
        <f t="shared" si="62"/>
        <v>0</v>
      </c>
      <c r="HG67" s="548">
        <f t="shared" si="63"/>
        <v>0</v>
      </c>
      <c r="HH67" s="773">
        <f t="shared" si="64"/>
        <v>0</v>
      </c>
      <c r="HI67" s="773">
        <f t="shared" si="65"/>
        <v>0</v>
      </c>
      <c r="HJ67" s="773">
        <f t="shared" si="66"/>
        <v>0</v>
      </c>
      <c r="HK67" s="773">
        <f t="shared" si="67"/>
        <v>0</v>
      </c>
      <c r="HL67" s="773">
        <f t="shared" si="68"/>
        <v>0</v>
      </c>
      <c r="HM67" s="626">
        <f t="shared" si="126"/>
        <v>0</v>
      </c>
      <c r="HN67" s="1145">
        <f t="shared" si="69"/>
        <v>0</v>
      </c>
      <c r="HO67" s="1146">
        <f t="shared" si="70"/>
        <v>0</v>
      </c>
      <c r="HP67" s="1146">
        <f t="shared" si="71"/>
        <v>0</v>
      </c>
      <c r="HQ67" s="1146">
        <f t="shared" si="72"/>
        <v>0</v>
      </c>
      <c r="HR67" s="1146">
        <f t="shared" si="73"/>
        <v>0</v>
      </c>
      <c r="HS67" s="1146">
        <f t="shared" si="74"/>
        <v>0</v>
      </c>
      <c r="HT67" s="1256">
        <f t="shared" si="127"/>
        <v>0</v>
      </c>
      <c r="HU67" s="1157">
        <f t="shared" si="128"/>
        <v>0</v>
      </c>
    </row>
    <row r="68" spans="1:229" ht="13.5" customHeight="1" outlineLevel="1" x14ac:dyDescent="0.2">
      <c r="A68" s="474"/>
      <c r="B68" s="1412"/>
      <c r="C68" s="511">
        <v>59</v>
      </c>
      <c r="D68" s="557" t="s">
        <v>44</v>
      </c>
      <c r="E68" s="1721">
        <v>25</v>
      </c>
      <c r="F68" s="558">
        <v>1694.17</v>
      </c>
      <c r="G68" s="543">
        <f t="shared" si="129"/>
        <v>67.766800000000003</v>
      </c>
      <c r="H68" s="559">
        <v>0</v>
      </c>
      <c r="I68" s="558">
        <v>0</v>
      </c>
      <c r="J68" s="542">
        <v>0</v>
      </c>
      <c r="K68" s="559">
        <v>0</v>
      </c>
      <c r="L68" s="558">
        <v>0</v>
      </c>
      <c r="M68" s="542">
        <v>0</v>
      </c>
      <c r="N68" s="545">
        <f t="shared" si="130"/>
        <v>1694.17</v>
      </c>
      <c r="O68" s="518">
        <v>0</v>
      </c>
      <c r="P68" s="485">
        <v>7550580.0600000005</v>
      </c>
      <c r="Q68" s="518">
        <v>2381826.5299999998</v>
      </c>
      <c r="R68" s="519">
        <f t="shared" si="131"/>
        <v>9932406.5899999999</v>
      </c>
      <c r="S68" s="546">
        <f t="shared" si="75"/>
        <v>9932406.5899999999</v>
      </c>
      <c r="T68" s="521">
        <v>2163088.1800000002</v>
      </c>
      <c r="U68" s="547">
        <v>0</v>
      </c>
      <c r="V68" s="547">
        <v>0</v>
      </c>
      <c r="W68" s="548">
        <v>0</v>
      </c>
      <c r="X68" s="549">
        <v>0</v>
      </c>
      <c r="Y68" s="549">
        <v>0</v>
      </c>
      <c r="Z68" s="549">
        <v>0</v>
      </c>
      <c r="AA68" s="525">
        <f t="shared" si="76"/>
        <v>0</v>
      </c>
      <c r="AB68" s="524">
        <f t="shared" si="77"/>
        <v>0</v>
      </c>
      <c r="AC68" s="526">
        <f t="shared" si="78"/>
        <v>0</v>
      </c>
      <c r="AD68" s="547">
        <v>0</v>
      </c>
      <c r="AE68" s="547">
        <v>0</v>
      </c>
      <c r="AF68" s="547">
        <v>0</v>
      </c>
      <c r="AG68" s="547">
        <v>0</v>
      </c>
      <c r="AH68" s="363">
        <f t="shared" si="79"/>
        <v>0</v>
      </c>
      <c r="AI68" s="547">
        <f t="shared" si="80"/>
        <v>0</v>
      </c>
      <c r="AJ68" s="550">
        <f t="shared" si="81"/>
        <v>0</v>
      </c>
      <c r="AK68" s="551">
        <f t="shared" si="82"/>
        <v>0</v>
      </c>
      <c r="AL68" s="529"/>
      <c r="AM68" s="502"/>
      <c r="AN68" s="530"/>
      <c r="AO68" s="498"/>
      <c r="AP68" s="499"/>
      <c r="AQ68" s="499"/>
      <c r="AR68" s="499"/>
      <c r="AS68" s="531">
        <f t="shared" si="3"/>
        <v>0</v>
      </c>
      <c r="AT68" s="532">
        <f t="shared" si="4"/>
        <v>0</v>
      </c>
      <c r="AU68" s="529">
        <v>0</v>
      </c>
      <c r="AV68" s="533">
        <v>0</v>
      </c>
      <c r="AW68" s="533">
        <v>0</v>
      </c>
      <c r="AX68" s="533">
        <v>0</v>
      </c>
      <c r="AY68" s="533">
        <f t="shared" si="5"/>
        <v>0</v>
      </c>
      <c r="AZ68" s="534">
        <f t="shared" si="6"/>
        <v>0</v>
      </c>
      <c r="BA68" s="535">
        <f t="shared" si="83"/>
        <v>0</v>
      </c>
      <c r="BB68" s="536">
        <f t="shared" si="84"/>
        <v>0</v>
      </c>
      <c r="BC68" s="523">
        <f t="shared" si="85"/>
        <v>0</v>
      </c>
      <c r="BD68" s="525">
        <f t="shared" si="86"/>
        <v>0</v>
      </c>
      <c r="BE68" s="525">
        <f t="shared" si="87"/>
        <v>0</v>
      </c>
      <c r="BF68" s="525">
        <f t="shared" si="88"/>
        <v>0</v>
      </c>
      <c r="BG68" s="525">
        <f t="shared" si="89"/>
        <v>0</v>
      </c>
      <c r="BH68" s="525">
        <f t="shared" si="90"/>
        <v>0</v>
      </c>
      <c r="BI68" s="526">
        <f t="shared" si="91"/>
        <v>0</v>
      </c>
      <c r="BJ68" s="537">
        <f t="shared" si="92"/>
        <v>0</v>
      </c>
      <c r="BK68" s="538">
        <f t="shared" si="93"/>
        <v>0</v>
      </c>
      <c r="BL68" s="538">
        <f t="shared" si="94"/>
        <v>0</v>
      </c>
      <c r="BM68" s="538">
        <f t="shared" si="95"/>
        <v>0</v>
      </c>
      <c r="BN68" s="538">
        <f t="shared" si="96"/>
        <v>0</v>
      </c>
      <c r="BO68" s="538">
        <f t="shared" si="97"/>
        <v>0</v>
      </c>
      <c r="BP68" s="539">
        <f t="shared" si="98"/>
        <v>0</v>
      </c>
      <c r="BQ68" s="540">
        <f t="shared" si="99"/>
        <v>0</v>
      </c>
      <c r="BR68" s="529"/>
      <c r="BS68" s="502"/>
      <c r="BT68" s="530"/>
      <c r="BU68" s="498"/>
      <c r="BV68" s="499"/>
      <c r="BW68" s="499"/>
      <c r="BX68" s="499"/>
      <c r="BY68" s="531">
        <f t="shared" si="9"/>
        <v>0</v>
      </c>
      <c r="BZ68" s="532">
        <f t="shared" si="10"/>
        <v>0</v>
      </c>
      <c r="CA68" s="529"/>
      <c r="CB68" s="533"/>
      <c r="CC68" s="533"/>
      <c r="CD68" s="533"/>
      <c r="CE68" s="533">
        <f t="shared" si="11"/>
        <v>0</v>
      </c>
      <c r="CF68" s="534">
        <f t="shared" si="12"/>
        <v>0</v>
      </c>
      <c r="CG68" s="774">
        <f t="shared" si="100"/>
        <v>0</v>
      </c>
      <c r="CH68" s="775">
        <f t="shared" si="101"/>
        <v>0</v>
      </c>
      <c r="CI68" s="548">
        <f t="shared" si="102"/>
        <v>0</v>
      </c>
      <c r="CJ68" s="773">
        <f t="shared" si="103"/>
        <v>0</v>
      </c>
      <c r="CK68" s="773">
        <f t="shared" si="104"/>
        <v>0</v>
      </c>
      <c r="CL68" s="773">
        <f t="shared" si="105"/>
        <v>0</v>
      </c>
      <c r="CM68" s="773">
        <f t="shared" si="106"/>
        <v>0</v>
      </c>
      <c r="CN68" s="773">
        <f t="shared" si="107"/>
        <v>0</v>
      </c>
      <c r="CO68" s="626">
        <f t="shared" si="108"/>
        <v>0</v>
      </c>
      <c r="CP68" s="1145">
        <f t="shared" si="109"/>
        <v>0</v>
      </c>
      <c r="CQ68" s="1146">
        <f t="shared" si="110"/>
        <v>0</v>
      </c>
      <c r="CR68" s="1146">
        <f t="shared" si="111"/>
        <v>0</v>
      </c>
      <c r="CS68" s="1146">
        <f t="shared" si="112"/>
        <v>0</v>
      </c>
      <c r="CT68" s="1146">
        <f t="shared" si="113"/>
        <v>0</v>
      </c>
      <c r="CU68" s="1146">
        <f t="shared" si="114"/>
        <v>0</v>
      </c>
      <c r="CV68" s="1256">
        <f t="shared" si="115"/>
        <v>0</v>
      </c>
      <c r="CW68" s="1157">
        <f t="shared" si="116"/>
        <v>0</v>
      </c>
      <c r="CX68" s="529"/>
      <c r="CY68" s="502"/>
      <c r="CZ68" s="530"/>
      <c r="DA68" s="498"/>
      <c r="DB68" s="499"/>
      <c r="DC68" s="499"/>
      <c r="DD68" s="499"/>
      <c r="DE68" s="531">
        <f t="shared" si="15"/>
        <v>0</v>
      </c>
      <c r="DF68" s="532">
        <f t="shared" si="16"/>
        <v>0</v>
      </c>
      <c r="DG68" s="529"/>
      <c r="DH68" s="533"/>
      <c r="DI68" s="533"/>
      <c r="DJ68" s="533"/>
      <c r="DK68" s="533">
        <f t="shared" si="17"/>
        <v>0</v>
      </c>
      <c r="DL68" s="534">
        <f t="shared" si="18"/>
        <v>0</v>
      </c>
      <c r="DM68" s="1258">
        <f t="shared" si="19"/>
        <v>0</v>
      </c>
      <c r="DN68" s="775">
        <f t="shared" si="20"/>
        <v>0</v>
      </c>
      <c r="DO68" s="548">
        <f t="shared" si="21"/>
        <v>0</v>
      </c>
      <c r="DP68" s="773">
        <f t="shared" si="22"/>
        <v>0</v>
      </c>
      <c r="DQ68" s="773">
        <f t="shared" si="23"/>
        <v>0</v>
      </c>
      <c r="DR68" s="773">
        <f t="shared" si="24"/>
        <v>0</v>
      </c>
      <c r="DS68" s="773">
        <f t="shared" si="25"/>
        <v>0</v>
      </c>
      <c r="DT68" s="773">
        <f t="shared" si="26"/>
        <v>0</v>
      </c>
      <c r="DU68" s="526">
        <f t="shared" si="117"/>
        <v>0</v>
      </c>
      <c r="DV68" s="1145">
        <f t="shared" si="27"/>
        <v>0</v>
      </c>
      <c r="DW68" s="1146">
        <f t="shared" si="28"/>
        <v>0</v>
      </c>
      <c r="DX68" s="1146">
        <f t="shared" si="29"/>
        <v>0</v>
      </c>
      <c r="DY68" s="1146">
        <f t="shared" si="30"/>
        <v>0</v>
      </c>
      <c r="DZ68" s="1146">
        <f t="shared" si="31"/>
        <v>0</v>
      </c>
      <c r="EA68" s="1146">
        <f t="shared" si="32"/>
        <v>0</v>
      </c>
      <c r="EB68" s="539">
        <f t="shared" si="118"/>
        <v>0</v>
      </c>
      <c r="EC68" s="540">
        <f t="shared" si="119"/>
        <v>0</v>
      </c>
      <c r="ES68" s="1258">
        <f t="shared" si="33"/>
        <v>0</v>
      </c>
      <c r="ET68" s="775">
        <f t="shared" si="34"/>
        <v>0</v>
      </c>
      <c r="EU68" s="548">
        <f t="shared" si="35"/>
        <v>0</v>
      </c>
      <c r="EV68" s="773">
        <f t="shared" si="36"/>
        <v>0</v>
      </c>
      <c r="EW68" s="773">
        <f t="shared" si="37"/>
        <v>0</v>
      </c>
      <c r="EX68" s="773">
        <f t="shared" si="38"/>
        <v>0</v>
      </c>
      <c r="EY68" s="773">
        <f t="shared" si="39"/>
        <v>0</v>
      </c>
      <c r="EZ68" s="773">
        <f t="shared" si="40"/>
        <v>0</v>
      </c>
      <c r="FA68" s="626">
        <f t="shared" si="120"/>
        <v>0</v>
      </c>
      <c r="FB68" s="1145">
        <f t="shared" si="41"/>
        <v>0</v>
      </c>
      <c r="FC68" s="1146">
        <f t="shared" si="42"/>
        <v>0</v>
      </c>
      <c r="FD68" s="1146">
        <f t="shared" si="43"/>
        <v>0</v>
      </c>
      <c r="FE68" s="1146">
        <f t="shared" si="44"/>
        <v>0</v>
      </c>
      <c r="FF68" s="1146">
        <f t="shared" si="45"/>
        <v>0</v>
      </c>
      <c r="FG68" s="1146">
        <f t="shared" si="46"/>
        <v>0</v>
      </c>
      <c r="FH68" s="1256">
        <f t="shared" si="121"/>
        <v>0</v>
      </c>
      <c r="FI68" s="1157">
        <f t="shared" si="122"/>
        <v>0</v>
      </c>
      <c r="FY68" s="1258">
        <f t="shared" si="47"/>
        <v>0</v>
      </c>
      <c r="FZ68" s="775">
        <f t="shared" si="48"/>
        <v>0</v>
      </c>
      <c r="GA68" s="548">
        <f t="shared" si="49"/>
        <v>0</v>
      </c>
      <c r="GB68" s="773">
        <f t="shared" si="50"/>
        <v>0</v>
      </c>
      <c r="GC68" s="773">
        <f t="shared" si="51"/>
        <v>0</v>
      </c>
      <c r="GD68" s="773">
        <f t="shared" si="52"/>
        <v>0</v>
      </c>
      <c r="GE68" s="773">
        <f t="shared" si="53"/>
        <v>0</v>
      </c>
      <c r="GF68" s="773">
        <f t="shared" si="54"/>
        <v>0</v>
      </c>
      <c r="GG68" s="626">
        <f t="shared" si="123"/>
        <v>0</v>
      </c>
      <c r="GH68" s="1145">
        <f t="shared" si="55"/>
        <v>0</v>
      </c>
      <c r="GI68" s="1146">
        <f t="shared" si="56"/>
        <v>0</v>
      </c>
      <c r="GJ68" s="1146">
        <f t="shared" si="57"/>
        <v>0</v>
      </c>
      <c r="GK68" s="1146">
        <f t="shared" si="58"/>
        <v>0</v>
      </c>
      <c r="GL68" s="1146">
        <f t="shared" si="59"/>
        <v>0</v>
      </c>
      <c r="GM68" s="1146">
        <f t="shared" si="60"/>
        <v>0</v>
      </c>
      <c r="GN68" s="1256">
        <f t="shared" si="124"/>
        <v>0</v>
      </c>
      <c r="GO68" s="1157">
        <f t="shared" si="125"/>
        <v>0</v>
      </c>
      <c r="HE68" s="1675">
        <f t="shared" si="61"/>
        <v>0</v>
      </c>
      <c r="HF68" s="775">
        <f t="shared" si="62"/>
        <v>0</v>
      </c>
      <c r="HG68" s="548">
        <f t="shared" si="63"/>
        <v>0</v>
      </c>
      <c r="HH68" s="773">
        <f t="shared" si="64"/>
        <v>0</v>
      </c>
      <c r="HI68" s="773">
        <f t="shared" si="65"/>
        <v>0</v>
      </c>
      <c r="HJ68" s="773">
        <f t="shared" si="66"/>
        <v>0</v>
      </c>
      <c r="HK68" s="773">
        <f t="shared" si="67"/>
        <v>0</v>
      </c>
      <c r="HL68" s="773">
        <f t="shared" si="68"/>
        <v>0</v>
      </c>
      <c r="HM68" s="626">
        <f t="shared" si="126"/>
        <v>0</v>
      </c>
      <c r="HN68" s="1145">
        <f t="shared" si="69"/>
        <v>0</v>
      </c>
      <c r="HO68" s="1146">
        <f t="shared" si="70"/>
        <v>0</v>
      </c>
      <c r="HP68" s="1146">
        <f t="shared" si="71"/>
        <v>0</v>
      </c>
      <c r="HQ68" s="1146">
        <f t="shared" si="72"/>
        <v>0</v>
      </c>
      <c r="HR68" s="1146">
        <f t="shared" si="73"/>
        <v>0</v>
      </c>
      <c r="HS68" s="1146">
        <f t="shared" si="74"/>
        <v>0</v>
      </c>
      <c r="HT68" s="1256">
        <f t="shared" si="127"/>
        <v>0</v>
      </c>
      <c r="HU68" s="1157">
        <f t="shared" si="128"/>
        <v>0</v>
      </c>
    </row>
    <row r="69" spans="1:229" ht="13.5" customHeight="1" outlineLevel="1" x14ac:dyDescent="0.2">
      <c r="A69" s="474"/>
      <c r="B69" s="1412"/>
      <c r="C69" s="511">
        <v>60</v>
      </c>
      <c r="D69" s="561" t="s">
        <v>83</v>
      </c>
      <c r="E69" s="565">
        <v>20</v>
      </c>
      <c r="F69" s="566">
        <v>1135.6600000000001</v>
      </c>
      <c r="G69" s="479">
        <f t="shared" si="129"/>
        <v>56.783000000000001</v>
      </c>
      <c r="H69" s="516">
        <v>0</v>
      </c>
      <c r="I69" s="258">
        <v>0</v>
      </c>
      <c r="J69" s="481">
        <v>0</v>
      </c>
      <c r="K69" s="516">
        <v>0</v>
      </c>
      <c r="L69" s="258">
        <v>0</v>
      </c>
      <c r="M69" s="481">
        <v>0</v>
      </c>
      <c r="N69" s="483">
        <f t="shared" si="130"/>
        <v>1135.6600000000001</v>
      </c>
      <c r="O69" s="518">
        <v>0</v>
      </c>
      <c r="P69" s="485">
        <v>7178041.79</v>
      </c>
      <c r="Q69" s="518">
        <v>322492</v>
      </c>
      <c r="R69" s="519">
        <f t="shared" si="131"/>
        <v>7500533.79</v>
      </c>
      <c r="S69" s="546">
        <f t="shared" si="75"/>
        <v>7500533.79</v>
      </c>
      <c r="T69" s="521">
        <v>1666164.36</v>
      </c>
      <c r="U69" s="547">
        <v>0</v>
      </c>
      <c r="V69" s="547">
        <v>0</v>
      </c>
      <c r="W69" s="548">
        <v>0</v>
      </c>
      <c r="X69" s="549">
        <v>0</v>
      </c>
      <c r="Y69" s="549">
        <v>0</v>
      </c>
      <c r="Z69" s="549">
        <v>0</v>
      </c>
      <c r="AA69" s="525">
        <f t="shared" si="76"/>
        <v>0</v>
      </c>
      <c r="AB69" s="524">
        <f t="shared" si="77"/>
        <v>0</v>
      </c>
      <c r="AC69" s="526">
        <f t="shared" si="78"/>
        <v>0</v>
      </c>
      <c r="AD69" s="547">
        <v>0</v>
      </c>
      <c r="AE69" s="547">
        <v>0</v>
      </c>
      <c r="AF69" s="547">
        <v>0</v>
      </c>
      <c r="AG69" s="547">
        <v>0</v>
      </c>
      <c r="AH69" s="363">
        <f t="shared" si="79"/>
        <v>0</v>
      </c>
      <c r="AI69" s="547">
        <f t="shared" si="80"/>
        <v>0</v>
      </c>
      <c r="AJ69" s="550">
        <f t="shared" si="81"/>
        <v>0</v>
      </c>
      <c r="AK69" s="551">
        <f t="shared" si="82"/>
        <v>0</v>
      </c>
      <c r="AL69" s="529"/>
      <c r="AM69" s="502"/>
      <c r="AN69" s="530"/>
      <c r="AO69" s="498"/>
      <c r="AP69" s="499"/>
      <c r="AQ69" s="499"/>
      <c r="AR69" s="499"/>
      <c r="AS69" s="531">
        <f t="shared" si="3"/>
        <v>0</v>
      </c>
      <c r="AT69" s="532">
        <f t="shared" si="4"/>
        <v>0</v>
      </c>
      <c r="AU69" s="529">
        <v>0</v>
      </c>
      <c r="AV69" s="533">
        <v>0</v>
      </c>
      <c r="AW69" s="533">
        <v>0</v>
      </c>
      <c r="AX69" s="533">
        <v>0</v>
      </c>
      <c r="AY69" s="533">
        <f t="shared" si="5"/>
        <v>0</v>
      </c>
      <c r="AZ69" s="534">
        <f t="shared" si="6"/>
        <v>0</v>
      </c>
      <c r="BA69" s="535">
        <f t="shared" si="83"/>
        <v>0</v>
      </c>
      <c r="BB69" s="536">
        <f t="shared" si="84"/>
        <v>0</v>
      </c>
      <c r="BC69" s="523">
        <f t="shared" si="85"/>
        <v>0</v>
      </c>
      <c r="BD69" s="525">
        <f t="shared" si="86"/>
        <v>0</v>
      </c>
      <c r="BE69" s="525">
        <f t="shared" si="87"/>
        <v>0</v>
      </c>
      <c r="BF69" s="525">
        <f t="shared" si="88"/>
        <v>0</v>
      </c>
      <c r="BG69" s="525">
        <f t="shared" si="89"/>
        <v>0</v>
      </c>
      <c r="BH69" s="525">
        <f t="shared" si="90"/>
        <v>0</v>
      </c>
      <c r="BI69" s="526">
        <f t="shared" si="91"/>
        <v>0</v>
      </c>
      <c r="BJ69" s="537">
        <f t="shared" si="92"/>
        <v>0</v>
      </c>
      <c r="BK69" s="538">
        <f t="shared" si="93"/>
        <v>0</v>
      </c>
      <c r="BL69" s="538">
        <f t="shared" si="94"/>
        <v>0</v>
      </c>
      <c r="BM69" s="538">
        <f t="shared" si="95"/>
        <v>0</v>
      </c>
      <c r="BN69" s="538">
        <f t="shared" si="96"/>
        <v>0</v>
      </c>
      <c r="BO69" s="538">
        <f t="shared" si="97"/>
        <v>0</v>
      </c>
      <c r="BP69" s="539">
        <f t="shared" si="98"/>
        <v>0</v>
      </c>
      <c r="BQ69" s="540">
        <f t="shared" si="99"/>
        <v>0</v>
      </c>
      <c r="BR69" s="529"/>
      <c r="BS69" s="502"/>
      <c r="BT69" s="530"/>
      <c r="BU69" s="498"/>
      <c r="BV69" s="499"/>
      <c r="BW69" s="499"/>
      <c r="BX69" s="499"/>
      <c r="BY69" s="531">
        <f t="shared" si="9"/>
        <v>0</v>
      </c>
      <c r="BZ69" s="532">
        <f t="shared" si="10"/>
        <v>0</v>
      </c>
      <c r="CA69" s="529"/>
      <c r="CB69" s="533"/>
      <c r="CC69" s="533"/>
      <c r="CD69" s="533"/>
      <c r="CE69" s="533">
        <f t="shared" si="11"/>
        <v>0</v>
      </c>
      <c r="CF69" s="534">
        <f t="shared" si="12"/>
        <v>0</v>
      </c>
      <c r="CG69" s="774">
        <f t="shared" si="100"/>
        <v>0</v>
      </c>
      <c r="CH69" s="775">
        <f t="shared" si="101"/>
        <v>0</v>
      </c>
      <c r="CI69" s="548">
        <f t="shared" si="102"/>
        <v>0</v>
      </c>
      <c r="CJ69" s="773">
        <f t="shared" si="103"/>
        <v>0</v>
      </c>
      <c r="CK69" s="773">
        <f t="shared" si="104"/>
        <v>0</v>
      </c>
      <c r="CL69" s="773">
        <f t="shared" si="105"/>
        <v>0</v>
      </c>
      <c r="CM69" s="773">
        <f t="shared" si="106"/>
        <v>0</v>
      </c>
      <c r="CN69" s="773">
        <f t="shared" si="107"/>
        <v>0</v>
      </c>
      <c r="CO69" s="626">
        <f t="shared" si="108"/>
        <v>0</v>
      </c>
      <c r="CP69" s="1145">
        <f t="shared" si="109"/>
        <v>0</v>
      </c>
      <c r="CQ69" s="1146">
        <f t="shared" si="110"/>
        <v>0</v>
      </c>
      <c r="CR69" s="1146">
        <f t="shared" si="111"/>
        <v>0</v>
      </c>
      <c r="CS69" s="1146">
        <f t="shared" si="112"/>
        <v>0</v>
      </c>
      <c r="CT69" s="1146">
        <f t="shared" si="113"/>
        <v>0</v>
      </c>
      <c r="CU69" s="1146">
        <f t="shared" si="114"/>
        <v>0</v>
      </c>
      <c r="CV69" s="1256">
        <f t="shared" si="115"/>
        <v>0</v>
      </c>
      <c r="CW69" s="1157">
        <f t="shared" si="116"/>
        <v>0</v>
      </c>
      <c r="CX69" s="529"/>
      <c r="CY69" s="502"/>
      <c r="CZ69" s="530"/>
      <c r="DA69" s="498"/>
      <c r="DB69" s="499"/>
      <c r="DC69" s="499"/>
      <c r="DD69" s="499"/>
      <c r="DE69" s="531">
        <f t="shared" si="15"/>
        <v>0</v>
      </c>
      <c r="DF69" s="532">
        <f t="shared" si="16"/>
        <v>0</v>
      </c>
      <c r="DG69" s="529"/>
      <c r="DH69" s="533"/>
      <c r="DI69" s="533"/>
      <c r="DJ69" s="533"/>
      <c r="DK69" s="533">
        <f t="shared" si="17"/>
        <v>0</v>
      </c>
      <c r="DL69" s="534">
        <f t="shared" si="18"/>
        <v>0</v>
      </c>
      <c r="DM69" s="1258">
        <f t="shared" si="19"/>
        <v>0</v>
      </c>
      <c r="DN69" s="775">
        <f t="shared" si="20"/>
        <v>0</v>
      </c>
      <c r="DO69" s="548">
        <f t="shared" si="21"/>
        <v>0</v>
      </c>
      <c r="DP69" s="773">
        <f t="shared" si="22"/>
        <v>0</v>
      </c>
      <c r="DQ69" s="773">
        <f t="shared" si="23"/>
        <v>0</v>
      </c>
      <c r="DR69" s="773">
        <f t="shared" si="24"/>
        <v>0</v>
      </c>
      <c r="DS69" s="773">
        <f t="shared" si="25"/>
        <v>0</v>
      </c>
      <c r="DT69" s="773">
        <f t="shared" si="26"/>
        <v>0</v>
      </c>
      <c r="DU69" s="526">
        <f t="shared" si="117"/>
        <v>0</v>
      </c>
      <c r="DV69" s="1145">
        <f t="shared" si="27"/>
        <v>0</v>
      </c>
      <c r="DW69" s="1146">
        <f t="shared" si="28"/>
        <v>0</v>
      </c>
      <c r="DX69" s="1146">
        <f t="shared" si="29"/>
        <v>0</v>
      </c>
      <c r="DY69" s="1146">
        <f t="shared" si="30"/>
        <v>0</v>
      </c>
      <c r="DZ69" s="1146">
        <f t="shared" si="31"/>
        <v>0</v>
      </c>
      <c r="EA69" s="1146">
        <f t="shared" si="32"/>
        <v>0</v>
      </c>
      <c r="EB69" s="539">
        <f t="shared" si="118"/>
        <v>0</v>
      </c>
      <c r="EC69" s="540">
        <f t="shared" si="119"/>
        <v>0</v>
      </c>
      <c r="ES69" s="1258">
        <f t="shared" si="33"/>
        <v>0</v>
      </c>
      <c r="ET69" s="775">
        <f t="shared" si="34"/>
        <v>0</v>
      </c>
      <c r="EU69" s="548">
        <f t="shared" si="35"/>
        <v>0</v>
      </c>
      <c r="EV69" s="773">
        <f t="shared" si="36"/>
        <v>0</v>
      </c>
      <c r="EW69" s="773">
        <f t="shared" si="37"/>
        <v>0</v>
      </c>
      <c r="EX69" s="773">
        <f t="shared" si="38"/>
        <v>0</v>
      </c>
      <c r="EY69" s="773">
        <f t="shared" si="39"/>
        <v>0</v>
      </c>
      <c r="EZ69" s="773">
        <f t="shared" si="40"/>
        <v>0</v>
      </c>
      <c r="FA69" s="626">
        <f t="shared" si="120"/>
        <v>0</v>
      </c>
      <c r="FB69" s="1145">
        <f t="shared" si="41"/>
        <v>0</v>
      </c>
      <c r="FC69" s="1146">
        <f t="shared" si="42"/>
        <v>0</v>
      </c>
      <c r="FD69" s="1146">
        <f t="shared" si="43"/>
        <v>0</v>
      </c>
      <c r="FE69" s="1146">
        <f t="shared" si="44"/>
        <v>0</v>
      </c>
      <c r="FF69" s="1146">
        <f t="shared" si="45"/>
        <v>0</v>
      </c>
      <c r="FG69" s="1146">
        <f t="shared" si="46"/>
        <v>0</v>
      </c>
      <c r="FH69" s="1256">
        <f t="shared" si="121"/>
        <v>0</v>
      </c>
      <c r="FI69" s="1157">
        <f t="shared" si="122"/>
        <v>0</v>
      </c>
      <c r="FY69" s="1258">
        <f t="shared" si="47"/>
        <v>0</v>
      </c>
      <c r="FZ69" s="775">
        <f t="shared" si="48"/>
        <v>0</v>
      </c>
      <c r="GA69" s="548">
        <f t="shared" si="49"/>
        <v>0</v>
      </c>
      <c r="GB69" s="773">
        <f t="shared" si="50"/>
        <v>0</v>
      </c>
      <c r="GC69" s="773">
        <f t="shared" si="51"/>
        <v>0</v>
      </c>
      <c r="GD69" s="773">
        <f t="shared" si="52"/>
        <v>0</v>
      </c>
      <c r="GE69" s="773">
        <f t="shared" si="53"/>
        <v>0</v>
      </c>
      <c r="GF69" s="773">
        <f t="shared" si="54"/>
        <v>0</v>
      </c>
      <c r="GG69" s="626">
        <f t="shared" si="123"/>
        <v>0</v>
      </c>
      <c r="GH69" s="1145">
        <f t="shared" si="55"/>
        <v>0</v>
      </c>
      <c r="GI69" s="1146">
        <f t="shared" si="56"/>
        <v>0</v>
      </c>
      <c r="GJ69" s="1146">
        <f t="shared" si="57"/>
        <v>0</v>
      </c>
      <c r="GK69" s="1146">
        <f t="shared" si="58"/>
        <v>0</v>
      </c>
      <c r="GL69" s="1146">
        <f t="shared" si="59"/>
        <v>0</v>
      </c>
      <c r="GM69" s="1146">
        <f t="shared" si="60"/>
        <v>0</v>
      </c>
      <c r="GN69" s="1256">
        <f t="shared" si="124"/>
        <v>0</v>
      </c>
      <c r="GO69" s="1157">
        <f t="shared" si="125"/>
        <v>0</v>
      </c>
      <c r="HE69" s="1675">
        <f t="shared" si="61"/>
        <v>0</v>
      </c>
      <c r="HF69" s="775">
        <f t="shared" si="62"/>
        <v>0</v>
      </c>
      <c r="HG69" s="548">
        <f t="shared" si="63"/>
        <v>0</v>
      </c>
      <c r="HH69" s="773">
        <f t="shared" si="64"/>
        <v>0</v>
      </c>
      <c r="HI69" s="773">
        <f t="shared" si="65"/>
        <v>0</v>
      </c>
      <c r="HJ69" s="773">
        <f t="shared" si="66"/>
        <v>0</v>
      </c>
      <c r="HK69" s="773">
        <f t="shared" si="67"/>
        <v>0</v>
      </c>
      <c r="HL69" s="773">
        <f t="shared" si="68"/>
        <v>0</v>
      </c>
      <c r="HM69" s="626">
        <f t="shared" si="126"/>
        <v>0</v>
      </c>
      <c r="HN69" s="1145">
        <f t="shared" si="69"/>
        <v>0</v>
      </c>
      <c r="HO69" s="1146">
        <f t="shared" si="70"/>
        <v>0</v>
      </c>
      <c r="HP69" s="1146">
        <f t="shared" si="71"/>
        <v>0</v>
      </c>
      <c r="HQ69" s="1146">
        <f t="shared" si="72"/>
        <v>0</v>
      </c>
      <c r="HR69" s="1146">
        <f t="shared" si="73"/>
        <v>0</v>
      </c>
      <c r="HS69" s="1146">
        <f t="shared" si="74"/>
        <v>0</v>
      </c>
      <c r="HT69" s="1256">
        <f t="shared" si="127"/>
        <v>0</v>
      </c>
      <c r="HU69" s="1157">
        <f t="shared" si="128"/>
        <v>0</v>
      </c>
    </row>
    <row r="70" spans="1:229" ht="13.5" customHeight="1" outlineLevel="1" x14ac:dyDescent="0.2">
      <c r="A70" s="474"/>
      <c r="B70" s="1412"/>
      <c r="C70" s="511">
        <v>61</v>
      </c>
      <c r="D70" s="573" t="s">
        <v>45</v>
      </c>
      <c r="E70" s="1721">
        <v>16</v>
      </c>
      <c r="F70" s="558">
        <v>1153.0999999999999</v>
      </c>
      <c r="G70" s="543">
        <f t="shared" si="129"/>
        <v>72.068749999999994</v>
      </c>
      <c r="H70" s="559">
        <v>0</v>
      </c>
      <c r="I70" s="558">
        <v>0</v>
      </c>
      <c r="J70" s="542">
        <v>0</v>
      </c>
      <c r="K70" s="559">
        <v>8</v>
      </c>
      <c r="L70" s="558">
        <v>211.49</v>
      </c>
      <c r="M70" s="542">
        <f>L70/K70</f>
        <v>26.436250000000001</v>
      </c>
      <c r="N70" s="545">
        <f t="shared" si="130"/>
        <v>1364.59</v>
      </c>
      <c r="O70" s="518">
        <v>0</v>
      </c>
      <c r="P70" s="485">
        <v>6418514.4300000006</v>
      </c>
      <c r="Q70" s="518">
        <v>426647</v>
      </c>
      <c r="R70" s="519">
        <f t="shared" si="131"/>
        <v>6845161.4300000006</v>
      </c>
      <c r="S70" s="546">
        <f t="shared" si="75"/>
        <v>6845161.4300000006</v>
      </c>
      <c r="T70" s="521">
        <v>1443923.15</v>
      </c>
      <c r="U70" s="547">
        <v>0</v>
      </c>
      <c r="V70" s="547">
        <v>0</v>
      </c>
      <c r="W70" s="548">
        <v>0</v>
      </c>
      <c r="X70" s="549">
        <v>0</v>
      </c>
      <c r="Y70" s="549">
        <v>0</v>
      </c>
      <c r="Z70" s="549">
        <v>0</v>
      </c>
      <c r="AA70" s="525">
        <f t="shared" si="76"/>
        <v>0</v>
      </c>
      <c r="AB70" s="524">
        <f t="shared" si="77"/>
        <v>0</v>
      </c>
      <c r="AC70" s="526">
        <f t="shared" si="78"/>
        <v>0</v>
      </c>
      <c r="AD70" s="547">
        <v>0</v>
      </c>
      <c r="AE70" s="547">
        <v>0</v>
      </c>
      <c r="AF70" s="547">
        <v>0</v>
      </c>
      <c r="AG70" s="547">
        <v>0</v>
      </c>
      <c r="AH70" s="363">
        <f t="shared" si="79"/>
        <v>0</v>
      </c>
      <c r="AI70" s="547">
        <f t="shared" si="80"/>
        <v>0</v>
      </c>
      <c r="AJ70" s="550">
        <f t="shared" si="81"/>
        <v>0</v>
      </c>
      <c r="AK70" s="551">
        <f t="shared" si="82"/>
        <v>0</v>
      </c>
      <c r="AL70" s="529"/>
      <c r="AM70" s="502"/>
      <c r="AN70" s="530"/>
      <c r="AO70" s="498"/>
      <c r="AP70" s="499"/>
      <c r="AQ70" s="499"/>
      <c r="AR70" s="499"/>
      <c r="AS70" s="531">
        <f t="shared" si="3"/>
        <v>0</v>
      </c>
      <c r="AT70" s="532">
        <f t="shared" si="4"/>
        <v>0</v>
      </c>
      <c r="AU70" s="529">
        <v>0</v>
      </c>
      <c r="AV70" s="533">
        <v>0</v>
      </c>
      <c r="AW70" s="533">
        <v>0</v>
      </c>
      <c r="AX70" s="533">
        <v>0</v>
      </c>
      <c r="AY70" s="533">
        <f t="shared" si="5"/>
        <v>0</v>
      </c>
      <c r="AZ70" s="534">
        <f t="shared" si="6"/>
        <v>0</v>
      </c>
      <c r="BA70" s="535">
        <f t="shared" si="83"/>
        <v>0</v>
      </c>
      <c r="BB70" s="536">
        <f t="shared" si="84"/>
        <v>0</v>
      </c>
      <c r="BC70" s="523">
        <f t="shared" si="85"/>
        <v>0</v>
      </c>
      <c r="BD70" s="525">
        <f t="shared" si="86"/>
        <v>0</v>
      </c>
      <c r="BE70" s="525">
        <f t="shared" si="87"/>
        <v>0</v>
      </c>
      <c r="BF70" s="525">
        <f t="shared" si="88"/>
        <v>0</v>
      </c>
      <c r="BG70" s="525">
        <f t="shared" si="89"/>
        <v>0</v>
      </c>
      <c r="BH70" s="525">
        <f t="shared" si="90"/>
        <v>0</v>
      </c>
      <c r="BI70" s="526">
        <f t="shared" si="91"/>
        <v>0</v>
      </c>
      <c r="BJ70" s="537">
        <f t="shared" si="92"/>
        <v>0</v>
      </c>
      <c r="BK70" s="538">
        <f t="shared" si="93"/>
        <v>0</v>
      </c>
      <c r="BL70" s="538">
        <f t="shared" si="94"/>
        <v>0</v>
      </c>
      <c r="BM70" s="538">
        <f t="shared" si="95"/>
        <v>0</v>
      </c>
      <c r="BN70" s="538">
        <f t="shared" si="96"/>
        <v>0</v>
      </c>
      <c r="BO70" s="538">
        <f t="shared" si="97"/>
        <v>0</v>
      </c>
      <c r="BP70" s="539">
        <f t="shared" si="98"/>
        <v>0</v>
      </c>
      <c r="BQ70" s="540">
        <f t="shared" si="99"/>
        <v>0</v>
      </c>
      <c r="BR70" s="529"/>
      <c r="BS70" s="502"/>
      <c r="BT70" s="530"/>
      <c r="BU70" s="498"/>
      <c r="BV70" s="499"/>
      <c r="BW70" s="499"/>
      <c r="BX70" s="499"/>
      <c r="BY70" s="531">
        <f t="shared" si="9"/>
        <v>0</v>
      </c>
      <c r="BZ70" s="532">
        <f t="shared" si="10"/>
        <v>0</v>
      </c>
      <c r="CA70" s="529"/>
      <c r="CB70" s="533"/>
      <c r="CC70" s="533"/>
      <c r="CD70" s="533"/>
      <c r="CE70" s="533">
        <f t="shared" si="11"/>
        <v>0</v>
      </c>
      <c r="CF70" s="534">
        <f t="shared" si="12"/>
        <v>0</v>
      </c>
      <c r="CG70" s="774">
        <f t="shared" si="100"/>
        <v>0</v>
      </c>
      <c r="CH70" s="775">
        <f t="shared" si="101"/>
        <v>0</v>
      </c>
      <c r="CI70" s="548">
        <f t="shared" si="102"/>
        <v>0</v>
      </c>
      <c r="CJ70" s="773">
        <f t="shared" si="103"/>
        <v>0</v>
      </c>
      <c r="CK70" s="773">
        <f t="shared" si="104"/>
        <v>0</v>
      </c>
      <c r="CL70" s="773">
        <f t="shared" si="105"/>
        <v>0</v>
      </c>
      <c r="CM70" s="773">
        <f t="shared" si="106"/>
        <v>0</v>
      </c>
      <c r="CN70" s="773">
        <f t="shared" si="107"/>
        <v>0</v>
      </c>
      <c r="CO70" s="626">
        <f t="shared" si="108"/>
        <v>0</v>
      </c>
      <c r="CP70" s="1145">
        <f t="shared" si="109"/>
        <v>0</v>
      </c>
      <c r="CQ70" s="1146">
        <f t="shared" si="110"/>
        <v>0</v>
      </c>
      <c r="CR70" s="1146">
        <f t="shared" si="111"/>
        <v>0</v>
      </c>
      <c r="CS70" s="1146">
        <f t="shared" si="112"/>
        <v>0</v>
      </c>
      <c r="CT70" s="1146">
        <f t="shared" si="113"/>
        <v>0</v>
      </c>
      <c r="CU70" s="1146">
        <f t="shared" si="114"/>
        <v>0</v>
      </c>
      <c r="CV70" s="1256">
        <f t="shared" si="115"/>
        <v>0</v>
      </c>
      <c r="CW70" s="1157">
        <f t="shared" si="116"/>
        <v>0</v>
      </c>
      <c r="CX70" s="529"/>
      <c r="CY70" s="502"/>
      <c r="CZ70" s="530"/>
      <c r="DA70" s="498"/>
      <c r="DB70" s="499"/>
      <c r="DC70" s="499"/>
      <c r="DD70" s="499"/>
      <c r="DE70" s="531">
        <f t="shared" si="15"/>
        <v>0</v>
      </c>
      <c r="DF70" s="532">
        <f t="shared" si="16"/>
        <v>0</v>
      </c>
      <c r="DG70" s="529"/>
      <c r="DH70" s="533"/>
      <c r="DI70" s="533"/>
      <c r="DJ70" s="533"/>
      <c r="DK70" s="533">
        <f t="shared" si="17"/>
        <v>0</v>
      </c>
      <c r="DL70" s="534">
        <f t="shared" si="18"/>
        <v>0</v>
      </c>
      <c r="DM70" s="1258">
        <f t="shared" si="19"/>
        <v>0</v>
      </c>
      <c r="DN70" s="775">
        <f t="shared" si="20"/>
        <v>0</v>
      </c>
      <c r="DO70" s="548">
        <f t="shared" si="21"/>
        <v>0</v>
      </c>
      <c r="DP70" s="773">
        <f t="shared" si="22"/>
        <v>0</v>
      </c>
      <c r="DQ70" s="773">
        <f t="shared" si="23"/>
        <v>0</v>
      </c>
      <c r="DR70" s="773">
        <f t="shared" si="24"/>
        <v>0</v>
      </c>
      <c r="DS70" s="773">
        <f t="shared" si="25"/>
        <v>0</v>
      </c>
      <c r="DT70" s="773">
        <f t="shared" si="26"/>
        <v>0</v>
      </c>
      <c r="DU70" s="526">
        <f t="shared" si="117"/>
        <v>0</v>
      </c>
      <c r="DV70" s="1145">
        <f t="shared" si="27"/>
        <v>0</v>
      </c>
      <c r="DW70" s="1146">
        <f t="shared" si="28"/>
        <v>0</v>
      </c>
      <c r="DX70" s="1146">
        <f t="shared" si="29"/>
        <v>0</v>
      </c>
      <c r="DY70" s="1146">
        <f t="shared" si="30"/>
        <v>0</v>
      </c>
      <c r="DZ70" s="1146">
        <f t="shared" si="31"/>
        <v>0</v>
      </c>
      <c r="EA70" s="1146">
        <f t="shared" si="32"/>
        <v>0</v>
      </c>
      <c r="EB70" s="539">
        <f t="shared" si="118"/>
        <v>0</v>
      </c>
      <c r="EC70" s="540">
        <f t="shared" si="119"/>
        <v>0</v>
      </c>
      <c r="ES70" s="1258">
        <f t="shared" si="33"/>
        <v>0</v>
      </c>
      <c r="ET70" s="775">
        <f t="shared" si="34"/>
        <v>0</v>
      </c>
      <c r="EU70" s="548">
        <f t="shared" si="35"/>
        <v>0</v>
      </c>
      <c r="EV70" s="773">
        <f t="shared" si="36"/>
        <v>0</v>
      </c>
      <c r="EW70" s="773">
        <f t="shared" si="37"/>
        <v>0</v>
      </c>
      <c r="EX70" s="773">
        <f t="shared" si="38"/>
        <v>0</v>
      </c>
      <c r="EY70" s="773">
        <f t="shared" si="39"/>
        <v>0</v>
      </c>
      <c r="EZ70" s="773">
        <f t="shared" si="40"/>
        <v>0</v>
      </c>
      <c r="FA70" s="626">
        <f t="shared" si="120"/>
        <v>0</v>
      </c>
      <c r="FB70" s="1145">
        <f t="shared" si="41"/>
        <v>0</v>
      </c>
      <c r="FC70" s="1146">
        <f t="shared" si="42"/>
        <v>0</v>
      </c>
      <c r="FD70" s="1146">
        <f t="shared" si="43"/>
        <v>0</v>
      </c>
      <c r="FE70" s="1146">
        <f t="shared" si="44"/>
        <v>0</v>
      </c>
      <c r="FF70" s="1146">
        <f t="shared" si="45"/>
        <v>0</v>
      </c>
      <c r="FG70" s="1146">
        <f t="shared" si="46"/>
        <v>0</v>
      </c>
      <c r="FH70" s="1256">
        <f t="shared" si="121"/>
        <v>0</v>
      </c>
      <c r="FI70" s="1157">
        <f t="shared" si="122"/>
        <v>0</v>
      </c>
      <c r="FY70" s="1258">
        <f t="shared" si="47"/>
        <v>0</v>
      </c>
      <c r="FZ70" s="775">
        <f t="shared" si="48"/>
        <v>0</v>
      </c>
      <c r="GA70" s="548">
        <f t="shared" si="49"/>
        <v>0</v>
      </c>
      <c r="GB70" s="773">
        <f t="shared" si="50"/>
        <v>0</v>
      </c>
      <c r="GC70" s="773">
        <f t="shared" si="51"/>
        <v>0</v>
      </c>
      <c r="GD70" s="773">
        <f t="shared" si="52"/>
        <v>0</v>
      </c>
      <c r="GE70" s="773">
        <f t="shared" si="53"/>
        <v>0</v>
      </c>
      <c r="GF70" s="773">
        <f t="shared" si="54"/>
        <v>0</v>
      </c>
      <c r="GG70" s="626">
        <f t="shared" si="123"/>
        <v>0</v>
      </c>
      <c r="GH70" s="1145">
        <f t="shared" si="55"/>
        <v>0</v>
      </c>
      <c r="GI70" s="1146">
        <f t="shared" si="56"/>
        <v>0</v>
      </c>
      <c r="GJ70" s="1146">
        <f t="shared" si="57"/>
        <v>0</v>
      </c>
      <c r="GK70" s="1146">
        <f t="shared" si="58"/>
        <v>0</v>
      </c>
      <c r="GL70" s="1146">
        <f t="shared" si="59"/>
        <v>0</v>
      </c>
      <c r="GM70" s="1146">
        <f t="shared" si="60"/>
        <v>0</v>
      </c>
      <c r="GN70" s="1256">
        <f t="shared" si="124"/>
        <v>0</v>
      </c>
      <c r="GO70" s="1157">
        <f t="shared" si="125"/>
        <v>0</v>
      </c>
      <c r="HE70" s="1675">
        <f t="shared" si="61"/>
        <v>0</v>
      </c>
      <c r="HF70" s="775">
        <f t="shared" si="62"/>
        <v>0</v>
      </c>
      <c r="HG70" s="548">
        <f t="shared" si="63"/>
        <v>0</v>
      </c>
      <c r="HH70" s="773">
        <f t="shared" si="64"/>
        <v>0</v>
      </c>
      <c r="HI70" s="773">
        <f t="shared" si="65"/>
        <v>0</v>
      </c>
      <c r="HJ70" s="773">
        <f t="shared" si="66"/>
        <v>0</v>
      </c>
      <c r="HK70" s="773">
        <f t="shared" si="67"/>
        <v>0</v>
      </c>
      <c r="HL70" s="773">
        <f t="shared" si="68"/>
        <v>0</v>
      </c>
      <c r="HM70" s="626">
        <f t="shared" si="126"/>
        <v>0</v>
      </c>
      <c r="HN70" s="1145">
        <f t="shared" si="69"/>
        <v>0</v>
      </c>
      <c r="HO70" s="1146">
        <f t="shared" si="70"/>
        <v>0</v>
      </c>
      <c r="HP70" s="1146">
        <f t="shared" si="71"/>
        <v>0</v>
      </c>
      <c r="HQ70" s="1146">
        <f t="shared" si="72"/>
        <v>0</v>
      </c>
      <c r="HR70" s="1146">
        <f t="shared" si="73"/>
        <v>0</v>
      </c>
      <c r="HS70" s="1146">
        <f t="shared" si="74"/>
        <v>0</v>
      </c>
      <c r="HT70" s="1256">
        <f t="shared" si="127"/>
        <v>0</v>
      </c>
      <c r="HU70" s="1157">
        <f t="shared" si="128"/>
        <v>0</v>
      </c>
    </row>
    <row r="71" spans="1:229" ht="13.5" customHeight="1" outlineLevel="1" x14ac:dyDescent="0.2">
      <c r="A71" s="474"/>
      <c r="B71" s="1412"/>
      <c r="C71" s="511">
        <v>62</v>
      </c>
      <c r="D71" s="573" t="s">
        <v>68</v>
      </c>
      <c r="E71" s="477">
        <v>68</v>
      </c>
      <c r="F71" s="574">
        <v>4472.95</v>
      </c>
      <c r="G71" s="543">
        <f t="shared" si="129"/>
        <v>65.778676470588238</v>
      </c>
      <c r="H71" s="480">
        <v>0</v>
      </c>
      <c r="I71" s="481">
        <v>0</v>
      </c>
      <c r="J71" s="542">
        <v>0</v>
      </c>
      <c r="K71" s="480">
        <v>0</v>
      </c>
      <c r="L71" s="481">
        <v>0</v>
      </c>
      <c r="M71" s="542">
        <v>0</v>
      </c>
      <c r="N71" s="545">
        <f t="shared" si="130"/>
        <v>4472.95</v>
      </c>
      <c r="O71" s="484">
        <v>4052206.57</v>
      </c>
      <c r="P71" s="485">
        <v>23990743.916000005</v>
      </c>
      <c r="Q71" s="484">
        <v>0</v>
      </c>
      <c r="R71" s="519">
        <f t="shared" si="131"/>
        <v>28042950.486000005</v>
      </c>
      <c r="S71" s="546">
        <f t="shared" si="75"/>
        <v>28042950.486000005</v>
      </c>
      <c r="T71" s="521">
        <v>5753796.9199999999</v>
      </c>
      <c r="U71" s="547">
        <v>0</v>
      </c>
      <c r="V71" s="547">
        <v>0</v>
      </c>
      <c r="W71" s="548">
        <v>0</v>
      </c>
      <c r="X71" s="549">
        <v>0</v>
      </c>
      <c r="Y71" s="549">
        <v>0</v>
      </c>
      <c r="Z71" s="549">
        <v>0</v>
      </c>
      <c r="AA71" s="525">
        <f t="shared" si="76"/>
        <v>0</v>
      </c>
      <c r="AB71" s="524">
        <f t="shared" si="77"/>
        <v>0</v>
      </c>
      <c r="AC71" s="526">
        <f t="shared" si="78"/>
        <v>0</v>
      </c>
      <c r="AD71" s="547">
        <v>0</v>
      </c>
      <c r="AE71" s="547">
        <v>0</v>
      </c>
      <c r="AF71" s="547">
        <v>0</v>
      </c>
      <c r="AG71" s="547">
        <v>0</v>
      </c>
      <c r="AH71" s="363">
        <f t="shared" si="79"/>
        <v>0</v>
      </c>
      <c r="AI71" s="547">
        <f t="shared" si="80"/>
        <v>0</v>
      </c>
      <c r="AJ71" s="550">
        <f t="shared" si="81"/>
        <v>0</v>
      </c>
      <c r="AK71" s="551">
        <f t="shared" si="82"/>
        <v>0</v>
      </c>
      <c r="AL71" s="529"/>
      <c r="AM71" s="502"/>
      <c r="AN71" s="530"/>
      <c r="AO71" s="498"/>
      <c r="AP71" s="499"/>
      <c r="AQ71" s="499"/>
      <c r="AR71" s="499"/>
      <c r="AS71" s="531">
        <f t="shared" si="3"/>
        <v>0</v>
      </c>
      <c r="AT71" s="532">
        <f t="shared" si="4"/>
        <v>0</v>
      </c>
      <c r="AU71" s="529">
        <v>0</v>
      </c>
      <c r="AV71" s="533">
        <v>0</v>
      </c>
      <c r="AW71" s="533">
        <v>0</v>
      </c>
      <c r="AX71" s="533">
        <v>0</v>
      </c>
      <c r="AY71" s="533">
        <f t="shared" si="5"/>
        <v>0</v>
      </c>
      <c r="AZ71" s="534">
        <f t="shared" si="6"/>
        <v>0</v>
      </c>
      <c r="BA71" s="535">
        <f t="shared" si="83"/>
        <v>0</v>
      </c>
      <c r="BB71" s="536">
        <f t="shared" si="84"/>
        <v>0</v>
      </c>
      <c r="BC71" s="523">
        <f t="shared" si="85"/>
        <v>0</v>
      </c>
      <c r="BD71" s="525">
        <f t="shared" si="86"/>
        <v>0</v>
      </c>
      <c r="BE71" s="525">
        <f t="shared" si="87"/>
        <v>0</v>
      </c>
      <c r="BF71" s="525">
        <f t="shared" si="88"/>
        <v>0</v>
      </c>
      <c r="BG71" s="525">
        <f t="shared" si="89"/>
        <v>0</v>
      </c>
      <c r="BH71" s="525">
        <f t="shared" si="90"/>
        <v>0</v>
      </c>
      <c r="BI71" s="526">
        <f t="shared" si="91"/>
        <v>0</v>
      </c>
      <c r="BJ71" s="537">
        <f t="shared" si="92"/>
        <v>0</v>
      </c>
      <c r="BK71" s="538">
        <f t="shared" si="93"/>
        <v>0</v>
      </c>
      <c r="BL71" s="538">
        <f t="shared" si="94"/>
        <v>0</v>
      </c>
      <c r="BM71" s="538">
        <f t="shared" si="95"/>
        <v>0</v>
      </c>
      <c r="BN71" s="538">
        <f t="shared" si="96"/>
        <v>0</v>
      </c>
      <c r="BO71" s="538">
        <f t="shared" si="97"/>
        <v>0</v>
      </c>
      <c r="BP71" s="539">
        <f t="shared" si="98"/>
        <v>0</v>
      </c>
      <c r="BQ71" s="540">
        <f t="shared" si="99"/>
        <v>0</v>
      </c>
      <c r="BR71" s="529"/>
      <c r="BS71" s="502"/>
      <c r="BT71" s="530"/>
      <c r="BU71" s="498"/>
      <c r="BV71" s="499"/>
      <c r="BW71" s="499"/>
      <c r="BX71" s="499"/>
      <c r="BY71" s="531">
        <f t="shared" si="9"/>
        <v>0</v>
      </c>
      <c r="BZ71" s="532">
        <f t="shared" si="10"/>
        <v>0</v>
      </c>
      <c r="CA71" s="529"/>
      <c r="CB71" s="533"/>
      <c r="CC71" s="533"/>
      <c r="CD71" s="533"/>
      <c r="CE71" s="533">
        <f t="shared" si="11"/>
        <v>0</v>
      </c>
      <c r="CF71" s="534">
        <f t="shared" si="12"/>
        <v>0</v>
      </c>
      <c r="CG71" s="774">
        <f t="shared" si="100"/>
        <v>0</v>
      </c>
      <c r="CH71" s="775">
        <f t="shared" si="101"/>
        <v>0</v>
      </c>
      <c r="CI71" s="548">
        <f t="shared" si="102"/>
        <v>0</v>
      </c>
      <c r="CJ71" s="773">
        <f t="shared" si="103"/>
        <v>0</v>
      </c>
      <c r="CK71" s="773">
        <f t="shared" si="104"/>
        <v>0</v>
      </c>
      <c r="CL71" s="773">
        <f t="shared" si="105"/>
        <v>0</v>
      </c>
      <c r="CM71" s="773">
        <f t="shared" si="106"/>
        <v>0</v>
      </c>
      <c r="CN71" s="773">
        <f t="shared" si="107"/>
        <v>0</v>
      </c>
      <c r="CO71" s="626">
        <f t="shared" si="108"/>
        <v>0</v>
      </c>
      <c r="CP71" s="1145">
        <f t="shared" si="109"/>
        <v>0</v>
      </c>
      <c r="CQ71" s="1146">
        <f t="shared" si="110"/>
        <v>0</v>
      </c>
      <c r="CR71" s="1146">
        <f t="shared" si="111"/>
        <v>0</v>
      </c>
      <c r="CS71" s="1146">
        <f t="shared" si="112"/>
        <v>0</v>
      </c>
      <c r="CT71" s="1146">
        <f t="shared" si="113"/>
        <v>0</v>
      </c>
      <c r="CU71" s="1146">
        <f t="shared" si="114"/>
        <v>0</v>
      </c>
      <c r="CV71" s="1256">
        <f t="shared" si="115"/>
        <v>0</v>
      </c>
      <c r="CW71" s="1157">
        <f t="shared" si="116"/>
        <v>0</v>
      </c>
      <c r="CX71" s="529"/>
      <c r="CY71" s="502"/>
      <c r="CZ71" s="530"/>
      <c r="DA71" s="498"/>
      <c r="DB71" s="499"/>
      <c r="DC71" s="499"/>
      <c r="DD71" s="499"/>
      <c r="DE71" s="531">
        <f t="shared" si="15"/>
        <v>0</v>
      </c>
      <c r="DF71" s="532">
        <f t="shared" si="16"/>
        <v>0</v>
      </c>
      <c r="DG71" s="529"/>
      <c r="DH71" s="533"/>
      <c r="DI71" s="533"/>
      <c r="DJ71" s="533"/>
      <c r="DK71" s="533">
        <f t="shared" si="17"/>
        <v>0</v>
      </c>
      <c r="DL71" s="534">
        <f t="shared" si="18"/>
        <v>0</v>
      </c>
      <c r="DM71" s="1258">
        <f t="shared" si="19"/>
        <v>0</v>
      </c>
      <c r="DN71" s="775">
        <f t="shared" si="20"/>
        <v>0</v>
      </c>
      <c r="DO71" s="548">
        <f t="shared" si="21"/>
        <v>0</v>
      </c>
      <c r="DP71" s="773">
        <f t="shared" si="22"/>
        <v>0</v>
      </c>
      <c r="DQ71" s="773">
        <f t="shared" si="23"/>
        <v>0</v>
      </c>
      <c r="DR71" s="773">
        <f t="shared" si="24"/>
        <v>0</v>
      </c>
      <c r="DS71" s="773">
        <f t="shared" si="25"/>
        <v>0</v>
      </c>
      <c r="DT71" s="773">
        <f t="shared" si="26"/>
        <v>0</v>
      </c>
      <c r="DU71" s="526">
        <f t="shared" si="117"/>
        <v>0</v>
      </c>
      <c r="DV71" s="1145">
        <f t="shared" si="27"/>
        <v>0</v>
      </c>
      <c r="DW71" s="1146">
        <f t="shared" si="28"/>
        <v>0</v>
      </c>
      <c r="DX71" s="1146">
        <f t="shared" si="29"/>
        <v>0</v>
      </c>
      <c r="DY71" s="1146">
        <f t="shared" si="30"/>
        <v>0</v>
      </c>
      <c r="DZ71" s="1146">
        <f t="shared" si="31"/>
        <v>0</v>
      </c>
      <c r="EA71" s="1146">
        <f t="shared" si="32"/>
        <v>0</v>
      </c>
      <c r="EB71" s="539">
        <f t="shared" si="118"/>
        <v>0</v>
      </c>
      <c r="EC71" s="540">
        <f t="shared" si="119"/>
        <v>0</v>
      </c>
      <c r="ES71" s="1258">
        <f t="shared" si="33"/>
        <v>0</v>
      </c>
      <c r="ET71" s="775">
        <f t="shared" si="34"/>
        <v>0</v>
      </c>
      <c r="EU71" s="548">
        <f t="shared" si="35"/>
        <v>0</v>
      </c>
      <c r="EV71" s="773">
        <f t="shared" si="36"/>
        <v>0</v>
      </c>
      <c r="EW71" s="773">
        <f t="shared" si="37"/>
        <v>0</v>
      </c>
      <c r="EX71" s="773">
        <f t="shared" si="38"/>
        <v>0</v>
      </c>
      <c r="EY71" s="773">
        <f t="shared" si="39"/>
        <v>0</v>
      </c>
      <c r="EZ71" s="773">
        <f t="shared" si="40"/>
        <v>0</v>
      </c>
      <c r="FA71" s="626">
        <f t="shared" si="120"/>
        <v>0</v>
      </c>
      <c r="FB71" s="1145">
        <f t="shared" si="41"/>
        <v>0</v>
      </c>
      <c r="FC71" s="1146">
        <f t="shared" si="42"/>
        <v>0</v>
      </c>
      <c r="FD71" s="1146">
        <f t="shared" si="43"/>
        <v>0</v>
      </c>
      <c r="FE71" s="1146">
        <f t="shared" si="44"/>
        <v>0</v>
      </c>
      <c r="FF71" s="1146">
        <f t="shared" si="45"/>
        <v>0</v>
      </c>
      <c r="FG71" s="1146">
        <f t="shared" si="46"/>
        <v>0</v>
      </c>
      <c r="FH71" s="1256">
        <f t="shared" si="121"/>
        <v>0</v>
      </c>
      <c r="FI71" s="1157">
        <f t="shared" si="122"/>
        <v>0</v>
      </c>
      <c r="FY71" s="1258">
        <f t="shared" si="47"/>
        <v>0</v>
      </c>
      <c r="FZ71" s="775">
        <f t="shared" si="48"/>
        <v>0</v>
      </c>
      <c r="GA71" s="548">
        <f t="shared" si="49"/>
        <v>0</v>
      </c>
      <c r="GB71" s="773">
        <f t="shared" si="50"/>
        <v>0</v>
      </c>
      <c r="GC71" s="773">
        <f t="shared" si="51"/>
        <v>0</v>
      </c>
      <c r="GD71" s="773">
        <f t="shared" si="52"/>
        <v>0</v>
      </c>
      <c r="GE71" s="773">
        <f t="shared" si="53"/>
        <v>0</v>
      </c>
      <c r="GF71" s="773">
        <f t="shared" si="54"/>
        <v>0</v>
      </c>
      <c r="GG71" s="626">
        <f t="shared" si="123"/>
        <v>0</v>
      </c>
      <c r="GH71" s="1145">
        <f t="shared" si="55"/>
        <v>0</v>
      </c>
      <c r="GI71" s="1146">
        <f t="shared" si="56"/>
        <v>0</v>
      </c>
      <c r="GJ71" s="1146">
        <f t="shared" si="57"/>
        <v>0</v>
      </c>
      <c r="GK71" s="1146">
        <f t="shared" si="58"/>
        <v>0</v>
      </c>
      <c r="GL71" s="1146">
        <f t="shared" si="59"/>
        <v>0</v>
      </c>
      <c r="GM71" s="1146">
        <f t="shared" si="60"/>
        <v>0</v>
      </c>
      <c r="GN71" s="1256">
        <f t="shared" si="124"/>
        <v>0</v>
      </c>
      <c r="GO71" s="1157">
        <f t="shared" si="125"/>
        <v>0</v>
      </c>
      <c r="HE71" s="1675">
        <f t="shared" si="61"/>
        <v>0</v>
      </c>
      <c r="HF71" s="775">
        <f t="shared" si="62"/>
        <v>0</v>
      </c>
      <c r="HG71" s="548">
        <f t="shared" si="63"/>
        <v>0</v>
      </c>
      <c r="HH71" s="773">
        <f t="shared" si="64"/>
        <v>0</v>
      </c>
      <c r="HI71" s="773">
        <f t="shared" si="65"/>
        <v>0</v>
      </c>
      <c r="HJ71" s="773">
        <f t="shared" si="66"/>
        <v>0</v>
      </c>
      <c r="HK71" s="773">
        <f t="shared" si="67"/>
        <v>0</v>
      </c>
      <c r="HL71" s="773">
        <f t="shared" si="68"/>
        <v>0</v>
      </c>
      <c r="HM71" s="626">
        <f t="shared" si="126"/>
        <v>0</v>
      </c>
      <c r="HN71" s="1145">
        <f t="shared" si="69"/>
        <v>0</v>
      </c>
      <c r="HO71" s="1146">
        <f t="shared" si="70"/>
        <v>0</v>
      </c>
      <c r="HP71" s="1146">
        <f t="shared" si="71"/>
        <v>0</v>
      </c>
      <c r="HQ71" s="1146">
        <f t="shared" si="72"/>
        <v>0</v>
      </c>
      <c r="HR71" s="1146">
        <f t="shared" si="73"/>
        <v>0</v>
      </c>
      <c r="HS71" s="1146">
        <f t="shared" si="74"/>
        <v>0</v>
      </c>
      <c r="HT71" s="1256">
        <f t="shared" si="127"/>
        <v>0</v>
      </c>
      <c r="HU71" s="1157">
        <f t="shared" si="128"/>
        <v>0</v>
      </c>
    </row>
    <row r="72" spans="1:229" ht="13.5" customHeight="1" outlineLevel="1" x14ac:dyDescent="0.2">
      <c r="A72" s="474"/>
      <c r="B72" s="1412"/>
      <c r="C72" s="511">
        <v>63</v>
      </c>
      <c r="D72" s="557" t="s">
        <v>46</v>
      </c>
      <c r="E72" s="1721">
        <v>20</v>
      </c>
      <c r="F72" s="558">
        <v>950</v>
      </c>
      <c r="G72" s="543">
        <f t="shared" si="129"/>
        <v>47.5</v>
      </c>
      <c r="H72" s="559">
        <v>0</v>
      </c>
      <c r="I72" s="558">
        <v>0</v>
      </c>
      <c r="J72" s="542">
        <v>0</v>
      </c>
      <c r="K72" s="559">
        <v>0</v>
      </c>
      <c r="L72" s="558">
        <v>0</v>
      </c>
      <c r="M72" s="542">
        <v>0</v>
      </c>
      <c r="N72" s="545">
        <f t="shared" si="130"/>
        <v>950</v>
      </c>
      <c r="O72" s="518">
        <v>0</v>
      </c>
      <c r="P72" s="485">
        <v>4777921.46</v>
      </c>
      <c r="Q72" s="518">
        <v>630732.6</v>
      </c>
      <c r="R72" s="519">
        <f t="shared" si="131"/>
        <v>5408654.0599999996</v>
      </c>
      <c r="S72" s="546">
        <f t="shared" si="75"/>
        <v>5408654.0599999996</v>
      </c>
      <c r="T72" s="521">
        <v>1217063.05</v>
      </c>
      <c r="U72" s="547">
        <v>0</v>
      </c>
      <c r="V72" s="547">
        <v>0</v>
      </c>
      <c r="W72" s="548">
        <v>0</v>
      </c>
      <c r="X72" s="549">
        <v>0</v>
      </c>
      <c r="Y72" s="549">
        <v>0</v>
      </c>
      <c r="Z72" s="549">
        <v>0</v>
      </c>
      <c r="AA72" s="525">
        <f t="shared" si="76"/>
        <v>0</v>
      </c>
      <c r="AB72" s="524">
        <f t="shared" si="77"/>
        <v>0</v>
      </c>
      <c r="AC72" s="526">
        <f t="shared" si="78"/>
        <v>0</v>
      </c>
      <c r="AD72" s="547">
        <v>0</v>
      </c>
      <c r="AE72" s="547">
        <v>0</v>
      </c>
      <c r="AF72" s="547">
        <v>0</v>
      </c>
      <c r="AG72" s="547">
        <v>0</v>
      </c>
      <c r="AH72" s="363">
        <f t="shared" si="79"/>
        <v>0</v>
      </c>
      <c r="AI72" s="547">
        <f t="shared" si="80"/>
        <v>0</v>
      </c>
      <c r="AJ72" s="550">
        <f t="shared" si="81"/>
        <v>0</v>
      </c>
      <c r="AK72" s="551">
        <f t="shared" si="82"/>
        <v>0</v>
      </c>
      <c r="AL72" s="529"/>
      <c r="AM72" s="502"/>
      <c r="AN72" s="530"/>
      <c r="AO72" s="498"/>
      <c r="AP72" s="499"/>
      <c r="AQ72" s="499"/>
      <c r="AR72" s="499"/>
      <c r="AS72" s="531">
        <f t="shared" si="3"/>
        <v>0</v>
      </c>
      <c r="AT72" s="532">
        <f t="shared" si="4"/>
        <v>0</v>
      </c>
      <c r="AU72" s="529">
        <v>0</v>
      </c>
      <c r="AV72" s="533">
        <v>0</v>
      </c>
      <c r="AW72" s="533">
        <v>0</v>
      </c>
      <c r="AX72" s="533">
        <v>0</v>
      </c>
      <c r="AY72" s="533">
        <f t="shared" si="5"/>
        <v>0</v>
      </c>
      <c r="AZ72" s="534">
        <f t="shared" si="6"/>
        <v>0</v>
      </c>
      <c r="BA72" s="535">
        <f t="shared" si="83"/>
        <v>0</v>
      </c>
      <c r="BB72" s="536">
        <f t="shared" si="84"/>
        <v>0</v>
      </c>
      <c r="BC72" s="523">
        <f t="shared" si="85"/>
        <v>0</v>
      </c>
      <c r="BD72" s="525">
        <f t="shared" si="86"/>
        <v>0</v>
      </c>
      <c r="BE72" s="525">
        <f t="shared" si="87"/>
        <v>0</v>
      </c>
      <c r="BF72" s="525">
        <f t="shared" si="88"/>
        <v>0</v>
      </c>
      <c r="BG72" s="525">
        <f t="shared" si="89"/>
        <v>0</v>
      </c>
      <c r="BH72" s="525">
        <f t="shared" si="90"/>
        <v>0</v>
      </c>
      <c r="BI72" s="526">
        <f t="shared" si="91"/>
        <v>0</v>
      </c>
      <c r="BJ72" s="537">
        <f t="shared" si="92"/>
        <v>0</v>
      </c>
      <c r="BK72" s="538">
        <f t="shared" si="93"/>
        <v>0</v>
      </c>
      <c r="BL72" s="538">
        <f t="shared" si="94"/>
        <v>0</v>
      </c>
      <c r="BM72" s="538">
        <f t="shared" si="95"/>
        <v>0</v>
      </c>
      <c r="BN72" s="538">
        <f t="shared" si="96"/>
        <v>0</v>
      </c>
      <c r="BO72" s="538">
        <f t="shared" si="97"/>
        <v>0</v>
      </c>
      <c r="BP72" s="539">
        <f t="shared" si="98"/>
        <v>0</v>
      </c>
      <c r="BQ72" s="540">
        <f t="shared" si="99"/>
        <v>0</v>
      </c>
      <c r="BR72" s="529"/>
      <c r="BS72" s="502"/>
      <c r="BT72" s="530"/>
      <c r="BU72" s="498"/>
      <c r="BV72" s="499"/>
      <c r="BW72" s="499"/>
      <c r="BX72" s="499"/>
      <c r="BY72" s="531">
        <f t="shared" si="9"/>
        <v>0</v>
      </c>
      <c r="BZ72" s="532">
        <f t="shared" si="10"/>
        <v>0</v>
      </c>
      <c r="CA72" s="529"/>
      <c r="CB72" s="533"/>
      <c r="CC72" s="533"/>
      <c r="CD72" s="533"/>
      <c r="CE72" s="533">
        <f t="shared" si="11"/>
        <v>0</v>
      </c>
      <c r="CF72" s="534">
        <f t="shared" si="12"/>
        <v>0</v>
      </c>
      <c r="CG72" s="774">
        <f t="shared" si="100"/>
        <v>0</v>
      </c>
      <c r="CH72" s="775">
        <f t="shared" si="101"/>
        <v>0</v>
      </c>
      <c r="CI72" s="548">
        <f t="shared" si="102"/>
        <v>0</v>
      </c>
      <c r="CJ72" s="773">
        <f t="shared" si="103"/>
        <v>0</v>
      </c>
      <c r="CK72" s="773">
        <f t="shared" si="104"/>
        <v>0</v>
      </c>
      <c r="CL72" s="773">
        <f t="shared" si="105"/>
        <v>0</v>
      </c>
      <c r="CM72" s="773">
        <f t="shared" si="106"/>
        <v>0</v>
      </c>
      <c r="CN72" s="773">
        <f t="shared" si="107"/>
        <v>0</v>
      </c>
      <c r="CO72" s="626">
        <f t="shared" si="108"/>
        <v>0</v>
      </c>
      <c r="CP72" s="1145">
        <f t="shared" si="109"/>
        <v>0</v>
      </c>
      <c r="CQ72" s="1146">
        <f t="shared" si="110"/>
        <v>0</v>
      </c>
      <c r="CR72" s="1146">
        <f t="shared" si="111"/>
        <v>0</v>
      </c>
      <c r="CS72" s="1146">
        <f t="shared" si="112"/>
        <v>0</v>
      </c>
      <c r="CT72" s="1146">
        <f t="shared" si="113"/>
        <v>0</v>
      </c>
      <c r="CU72" s="1146">
        <f t="shared" si="114"/>
        <v>0</v>
      </c>
      <c r="CV72" s="1256">
        <f t="shared" si="115"/>
        <v>0</v>
      </c>
      <c r="CW72" s="1157">
        <f t="shared" si="116"/>
        <v>0</v>
      </c>
      <c r="CX72" s="529"/>
      <c r="CY72" s="502"/>
      <c r="CZ72" s="530"/>
      <c r="DA72" s="498"/>
      <c r="DB72" s="499"/>
      <c r="DC72" s="499"/>
      <c r="DD72" s="499"/>
      <c r="DE72" s="531">
        <f t="shared" si="15"/>
        <v>0</v>
      </c>
      <c r="DF72" s="532">
        <f t="shared" si="16"/>
        <v>0</v>
      </c>
      <c r="DG72" s="529"/>
      <c r="DH72" s="533"/>
      <c r="DI72" s="533"/>
      <c r="DJ72" s="533"/>
      <c r="DK72" s="533">
        <f t="shared" si="17"/>
        <v>0</v>
      </c>
      <c r="DL72" s="534">
        <f t="shared" si="18"/>
        <v>0</v>
      </c>
      <c r="DM72" s="1258">
        <f t="shared" si="19"/>
        <v>0</v>
      </c>
      <c r="DN72" s="775">
        <f t="shared" si="20"/>
        <v>0</v>
      </c>
      <c r="DO72" s="548">
        <f t="shared" si="21"/>
        <v>0</v>
      </c>
      <c r="DP72" s="773">
        <f t="shared" si="22"/>
        <v>0</v>
      </c>
      <c r="DQ72" s="773">
        <f t="shared" si="23"/>
        <v>0</v>
      </c>
      <c r="DR72" s="773">
        <f t="shared" si="24"/>
        <v>0</v>
      </c>
      <c r="DS72" s="773">
        <f t="shared" si="25"/>
        <v>0</v>
      </c>
      <c r="DT72" s="773">
        <f t="shared" si="26"/>
        <v>0</v>
      </c>
      <c r="DU72" s="526">
        <f t="shared" si="117"/>
        <v>0</v>
      </c>
      <c r="DV72" s="1145">
        <f t="shared" si="27"/>
        <v>0</v>
      </c>
      <c r="DW72" s="1146">
        <f t="shared" si="28"/>
        <v>0</v>
      </c>
      <c r="DX72" s="1146">
        <f t="shared" si="29"/>
        <v>0</v>
      </c>
      <c r="DY72" s="1146">
        <f t="shared" si="30"/>
        <v>0</v>
      </c>
      <c r="DZ72" s="1146">
        <f t="shared" si="31"/>
        <v>0</v>
      </c>
      <c r="EA72" s="1146">
        <f t="shared" si="32"/>
        <v>0</v>
      </c>
      <c r="EB72" s="539">
        <f t="shared" si="118"/>
        <v>0</v>
      </c>
      <c r="EC72" s="540">
        <f t="shared" si="119"/>
        <v>0</v>
      </c>
      <c r="ES72" s="1258">
        <f t="shared" si="33"/>
        <v>0</v>
      </c>
      <c r="ET72" s="775">
        <f t="shared" si="34"/>
        <v>0</v>
      </c>
      <c r="EU72" s="548">
        <f t="shared" si="35"/>
        <v>0</v>
      </c>
      <c r="EV72" s="773">
        <f t="shared" si="36"/>
        <v>0</v>
      </c>
      <c r="EW72" s="773">
        <f t="shared" si="37"/>
        <v>0</v>
      </c>
      <c r="EX72" s="773">
        <f t="shared" si="38"/>
        <v>0</v>
      </c>
      <c r="EY72" s="773">
        <f t="shared" si="39"/>
        <v>0</v>
      </c>
      <c r="EZ72" s="773">
        <f t="shared" si="40"/>
        <v>0</v>
      </c>
      <c r="FA72" s="626">
        <f t="shared" si="120"/>
        <v>0</v>
      </c>
      <c r="FB72" s="1145">
        <f t="shared" si="41"/>
        <v>0</v>
      </c>
      <c r="FC72" s="1146">
        <f t="shared" si="42"/>
        <v>0</v>
      </c>
      <c r="FD72" s="1146">
        <f t="shared" si="43"/>
        <v>0</v>
      </c>
      <c r="FE72" s="1146">
        <f t="shared" si="44"/>
        <v>0</v>
      </c>
      <c r="FF72" s="1146">
        <f t="shared" si="45"/>
        <v>0</v>
      </c>
      <c r="FG72" s="1146">
        <f t="shared" si="46"/>
        <v>0</v>
      </c>
      <c r="FH72" s="1256">
        <f t="shared" si="121"/>
        <v>0</v>
      </c>
      <c r="FI72" s="1157">
        <f t="shared" si="122"/>
        <v>0</v>
      </c>
      <c r="FY72" s="1258">
        <f t="shared" si="47"/>
        <v>0</v>
      </c>
      <c r="FZ72" s="775">
        <f t="shared" si="48"/>
        <v>0</v>
      </c>
      <c r="GA72" s="548">
        <f t="shared" si="49"/>
        <v>0</v>
      </c>
      <c r="GB72" s="773">
        <f t="shared" si="50"/>
        <v>0</v>
      </c>
      <c r="GC72" s="773">
        <f t="shared" si="51"/>
        <v>0</v>
      </c>
      <c r="GD72" s="773">
        <f t="shared" si="52"/>
        <v>0</v>
      </c>
      <c r="GE72" s="773">
        <f t="shared" si="53"/>
        <v>0</v>
      </c>
      <c r="GF72" s="773">
        <f t="shared" si="54"/>
        <v>0</v>
      </c>
      <c r="GG72" s="626">
        <f t="shared" si="123"/>
        <v>0</v>
      </c>
      <c r="GH72" s="1145">
        <f t="shared" si="55"/>
        <v>0</v>
      </c>
      <c r="GI72" s="1146">
        <f t="shared" si="56"/>
        <v>0</v>
      </c>
      <c r="GJ72" s="1146">
        <f t="shared" si="57"/>
        <v>0</v>
      </c>
      <c r="GK72" s="1146">
        <f t="shared" si="58"/>
        <v>0</v>
      </c>
      <c r="GL72" s="1146">
        <f t="shared" si="59"/>
        <v>0</v>
      </c>
      <c r="GM72" s="1146">
        <f t="shared" si="60"/>
        <v>0</v>
      </c>
      <c r="GN72" s="1256">
        <f t="shared" si="124"/>
        <v>0</v>
      </c>
      <c r="GO72" s="1157">
        <f t="shared" si="125"/>
        <v>0</v>
      </c>
      <c r="HE72" s="1675">
        <f t="shared" si="61"/>
        <v>0</v>
      </c>
      <c r="HF72" s="775">
        <f t="shared" si="62"/>
        <v>0</v>
      </c>
      <c r="HG72" s="548">
        <f t="shared" si="63"/>
        <v>0</v>
      </c>
      <c r="HH72" s="773">
        <f t="shared" si="64"/>
        <v>0</v>
      </c>
      <c r="HI72" s="773">
        <f t="shared" si="65"/>
        <v>0</v>
      </c>
      <c r="HJ72" s="773">
        <f t="shared" si="66"/>
        <v>0</v>
      </c>
      <c r="HK72" s="773">
        <f t="shared" si="67"/>
        <v>0</v>
      </c>
      <c r="HL72" s="773">
        <f t="shared" si="68"/>
        <v>0</v>
      </c>
      <c r="HM72" s="626">
        <f t="shared" si="126"/>
        <v>0</v>
      </c>
      <c r="HN72" s="1145">
        <f t="shared" si="69"/>
        <v>0</v>
      </c>
      <c r="HO72" s="1146">
        <f t="shared" si="70"/>
        <v>0</v>
      </c>
      <c r="HP72" s="1146">
        <f t="shared" si="71"/>
        <v>0</v>
      </c>
      <c r="HQ72" s="1146">
        <f t="shared" si="72"/>
        <v>0</v>
      </c>
      <c r="HR72" s="1146">
        <f t="shared" si="73"/>
        <v>0</v>
      </c>
      <c r="HS72" s="1146">
        <f t="shared" si="74"/>
        <v>0</v>
      </c>
      <c r="HT72" s="1256">
        <f t="shared" si="127"/>
        <v>0</v>
      </c>
      <c r="HU72" s="1157">
        <f t="shared" si="128"/>
        <v>0</v>
      </c>
    </row>
    <row r="73" spans="1:229" ht="13.5" customHeight="1" outlineLevel="1" x14ac:dyDescent="0.2">
      <c r="A73" s="474"/>
      <c r="B73" s="1412"/>
      <c r="C73" s="511">
        <v>64</v>
      </c>
      <c r="D73" s="557" t="s">
        <v>47</v>
      </c>
      <c r="E73" s="1721">
        <v>42</v>
      </c>
      <c r="F73" s="558">
        <v>2053.2399999999998</v>
      </c>
      <c r="G73" s="543">
        <f t="shared" si="129"/>
        <v>48.886666666666663</v>
      </c>
      <c r="H73" s="559">
        <v>0</v>
      </c>
      <c r="I73" s="558">
        <v>0</v>
      </c>
      <c r="J73" s="542">
        <v>0</v>
      </c>
      <c r="K73" s="559">
        <v>0</v>
      </c>
      <c r="L73" s="558">
        <v>0</v>
      </c>
      <c r="M73" s="542">
        <v>0</v>
      </c>
      <c r="N73" s="545">
        <f t="shared" si="130"/>
        <v>2053.2399999999998</v>
      </c>
      <c r="O73" s="518">
        <f>322859.74+1777967.12</f>
        <v>2100826.8600000003</v>
      </c>
      <c r="P73" s="485">
        <v>11385111.470000001</v>
      </c>
      <c r="Q73" s="518">
        <v>0</v>
      </c>
      <c r="R73" s="519">
        <f t="shared" si="131"/>
        <v>13485938.330000002</v>
      </c>
      <c r="S73" s="546">
        <f t="shared" si="75"/>
        <v>13485938.330000002</v>
      </c>
      <c r="T73" s="521">
        <v>3031948.98</v>
      </c>
      <c r="U73" s="547">
        <v>0</v>
      </c>
      <c r="V73" s="547">
        <v>0</v>
      </c>
      <c r="W73" s="548">
        <v>0</v>
      </c>
      <c r="X73" s="549">
        <v>0</v>
      </c>
      <c r="Y73" s="549">
        <v>0</v>
      </c>
      <c r="Z73" s="549">
        <v>0</v>
      </c>
      <c r="AA73" s="525">
        <f t="shared" si="76"/>
        <v>0</v>
      </c>
      <c r="AB73" s="524">
        <f t="shared" si="77"/>
        <v>0</v>
      </c>
      <c r="AC73" s="526">
        <f t="shared" si="78"/>
        <v>0</v>
      </c>
      <c r="AD73" s="547">
        <v>0</v>
      </c>
      <c r="AE73" s="547">
        <v>0</v>
      </c>
      <c r="AF73" s="547">
        <v>0</v>
      </c>
      <c r="AG73" s="547">
        <v>0</v>
      </c>
      <c r="AH73" s="363">
        <f t="shared" si="79"/>
        <v>0</v>
      </c>
      <c r="AI73" s="547">
        <f t="shared" si="80"/>
        <v>0</v>
      </c>
      <c r="AJ73" s="550">
        <f t="shared" si="81"/>
        <v>0</v>
      </c>
      <c r="AK73" s="551">
        <f t="shared" si="82"/>
        <v>0</v>
      </c>
      <c r="AL73" s="529"/>
      <c r="AM73" s="502"/>
      <c r="AN73" s="530"/>
      <c r="AO73" s="498"/>
      <c r="AP73" s="499"/>
      <c r="AQ73" s="499"/>
      <c r="AR73" s="499"/>
      <c r="AS73" s="531">
        <f t="shared" si="3"/>
        <v>0</v>
      </c>
      <c r="AT73" s="532">
        <f t="shared" si="4"/>
        <v>0</v>
      </c>
      <c r="AU73" s="529">
        <v>0</v>
      </c>
      <c r="AV73" s="533">
        <v>0</v>
      </c>
      <c r="AW73" s="533">
        <v>0</v>
      </c>
      <c r="AX73" s="533">
        <v>0</v>
      </c>
      <c r="AY73" s="533">
        <f t="shared" si="5"/>
        <v>0</v>
      </c>
      <c r="AZ73" s="534">
        <f t="shared" si="6"/>
        <v>0</v>
      </c>
      <c r="BA73" s="535">
        <f t="shared" si="83"/>
        <v>0</v>
      </c>
      <c r="BB73" s="536">
        <f t="shared" si="84"/>
        <v>0</v>
      </c>
      <c r="BC73" s="523">
        <f t="shared" si="85"/>
        <v>0</v>
      </c>
      <c r="BD73" s="525">
        <f t="shared" si="86"/>
        <v>0</v>
      </c>
      <c r="BE73" s="525">
        <f t="shared" si="87"/>
        <v>0</v>
      </c>
      <c r="BF73" s="525">
        <f t="shared" si="88"/>
        <v>0</v>
      </c>
      <c r="BG73" s="525">
        <f t="shared" si="89"/>
        <v>0</v>
      </c>
      <c r="BH73" s="525">
        <f t="shared" si="90"/>
        <v>0</v>
      </c>
      <c r="BI73" s="526">
        <f t="shared" si="91"/>
        <v>0</v>
      </c>
      <c r="BJ73" s="537">
        <f t="shared" si="92"/>
        <v>0</v>
      </c>
      <c r="BK73" s="538">
        <f t="shared" si="93"/>
        <v>0</v>
      </c>
      <c r="BL73" s="538">
        <f t="shared" si="94"/>
        <v>0</v>
      </c>
      <c r="BM73" s="538">
        <f t="shared" si="95"/>
        <v>0</v>
      </c>
      <c r="BN73" s="538">
        <f t="shared" si="96"/>
        <v>0</v>
      </c>
      <c r="BO73" s="538">
        <f t="shared" si="97"/>
        <v>0</v>
      </c>
      <c r="BP73" s="539">
        <f t="shared" si="98"/>
        <v>0</v>
      </c>
      <c r="BQ73" s="540">
        <f t="shared" si="99"/>
        <v>0</v>
      </c>
      <c r="BR73" s="529"/>
      <c r="BS73" s="502"/>
      <c r="BT73" s="530"/>
      <c r="BU73" s="498"/>
      <c r="BV73" s="499"/>
      <c r="BW73" s="499"/>
      <c r="BX73" s="499"/>
      <c r="BY73" s="531">
        <f t="shared" si="9"/>
        <v>0</v>
      </c>
      <c r="BZ73" s="532">
        <f t="shared" si="10"/>
        <v>0</v>
      </c>
      <c r="CA73" s="529"/>
      <c r="CB73" s="533"/>
      <c r="CC73" s="533"/>
      <c r="CD73" s="533"/>
      <c r="CE73" s="533">
        <f t="shared" si="11"/>
        <v>0</v>
      </c>
      <c r="CF73" s="534">
        <f t="shared" si="12"/>
        <v>0</v>
      </c>
      <c r="CG73" s="774">
        <f t="shared" si="100"/>
        <v>0</v>
      </c>
      <c r="CH73" s="775">
        <f t="shared" si="101"/>
        <v>0</v>
      </c>
      <c r="CI73" s="548">
        <f t="shared" si="102"/>
        <v>0</v>
      </c>
      <c r="CJ73" s="773">
        <f t="shared" si="103"/>
        <v>0</v>
      </c>
      <c r="CK73" s="773">
        <f t="shared" si="104"/>
        <v>0</v>
      </c>
      <c r="CL73" s="773">
        <f t="shared" si="105"/>
        <v>0</v>
      </c>
      <c r="CM73" s="773">
        <f t="shared" si="106"/>
        <v>0</v>
      </c>
      <c r="CN73" s="773">
        <f t="shared" si="107"/>
        <v>0</v>
      </c>
      <c r="CO73" s="626">
        <f t="shared" si="108"/>
        <v>0</v>
      </c>
      <c r="CP73" s="1145">
        <f t="shared" si="109"/>
        <v>0</v>
      </c>
      <c r="CQ73" s="1146">
        <f t="shared" si="110"/>
        <v>0</v>
      </c>
      <c r="CR73" s="1146">
        <f t="shared" si="111"/>
        <v>0</v>
      </c>
      <c r="CS73" s="1146">
        <f t="shared" si="112"/>
        <v>0</v>
      </c>
      <c r="CT73" s="1146">
        <f t="shared" si="113"/>
        <v>0</v>
      </c>
      <c r="CU73" s="1146">
        <f t="shared" si="114"/>
        <v>0</v>
      </c>
      <c r="CV73" s="1256">
        <f t="shared" si="115"/>
        <v>0</v>
      </c>
      <c r="CW73" s="1157">
        <f t="shared" si="116"/>
        <v>0</v>
      </c>
      <c r="CX73" s="529"/>
      <c r="CY73" s="502"/>
      <c r="CZ73" s="530"/>
      <c r="DA73" s="498"/>
      <c r="DB73" s="499"/>
      <c r="DC73" s="499"/>
      <c r="DD73" s="499"/>
      <c r="DE73" s="531">
        <f t="shared" si="15"/>
        <v>0</v>
      </c>
      <c r="DF73" s="532">
        <f t="shared" si="16"/>
        <v>0</v>
      </c>
      <c r="DG73" s="529"/>
      <c r="DH73" s="533"/>
      <c r="DI73" s="533"/>
      <c r="DJ73" s="533"/>
      <c r="DK73" s="533">
        <f t="shared" si="17"/>
        <v>0</v>
      </c>
      <c r="DL73" s="534">
        <f t="shared" si="18"/>
        <v>0</v>
      </c>
      <c r="DM73" s="1258">
        <f t="shared" si="19"/>
        <v>0</v>
      </c>
      <c r="DN73" s="775">
        <f t="shared" si="20"/>
        <v>0</v>
      </c>
      <c r="DO73" s="548">
        <f t="shared" si="21"/>
        <v>0</v>
      </c>
      <c r="DP73" s="773">
        <f t="shared" si="22"/>
        <v>0</v>
      </c>
      <c r="DQ73" s="773">
        <f t="shared" si="23"/>
        <v>0</v>
      </c>
      <c r="DR73" s="773">
        <f t="shared" si="24"/>
        <v>0</v>
      </c>
      <c r="DS73" s="773">
        <f t="shared" si="25"/>
        <v>0</v>
      </c>
      <c r="DT73" s="773">
        <f t="shared" si="26"/>
        <v>0</v>
      </c>
      <c r="DU73" s="526">
        <f t="shared" si="117"/>
        <v>0</v>
      </c>
      <c r="DV73" s="1145">
        <f t="shared" si="27"/>
        <v>0</v>
      </c>
      <c r="DW73" s="1146">
        <f t="shared" si="28"/>
        <v>0</v>
      </c>
      <c r="DX73" s="1146">
        <f t="shared" si="29"/>
        <v>0</v>
      </c>
      <c r="DY73" s="1146">
        <f t="shared" si="30"/>
        <v>0</v>
      </c>
      <c r="DZ73" s="1146">
        <f t="shared" si="31"/>
        <v>0</v>
      </c>
      <c r="EA73" s="1146">
        <f t="shared" si="32"/>
        <v>0</v>
      </c>
      <c r="EB73" s="539">
        <f t="shared" si="118"/>
        <v>0</v>
      </c>
      <c r="EC73" s="540">
        <f t="shared" si="119"/>
        <v>0</v>
      </c>
      <c r="ES73" s="1258">
        <f t="shared" si="33"/>
        <v>0</v>
      </c>
      <c r="ET73" s="775">
        <f t="shared" si="34"/>
        <v>0</v>
      </c>
      <c r="EU73" s="548">
        <f t="shared" si="35"/>
        <v>0</v>
      </c>
      <c r="EV73" s="773">
        <f t="shared" si="36"/>
        <v>0</v>
      </c>
      <c r="EW73" s="773">
        <f t="shared" si="37"/>
        <v>0</v>
      </c>
      <c r="EX73" s="773">
        <f t="shared" si="38"/>
        <v>0</v>
      </c>
      <c r="EY73" s="773">
        <f t="shared" si="39"/>
        <v>0</v>
      </c>
      <c r="EZ73" s="773">
        <f t="shared" si="40"/>
        <v>0</v>
      </c>
      <c r="FA73" s="626">
        <f t="shared" si="120"/>
        <v>0</v>
      </c>
      <c r="FB73" s="1145">
        <f t="shared" si="41"/>
        <v>0</v>
      </c>
      <c r="FC73" s="1146">
        <f t="shared" si="42"/>
        <v>0</v>
      </c>
      <c r="FD73" s="1146">
        <f t="shared" si="43"/>
        <v>0</v>
      </c>
      <c r="FE73" s="1146">
        <f t="shared" si="44"/>
        <v>0</v>
      </c>
      <c r="FF73" s="1146">
        <f t="shared" si="45"/>
        <v>0</v>
      </c>
      <c r="FG73" s="1146">
        <f t="shared" si="46"/>
        <v>0</v>
      </c>
      <c r="FH73" s="1256">
        <f t="shared" si="121"/>
        <v>0</v>
      </c>
      <c r="FI73" s="1157">
        <f t="shared" si="122"/>
        <v>0</v>
      </c>
      <c r="FY73" s="1258">
        <f t="shared" si="47"/>
        <v>0</v>
      </c>
      <c r="FZ73" s="775">
        <f t="shared" si="48"/>
        <v>0</v>
      </c>
      <c r="GA73" s="548">
        <f t="shared" si="49"/>
        <v>0</v>
      </c>
      <c r="GB73" s="773">
        <f t="shared" si="50"/>
        <v>0</v>
      </c>
      <c r="GC73" s="773">
        <f t="shared" si="51"/>
        <v>0</v>
      </c>
      <c r="GD73" s="773">
        <f t="shared" si="52"/>
        <v>0</v>
      </c>
      <c r="GE73" s="773">
        <f t="shared" si="53"/>
        <v>0</v>
      </c>
      <c r="GF73" s="773">
        <f t="shared" si="54"/>
        <v>0</v>
      </c>
      <c r="GG73" s="626">
        <f t="shared" si="123"/>
        <v>0</v>
      </c>
      <c r="GH73" s="1145">
        <f t="shared" si="55"/>
        <v>0</v>
      </c>
      <c r="GI73" s="1146">
        <f t="shared" si="56"/>
        <v>0</v>
      </c>
      <c r="GJ73" s="1146">
        <f t="shared" si="57"/>
        <v>0</v>
      </c>
      <c r="GK73" s="1146">
        <f t="shared" si="58"/>
        <v>0</v>
      </c>
      <c r="GL73" s="1146">
        <f t="shared" si="59"/>
        <v>0</v>
      </c>
      <c r="GM73" s="1146">
        <f t="shared" si="60"/>
        <v>0</v>
      </c>
      <c r="GN73" s="1256">
        <f t="shared" si="124"/>
        <v>0</v>
      </c>
      <c r="GO73" s="1157">
        <f t="shared" si="125"/>
        <v>0</v>
      </c>
      <c r="HE73" s="1675">
        <f t="shared" si="61"/>
        <v>0</v>
      </c>
      <c r="HF73" s="775">
        <f t="shared" si="62"/>
        <v>0</v>
      </c>
      <c r="HG73" s="548">
        <f t="shared" si="63"/>
        <v>0</v>
      </c>
      <c r="HH73" s="773">
        <f t="shared" si="64"/>
        <v>0</v>
      </c>
      <c r="HI73" s="773">
        <f t="shared" si="65"/>
        <v>0</v>
      </c>
      <c r="HJ73" s="773">
        <f t="shared" si="66"/>
        <v>0</v>
      </c>
      <c r="HK73" s="773">
        <f t="shared" si="67"/>
        <v>0</v>
      </c>
      <c r="HL73" s="773">
        <f t="shared" si="68"/>
        <v>0</v>
      </c>
      <c r="HM73" s="626">
        <f t="shared" si="126"/>
        <v>0</v>
      </c>
      <c r="HN73" s="1145">
        <f t="shared" si="69"/>
        <v>0</v>
      </c>
      <c r="HO73" s="1146">
        <f t="shared" si="70"/>
        <v>0</v>
      </c>
      <c r="HP73" s="1146">
        <f t="shared" si="71"/>
        <v>0</v>
      </c>
      <c r="HQ73" s="1146">
        <f t="shared" si="72"/>
        <v>0</v>
      </c>
      <c r="HR73" s="1146">
        <f t="shared" si="73"/>
        <v>0</v>
      </c>
      <c r="HS73" s="1146">
        <f t="shared" si="74"/>
        <v>0</v>
      </c>
      <c r="HT73" s="1256">
        <f t="shared" si="127"/>
        <v>0</v>
      </c>
      <c r="HU73" s="1157">
        <f t="shared" si="128"/>
        <v>0</v>
      </c>
    </row>
    <row r="74" spans="1:229" ht="13.5" customHeight="1" outlineLevel="1" x14ac:dyDescent="0.2">
      <c r="A74" s="474"/>
      <c r="B74" s="1412"/>
      <c r="C74" s="511">
        <v>65</v>
      </c>
      <c r="D74" s="561" t="s">
        <v>84</v>
      </c>
      <c r="E74" s="552">
        <f>384-2</f>
        <v>382</v>
      </c>
      <c r="F74" s="515">
        <f>29979.01-67.8-92.55</f>
        <v>29818.66</v>
      </c>
      <c r="G74" s="543">
        <f t="shared" ref="G74:G105" si="132">F74/E74</f>
        <v>78.059319371727753</v>
      </c>
      <c r="H74" s="553">
        <f>571-257</f>
        <v>314</v>
      </c>
      <c r="I74" s="178">
        <f>4608.77-2074.35</f>
        <v>2534.4200000000005</v>
      </c>
      <c r="J74" s="542">
        <f>I74/H74</f>
        <v>8.0714012738853516</v>
      </c>
      <c r="K74" s="553">
        <v>0</v>
      </c>
      <c r="L74" s="178">
        <v>0</v>
      </c>
      <c r="M74" s="542">
        <v>0</v>
      </c>
      <c r="N74" s="545">
        <f t="shared" ref="N74:N105" si="133">F74+I74+L74</f>
        <v>32353.08</v>
      </c>
      <c r="O74" s="518">
        <f>18040566.84-35361.23-48269.64-1081881.43</f>
        <v>16875054.539999999</v>
      </c>
      <c r="P74" s="485">
        <f>184291855.56-neprodano!EC17-neprodano!EC9</f>
        <v>171380541.04852915</v>
      </c>
      <c r="Q74" s="518">
        <f>34928415.214-neprodano!ED9-neprodano!ED17</f>
        <v>32671640.776655488</v>
      </c>
      <c r="R74" s="519">
        <f t="shared" ref="R74:R105" si="134">SUM(O74:Q74)</f>
        <v>220927236.36518463</v>
      </c>
      <c r="S74" s="546">
        <f t="shared" si="75"/>
        <v>220927236.36518463</v>
      </c>
      <c r="T74" s="521">
        <f>65461127-254.63*7.432779*(67.8+92.55+2074.35)</f>
        <v>61231714.747574084</v>
      </c>
      <c r="U74" s="547">
        <v>0</v>
      </c>
      <c r="V74" s="547">
        <v>0</v>
      </c>
      <c r="W74" s="548">
        <v>0</v>
      </c>
      <c r="X74" s="549">
        <v>0</v>
      </c>
      <c r="Y74" s="549">
        <v>0</v>
      </c>
      <c r="Z74" s="549">
        <v>0</v>
      </c>
      <c r="AA74" s="525">
        <f t="shared" si="76"/>
        <v>0</v>
      </c>
      <c r="AB74" s="524">
        <f t="shared" si="77"/>
        <v>0</v>
      </c>
      <c r="AC74" s="526">
        <f t="shared" si="78"/>
        <v>0</v>
      </c>
      <c r="AD74" s="547">
        <v>0</v>
      </c>
      <c r="AE74" s="547">
        <v>0</v>
      </c>
      <c r="AF74" s="547">
        <v>0</v>
      </c>
      <c r="AG74" s="547">
        <v>0</v>
      </c>
      <c r="AH74" s="363">
        <f t="shared" si="79"/>
        <v>0</v>
      </c>
      <c r="AI74" s="547">
        <f t="shared" si="80"/>
        <v>0</v>
      </c>
      <c r="AJ74" s="550">
        <f t="shared" si="81"/>
        <v>0</v>
      </c>
      <c r="AK74" s="551">
        <f t="shared" si="82"/>
        <v>0</v>
      </c>
      <c r="AL74" s="529"/>
      <c r="AM74" s="502"/>
      <c r="AN74" s="530"/>
      <c r="AO74" s="498"/>
      <c r="AP74" s="499"/>
      <c r="AQ74" s="499"/>
      <c r="AR74" s="499"/>
      <c r="AS74" s="531">
        <f t="shared" ref="AS74:AS122" si="135">AO74+AQ74</f>
        <v>0</v>
      </c>
      <c r="AT74" s="532">
        <f t="shared" ref="AT74:AT122" si="136">AP74+AR74</f>
        <v>0</v>
      </c>
      <c r="AU74" s="529">
        <v>0</v>
      </c>
      <c r="AV74" s="533">
        <v>0</v>
      </c>
      <c r="AW74" s="533">
        <v>0</v>
      </c>
      <c r="AX74" s="533">
        <v>0</v>
      </c>
      <c r="AY74" s="533">
        <f t="shared" ref="AY74:AY122" si="137">AU74+AW74</f>
        <v>0</v>
      </c>
      <c r="AZ74" s="534">
        <f t="shared" ref="AZ74:AZ122" si="138">AV74+AX74</f>
        <v>0</v>
      </c>
      <c r="BA74" s="535">
        <f t="shared" si="83"/>
        <v>0</v>
      </c>
      <c r="BB74" s="536">
        <f t="shared" si="84"/>
        <v>0</v>
      </c>
      <c r="BC74" s="523">
        <f t="shared" si="85"/>
        <v>0</v>
      </c>
      <c r="BD74" s="525">
        <f t="shared" si="86"/>
        <v>0</v>
      </c>
      <c r="BE74" s="525">
        <f t="shared" si="87"/>
        <v>0</v>
      </c>
      <c r="BF74" s="525">
        <f t="shared" si="88"/>
        <v>0</v>
      </c>
      <c r="BG74" s="525">
        <f t="shared" si="89"/>
        <v>0</v>
      </c>
      <c r="BH74" s="525">
        <f t="shared" si="90"/>
        <v>0</v>
      </c>
      <c r="BI74" s="526">
        <f t="shared" si="91"/>
        <v>0</v>
      </c>
      <c r="BJ74" s="537">
        <f t="shared" si="92"/>
        <v>0</v>
      </c>
      <c r="BK74" s="538">
        <f t="shared" si="93"/>
        <v>0</v>
      </c>
      <c r="BL74" s="538">
        <f t="shared" si="94"/>
        <v>0</v>
      </c>
      <c r="BM74" s="538">
        <f t="shared" si="95"/>
        <v>0</v>
      </c>
      <c r="BN74" s="538">
        <f t="shared" si="96"/>
        <v>0</v>
      </c>
      <c r="BO74" s="538">
        <f t="shared" si="97"/>
        <v>0</v>
      </c>
      <c r="BP74" s="539">
        <f t="shared" si="98"/>
        <v>0</v>
      </c>
      <c r="BQ74" s="540">
        <f t="shared" si="99"/>
        <v>0</v>
      </c>
      <c r="BR74" s="529"/>
      <c r="BS74" s="502"/>
      <c r="BT74" s="530"/>
      <c r="BU74" s="498"/>
      <c r="BV74" s="499"/>
      <c r="BW74" s="499"/>
      <c r="BX74" s="499"/>
      <c r="BY74" s="531">
        <f t="shared" ref="BY74:BY122" si="139">BU74+BW74</f>
        <v>0</v>
      </c>
      <c r="BZ74" s="532">
        <f t="shared" ref="BZ74:BZ122" si="140">BV74+BX74</f>
        <v>0</v>
      </c>
      <c r="CA74" s="529"/>
      <c r="CB74" s="533"/>
      <c r="CC74" s="533"/>
      <c r="CD74" s="533"/>
      <c r="CE74" s="533">
        <f t="shared" ref="CE74:CE122" si="141">CA74+CC74</f>
        <v>0</v>
      </c>
      <c r="CF74" s="534">
        <f t="shared" ref="CF74:CF122" si="142">CB74+CD74</f>
        <v>0</v>
      </c>
      <c r="CG74" s="774">
        <f t="shared" si="100"/>
        <v>0</v>
      </c>
      <c r="CH74" s="775">
        <f t="shared" si="101"/>
        <v>0</v>
      </c>
      <c r="CI74" s="548">
        <f t="shared" si="102"/>
        <v>0</v>
      </c>
      <c r="CJ74" s="773">
        <f t="shared" si="103"/>
        <v>0</v>
      </c>
      <c r="CK74" s="773">
        <f t="shared" si="104"/>
        <v>0</v>
      </c>
      <c r="CL74" s="773">
        <f t="shared" si="105"/>
        <v>0</v>
      </c>
      <c r="CM74" s="773">
        <f t="shared" si="106"/>
        <v>0</v>
      </c>
      <c r="CN74" s="773">
        <f t="shared" si="107"/>
        <v>0</v>
      </c>
      <c r="CO74" s="626">
        <f t="shared" si="108"/>
        <v>0</v>
      </c>
      <c r="CP74" s="1145">
        <f t="shared" si="109"/>
        <v>0</v>
      </c>
      <c r="CQ74" s="1146">
        <f t="shared" si="110"/>
        <v>0</v>
      </c>
      <c r="CR74" s="1146">
        <f t="shared" si="111"/>
        <v>0</v>
      </c>
      <c r="CS74" s="1146">
        <f t="shared" si="112"/>
        <v>0</v>
      </c>
      <c r="CT74" s="1146">
        <f t="shared" si="113"/>
        <v>0</v>
      </c>
      <c r="CU74" s="1146">
        <f t="shared" si="114"/>
        <v>0</v>
      </c>
      <c r="CV74" s="1256">
        <f t="shared" si="115"/>
        <v>0</v>
      </c>
      <c r="CW74" s="1157">
        <f t="shared" si="116"/>
        <v>0</v>
      </c>
      <c r="CX74" s="529"/>
      <c r="CY74" s="502"/>
      <c r="CZ74" s="530"/>
      <c r="DA74" s="498"/>
      <c r="DB74" s="499"/>
      <c r="DC74" s="499"/>
      <c r="DD74" s="499"/>
      <c r="DE74" s="531">
        <f t="shared" ref="DE74:DE122" si="143">DA74+DC74</f>
        <v>0</v>
      </c>
      <c r="DF74" s="532">
        <f t="shared" ref="DF74:DF122" si="144">DB74+DD74</f>
        <v>0</v>
      </c>
      <c r="DG74" s="529"/>
      <c r="DH74" s="533"/>
      <c r="DI74" s="533"/>
      <c r="DJ74" s="533"/>
      <c r="DK74" s="533">
        <f t="shared" ref="DK74:DK122" si="145">DG74+DI74</f>
        <v>0</v>
      </c>
      <c r="DL74" s="534">
        <f t="shared" ref="DL74:DL122" si="146">DH74+DJ74</f>
        <v>0</v>
      </c>
      <c r="DM74" s="1258">
        <f t="shared" ref="DM74:DM122" si="147">CG74+CY74</f>
        <v>0</v>
      </c>
      <c r="DN74" s="775">
        <f t="shared" ref="DN74:DN122" si="148">CH74+CZ74</f>
        <v>0</v>
      </c>
      <c r="DO74" s="548">
        <f t="shared" ref="DO74:DO122" si="149">CI74+DA74</f>
        <v>0</v>
      </c>
      <c r="DP74" s="773">
        <f t="shared" ref="DP74:DP122" si="150">CJ74+DB74</f>
        <v>0</v>
      </c>
      <c r="DQ74" s="773">
        <f t="shared" ref="DQ74:DQ122" si="151">CK74+DC74</f>
        <v>0</v>
      </c>
      <c r="DR74" s="773">
        <f t="shared" ref="DR74:DR122" si="152">CL74+DD74</f>
        <v>0</v>
      </c>
      <c r="DS74" s="773">
        <f t="shared" ref="DS74:DS122" si="153">CM74+DE74</f>
        <v>0</v>
      </c>
      <c r="DT74" s="773">
        <f t="shared" ref="DT74:DT122" si="154">CN74+DF74</f>
        <v>0</v>
      </c>
      <c r="DU74" s="526">
        <f t="shared" si="117"/>
        <v>0</v>
      </c>
      <c r="DV74" s="1145">
        <f t="shared" ref="DV74:DV122" si="155">CP74+DG74</f>
        <v>0</v>
      </c>
      <c r="DW74" s="1146">
        <f t="shared" ref="DW74:DW122" si="156">CQ74+DH74</f>
        <v>0</v>
      </c>
      <c r="DX74" s="1146">
        <f t="shared" ref="DX74:DX122" si="157">CR74+DI74</f>
        <v>0</v>
      </c>
      <c r="DY74" s="1146">
        <f t="shared" ref="DY74:DY122" si="158">CS74+DJ74</f>
        <v>0</v>
      </c>
      <c r="DZ74" s="1146">
        <f t="shared" ref="DZ74:DZ122" si="159">CT74+DK74</f>
        <v>0</v>
      </c>
      <c r="EA74" s="1146">
        <f t="shared" ref="EA74:EA122" si="160">CU74+DL74</f>
        <v>0</v>
      </c>
      <c r="EB74" s="539">
        <f t="shared" si="118"/>
        <v>0</v>
      </c>
      <c r="EC74" s="540">
        <f t="shared" si="119"/>
        <v>0</v>
      </c>
      <c r="ES74" s="1258">
        <f t="shared" ref="ES74:ES122" si="161">DM74+EE74</f>
        <v>0</v>
      </c>
      <c r="ET74" s="775">
        <f t="shared" ref="ET74:ET122" si="162">DN74+EF74</f>
        <v>0</v>
      </c>
      <c r="EU74" s="548">
        <f t="shared" ref="EU74:EU122" si="163">DO74+EG74</f>
        <v>0</v>
      </c>
      <c r="EV74" s="773">
        <f t="shared" ref="EV74:EV122" si="164">DP74+EH74</f>
        <v>0</v>
      </c>
      <c r="EW74" s="773">
        <f t="shared" ref="EW74:EW122" si="165">DQ74+EI74</f>
        <v>0</v>
      </c>
      <c r="EX74" s="773">
        <f t="shared" ref="EX74:EX122" si="166">DR74+EJ74</f>
        <v>0</v>
      </c>
      <c r="EY74" s="773">
        <f t="shared" ref="EY74:EY122" si="167">DS74+EK74</f>
        <v>0</v>
      </c>
      <c r="EZ74" s="773">
        <f t="shared" ref="EZ74:EZ122" si="168">DT74+EL74</f>
        <v>0</v>
      </c>
      <c r="FA74" s="626">
        <f t="shared" si="120"/>
        <v>0</v>
      </c>
      <c r="FB74" s="1145">
        <f t="shared" ref="FB74:FB122" si="169">DV74+EM74</f>
        <v>0</v>
      </c>
      <c r="FC74" s="1146">
        <f t="shared" ref="FC74:FC127" si="170">DW74+EN74</f>
        <v>0</v>
      </c>
      <c r="FD74" s="1146">
        <f t="shared" ref="FD74:FD127" si="171">DX74+EO74</f>
        <v>0</v>
      </c>
      <c r="FE74" s="1146">
        <f t="shared" ref="FE74:FE127" si="172">DY74+EP74</f>
        <v>0</v>
      </c>
      <c r="FF74" s="1146">
        <f t="shared" ref="FF74:FF127" si="173">DZ74+EQ74</f>
        <v>0</v>
      </c>
      <c r="FG74" s="1146">
        <f t="shared" ref="FG74:FG127" si="174">EA74+ER74</f>
        <v>0</v>
      </c>
      <c r="FH74" s="1256">
        <f t="shared" si="121"/>
        <v>0</v>
      </c>
      <c r="FI74" s="1157">
        <f t="shared" si="122"/>
        <v>0</v>
      </c>
      <c r="FY74" s="1258">
        <f t="shared" ref="FY74:FY122" si="175">ES74+FK74</f>
        <v>0</v>
      </c>
      <c r="FZ74" s="775">
        <f t="shared" ref="FZ74:FZ122" si="176">ET74+FL74</f>
        <v>0</v>
      </c>
      <c r="GA74" s="548">
        <f t="shared" ref="GA74:GA122" si="177">EU74+FM74</f>
        <v>0</v>
      </c>
      <c r="GB74" s="773">
        <f t="shared" ref="GB74:GB122" si="178">EV74+FN74</f>
        <v>0</v>
      </c>
      <c r="GC74" s="773">
        <f t="shared" ref="GC74:GC122" si="179">EW74+FO74</f>
        <v>0</v>
      </c>
      <c r="GD74" s="773">
        <f t="shared" ref="GD74:GD122" si="180">EX74+FP74</f>
        <v>0</v>
      </c>
      <c r="GE74" s="773">
        <f t="shared" ref="GE74:GE122" si="181">EY74+FQ74</f>
        <v>0</v>
      </c>
      <c r="GF74" s="773">
        <f t="shared" ref="GF74:GF122" si="182">EZ74+FR74</f>
        <v>0</v>
      </c>
      <c r="GG74" s="626">
        <f t="shared" si="123"/>
        <v>0</v>
      </c>
      <c r="GH74" s="1145">
        <f t="shared" ref="GH74:GH122" si="183">FB74+FS74</f>
        <v>0</v>
      </c>
      <c r="GI74" s="1146">
        <f t="shared" ref="GI74:GI127" si="184">FC74+FT74</f>
        <v>0</v>
      </c>
      <c r="GJ74" s="1146">
        <f t="shared" ref="GJ74:GJ127" si="185">FD74+FU74</f>
        <v>0</v>
      </c>
      <c r="GK74" s="1146">
        <f t="shared" ref="GK74:GK127" si="186">FE74+FV74</f>
        <v>0</v>
      </c>
      <c r="GL74" s="1146">
        <f t="shared" ref="GL74:GL127" si="187">FF74+FW74</f>
        <v>0</v>
      </c>
      <c r="GM74" s="1146">
        <f t="shared" ref="GM74:GM127" si="188">FG74+FX74</f>
        <v>0</v>
      </c>
      <c r="GN74" s="1256">
        <f t="shared" si="124"/>
        <v>0</v>
      </c>
      <c r="GO74" s="1157">
        <f t="shared" si="125"/>
        <v>0</v>
      </c>
      <c r="HE74" s="1675">
        <f t="shared" ref="HE74:HE122" si="189">FY74+GQ74</f>
        <v>0</v>
      </c>
      <c r="HF74" s="775">
        <f t="shared" ref="HF74:HF122" si="190">FZ74+GR74</f>
        <v>0</v>
      </c>
      <c r="HG74" s="548">
        <f t="shared" ref="HG74:HG122" si="191">GA74+GS74</f>
        <v>0</v>
      </c>
      <c r="HH74" s="773">
        <f t="shared" ref="HH74:HH122" si="192">GB74+GT74</f>
        <v>0</v>
      </c>
      <c r="HI74" s="773">
        <f t="shared" ref="HI74:HI122" si="193">GC74+GU74</f>
        <v>0</v>
      </c>
      <c r="HJ74" s="773">
        <f t="shared" ref="HJ74:HJ122" si="194">GD74+GV74</f>
        <v>0</v>
      </c>
      <c r="HK74" s="773">
        <f t="shared" ref="HK74:HK122" si="195">GE74+GW74</f>
        <v>0</v>
      </c>
      <c r="HL74" s="773">
        <f t="shared" ref="HL74:HL122" si="196">GF74+GX74</f>
        <v>0</v>
      </c>
      <c r="HM74" s="626">
        <f t="shared" si="126"/>
        <v>0</v>
      </c>
      <c r="HN74" s="1145">
        <f t="shared" ref="HN74:HN122" si="197">GH74+GY74</f>
        <v>0</v>
      </c>
      <c r="HO74" s="1146">
        <f t="shared" ref="HO74:HO127" si="198">GI74+GZ74</f>
        <v>0</v>
      </c>
      <c r="HP74" s="1146">
        <f t="shared" ref="HP74:HP127" si="199">GJ74+HA74</f>
        <v>0</v>
      </c>
      <c r="HQ74" s="1146">
        <f t="shared" ref="HQ74:HQ127" si="200">GK74+HB74</f>
        <v>0</v>
      </c>
      <c r="HR74" s="1146">
        <f t="shared" ref="HR74:HR127" si="201">GL74+HC74</f>
        <v>0</v>
      </c>
      <c r="HS74" s="1146">
        <f t="shared" ref="HS74:HS127" si="202">GM74+HD74</f>
        <v>0</v>
      </c>
      <c r="HT74" s="1256">
        <f t="shared" si="127"/>
        <v>0</v>
      </c>
      <c r="HU74" s="1157">
        <f t="shared" si="128"/>
        <v>0</v>
      </c>
    </row>
    <row r="75" spans="1:229" ht="13.5" customHeight="1" outlineLevel="1" x14ac:dyDescent="0.2">
      <c r="A75" s="474"/>
      <c r="B75" s="1412"/>
      <c r="C75" s="511">
        <v>66</v>
      </c>
      <c r="D75" s="557" t="s">
        <v>48</v>
      </c>
      <c r="E75" s="1721">
        <v>55</v>
      </c>
      <c r="F75" s="558">
        <v>3305.66</v>
      </c>
      <c r="G75" s="543">
        <f t="shared" si="132"/>
        <v>60.102909090909087</v>
      </c>
      <c r="H75" s="559">
        <v>0</v>
      </c>
      <c r="I75" s="558">
        <v>0</v>
      </c>
      <c r="J75" s="542">
        <v>0</v>
      </c>
      <c r="K75" s="559">
        <v>1</v>
      </c>
      <c r="L75" s="558">
        <v>110</v>
      </c>
      <c r="M75" s="542">
        <f>L75/K75</f>
        <v>110</v>
      </c>
      <c r="N75" s="545">
        <f t="shared" si="133"/>
        <v>3415.66</v>
      </c>
      <c r="O75" s="518">
        <v>0</v>
      </c>
      <c r="P75" s="485">
        <v>16968542</v>
      </c>
      <c r="Q75" s="518">
        <v>1339635.02</v>
      </c>
      <c r="R75" s="519">
        <f t="shared" si="134"/>
        <v>18308177.02</v>
      </c>
      <c r="S75" s="546">
        <f t="shared" si="75"/>
        <v>18308177.02</v>
      </c>
      <c r="T75" s="521">
        <v>4947390.25</v>
      </c>
      <c r="U75" s="547">
        <v>0</v>
      </c>
      <c r="V75" s="547">
        <v>0</v>
      </c>
      <c r="W75" s="548">
        <v>0</v>
      </c>
      <c r="X75" s="549">
        <v>0</v>
      </c>
      <c r="Y75" s="549">
        <v>0</v>
      </c>
      <c r="Z75" s="549">
        <v>0</v>
      </c>
      <c r="AA75" s="525">
        <f t="shared" si="76"/>
        <v>0</v>
      </c>
      <c r="AB75" s="524">
        <f t="shared" si="77"/>
        <v>0</v>
      </c>
      <c r="AC75" s="526">
        <f t="shared" si="78"/>
        <v>0</v>
      </c>
      <c r="AD75" s="547">
        <v>0</v>
      </c>
      <c r="AE75" s="547">
        <v>0</v>
      </c>
      <c r="AF75" s="547">
        <v>0</v>
      </c>
      <c r="AG75" s="547">
        <v>0</v>
      </c>
      <c r="AH75" s="363">
        <f t="shared" si="79"/>
        <v>0</v>
      </c>
      <c r="AI75" s="547">
        <f t="shared" si="80"/>
        <v>0</v>
      </c>
      <c r="AJ75" s="550">
        <f t="shared" si="81"/>
        <v>0</v>
      </c>
      <c r="AK75" s="551">
        <f t="shared" si="82"/>
        <v>0</v>
      </c>
      <c r="AL75" s="529"/>
      <c r="AM75" s="502"/>
      <c r="AN75" s="530"/>
      <c r="AO75" s="498"/>
      <c r="AP75" s="499"/>
      <c r="AQ75" s="499"/>
      <c r="AR75" s="499"/>
      <c r="AS75" s="531">
        <f t="shared" si="135"/>
        <v>0</v>
      </c>
      <c r="AT75" s="532">
        <f t="shared" si="136"/>
        <v>0</v>
      </c>
      <c r="AU75" s="529">
        <v>0</v>
      </c>
      <c r="AV75" s="533">
        <v>0</v>
      </c>
      <c r="AW75" s="533">
        <v>0</v>
      </c>
      <c r="AX75" s="533">
        <v>0</v>
      </c>
      <c r="AY75" s="533">
        <f t="shared" si="137"/>
        <v>0</v>
      </c>
      <c r="AZ75" s="534">
        <f t="shared" si="138"/>
        <v>0</v>
      </c>
      <c r="BA75" s="535">
        <f t="shared" si="83"/>
        <v>0</v>
      </c>
      <c r="BB75" s="536">
        <f t="shared" si="84"/>
        <v>0</v>
      </c>
      <c r="BC75" s="523">
        <f t="shared" si="85"/>
        <v>0</v>
      </c>
      <c r="BD75" s="525">
        <f t="shared" si="86"/>
        <v>0</v>
      </c>
      <c r="BE75" s="525">
        <f t="shared" si="87"/>
        <v>0</v>
      </c>
      <c r="BF75" s="525">
        <f t="shared" si="88"/>
        <v>0</v>
      </c>
      <c r="BG75" s="525">
        <f t="shared" si="89"/>
        <v>0</v>
      </c>
      <c r="BH75" s="525">
        <f t="shared" si="90"/>
        <v>0</v>
      </c>
      <c r="BI75" s="526">
        <f t="shared" si="91"/>
        <v>0</v>
      </c>
      <c r="BJ75" s="537">
        <f t="shared" si="92"/>
        <v>0</v>
      </c>
      <c r="BK75" s="538">
        <f t="shared" si="93"/>
        <v>0</v>
      </c>
      <c r="BL75" s="538">
        <f t="shared" si="94"/>
        <v>0</v>
      </c>
      <c r="BM75" s="538">
        <f t="shared" si="95"/>
        <v>0</v>
      </c>
      <c r="BN75" s="538">
        <f t="shared" si="96"/>
        <v>0</v>
      </c>
      <c r="BO75" s="538">
        <f t="shared" si="97"/>
        <v>0</v>
      </c>
      <c r="BP75" s="539">
        <f t="shared" si="98"/>
        <v>0</v>
      </c>
      <c r="BQ75" s="540">
        <f t="shared" si="99"/>
        <v>0</v>
      </c>
      <c r="BR75" s="529"/>
      <c r="BS75" s="502"/>
      <c r="BT75" s="530"/>
      <c r="BU75" s="498"/>
      <c r="BV75" s="499"/>
      <c r="BW75" s="499"/>
      <c r="BX75" s="499"/>
      <c r="BY75" s="531">
        <f t="shared" si="139"/>
        <v>0</v>
      </c>
      <c r="BZ75" s="532">
        <f t="shared" si="140"/>
        <v>0</v>
      </c>
      <c r="CA75" s="529"/>
      <c r="CB75" s="533"/>
      <c r="CC75" s="533"/>
      <c r="CD75" s="533"/>
      <c r="CE75" s="533">
        <f t="shared" si="141"/>
        <v>0</v>
      </c>
      <c r="CF75" s="534">
        <f t="shared" si="142"/>
        <v>0</v>
      </c>
      <c r="CG75" s="774">
        <f t="shared" si="100"/>
        <v>0</v>
      </c>
      <c r="CH75" s="775">
        <f t="shared" si="101"/>
        <v>0</v>
      </c>
      <c r="CI75" s="548">
        <f t="shared" si="102"/>
        <v>0</v>
      </c>
      <c r="CJ75" s="773">
        <f t="shared" si="103"/>
        <v>0</v>
      </c>
      <c r="CK75" s="773">
        <f t="shared" si="104"/>
        <v>0</v>
      </c>
      <c r="CL75" s="773">
        <f t="shared" si="105"/>
        <v>0</v>
      </c>
      <c r="CM75" s="773">
        <f t="shared" si="106"/>
        <v>0</v>
      </c>
      <c r="CN75" s="773">
        <f t="shared" si="107"/>
        <v>0</v>
      </c>
      <c r="CO75" s="626">
        <f t="shared" si="108"/>
        <v>0</v>
      </c>
      <c r="CP75" s="1145">
        <f t="shared" si="109"/>
        <v>0</v>
      </c>
      <c r="CQ75" s="1146">
        <f t="shared" si="110"/>
        <v>0</v>
      </c>
      <c r="CR75" s="1146">
        <f t="shared" si="111"/>
        <v>0</v>
      </c>
      <c r="CS75" s="1146">
        <f t="shared" si="112"/>
        <v>0</v>
      </c>
      <c r="CT75" s="1146">
        <f t="shared" si="113"/>
        <v>0</v>
      </c>
      <c r="CU75" s="1146">
        <f t="shared" si="114"/>
        <v>0</v>
      </c>
      <c r="CV75" s="1256">
        <f t="shared" si="115"/>
        <v>0</v>
      </c>
      <c r="CW75" s="1157">
        <f t="shared" si="116"/>
        <v>0</v>
      </c>
      <c r="CX75" s="529"/>
      <c r="CY75" s="502"/>
      <c r="CZ75" s="530"/>
      <c r="DA75" s="498"/>
      <c r="DB75" s="499"/>
      <c r="DC75" s="499"/>
      <c r="DD75" s="499"/>
      <c r="DE75" s="531">
        <f t="shared" si="143"/>
        <v>0</v>
      </c>
      <c r="DF75" s="532">
        <f t="shared" si="144"/>
        <v>0</v>
      </c>
      <c r="DG75" s="529"/>
      <c r="DH75" s="533"/>
      <c r="DI75" s="533"/>
      <c r="DJ75" s="533"/>
      <c r="DK75" s="533">
        <f t="shared" si="145"/>
        <v>0</v>
      </c>
      <c r="DL75" s="534">
        <f t="shared" si="146"/>
        <v>0</v>
      </c>
      <c r="DM75" s="1258">
        <f t="shared" si="147"/>
        <v>0</v>
      </c>
      <c r="DN75" s="775">
        <f t="shared" si="148"/>
        <v>0</v>
      </c>
      <c r="DO75" s="548">
        <f t="shared" si="149"/>
        <v>0</v>
      </c>
      <c r="DP75" s="773">
        <f t="shared" si="150"/>
        <v>0</v>
      </c>
      <c r="DQ75" s="773">
        <f t="shared" si="151"/>
        <v>0</v>
      </c>
      <c r="DR75" s="773">
        <f t="shared" si="152"/>
        <v>0</v>
      </c>
      <c r="DS75" s="773">
        <f t="shared" si="153"/>
        <v>0</v>
      </c>
      <c r="DT75" s="773">
        <f t="shared" si="154"/>
        <v>0</v>
      </c>
      <c r="DU75" s="526">
        <f t="shared" si="117"/>
        <v>0</v>
      </c>
      <c r="DV75" s="1145">
        <f t="shared" si="155"/>
        <v>0</v>
      </c>
      <c r="DW75" s="1146">
        <f t="shared" si="156"/>
        <v>0</v>
      </c>
      <c r="DX75" s="1146">
        <f t="shared" si="157"/>
        <v>0</v>
      </c>
      <c r="DY75" s="1146">
        <f t="shared" si="158"/>
        <v>0</v>
      </c>
      <c r="DZ75" s="1146">
        <f t="shared" si="159"/>
        <v>0</v>
      </c>
      <c r="EA75" s="1146">
        <f t="shared" si="160"/>
        <v>0</v>
      </c>
      <c r="EB75" s="539">
        <f t="shared" si="118"/>
        <v>0</v>
      </c>
      <c r="EC75" s="540">
        <f t="shared" si="119"/>
        <v>0</v>
      </c>
      <c r="ES75" s="1258">
        <f t="shared" si="161"/>
        <v>0</v>
      </c>
      <c r="ET75" s="775">
        <f t="shared" si="162"/>
        <v>0</v>
      </c>
      <c r="EU75" s="548">
        <f t="shared" si="163"/>
        <v>0</v>
      </c>
      <c r="EV75" s="773">
        <f t="shared" si="164"/>
        <v>0</v>
      </c>
      <c r="EW75" s="773">
        <f t="shared" si="165"/>
        <v>0</v>
      </c>
      <c r="EX75" s="773">
        <f t="shared" si="166"/>
        <v>0</v>
      </c>
      <c r="EY75" s="773">
        <f t="shared" si="167"/>
        <v>0</v>
      </c>
      <c r="EZ75" s="773">
        <f t="shared" si="168"/>
        <v>0</v>
      </c>
      <c r="FA75" s="626">
        <f t="shared" si="120"/>
        <v>0</v>
      </c>
      <c r="FB75" s="1145">
        <f t="shared" si="169"/>
        <v>0</v>
      </c>
      <c r="FC75" s="1146">
        <f t="shared" si="170"/>
        <v>0</v>
      </c>
      <c r="FD75" s="1146">
        <f t="shared" si="171"/>
        <v>0</v>
      </c>
      <c r="FE75" s="1146">
        <f t="shared" si="172"/>
        <v>0</v>
      </c>
      <c r="FF75" s="1146">
        <f t="shared" si="173"/>
        <v>0</v>
      </c>
      <c r="FG75" s="1146">
        <f t="shared" si="174"/>
        <v>0</v>
      </c>
      <c r="FH75" s="1256">
        <f t="shared" si="121"/>
        <v>0</v>
      </c>
      <c r="FI75" s="1157">
        <f t="shared" si="122"/>
        <v>0</v>
      </c>
      <c r="FY75" s="1258">
        <f t="shared" si="175"/>
        <v>0</v>
      </c>
      <c r="FZ75" s="775">
        <f t="shared" si="176"/>
        <v>0</v>
      </c>
      <c r="GA75" s="548">
        <f t="shared" si="177"/>
        <v>0</v>
      </c>
      <c r="GB75" s="773">
        <f t="shared" si="178"/>
        <v>0</v>
      </c>
      <c r="GC75" s="773">
        <f t="shared" si="179"/>
        <v>0</v>
      </c>
      <c r="GD75" s="773">
        <f t="shared" si="180"/>
        <v>0</v>
      </c>
      <c r="GE75" s="773">
        <f t="shared" si="181"/>
        <v>0</v>
      </c>
      <c r="GF75" s="773">
        <f t="shared" si="182"/>
        <v>0</v>
      </c>
      <c r="GG75" s="626">
        <f t="shared" si="123"/>
        <v>0</v>
      </c>
      <c r="GH75" s="1145">
        <f t="shared" si="183"/>
        <v>0</v>
      </c>
      <c r="GI75" s="1146">
        <f t="shared" si="184"/>
        <v>0</v>
      </c>
      <c r="GJ75" s="1146">
        <f t="shared" si="185"/>
        <v>0</v>
      </c>
      <c r="GK75" s="1146">
        <f t="shared" si="186"/>
        <v>0</v>
      </c>
      <c r="GL75" s="1146">
        <f t="shared" si="187"/>
        <v>0</v>
      </c>
      <c r="GM75" s="1146">
        <f t="shared" si="188"/>
        <v>0</v>
      </c>
      <c r="GN75" s="1256">
        <f t="shared" si="124"/>
        <v>0</v>
      </c>
      <c r="GO75" s="1157">
        <f t="shared" si="125"/>
        <v>0</v>
      </c>
      <c r="HE75" s="1675">
        <f t="shared" si="189"/>
        <v>0</v>
      </c>
      <c r="HF75" s="775">
        <f t="shared" si="190"/>
        <v>0</v>
      </c>
      <c r="HG75" s="548">
        <f t="shared" si="191"/>
        <v>0</v>
      </c>
      <c r="HH75" s="773">
        <f t="shared" si="192"/>
        <v>0</v>
      </c>
      <c r="HI75" s="773">
        <f t="shared" si="193"/>
        <v>0</v>
      </c>
      <c r="HJ75" s="773">
        <f t="shared" si="194"/>
        <v>0</v>
      </c>
      <c r="HK75" s="773">
        <f t="shared" si="195"/>
        <v>0</v>
      </c>
      <c r="HL75" s="773">
        <f t="shared" si="196"/>
        <v>0</v>
      </c>
      <c r="HM75" s="626">
        <f t="shared" si="126"/>
        <v>0</v>
      </c>
      <c r="HN75" s="1145">
        <f t="shared" si="197"/>
        <v>0</v>
      </c>
      <c r="HO75" s="1146">
        <f t="shared" si="198"/>
        <v>0</v>
      </c>
      <c r="HP75" s="1146">
        <f t="shared" si="199"/>
        <v>0</v>
      </c>
      <c r="HQ75" s="1146">
        <f t="shared" si="200"/>
        <v>0</v>
      </c>
      <c r="HR75" s="1146">
        <f t="shared" si="201"/>
        <v>0</v>
      </c>
      <c r="HS75" s="1146">
        <f t="shared" si="202"/>
        <v>0</v>
      </c>
      <c r="HT75" s="1256">
        <f t="shared" si="127"/>
        <v>0</v>
      </c>
      <c r="HU75" s="1157">
        <f t="shared" si="128"/>
        <v>0</v>
      </c>
    </row>
    <row r="76" spans="1:229" ht="13.5" customHeight="1" outlineLevel="1" x14ac:dyDescent="0.2">
      <c r="A76" s="474"/>
      <c r="B76" s="1412"/>
      <c r="C76" s="511">
        <v>67</v>
      </c>
      <c r="D76" s="564" t="s">
        <v>49</v>
      </c>
      <c r="E76" s="1721">
        <v>44</v>
      </c>
      <c r="F76" s="558">
        <v>2883.93</v>
      </c>
      <c r="G76" s="543">
        <f t="shared" si="132"/>
        <v>65.543863636363639</v>
      </c>
      <c r="H76" s="559">
        <v>0</v>
      </c>
      <c r="I76" s="558">
        <v>0</v>
      </c>
      <c r="J76" s="542">
        <v>0</v>
      </c>
      <c r="K76" s="559">
        <v>2</v>
      </c>
      <c r="L76" s="558">
        <v>102.5</v>
      </c>
      <c r="M76" s="542">
        <f>L76/K76</f>
        <v>51.25</v>
      </c>
      <c r="N76" s="545">
        <f t="shared" si="133"/>
        <v>2986.43</v>
      </c>
      <c r="O76" s="518">
        <v>0</v>
      </c>
      <c r="P76" s="485">
        <v>15300565.25</v>
      </c>
      <c r="Q76" s="518">
        <v>3440822.62</v>
      </c>
      <c r="R76" s="519">
        <f t="shared" si="134"/>
        <v>18741387.870000001</v>
      </c>
      <c r="S76" s="546">
        <f t="shared" ref="S76:S122" si="203">R76</f>
        <v>18741387.870000001</v>
      </c>
      <c r="T76" s="521">
        <v>4105474.87</v>
      </c>
      <c r="U76" s="547">
        <v>0</v>
      </c>
      <c r="V76" s="547">
        <v>0</v>
      </c>
      <c r="W76" s="548">
        <v>0</v>
      </c>
      <c r="X76" s="549">
        <v>0</v>
      </c>
      <c r="Y76" s="549">
        <v>0</v>
      </c>
      <c r="Z76" s="549">
        <v>0</v>
      </c>
      <c r="AA76" s="525">
        <f t="shared" ref="AA76:AA122" si="204">W76+Y76</f>
        <v>0</v>
      </c>
      <c r="AB76" s="524">
        <f t="shared" ref="AB76:AB122" si="205">X76+Z76</f>
        <v>0</v>
      </c>
      <c r="AC76" s="526">
        <f t="shared" ref="AC76:AC122" si="206">AB76/R76</f>
        <v>0</v>
      </c>
      <c r="AD76" s="547">
        <v>0</v>
      </c>
      <c r="AE76" s="547">
        <v>0</v>
      </c>
      <c r="AF76" s="547">
        <v>0</v>
      </c>
      <c r="AG76" s="547">
        <v>0</v>
      </c>
      <c r="AH76" s="363">
        <f t="shared" ref="AH76:AH122" si="207">AD76+AF76</f>
        <v>0</v>
      </c>
      <c r="AI76" s="547">
        <f t="shared" ref="AI76:AI122" si="208">AE76+AG76</f>
        <v>0</v>
      </c>
      <c r="AJ76" s="550">
        <f t="shared" ref="AJ76:AJ122" si="209">AI76/S76</f>
        <v>0</v>
      </c>
      <c r="AK76" s="551">
        <f t="shared" ref="AK76:AK122" si="210">U76/T76</f>
        <v>0</v>
      </c>
      <c r="AL76" s="529"/>
      <c r="AM76" s="502"/>
      <c r="AN76" s="530"/>
      <c r="AO76" s="498"/>
      <c r="AP76" s="499"/>
      <c r="AQ76" s="499"/>
      <c r="AR76" s="499"/>
      <c r="AS76" s="531">
        <f t="shared" si="135"/>
        <v>0</v>
      </c>
      <c r="AT76" s="532">
        <f t="shared" si="136"/>
        <v>0</v>
      </c>
      <c r="AU76" s="529">
        <v>0</v>
      </c>
      <c r="AV76" s="533">
        <v>0</v>
      </c>
      <c r="AW76" s="533">
        <v>0</v>
      </c>
      <c r="AX76" s="533">
        <v>0</v>
      </c>
      <c r="AY76" s="533">
        <f t="shared" si="137"/>
        <v>0</v>
      </c>
      <c r="AZ76" s="534">
        <f t="shared" si="138"/>
        <v>0</v>
      </c>
      <c r="BA76" s="535">
        <f t="shared" ref="BA76:BA145" si="211">U76+AM76</f>
        <v>0</v>
      </c>
      <c r="BB76" s="536">
        <f t="shared" ref="BB76:BB145" si="212">V76+AN76</f>
        <v>0</v>
      </c>
      <c r="BC76" s="523">
        <f t="shared" ref="BC76:BC145" si="213">W76+AO76</f>
        <v>0</v>
      </c>
      <c r="BD76" s="525">
        <f t="shared" ref="BD76:BD145" si="214">X76+AP76</f>
        <v>0</v>
      </c>
      <c r="BE76" s="525">
        <f t="shared" ref="BE76:BE145" si="215">Y76+AQ76</f>
        <v>0</v>
      </c>
      <c r="BF76" s="525">
        <f t="shared" ref="BF76:BF145" si="216">Z76+AR76</f>
        <v>0</v>
      </c>
      <c r="BG76" s="525">
        <f t="shared" ref="BG76:BG145" si="217">AA76+AS76</f>
        <v>0</v>
      </c>
      <c r="BH76" s="525">
        <f t="shared" ref="BH76:BH145" si="218">AB76+AT76</f>
        <v>0</v>
      </c>
      <c r="BI76" s="526">
        <f t="shared" ref="BI76:BI145" si="219">BH76/R76</f>
        <v>0</v>
      </c>
      <c r="BJ76" s="537">
        <f t="shared" ref="BJ76:BJ145" si="220">AD76+AU76</f>
        <v>0</v>
      </c>
      <c r="BK76" s="538">
        <f t="shared" ref="BK76:BK145" si="221">AE76+AV76</f>
        <v>0</v>
      </c>
      <c r="BL76" s="538">
        <f t="shared" ref="BL76:BL145" si="222">AF76+AW76</f>
        <v>0</v>
      </c>
      <c r="BM76" s="538">
        <f t="shared" ref="BM76:BM145" si="223">AG76+AX76</f>
        <v>0</v>
      </c>
      <c r="BN76" s="538">
        <f t="shared" ref="BN76:BN145" si="224">AH76+AY76</f>
        <v>0</v>
      </c>
      <c r="BO76" s="538">
        <f t="shared" ref="BO76:BO145" si="225">AI76+AZ76</f>
        <v>0</v>
      </c>
      <c r="BP76" s="539">
        <f t="shared" ref="BP76:BP145" si="226">BO76/S76</f>
        <v>0</v>
      </c>
      <c r="BQ76" s="540">
        <f t="shared" ref="BQ76:BQ145" si="227">BA76/T76</f>
        <v>0</v>
      </c>
      <c r="BR76" s="529"/>
      <c r="BS76" s="502"/>
      <c r="BT76" s="530"/>
      <c r="BU76" s="498"/>
      <c r="BV76" s="499"/>
      <c r="BW76" s="499"/>
      <c r="BX76" s="499"/>
      <c r="BY76" s="531">
        <f t="shared" si="139"/>
        <v>0</v>
      </c>
      <c r="BZ76" s="532">
        <f t="shared" si="140"/>
        <v>0</v>
      </c>
      <c r="CA76" s="529"/>
      <c r="CB76" s="533"/>
      <c r="CC76" s="533"/>
      <c r="CD76" s="533"/>
      <c r="CE76" s="533">
        <f t="shared" si="141"/>
        <v>0</v>
      </c>
      <c r="CF76" s="534">
        <f t="shared" si="142"/>
        <v>0</v>
      </c>
      <c r="CG76" s="774">
        <f t="shared" ref="CG76:CG122" si="228">BA76+BS76</f>
        <v>0</v>
      </c>
      <c r="CH76" s="775">
        <f t="shared" ref="CH76:CH122" si="229">BB76+BT76</f>
        <v>0</v>
      </c>
      <c r="CI76" s="548">
        <f t="shared" ref="CI76:CI122" si="230">BC76+BU76</f>
        <v>0</v>
      </c>
      <c r="CJ76" s="773">
        <f t="shared" ref="CJ76:CJ122" si="231">BD76+BV76</f>
        <v>0</v>
      </c>
      <c r="CK76" s="773">
        <f t="shared" ref="CK76:CK122" si="232">BE76+BW76</f>
        <v>0</v>
      </c>
      <c r="CL76" s="773">
        <f t="shared" ref="CL76:CL122" si="233">BF76+BX76</f>
        <v>0</v>
      </c>
      <c r="CM76" s="773">
        <f t="shared" ref="CM76:CM122" si="234">BG76+BY76</f>
        <v>0</v>
      </c>
      <c r="CN76" s="773">
        <f t="shared" ref="CN76:CN122" si="235">BH76+BZ76</f>
        <v>0</v>
      </c>
      <c r="CO76" s="626">
        <f t="shared" ref="CO76:CO122" si="236">CN76/R76</f>
        <v>0</v>
      </c>
      <c r="CP76" s="1145">
        <f t="shared" ref="CP76:CP122" si="237">BJ76+CA76</f>
        <v>0</v>
      </c>
      <c r="CQ76" s="1146">
        <f t="shared" ref="CQ76:CQ122" si="238">BK76+CB76</f>
        <v>0</v>
      </c>
      <c r="CR76" s="1146">
        <f t="shared" ref="CR76:CR122" si="239">BL76+CC76</f>
        <v>0</v>
      </c>
      <c r="CS76" s="1146">
        <f t="shared" ref="CS76:CS122" si="240">BM76+CD76</f>
        <v>0</v>
      </c>
      <c r="CT76" s="1146">
        <f t="shared" ref="CT76:CT122" si="241">BN76+CE76</f>
        <v>0</v>
      </c>
      <c r="CU76" s="1146">
        <f t="shared" ref="CU76:CU122" si="242">BO76+CF76</f>
        <v>0</v>
      </c>
      <c r="CV76" s="1256">
        <f t="shared" ref="CV76:CV123" si="243">CU76/S76</f>
        <v>0</v>
      </c>
      <c r="CW76" s="1157">
        <f t="shared" ref="CW76:CW122" si="244">CG76/T76</f>
        <v>0</v>
      </c>
      <c r="CX76" s="529"/>
      <c r="CY76" s="502"/>
      <c r="CZ76" s="530"/>
      <c r="DA76" s="498"/>
      <c r="DB76" s="499"/>
      <c r="DC76" s="499"/>
      <c r="DD76" s="499"/>
      <c r="DE76" s="531">
        <f t="shared" si="143"/>
        <v>0</v>
      </c>
      <c r="DF76" s="532">
        <f t="shared" si="144"/>
        <v>0</v>
      </c>
      <c r="DG76" s="529"/>
      <c r="DH76" s="533"/>
      <c r="DI76" s="533"/>
      <c r="DJ76" s="533"/>
      <c r="DK76" s="533">
        <f t="shared" si="145"/>
        <v>0</v>
      </c>
      <c r="DL76" s="534">
        <f t="shared" si="146"/>
        <v>0</v>
      </c>
      <c r="DM76" s="1258">
        <f t="shared" si="147"/>
        <v>0</v>
      </c>
      <c r="DN76" s="775">
        <f t="shared" si="148"/>
        <v>0</v>
      </c>
      <c r="DO76" s="548">
        <f t="shared" si="149"/>
        <v>0</v>
      </c>
      <c r="DP76" s="773">
        <f t="shared" si="150"/>
        <v>0</v>
      </c>
      <c r="DQ76" s="773">
        <f t="shared" si="151"/>
        <v>0</v>
      </c>
      <c r="DR76" s="773">
        <f t="shared" si="152"/>
        <v>0</v>
      </c>
      <c r="DS76" s="773">
        <f t="shared" si="153"/>
        <v>0</v>
      </c>
      <c r="DT76" s="773">
        <f t="shared" si="154"/>
        <v>0</v>
      </c>
      <c r="DU76" s="526">
        <f t="shared" ref="DU76:DU137" si="245">DT76/R76</f>
        <v>0</v>
      </c>
      <c r="DV76" s="1145">
        <f t="shared" si="155"/>
        <v>0</v>
      </c>
      <c r="DW76" s="1146">
        <f t="shared" si="156"/>
        <v>0</v>
      </c>
      <c r="DX76" s="1146">
        <f t="shared" si="157"/>
        <v>0</v>
      </c>
      <c r="DY76" s="1146">
        <f t="shared" si="158"/>
        <v>0</v>
      </c>
      <c r="DZ76" s="1146">
        <f t="shared" si="159"/>
        <v>0</v>
      </c>
      <c r="EA76" s="1146">
        <f t="shared" si="160"/>
        <v>0</v>
      </c>
      <c r="EB76" s="539">
        <f t="shared" ref="EB76:EB121" si="246">EA76/S76</f>
        <v>0</v>
      </c>
      <c r="EC76" s="540">
        <f t="shared" ref="EC76:EC121" si="247">DM76/T76</f>
        <v>0</v>
      </c>
      <c r="ES76" s="1258">
        <f t="shared" si="161"/>
        <v>0</v>
      </c>
      <c r="ET76" s="775">
        <f t="shared" si="162"/>
        <v>0</v>
      </c>
      <c r="EU76" s="548">
        <f t="shared" si="163"/>
        <v>0</v>
      </c>
      <c r="EV76" s="773">
        <f t="shared" si="164"/>
        <v>0</v>
      </c>
      <c r="EW76" s="773">
        <f t="shared" si="165"/>
        <v>0</v>
      </c>
      <c r="EX76" s="773">
        <f t="shared" si="166"/>
        <v>0</v>
      </c>
      <c r="EY76" s="773">
        <f t="shared" si="167"/>
        <v>0</v>
      </c>
      <c r="EZ76" s="773">
        <f t="shared" si="168"/>
        <v>0</v>
      </c>
      <c r="FA76" s="626">
        <f t="shared" ref="FA76:FA122" si="248">EZ76/R76</f>
        <v>0</v>
      </c>
      <c r="FB76" s="1145">
        <f t="shared" si="169"/>
        <v>0</v>
      </c>
      <c r="FC76" s="1146">
        <f t="shared" si="170"/>
        <v>0</v>
      </c>
      <c r="FD76" s="1146">
        <f t="shared" si="171"/>
        <v>0</v>
      </c>
      <c r="FE76" s="1146">
        <f t="shared" si="172"/>
        <v>0</v>
      </c>
      <c r="FF76" s="1146">
        <f t="shared" si="173"/>
        <v>0</v>
      </c>
      <c r="FG76" s="1146">
        <f t="shared" si="174"/>
        <v>0</v>
      </c>
      <c r="FH76" s="1256">
        <f t="shared" ref="FH76:FH122" si="249">FG76/S76</f>
        <v>0</v>
      </c>
      <c r="FI76" s="1157">
        <f t="shared" ref="FI76:FI122" si="250">ES76/T76</f>
        <v>0</v>
      </c>
      <c r="FY76" s="1258">
        <f t="shared" si="175"/>
        <v>0</v>
      </c>
      <c r="FZ76" s="775">
        <f t="shared" si="176"/>
        <v>0</v>
      </c>
      <c r="GA76" s="548">
        <f t="shared" si="177"/>
        <v>0</v>
      </c>
      <c r="GB76" s="773">
        <f t="shared" si="178"/>
        <v>0</v>
      </c>
      <c r="GC76" s="773">
        <f t="shared" si="179"/>
        <v>0</v>
      </c>
      <c r="GD76" s="773">
        <f t="shared" si="180"/>
        <v>0</v>
      </c>
      <c r="GE76" s="773">
        <f t="shared" si="181"/>
        <v>0</v>
      </c>
      <c r="GF76" s="773">
        <f t="shared" si="182"/>
        <v>0</v>
      </c>
      <c r="GG76" s="626">
        <f t="shared" ref="GG76:GG122" si="251">GF76/R76</f>
        <v>0</v>
      </c>
      <c r="GH76" s="1145">
        <f t="shared" si="183"/>
        <v>0</v>
      </c>
      <c r="GI76" s="1146">
        <f t="shared" si="184"/>
        <v>0</v>
      </c>
      <c r="GJ76" s="1146">
        <f t="shared" si="185"/>
        <v>0</v>
      </c>
      <c r="GK76" s="1146">
        <f t="shared" si="186"/>
        <v>0</v>
      </c>
      <c r="GL76" s="1146">
        <f t="shared" si="187"/>
        <v>0</v>
      </c>
      <c r="GM76" s="1146">
        <f t="shared" si="188"/>
        <v>0</v>
      </c>
      <c r="GN76" s="1256">
        <f t="shared" ref="GN76:GN122" si="252">GM76/S76</f>
        <v>0</v>
      </c>
      <c r="GO76" s="1157">
        <f t="shared" ref="GO76:GO122" si="253">FY76/T76</f>
        <v>0</v>
      </c>
      <c r="HE76" s="1675">
        <f t="shared" si="189"/>
        <v>0</v>
      </c>
      <c r="HF76" s="775">
        <f t="shared" si="190"/>
        <v>0</v>
      </c>
      <c r="HG76" s="548">
        <f t="shared" si="191"/>
        <v>0</v>
      </c>
      <c r="HH76" s="773">
        <f t="shared" si="192"/>
        <v>0</v>
      </c>
      <c r="HI76" s="773">
        <f t="shared" si="193"/>
        <v>0</v>
      </c>
      <c r="HJ76" s="773">
        <f t="shared" si="194"/>
        <v>0</v>
      </c>
      <c r="HK76" s="773">
        <f t="shared" si="195"/>
        <v>0</v>
      </c>
      <c r="HL76" s="773">
        <f t="shared" si="196"/>
        <v>0</v>
      </c>
      <c r="HM76" s="626">
        <f t="shared" ref="HM76:HM128" si="254">HL76/R76</f>
        <v>0</v>
      </c>
      <c r="HN76" s="1145">
        <f t="shared" si="197"/>
        <v>0</v>
      </c>
      <c r="HO76" s="1146">
        <f t="shared" si="198"/>
        <v>0</v>
      </c>
      <c r="HP76" s="1146">
        <f t="shared" si="199"/>
        <v>0</v>
      </c>
      <c r="HQ76" s="1146">
        <f t="shared" si="200"/>
        <v>0</v>
      </c>
      <c r="HR76" s="1146">
        <f t="shared" si="201"/>
        <v>0</v>
      </c>
      <c r="HS76" s="1146">
        <f t="shared" si="202"/>
        <v>0</v>
      </c>
      <c r="HT76" s="1256">
        <f t="shared" ref="HT76:HT128" si="255">HS76/S76</f>
        <v>0</v>
      </c>
      <c r="HU76" s="1157">
        <f t="shared" ref="HU76:HU128" si="256">HE76/T76</f>
        <v>0</v>
      </c>
    </row>
    <row r="77" spans="1:229" ht="13.5" customHeight="1" outlineLevel="1" x14ac:dyDescent="0.2">
      <c r="A77" s="474"/>
      <c r="B77" s="1412"/>
      <c r="C77" s="511">
        <v>68</v>
      </c>
      <c r="D77" s="575" t="s">
        <v>50</v>
      </c>
      <c r="E77" s="1721">
        <v>33</v>
      </c>
      <c r="F77" s="558">
        <v>2049.66</v>
      </c>
      <c r="G77" s="543">
        <f t="shared" si="132"/>
        <v>62.11090909090909</v>
      </c>
      <c r="H77" s="559">
        <v>0</v>
      </c>
      <c r="I77" s="558">
        <v>0</v>
      </c>
      <c r="J77" s="542">
        <v>0</v>
      </c>
      <c r="K77" s="559">
        <v>0</v>
      </c>
      <c r="L77" s="558">
        <v>0</v>
      </c>
      <c r="M77" s="542">
        <v>0</v>
      </c>
      <c r="N77" s="545">
        <f t="shared" si="133"/>
        <v>2049.66</v>
      </c>
      <c r="O77" s="518">
        <v>0</v>
      </c>
      <c r="P77" s="485">
        <v>11173142.719999999</v>
      </c>
      <c r="Q77" s="518">
        <v>3185171.64</v>
      </c>
      <c r="R77" s="519">
        <f t="shared" si="134"/>
        <v>14358314.359999999</v>
      </c>
      <c r="S77" s="546">
        <f t="shared" si="203"/>
        <v>14358314.359999999</v>
      </c>
      <c r="T77" s="521">
        <v>2722932.21</v>
      </c>
      <c r="U77" s="547">
        <v>0</v>
      </c>
      <c r="V77" s="547">
        <v>0</v>
      </c>
      <c r="W77" s="548">
        <v>0</v>
      </c>
      <c r="X77" s="549">
        <v>0</v>
      </c>
      <c r="Y77" s="549">
        <v>0</v>
      </c>
      <c r="Z77" s="549">
        <v>0</v>
      </c>
      <c r="AA77" s="525">
        <f t="shared" si="204"/>
        <v>0</v>
      </c>
      <c r="AB77" s="524">
        <f t="shared" si="205"/>
        <v>0</v>
      </c>
      <c r="AC77" s="526">
        <f t="shared" si="206"/>
        <v>0</v>
      </c>
      <c r="AD77" s="547">
        <v>0</v>
      </c>
      <c r="AE77" s="547">
        <v>0</v>
      </c>
      <c r="AF77" s="547">
        <v>0</v>
      </c>
      <c r="AG77" s="547">
        <v>0</v>
      </c>
      <c r="AH77" s="363">
        <f t="shared" si="207"/>
        <v>0</v>
      </c>
      <c r="AI77" s="547">
        <f t="shared" si="208"/>
        <v>0</v>
      </c>
      <c r="AJ77" s="550">
        <f t="shared" si="209"/>
        <v>0</v>
      </c>
      <c r="AK77" s="551">
        <f t="shared" si="210"/>
        <v>0</v>
      </c>
      <c r="AL77" s="529"/>
      <c r="AM77" s="502"/>
      <c r="AN77" s="530"/>
      <c r="AO77" s="498"/>
      <c r="AP77" s="499"/>
      <c r="AQ77" s="499"/>
      <c r="AR77" s="499"/>
      <c r="AS77" s="531">
        <f t="shared" si="135"/>
        <v>0</v>
      </c>
      <c r="AT77" s="532">
        <f t="shared" si="136"/>
        <v>0</v>
      </c>
      <c r="AU77" s="529">
        <v>0</v>
      </c>
      <c r="AV77" s="533">
        <v>0</v>
      </c>
      <c r="AW77" s="533">
        <v>0</v>
      </c>
      <c r="AX77" s="533">
        <v>0</v>
      </c>
      <c r="AY77" s="533">
        <f t="shared" si="137"/>
        <v>0</v>
      </c>
      <c r="AZ77" s="534">
        <f t="shared" si="138"/>
        <v>0</v>
      </c>
      <c r="BA77" s="535">
        <f t="shared" si="211"/>
        <v>0</v>
      </c>
      <c r="BB77" s="536">
        <f t="shared" si="212"/>
        <v>0</v>
      </c>
      <c r="BC77" s="523">
        <f t="shared" si="213"/>
        <v>0</v>
      </c>
      <c r="BD77" s="525">
        <f t="shared" si="214"/>
        <v>0</v>
      </c>
      <c r="BE77" s="525">
        <f t="shared" si="215"/>
        <v>0</v>
      </c>
      <c r="BF77" s="525">
        <f t="shared" si="216"/>
        <v>0</v>
      </c>
      <c r="BG77" s="525">
        <f t="shared" si="217"/>
        <v>0</v>
      </c>
      <c r="BH77" s="525">
        <f t="shared" si="218"/>
        <v>0</v>
      </c>
      <c r="BI77" s="526">
        <f t="shared" si="219"/>
        <v>0</v>
      </c>
      <c r="BJ77" s="537">
        <f t="shared" si="220"/>
        <v>0</v>
      </c>
      <c r="BK77" s="538">
        <f t="shared" si="221"/>
        <v>0</v>
      </c>
      <c r="BL77" s="538">
        <f t="shared" si="222"/>
        <v>0</v>
      </c>
      <c r="BM77" s="538">
        <f t="shared" si="223"/>
        <v>0</v>
      </c>
      <c r="BN77" s="538">
        <f t="shared" si="224"/>
        <v>0</v>
      </c>
      <c r="BO77" s="538">
        <f t="shared" si="225"/>
        <v>0</v>
      </c>
      <c r="BP77" s="539">
        <f t="shared" si="226"/>
        <v>0</v>
      </c>
      <c r="BQ77" s="540">
        <f t="shared" si="227"/>
        <v>0</v>
      </c>
      <c r="BR77" s="529"/>
      <c r="BS77" s="502"/>
      <c r="BT77" s="530"/>
      <c r="BU77" s="498"/>
      <c r="BV77" s="499"/>
      <c r="BW77" s="499"/>
      <c r="BX77" s="499"/>
      <c r="BY77" s="531">
        <f t="shared" si="139"/>
        <v>0</v>
      </c>
      <c r="BZ77" s="532">
        <f t="shared" si="140"/>
        <v>0</v>
      </c>
      <c r="CA77" s="529"/>
      <c r="CB77" s="533"/>
      <c r="CC77" s="533"/>
      <c r="CD77" s="533"/>
      <c r="CE77" s="533">
        <f t="shared" si="141"/>
        <v>0</v>
      </c>
      <c r="CF77" s="534">
        <f t="shared" si="142"/>
        <v>0</v>
      </c>
      <c r="CG77" s="774">
        <f t="shared" si="228"/>
        <v>0</v>
      </c>
      <c r="CH77" s="775">
        <f t="shared" si="229"/>
        <v>0</v>
      </c>
      <c r="CI77" s="548">
        <f t="shared" si="230"/>
        <v>0</v>
      </c>
      <c r="CJ77" s="773">
        <f t="shared" si="231"/>
        <v>0</v>
      </c>
      <c r="CK77" s="773">
        <f t="shared" si="232"/>
        <v>0</v>
      </c>
      <c r="CL77" s="773">
        <f t="shared" si="233"/>
        <v>0</v>
      </c>
      <c r="CM77" s="773">
        <f t="shared" si="234"/>
        <v>0</v>
      </c>
      <c r="CN77" s="773">
        <f t="shared" si="235"/>
        <v>0</v>
      </c>
      <c r="CO77" s="626">
        <f t="shared" si="236"/>
        <v>0</v>
      </c>
      <c r="CP77" s="1145">
        <f t="shared" si="237"/>
        <v>0</v>
      </c>
      <c r="CQ77" s="1146">
        <f t="shared" si="238"/>
        <v>0</v>
      </c>
      <c r="CR77" s="1146">
        <f t="shared" si="239"/>
        <v>0</v>
      </c>
      <c r="CS77" s="1146">
        <f t="shared" si="240"/>
        <v>0</v>
      </c>
      <c r="CT77" s="1146">
        <f t="shared" si="241"/>
        <v>0</v>
      </c>
      <c r="CU77" s="1146">
        <f t="shared" si="242"/>
        <v>0</v>
      </c>
      <c r="CV77" s="1256">
        <f t="shared" si="243"/>
        <v>0</v>
      </c>
      <c r="CW77" s="1157">
        <f t="shared" si="244"/>
        <v>0</v>
      </c>
      <c r="CX77" s="529"/>
      <c r="CY77" s="502"/>
      <c r="CZ77" s="530"/>
      <c r="DA77" s="498"/>
      <c r="DB77" s="499"/>
      <c r="DC77" s="499"/>
      <c r="DD77" s="499"/>
      <c r="DE77" s="531">
        <f t="shared" si="143"/>
        <v>0</v>
      </c>
      <c r="DF77" s="532">
        <f t="shared" si="144"/>
        <v>0</v>
      </c>
      <c r="DG77" s="529"/>
      <c r="DH77" s="533"/>
      <c r="DI77" s="533"/>
      <c r="DJ77" s="533"/>
      <c r="DK77" s="533">
        <f t="shared" si="145"/>
        <v>0</v>
      </c>
      <c r="DL77" s="534">
        <f t="shared" si="146"/>
        <v>0</v>
      </c>
      <c r="DM77" s="1258">
        <f t="shared" si="147"/>
        <v>0</v>
      </c>
      <c r="DN77" s="775">
        <f t="shared" si="148"/>
        <v>0</v>
      </c>
      <c r="DO77" s="548">
        <f t="shared" si="149"/>
        <v>0</v>
      </c>
      <c r="DP77" s="773">
        <f t="shared" si="150"/>
        <v>0</v>
      </c>
      <c r="DQ77" s="773">
        <f t="shared" si="151"/>
        <v>0</v>
      </c>
      <c r="DR77" s="773">
        <f t="shared" si="152"/>
        <v>0</v>
      </c>
      <c r="DS77" s="773">
        <f t="shared" si="153"/>
        <v>0</v>
      </c>
      <c r="DT77" s="773">
        <f t="shared" si="154"/>
        <v>0</v>
      </c>
      <c r="DU77" s="526">
        <f t="shared" si="245"/>
        <v>0</v>
      </c>
      <c r="DV77" s="1145">
        <f t="shared" si="155"/>
        <v>0</v>
      </c>
      <c r="DW77" s="1146">
        <f t="shared" si="156"/>
        <v>0</v>
      </c>
      <c r="DX77" s="1146">
        <f t="shared" si="157"/>
        <v>0</v>
      </c>
      <c r="DY77" s="1146">
        <f t="shared" si="158"/>
        <v>0</v>
      </c>
      <c r="DZ77" s="1146">
        <f t="shared" si="159"/>
        <v>0</v>
      </c>
      <c r="EA77" s="1146">
        <f t="shared" si="160"/>
        <v>0</v>
      </c>
      <c r="EB77" s="539">
        <f t="shared" si="246"/>
        <v>0</v>
      </c>
      <c r="EC77" s="540">
        <f t="shared" si="247"/>
        <v>0</v>
      </c>
      <c r="ES77" s="1258">
        <f t="shared" si="161"/>
        <v>0</v>
      </c>
      <c r="ET77" s="775">
        <f t="shared" si="162"/>
        <v>0</v>
      </c>
      <c r="EU77" s="548">
        <f t="shared" si="163"/>
        <v>0</v>
      </c>
      <c r="EV77" s="773">
        <f t="shared" si="164"/>
        <v>0</v>
      </c>
      <c r="EW77" s="773">
        <f t="shared" si="165"/>
        <v>0</v>
      </c>
      <c r="EX77" s="773">
        <f t="shared" si="166"/>
        <v>0</v>
      </c>
      <c r="EY77" s="773">
        <f t="shared" si="167"/>
        <v>0</v>
      </c>
      <c r="EZ77" s="773">
        <f t="shared" si="168"/>
        <v>0</v>
      </c>
      <c r="FA77" s="626">
        <f t="shared" si="248"/>
        <v>0</v>
      </c>
      <c r="FB77" s="1145">
        <f t="shared" si="169"/>
        <v>0</v>
      </c>
      <c r="FC77" s="1146">
        <f t="shared" si="170"/>
        <v>0</v>
      </c>
      <c r="FD77" s="1146">
        <f t="shared" si="171"/>
        <v>0</v>
      </c>
      <c r="FE77" s="1146">
        <f t="shared" si="172"/>
        <v>0</v>
      </c>
      <c r="FF77" s="1146">
        <f t="shared" si="173"/>
        <v>0</v>
      </c>
      <c r="FG77" s="1146">
        <f t="shared" si="174"/>
        <v>0</v>
      </c>
      <c r="FH77" s="1256">
        <f t="shared" si="249"/>
        <v>0</v>
      </c>
      <c r="FI77" s="1157">
        <f t="shared" si="250"/>
        <v>0</v>
      </c>
      <c r="FY77" s="1258">
        <f t="shared" si="175"/>
        <v>0</v>
      </c>
      <c r="FZ77" s="775">
        <f t="shared" si="176"/>
        <v>0</v>
      </c>
      <c r="GA77" s="548">
        <f t="shared" si="177"/>
        <v>0</v>
      </c>
      <c r="GB77" s="773">
        <f t="shared" si="178"/>
        <v>0</v>
      </c>
      <c r="GC77" s="773">
        <f t="shared" si="179"/>
        <v>0</v>
      </c>
      <c r="GD77" s="773">
        <f t="shared" si="180"/>
        <v>0</v>
      </c>
      <c r="GE77" s="773">
        <f t="shared" si="181"/>
        <v>0</v>
      </c>
      <c r="GF77" s="773">
        <f t="shared" si="182"/>
        <v>0</v>
      </c>
      <c r="GG77" s="626">
        <f t="shared" si="251"/>
        <v>0</v>
      </c>
      <c r="GH77" s="1145">
        <f t="shared" si="183"/>
        <v>0</v>
      </c>
      <c r="GI77" s="1146">
        <f t="shared" si="184"/>
        <v>0</v>
      </c>
      <c r="GJ77" s="1146">
        <f t="shared" si="185"/>
        <v>0</v>
      </c>
      <c r="GK77" s="1146">
        <f t="shared" si="186"/>
        <v>0</v>
      </c>
      <c r="GL77" s="1146">
        <f t="shared" si="187"/>
        <v>0</v>
      </c>
      <c r="GM77" s="1146">
        <f t="shared" si="188"/>
        <v>0</v>
      </c>
      <c r="GN77" s="1256">
        <f t="shared" si="252"/>
        <v>0</v>
      </c>
      <c r="GO77" s="1157">
        <f t="shared" si="253"/>
        <v>0</v>
      </c>
      <c r="HE77" s="1675">
        <f t="shared" si="189"/>
        <v>0</v>
      </c>
      <c r="HF77" s="775">
        <f t="shared" si="190"/>
        <v>0</v>
      </c>
      <c r="HG77" s="548">
        <f t="shared" si="191"/>
        <v>0</v>
      </c>
      <c r="HH77" s="773">
        <f t="shared" si="192"/>
        <v>0</v>
      </c>
      <c r="HI77" s="773">
        <f t="shared" si="193"/>
        <v>0</v>
      </c>
      <c r="HJ77" s="773">
        <f t="shared" si="194"/>
        <v>0</v>
      </c>
      <c r="HK77" s="773">
        <f t="shared" si="195"/>
        <v>0</v>
      </c>
      <c r="HL77" s="773">
        <f t="shared" si="196"/>
        <v>0</v>
      </c>
      <c r="HM77" s="626">
        <f t="shared" si="254"/>
        <v>0</v>
      </c>
      <c r="HN77" s="1145">
        <f t="shared" si="197"/>
        <v>0</v>
      </c>
      <c r="HO77" s="1146">
        <f t="shared" si="198"/>
        <v>0</v>
      </c>
      <c r="HP77" s="1146">
        <f t="shared" si="199"/>
        <v>0</v>
      </c>
      <c r="HQ77" s="1146">
        <f t="shared" si="200"/>
        <v>0</v>
      </c>
      <c r="HR77" s="1146">
        <f t="shared" si="201"/>
        <v>0</v>
      </c>
      <c r="HS77" s="1146">
        <f t="shared" si="202"/>
        <v>0</v>
      </c>
      <c r="HT77" s="1256">
        <f t="shared" si="255"/>
        <v>0</v>
      </c>
      <c r="HU77" s="1157">
        <f t="shared" si="256"/>
        <v>0</v>
      </c>
    </row>
    <row r="78" spans="1:229" ht="13.5" customHeight="1" outlineLevel="1" x14ac:dyDescent="0.2">
      <c r="A78" s="474"/>
      <c r="B78" s="1412"/>
      <c r="C78" s="511">
        <v>69</v>
      </c>
      <c r="D78" s="557" t="s">
        <v>7</v>
      </c>
      <c r="E78" s="1721">
        <v>52</v>
      </c>
      <c r="F78" s="558">
        <v>2963.8</v>
      </c>
      <c r="G78" s="543">
        <f t="shared" si="132"/>
        <v>56.996153846153852</v>
      </c>
      <c r="H78" s="559">
        <v>0</v>
      </c>
      <c r="I78" s="558">
        <v>0</v>
      </c>
      <c r="J78" s="542">
        <v>0</v>
      </c>
      <c r="K78" s="559">
        <v>0</v>
      </c>
      <c r="L78" s="558">
        <v>0</v>
      </c>
      <c r="M78" s="542">
        <v>0</v>
      </c>
      <c r="N78" s="545">
        <f t="shared" si="133"/>
        <v>2963.8</v>
      </c>
      <c r="O78" s="518">
        <v>0</v>
      </c>
      <c r="P78" s="485">
        <v>13384634.199999999</v>
      </c>
      <c r="Q78" s="518">
        <v>2422803.65</v>
      </c>
      <c r="R78" s="519">
        <f t="shared" si="134"/>
        <v>15807437.85</v>
      </c>
      <c r="S78" s="546">
        <f t="shared" si="203"/>
        <v>15807437.85</v>
      </c>
      <c r="T78" s="521">
        <v>3898290.99</v>
      </c>
      <c r="U78" s="547">
        <v>0</v>
      </c>
      <c r="V78" s="547">
        <v>0</v>
      </c>
      <c r="W78" s="548">
        <v>0</v>
      </c>
      <c r="X78" s="549">
        <v>0</v>
      </c>
      <c r="Y78" s="549">
        <v>0</v>
      </c>
      <c r="Z78" s="549">
        <v>0</v>
      </c>
      <c r="AA78" s="525">
        <f t="shared" si="204"/>
        <v>0</v>
      </c>
      <c r="AB78" s="524">
        <f t="shared" si="205"/>
        <v>0</v>
      </c>
      <c r="AC78" s="526">
        <f t="shared" si="206"/>
        <v>0</v>
      </c>
      <c r="AD78" s="547">
        <v>0</v>
      </c>
      <c r="AE78" s="547">
        <v>0</v>
      </c>
      <c r="AF78" s="547">
        <v>0</v>
      </c>
      <c r="AG78" s="547">
        <v>0</v>
      </c>
      <c r="AH78" s="363">
        <f t="shared" si="207"/>
        <v>0</v>
      </c>
      <c r="AI78" s="547">
        <f t="shared" si="208"/>
        <v>0</v>
      </c>
      <c r="AJ78" s="550">
        <f t="shared" si="209"/>
        <v>0</v>
      </c>
      <c r="AK78" s="551">
        <f t="shared" si="210"/>
        <v>0</v>
      </c>
      <c r="AL78" s="529"/>
      <c r="AM78" s="502"/>
      <c r="AN78" s="530"/>
      <c r="AO78" s="498"/>
      <c r="AP78" s="499"/>
      <c r="AQ78" s="499"/>
      <c r="AR78" s="499"/>
      <c r="AS78" s="531">
        <f t="shared" si="135"/>
        <v>0</v>
      </c>
      <c r="AT78" s="532">
        <f t="shared" si="136"/>
        <v>0</v>
      </c>
      <c r="AU78" s="529">
        <v>0</v>
      </c>
      <c r="AV78" s="533">
        <v>0</v>
      </c>
      <c r="AW78" s="533">
        <v>0</v>
      </c>
      <c r="AX78" s="533">
        <v>0</v>
      </c>
      <c r="AY78" s="533">
        <f t="shared" si="137"/>
        <v>0</v>
      </c>
      <c r="AZ78" s="534">
        <f t="shared" si="138"/>
        <v>0</v>
      </c>
      <c r="BA78" s="535">
        <f t="shared" si="211"/>
        <v>0</v>
      </c>
      <c r="BB78" s="536">
        <f t="shared" si="212"/>
        <v>0</v>
      </c>
      <c r="BC78" s="523">
        <f t="shared" si="213"/>
        <v>0</v>
      </c>
      <c r="BD78" s="525">
        <f t="shared" si="214"/>
        <v>0</v>
      </c>
      <c r="BE78" s="525">
        <f t="shared" si="215"/>
        <v>0</v>
      </c>
      <c r="BF78" s="525">
        <f t="shared" si="216"/>
        <v>0</v>
      </c>
      <c r="BG78" s="525">
        <f t="shared" si="217"/>
        <v>0</v>
      </c>
      <c r="BH78" s="525">
        <f t="shared" si="218"/>
        <v>0</v>
      </c>
      <c r="BI78" s="526">
        <f t="shared" si="219"/>
        <v>0</v>
      </c>
      <c r="BJ78" s="537">
        <f t="shared" si="220"/>
        <v>0</v>
      </c>
      <c r="BK78" s="538">
        <f t="shared" si="221"/>
        <v>0</v>
      </c>
      <c r="BL78" s="538">
        <f t="shared" si="222"/>
        <v>0</v>
      </c>
      <c r="BM78" s="538">
        <f t="shared" si="223"/>
        <v>0</v>
      </c>
      <c r="BN78" s="538">
        <f t="shared" si="224"/>
        <v>0</v>
      </c>
      <c r="BO78" s="538">
        <f t="shared" si="225"/>
        <v>0</v>
      </c>
      <c r="BP78" s="539">
        <f t="shared" si="226"/>
        <v>0</v>
      </c>
      <c r="BQ78" s="540">
        <f t="shared" si="227"/>
        <v>0</v>
      </c>
      <c r="BR78" s="529"/>
      <c r="BS78" s="502"/>
      <c r="BT78" s="530"/>
      <c r="BU78" s="498"/>
      <c r="BV78" s="499"/>
      <c r="BW78" s="499"/>
      <c r="BX78" s="499"/>
      <c r="BY78" s="531">
        <f t="shared" si="139"/>
        <v>0</v>
      </c>
      <c r="BZ78" s="532">
        <f t="shared" si="140"/>
        <v>0</v>
      </c>
      <c r="CA78" s="529"/>
      <c r="CB78" s="533"/>
      <c r="CC78" s="533"/>
      <c r="CD78" s="533"/>
      <c r="CE78" s="533">
        <f t="shared" si="141"/>
        <v>0</v>
      </c>
      <c r="CF78" s="534">
        <f t="shared" si="142"/>
        <v>0</v>
      </c>
      <c r="CG78" s="774">
        <f t="shared" si="228"/>
        <v>0</v>
      </c>
      <c r="CH78" s="775">
        <f t="shared" si="229"/>
        <v>0</v>
      </c>
      <c r="CI78" s="548">
        <f t="shared" si="230"/>
        <v>0</v>
      </c>
      <c r="CJ78" s="773">
        <f t="shared" si="231"/>
        <v>0</v>
      </c>
      <c r="CK78" s="773">
        <f t="shared" si="232"/>
        <v>0</v>
      </c>
      <c r="CL78" s="773">
        <f t="shared" si="233"/>
        <v>0</v>
      </c>
      <c r="CM78" s="773">
        <f t="shared" si="234"/>
        <v>0</v>
      </c>
      <c r="CN78" s="773">
        <f t="shared" si="235"/>
        <v>0</v>
      </c>
      <c r="CO78" s="626">
        <f t="shared" si="236"/>
        <v>0</v>
      </c>
      <c r="CP78" s="1145">
        <f t="shared" si="237"/>
        <v>0</v>
      </c>
      <c r="CQ78" s="1146">
        <f t="shared" si="238"/>
        <v>0</v>
      </c>
      <c r="CR78" s="1146">
        <f t="shared" si="239"/>
        <v>0</v>
      </c>
      <c r="CS78" s="1146">
        <f t="shared" si="240"/>
        <v>0</v>
      </c>
      <c r="CT78" s="1146">
        <f t="shared" si="241"/>
        <v>0</v>
      </c>
      <c r="CU78" s="1146">
        <f t="shared" si="242"/>
        <v>0</v>
      </c>
      <c r="CV78" s="1256">
        <f t="shared" si="243"/>
        <v>0</v>
      </c>
      <c r="CW78" s="1157">
        <f t="shared" si="244"/>
        <v>0</v>
      </c>
      <c r="CX78" s="529"/>
      <c r="CY78" s="502"/>
      <c r="CZ78" s="530"/>
      <c r="DA78" s="498"/>
      <c r="DB78" s="499"/>
      <c r="DC78" s="499"/>
      <c r="DD78" s="499"/>
      <c r="DE78" s="531">
        <f t="shared" si="143"/>
        <v>0</v>
      </c>
      <c r="DF78" s="532">
        <f t="shared" si="144"/>
        <v>0</v>
      </c>
      <c r="DG78" s="529"/>
      <c r="DH78" s="533"/>
      <c r="DI78" s="533"/>
      <c r="DJ78" s="533"/>
      <c r="DK78" s="533">
        <f t="shared" si="145"/>
        <v>0</v>
      </c>
      <c r="DL78" s="534">
        <f t="shared" si="146"/>
        <v>0</v>
      </c>
      <c r="DM78" s="1258">
        <f t="shared" si="147"/>
        <v>0</v>
      </c>
      <c r="DN78" s="775">
        <f t="shared" si="148"/>
        <v>0</v>
      </c>
      <c r="DO78" s="548">
        <f t="shared" si="149"/>
        <v>0</v>
      </c>
      <c r="DP78" s="773">
        <f t="shared" si="150"/>
        <v>0</v>
      </c>
      <c r="DQ78" s="773">
        <f t="shared" si="151"/>
        <v>0</v>
      </c>
      <c r="DR78" s="773">
        <f t="shared" si="152"/>
        <v>0</v>
      </c>
      <c r="DS78" s="773">
        <f t="shared" si="153"/>
        <v>0</v>
      </c>
      <c r="DT78" s="773">
        <f t="shared" si="154"/>
        <v>0</v>
      </c>
      <c r="DU78" s="526">
        <f t="shared" si="245"/>
        <v>0</v>
      </c>
      <c r="DV78" s="1145">
        <f t="shared" si="155"/>
        <v>0</v>
      </c>
      <c r="DW78" s="1146">
        <f t="shared" si="156"/>
        <v>0</v>
      </c>
      <c r="DX78" s="1146">
        <f t="shared" si="157"/>
        <v>0</v>
      </c>
      <c r="DY78" s="1146">
        <f t="shared" si="158"/>
        <v>0</v>
      </c>
      <c r="DZ78" s="1146">
        <f t="shared" si="159"/>
        <v>0</v>
      </c>
      <c r="EA78" s="1146">
        <f t="shared" si="160"/>
        <v>0</v>
      </c>
      <c r="EB78" s="539">
        <f t="shared" si="246"/>
        <v>0</v>
      </c>
      <c r="EC78" s="540">
        <f t="shared" si="247"/>
        <v>0</v>
      </c>
      <c r="ES78" s="1258">
        <f t="shared" si="161"/>
        <v>0</v>
      </c>
      <c r="ET78" s="775">
        <f t="shared" si="162"/>
        <v>0</v>
      </c>
      <c r="EU78" s="548">
        <f t="shared" si="163"/>
        <v>0</v>
      </c>
      <c r="EV78" s="773">
        <f t="shared" si="164"/>
        <v>0</v>
      </c>
      <c r="EW78" s="773">
        <f t="shared" si="165"/>
        <v>0</v>
      </c>
      <c r="EX78" s="773">
        <f t="shared" si="166"/>
        <v>0</v>
      </c>
      <c r="EY78" s="773">
        <f t="shared" si="167"/>
        <v>0</v>
      </c>
      <c r="EZ78" s="773">
        <f t="shared" si="168"/>
        <v>0</v>
      </c>
      <c r="FA78" s="626">
        <f t="shared" si="248"/>
        <v>0</v>
      </c>
      <c r="FB78" s="1145">
        <f t="shared" si="169"/>
        <v>0</v>
      </c>
      <c r="FC78" s="1146">
        <f t="shared" si="170"/>
        <v>0</v>
      </c>
      <c r="FD78" s="1146">
        <f t="shared" si="171"/>
        <v>0</v>
      </c>
      <c r="FE78" s="1146">
        <f t="shared" si="172"/>
        <v>0</v>
      </c>
      <c r="FF78" s="1146">
        <f t="shared" si="173"/>
        <v>0</v>
      </c>
      <c r="FG78" s="1146">
        <f t="shared" si="174"/>
        <v>0</v>
      </c>
      <c r="FH78" s="1256">
        <f t="shared" si="249"/>
        <v>0</v>
      </c>
      <c r="FI78" s="1157">
        <f t="shared" si="250"/>
        <v>0</v>
      </c>
      <c r="FY78" s="1258">
        <f t="shared" si="175"/>
        <v>0</v>
      </c>
      <c r="FZ78" s="775">
        <f t="shared" si="176"/>
        <v>0</v>
      </c>
      <c r="GA78" s="548">
        <f t="shared" si="177"/>
        <v>0</v>
      </c>
      <c r="GB78" s="773">
        <f t="shared" si="178"/>
        <v>0</v>
      </c>
      <c r="GC78" s="773">
        <f t="shared" si="179"/>
        <v>0</v>
      </c>
      <c r="GD78" s="773">
        <f t="shared" si="180"/>
        <v>0</v>
      </c>
      <c r="GE78" s="773">
        <f t="shared" si="181"/>
        <v>0</v>
      </c>
      <c r="GF78" s="773">
        <f t="shared" si="182"/>
        <v>0</v>
      </c>
      <c r="GG78" s="626">
        <f t="shared" si="251"/>
        <v>0</v>
      </c>
      <c r="GH78" s="1145">
        <f t="shared" si="183"/>
        <v>0</v>
      </c>
      <c r="GI78" s="1146">
        <f t="shared" si="184"/>
        <v>0</v>
      </c>
      <c r="GJ78" s="1146">
        <f t="shared" si="185"/>
        <v>0</v>
      </c>
      <c r="GK78" s="1146">
        <f t="shared" si="186"/>
        <v>0</v>
      </c>
      <c r="GL78" s="1146">
        <f t="shared" si="187"/>
        <v>0</v>
      </c>
      <c r="GM78" s="1146">
        <f t="shared" si="188"/>
        <v>0</v>
      </c>
      <c r="GN78" s="1256">
        <f t="shared" si="252"/>
        <v>0</v>
      </c>
      <c r="GO78" s="1157">
        <f t="shared" si="253"/>
        <v>0</v>
      </c>
      <c r="HE78" s="1675">
        <f t="shared" si="189"/>
        <v>0</v>
      </c>
      <c r="HF78" s="775">
        <f t="shared" si="190"/>
        <v>0</v>
      </c>
      <c r="HG78" s="548">
        <f t="shared" si="191"/>
        <v>0</v>
      </c>
      <c r="HH78" s="773">
        <f t="shared" si="192"/>
        <v>0</v>
      </c>
      <c r="HI78" s="773">
        <f t="shared" si="193"/>
        <v>0</v>
      </c>
      <c r="HJ78" s="773">
        <f t="shared" si="194"/>
        <v>0</v>
      </c>
      <c r="HK78" s="773">
        <f t="shared" si="195"/>
        <v>0</v>
      </c>
      <c r="HL78" s="773">
        <f t="shared" si="196"/>
        <v>0</v>
      </c>
      <c r="HM78" s="626">
        <f t="shared" si="254"/>
        <v>0</v>
      </c>
      <c r="HN78" s="1145">
        <f t="shared" si="197"/>
        <v>0</v>
      </c>
      <c r="HO78" s="1146">
        <f t="shared" si="198"/>
        <v>0</v>
      </c>
      <c r="HP78" s="1146">
        <f t="shared" si="199"/>
        <v>0</v>
      </c>
      <c r="HQ78" s="1146">
        <f t="shared" si="200"/>
        <v>0</v>
      </c>
      <c r="HR78" s="1146">
        <f t="shared" si="201"/>
        <v>0</v>
      </c>
      <c r="HS78" s="1146">
        <f t="shared" si="202"/>
        <v>0</v>
      </c>
      <c r="HT78" s="1256">
        <f t="shared" si="255"/>
        <v>0</v>
      </c>
      <c r="HU78" s="1157">
        <f t="shared" si="256"/>
        <v>0</v>
      </c>
    </row>
    <row r="79" spans="1:229" ht="13.5" customHeight="1" outlineLevel="1" x14ac:dyDescent="0.2">
      <c r="A79" s="474"/>
      <c r="B79" s="1412"/>
      <c r="C79" s="511">
        <v>70</v>
      </c>
      <c r="D79" s="557" t="s">
        <v>93</v>
      </c>
      <c r="E79" s="1721">
        <v>173</v>
      </c>
      <c r="F79" s="558">
        <v>12439.18</v>
      </c>
      <c r="G79" s="543">
        <f t="shared" si="132"/>
        <v>71.902774566473994</v>
      </c>
      <c r="H79" s="559">
        <v>48</v>
      </c>
      <c r="I79" s="558">
        <v>650.57000000000005</v>
      </c>
      <c r="J79" s="542">
        <f>I79/H79</f>
        <v>13.553541666666668</v>
      </c>
      <c r="K79" s="559">
        <v>2</v>
      </c>
      <c r="L79" s="558">
        <v>153.30000000000001</v>
      </c>
      <c r="M79" s="542">
        <f>L79/K79</f>
        <v>76.650000000000006</v>
      </c>
      <c r="N79" s="545">
        <f t="shared" si="133"/>
        <v>13243.05</v>
      </c>
      <c r="O79" s="518">
        <f>6759278.5-43914.99</f>
        <v>6715363.5099999998</v>
      </c>
      <c r="P79" s="485">
        <f>69195494.41-neprodano!EC50</f>
        <v>68759373.345719993</v>
      </c>
      <c r="Q79" s="518">
        <f>9214494.208-neprodano!ED50</f>
        <v>9154627.6900000013</v>
      </c>
      <c r="R79" s="519">
        <f t="shared" si="134"/>
        <v>84629364.545719996</v>
      </c>
      <c r="S79" s="546">
        <f t="shared" si="203"/>
        <v>84629364.545719996</v>
      </c>
      <c r="T79" s="521">
        <v>23971828.113549899</v>
      </c>
      <c r="U79" s="547">
        <v>0</v>
      </c>
      <c r="V79" s="547">
        <v>0</v>
      </c>
      <c r="W79" s="548">
        <v>0</v>
      </c>
      <c r="X79" s="549">
        <v>0</v>
      </c>
      <c r="Y79" s="549">
        <v>0</v>
      </c>
      <c r="Z79" s="549">
        <v>0</v>
      </c>
      <c r="AA79" s="525">
        <f t="shared" si="204"/>
        <v>0</v>
      </c>
      <c r="AB79" s="524">
        <f t="shared" si="205"/>
        <v>0</v>
      </c>
      <c r="AC79" s="526">
        <f t="shared" si="206"/>
        <v>0</v>
      </c>
      <c r="AD79" s="547">
        <v>0</v>
      </c>
      <c r="AE79" s="547">
        <v>0</v>
      </c>
      <c r="AF79" s="547">
        <v>0</v>
      </c>
      <c r="AG79" s="547">
        <v>0</v>
      </c>
      <c r="AH79" s="363">
        <f t="shared" si="207"/>
        <v>0</v>
      </c>
      <c r="AI79" s="547">
        <f t="shared" si="208"/>
        <v>0</v>
      </c>
      <c r="AJ79" s="550">
        <f t="shared" si="209"/>
        <v>0</v>
      </c>
      <c r="AK79" s="551">
        <f t="shared" si="210"/>
        <v>0</v>
      </c>
      <c r="AL79" s="529"/>
      <c r="AM79" s="502"/>
      <c r="AN79" s="530"/>
      <c r="AO79" s="498"/>
      <c r="AP79" s="499"/>
      <c r="AQ79" s="499"/>
      <c r="AR79" s="499"/>
      <c r="AS79" s="531">
        <f t="shared" si="135"/>
        <v>0</v>
      </c>
      <c r="AT79" s="532">
        <f t="shared" si="136"/>
        <v>0</v>
      </c>
      <c r="AU79" s="529">
        <v>0</v>
      </c>
      <c r="AV79" s="533">
        <v>0</v>
      </c>
      <c r="AW79" s="533">
        <v>0</v>
      </c>
      <c r="AX79" s="533">
        <v>0</v>
      </c>
      <c r="AY79" s="533">
        <f t="shared" si="137"/>
        <v>0</v>
      </c>
      <c r="AZ79" s="534">
        <f t="shared" si="138"/>
        <v>0</v>
      </c>
      <c r="BA79" s="535">
        <f t="shared" si="211"/>
        <v>0</v>
      </c>
      <c r="BB79" s="536">
        <f t="shared" si="212"/>
        <v>0</v>
      </c>
      <c r="BC79" s="523">
        <f t="shared" si="213"/>
        <v>0</v>
      </c>
      <c r="BD79" s="525">
        <f t="shared" si="214"/>
        <v>0</v>
      </c>
      <c r="BE79" s="525">
        <f t="shared" si="215"/>
        <v>0</v>
      </c>
      <c r="BF79" s="525">
        <f t="shared" si="216"/>
        <v>0</v>
      </c>
      <c r="BG79" s="525">
        <f t="shared" si="217"/>
        <v>0</v>
      </c>
      <c r="BH79" s="525">
        <f t="shared" si="218"/>
        <v>0</v>
      </c>
      <c r="BI79" s="526">
        <f t="shared" si="219"/>
        <v>0</v>
      </c>
      <c r="BJ79" s="537">
        <f t="shared" si="220"/>
        <v>0</v>
      </c>
      <c r="BK79" s="538">
        <f t="shared" si="221"/>
        <v>0</v>
      </c>
      <c r="BL79" s="538">
        <f t="shared" si="222"/>
        <v>0</v>
      </c>
      <c r="BM79" s="538">
        <f t="shared" si="223"/>
        <v>0</v>
      </c>
      <c r="BN79" s="538">
        <f t="shared" si="224"/>
        <v>0</v>
      </c>
      <c r="BO79" s="538">
        <f t="shared" si="225"/>
        <v>0</v>
      </c>
      <c r="BP79" s="539">
        <f t="shared" si="226"/>
        <v>0</v>
      </c>
      <c r="BQ79" s="540">
        <f t="shared" si="227"/>
        <v>0</v>
      </c>
      <c r="BR79" s="529"/>
      <c r="BS79" s="502"/>
      <c r="BT79" s="530"/>
      <c r="BU79" s="498"/>
      <c r="BV79" s="499"/>
      <c r="BW79" s="499"/>
      <c r="BX79" s="499"/>
      <c r="BY79" s="531">
        <f t="shared" si="139"/>
        <v>0</v>
      </c>
      <c r="BZ79" s="532">
        <f t="shared" si="140"/>
        <v>0</v>
      </c>
      <c r="CA79" s="529"/>
      <c r="CB79" s="533"/>
      <c r="CC79" s="533"/>
      <c r="CD79" s="533"/>
      <c r="CE79" s="533">
        <f t="shared" si="141"/>
        <v>0</v>
      </c>
      <c r="CF79" s="534">
        <f t="shared" si="142"/>
        <v>0</v>
      </c>
      <c r="CG79" s="774">
        <f t="shared" si="228"/>
        <v>0</v>
      </c>
      <c r="CH79" s="775">
        <f t="shared" si="229"/>
        <v>0</v>
      </c>
      <c r="CI79" s="548">
        <f t="shared" si="230"/>
        <v>0</v>
      </c>
      <c r="CJ79" s="773">
        <f t="shared" si="231"/>
        <v>0</v>
      </c>
      <c r="CK79" s="773">
        <f t="shared" si="232"/>
        <v>0</v>
      </c>
      <c r="CL79" s="773">
        <f t="shared" si="233"/>
        <v>0</v>
      </c>
      <c r="CM79" s="773">
        <f t="shared" si="234"/>
        <v>0</v>
      </c>
      <c r="CN79" s="773">
        <f t="shared" si="235"/>
        <v>0</v>
      </c>
      <c r="CO79" s="626">
        <f t="shared" si="236"/>
        <v>0</v>
      </c>
      <c r="CP79" s="1145">
        <f t="shared" si="237"/>
        <v>0</v>
      </c>
      <c r="CQ79" s="1146">
        <f t="shared" si="238"/>
        <v>0</v>
      </c>
      <c r="CR79" s="1146">
        <f t="shared" si="239"/>
        <v>0</v>
      </c>
      <c r="CS79" s="1146">
        <f t="shared" si="240"/>
        <v>0</v>
      </c>
      <c r="CT79" s="1146">
        <f t="shared" si="241"/>
        <v>0</v>
      </c>
      <c r="CU79" s="1146">
        <f t="shared" si="242"/>
        <v>0</v>
      </c>
      <c r="CV79" s="1256">
        <f t="shared" si="243"/>
        <v>0</v>
      </c>
      <c r="CW79" s="1157">
        <f t="shared" si="244"/>
        <v>0</v>
      </c>
      <c r="CX79" s="529"/>
      <c r="CY79" s="502"/>
      <c r="CZ79" s="530"/>
      <c r="DA79" s="498"/>
      <c r="DB79" s="499"/>
      <c r="DC79" s="499"/>
      <c r="DD79" s="499"/>
      <c r="DE79" s="531">
        <f t="shared" si="143"/>
        <v>0</v>
      </c>
      <c r="DF79" s="532">
        <f t="shared" si="144"/>
        <v>0</v>
      </c>
      <c r="DG79" s="529"/>
      <c r="DH79" s="533"/>
      <c r="DI79" s="533"/>
      <c r="DJ79" s="533"/>
      <c r="DK79" s="533">
        <f t="shared" si="145"/>
        <v>0</v>
      </c>
      <c r="DL79" s="534">
        <f t="shared" si="146"/>
        <v>0</v>
      </c>
      <c r="DM79" s="1258">
        <f t="shared" si="147"/>
        <v>0</v>
      </c>
      <c r="DN79" s="775">
        <f t="shared" si="148"/>
        <v>0</v>
      </c>
      <c r="DO79" s="548">
        <f t="shared" si="149"/>
        <v>0</v>
      </c>
      <c r="DP79" s="773">
        <f t="shared" si="150"/>
        <v>0</v>
      </c>
      <c r="DQ79" s="773">
        <f t="shared" si="151"/>
        <v>0</v>
      </c>
      <c r="DR79" s="773">
        <f t="shared" si="152"/>
        <v>0</v>
      </c>
      <c r="DS79" s="773">
        <f t="shared" si="153"/>
        <v>0</v>
      </c>
      <c r="DT79" s="773">
        <f t="shared" si="154"/>
        <v>0</v>
      </c>
      <c r="DU79" s="526">
        <f t="shared" si="245"/>
        <v>0</v>
      </c>
      <c r="DV79" s="1145">
        <f t="shared" si="155"/>
        <v>0</v>
      </c>
      <c r="DW79" s="1146">
        <f t="shared" si="156"/>
        <v>0</v>
      </c>
      <c r="DX79" s="1146">
        <f t="shared" si="157"/>
        <v>0</v>
      </c>
      <c r="DY79" s="1146">
        <f t="shared" si="158"/>
        <v>0</v>
      </c>
      <c r="DZ79" s="1146">
        <f t="shared" si="159"/>
        <v>0</v>
      </c>
      <c r="EA79" s="1146">
        <f t="shared" si="160"/>
        <v>0</v>
      </c>
      <c r="EB79" s="539">
        <f t="shared" si="246"/>
        <v>0</v>
      </c>
      <c r="EC79" s="540">
        <f t="shared" si="247"/>
        <v>0</v>
      </c>
      <c r="ES79" s="1258">
        <f t="shared" si="161"/>
        <v>0</v>
      </c>
      <c r="ET79" s="775">
        <f t="shared" si="162"/>
        <v>0</v>
      </c>
      <c r="EU79" s="548">
        <f t="shared" si="163"/>
        <v>0</v>
      </c>
      <c r="EV79" s="773">
        <f t="shared" si="164"/>
        <v>0</v>
      </c>
      <c r="EW79" s="773">
        <f t="shared" si="165"/>
        <v>0</v>
      </c>
      <c r="EX79" s="773">
        <f t="shared" si="166"/>
        <v>0</v>
      </c>
      <c r="EY79" s="773">
        <f t="shared" si="167"/>
        <v>0</v>
      </c>
      <c r="EZ79" s="773">
        <f t="shared" si="168"/>
        <v>0</v>
      </c>
      <c r="FA79" s="626">
        <f t="shared" si="248"/>
        <v>0</v>
      </c>
      <c r="FB79" s="1145">
        <f t="shared" si="169"/>
        <v>0</v>
      </c>
      <c r="FC79" s="1146">
        <f t="shared" si="170"/>
        <v>0</v>
      </c>
      <c r="FD79" s="1146">
        <f t="shared" si="171"/>
        <v>0</v>
      </c>
      <c r="FE79" s="1146">
        <f t="shared" si="172"/>
        <v>0</v>
      </c>
      <c r="FF79" s="1146">
        <f t="shared" si="173"/>
        <v>0</v>
      </c>
      <c r="FG79" s="1146">
        <f t="shared" si="174"/>
        <v>0</v>
      </c>
      <c r="FH79" s="1256">
        <f t="shared" si="249"/>
        <v>0</v>
      </c>
      <c r="FI79" s="1157">
        <f t="shared" si="250"/>
        <v>0</v>
      </c>
      <c r="FY79" s="1258">
        <f t="shared" si="175"/>
        <v>0</v>
      </c>
      <c r="FZ79" s="775">
        <f t="shared" si="176"/>
        <v>0</v>
      </c>
      <c r="GA79" s="548">
        <f t="shared" si="177"/>
        <v>0</v>
      </c>
      <c r="GB79" s="773">
        <f t="shared" si="178"/>
        <v>0</v>
      </c>
      <c r="GC79" s="773">
        <f t="shared" si="179"/>
        <v>0</v>
      </c>
      <c r="GD79" s="773">
        <f t="shared" si="180"/>
        <v>0</v>
      </c>
      <c r="GE79" s="773">
        <f t="shared" si="181"/>
        <v>0</v>
      </c>
      <c r="GF79" s="773">
        <f t="shared" si="182"/>
        <v>0</v>
      </c>
      <c r="GG79" s="626">
        <f t="shared" si="251"/>
        <v>0</v>
      </c>
      <c r="GH79" s="1145">
        <f t="shared" si="183"/>
        <v>0</v>
      </c>
      <c r="GI79" s="1146">
        <f t="shared" si="184"/>
        <v>0</v>
      </c>
      <c r="GJ79" s="1146">
        <f t="shared" si="185"/>
        <v>0</v>
      </c>
      <c r="GK79" s="1146">
        <f t="shared" si="186"/>
        <v>0</v>
      </c>
      <c r="GL79" s="1146">
        <f t="shared" si="187"/>
        <v>0</v>
      </c>
      <c r="GM79" s="1146">
        <f t="shared" si="188"/>
        <v>0</v>
      </c>
      <c r="GN79" s="1256">
        <f t="shared" si="252"/>
        <v>0</v>
      </c>
      <c r="GO79" s="1157">
        <f t="shared" si="253"/>
        <v>0</v>
      </c>
      <c r="HE79" s="1675">
        <f t="shared" si="189"/>
        <v>0</v>
      </c>
      <c r="HF79" s="775">
        <f t="shared" si="190"/>
        <v>0</v>
      </c>
      <c r="HG79" s="548">
        <f t="shared" si="191"/>
        <v>0</v>
      </c>
      <c r="HH79" s="773">
        <f t="shared" si="192"/>
        <v>0</v>
      </c>
      <c r="HI79" s="773">
        <f t="shared" si="193"/>
        <v>0</v>
      </c>
      <c r="HJ79" s="773">
        <f t="shared" si="194"/>
        <v>0</v>
      </c>
      <c r="HK79" s="773">
        <f t="shared" si="195"/>
        <v>0</v>
      </c>
      <c r="HL79" s="773">
        <f t="shared" si="196"/>
        <v>0</v>
      </c>
      <c r="HM79" s="626">
        <f t="shared" si="254"/>
        <v>0</v>
      </c>
      <c r="HN79" s="1145">
        <f t="shared" si="197"/>
        <v>0</v>
      </c>
      <c r="HO79" s="1146">
        <f t="shared" si="198"/>
        <v>0</v>
      </c>
      <c r="HP79" s="1146">
        <f t="shared" si="199"/>
        <v>0</v>
      </c>
      <c r="HQ79" s="1146">
        <f t="shared" si="200"/>
        <v>0</v>
      </c>
      <c r="HR79" s="1146">
        <f t="shared" si="201"/>
        <v>0</v>
      </c>
      <c r="HS79" s="1146">
        <f t="shared" si="202"/>
        <v>0</v>
      </c>
      <c r="HT79" s="1256">
        <f t="shared" si="255"/>
        <v>0</v>
      </c>
      <c r="HU79" s="1157">
        <f t="shared" si="256"/>
        <v>0</v>
      </c>
    </row>
    <row r="80" spans="1:229" ht="13.5" customHeight="1" outlineLevel="1" x14ac:dyDescent="0.2">
      <c r="A80" s="474"/>
      <c r="B80" s="1412"/>
      <c r="C80" s="511">
        <v>71</v>
      </c>
      <c r="D80" s="541" t="s">
        <v>51</v>
      </c>
      <c r="E80" s="1721">
        <v>5</v>
      </c>
      <c r="F80" s="558">
        <v>338.29</v>
      </c>
      <c r="G80" s="543">
        <f t="shared" si="132"/>
        <v>67.658000000000001</v>
      </c>
      <c r="H80" s="559">
        <v>0</v>
      </c>
      <c r="I80" s="558">
        <v>0</v>
      </c>
      <c r="J80" s="542">
        <v>0</v>
      </c>
      <c r="K80" s="559">
        <v>2</v>
      </c>
      <c r="L80" s="558">
        <v>157.88</v>
      </c>
      <c r="M80" s="542">
        <f>L80/K80</f>
        <v>78.94</v>
      </c>
      <c r="N80" s="545">
        <f t="shared" si="133"/>
        <v>496.17</v>
      </c>
      <c r="O80" s="518">
        <v>0</v>
      </c>
      <c r="P80" s="485">
        <v>2060584.69</v>
      </c>
      <c r="Q80" s="518">
        <v>0</v>
      </c>
      <c r="R80" s="519">
        <f t="shared" si="134"/>
        <v>2060584.69</v>
      </c>
      <c r="S80" s="546">
        <f t="shared" si="203"/>
        <v>2060584.69</v>
      </c>
      <c r="T80" s="521">
        <v>426999.18</v>
      </c>
      <c r="U80" s="547">
        <v>0</v>
      </c>
      <c r="V80" s="547">
        <v>0</v>
      </c>
      <c r="W80" s="548">
        <v>0</v>
      </c>
      <c r="X80" s="549">
        <v>0</v>
      </c>
      <c r="Y80" s="549">
        <v>0</v>
      </c>
      <c r="Z80" s="549">
        <v>0</v>
      </c>
      <c r="AA80" s="525">
        <f t="shared" si="204"/>
        <v>0</v>
      </c>
      <c r="AB80" s="524">
        <f t="shared" si="205"/>
        <v>0</v>
      </c>
      <c r="AC80" s="526">
        <f t="shared" si="206"/>
        <v>0</v>
      </c>
      <c r="AD80" s="547">
        <v>0</v>
      </c>
      <c r="AE80" s="547">
        <v>0</v>
      </c>
      <c r="AF80" s="547">
        <v>0</v>
      </c>
      <c r="AG80" s="547">
        <v>0</v>
      </c>
      <c r="AH80" s="363">
        <f t="shared" si="207"/>
        <v>0</v>
      </c>
      <c r="AI80" s="547">
        <f t="shared" si="208"/>
        <v>0</v>
      </c>
      <c r="AJ80" s="550">
        <f t="shared" si="209"/>
        <v>0</v>
      </c>
      <c r="AK80" s="551">
        <f t="shared" si="210"/>
        <v>0</v>
      </c>
      <c r="AL80" s="529"/>
      <c r="AM80" s="502"/>
      <c r="AN80" s="530"/>
      <c r="AO80" s="498"/>
      <c r="AP80" s="499"/>
      <c r="AQ80" s="499"/>
      <c r="AR80" s="499"/>
      <c r="AS80" s="531">
        <f t="shared" si="135"/>
        <v>0</v>
      </c>
      <c r="AT80" s="532">
        <f t="shared" si="136"/>
        <v>0</v>
      </c>
      <c r="AU80" s="529">
        <v>0</v>
      </c>
      <c r="AV80" s="533">
        <v>0</v>
      </c>
      <c r="AW80" s="533">
        <v>0</v>
      </c>
      <c r="AX80" s="533">
        <v>0</v>
      </c>
      <c r="AY80" s="533">
        <f t="shared" si="137"/>
        <v>0</v>
      </c>
      <c r="AZ80" s="534">
        <f t="shared" si="138"/>
        <v>0</v>
      </c>
      <c r="BA80" s="535">
        <f t="shared" si="211"/>
        <v>0</v>
      </c>
      <c r="BB80" s="536">
        <f t="shared" si="212"/>
        <v>0</v>
      </c>
      <c r="BC80" s="523">
        <f t="shared" si="213"/>
        <v>0</v>
      </c>
      <c r="BD80" s="525">
        <f t="shared" si="214"/>
        <v>0</v>
      </c>
      <c r="BE80" s="525">
        <f t="shared" si="215"/>
        <v>0</v>
      </c>
      <c r="BF80" s="525">
        <f t="shared" si="216"/>
        <v>0</v>
      </c>
      <c r="BG80" s="525">
        <f t="shared" si="217"/>
        <v>0</v>
      </c>
      <c r="BH80" s="525">
        <f t="shared" si="218"/>
        <v>0</v>
      </c>
      <c r="BI80" s="526">
        <f t="shared" si="219"/>
        <v>0</v>
      </c>
      <c r="BJ80" s="537">
        <f t="shared" si="220"/>
        <v>0</v>
      </c>
      <c r="BK80" s="538">
        <f t="shared" si="221"/>
        <v>0</v>
      </c>
      <c r="BL80" s="538">
        <f t="shared" si="222"/>
        <v>0</v>
      </c>
      <c r="BM80" s="538">
        <f t="shared" si="223"/>
        <v>0</v>
      </c>
      <c r="BN80" s="538">
        <f t="shared" si="224"/>
        <v>0</v>
      </c>
      <c r="BO80" s="538">
        <f t="shared" si="225"/>
        <v>0</v>
      </c>
      <c r="BP80" s="539">
        <f t="shared" si="226"/>
        <v>0</v>
      </c>
      <c r="BQ80" s="540">
        <f t="shared" si="227"/>
        <v>0</v>
      </c>
      <c r="BR80" s="529"/>
      <c r="BS80" s="502"/>
      <c r="BT80" s="530"/>
      <c r="BU80" s="498"/>
      <c r="BV80" s="499"/>
      <c r="BW80" s="499"/>
      <c r="BX80" s="499"/>
      <c r="BY80" s="531">
        <f t="shared" si="139"/>
        <v>0</v>
      </c>
      <c r="BZ80" s="532">
        <f t="shared" si="140"/>
        <v>0</v>
      </c>
      <c r="CA80" s="529"/>
      <c r="CB80" s="533"/>
      <c r="CC80" s="533"/>
      <c r="CD80" s="533"/>
      <c r="CE80" s="533">
        <f t="shared" si="141"/>
        <v>0</v>
      </c>
      <c r="CF80" s="534">
        <f t="shared" si="142"/>
        <v>0</v>
      </c>
      <c r="CG80" s="774">
        <f t="shared" si="228"/>
        <v>0</v>
      </c>
      <c r="CH80" s="775">
        <f t="shared" si="229"/>
        <v>0</v>
      </c>
      <c r="CI80" s="548">
        <f t="shared" si="230"/>
        <v>0</v>
      </c>
      <c r="CJ80" s="773">
        <f t="shared" si="231"/>
        <v>0</v>
      </c>
      <c r="CK80" s="773">
        <f t="shared" si="232"/>
        <v>0</v>
      </c>
      <c r="CL80" s="773">
        <f t="shared" si="233"/>
        <v>0</v>
      </c>
      <c r="CM80" s="773">
        <f t="shared" si="234"/>
        <v>0</v>
      </c>
      <c r="CN80" s="773">
        <f t="shared" si="235"/>
        <v>0</v>
      </c>
      <c r="CO80" s="626">
        <f t="shared" si="236"/>
        <v>0</v>
      </c>
      <c r="CP80" s="1145">
        <f t="shared" si="237"/>
        <v>0</v>
      </c>
      <c r="CQ80" s="1146">
        <f t="shared" si="238"/>
        <v>0</v>
      </c>
      <c r="CR80" s="1146">
        <f t="shared" si="239"/>
        <v>0</v>
      </c>
      <c r="CS80" s="1146">
        <f t="shared" si="240"/>
        <v>0</v>
      </c>
      <c r="CT80" s="1146">
        <f t="shared" si="241"/>
        <v>0</v>
      </c>
      <c r="CU80" s="1146">
        <f t="shared" si="242"/>
        <v>0</v>
      </c>
      <c r="CV80" s="1256">
        <f t="shared" si="243"/>
        <v>0</v>
      </c>
      <c r="CW80" s="1157">
        <f t="shared" si="244"/>
        <v>0</v>
      </c>
      <c r="CX80" s="529"/>
      <c r="CY80" s="502"/>
      <c r="CZ80" s="530"/>
      <c r="DA80" s="498"/>
      <c r="DB80" s="499"/>
      <c r="DC80" s="499"/>
      <c r="DD80" s="499"/>
      <c r="DE80" s="531">
        <f t="shared" si="143"/>
        <v>0</v>
      </c>
      <c r="DF80" s="532">
        <f t="shared" si="144"/>
        <v>0</v>
      </c>
      <c r="DG80" s="529"/>
      <c r="DH80" s="533"/>
      <c r="DI80" s="533"/>
      <c r="DJ80" s="533"/>
      <c r="DK80" s="533">
        <f t="shared" si="145"/>
        <v>0</v>
      </c>
      <c r="DL80" s="534">
        <f t="shared" si="146"/>
        <v>0</v>
      </c>
      <c r="DM80" s="1258">
        <f t="shared" si="147"/>
        <v>0</v>
      </c>
      <c r="DN80" s="775">
        <f t="shared" si="148"/>
        <v>0</v>
      </c>
      <c r="DO80" s="548">
        <f t="shared" si="149"/>
        <v>0</v>
      </c>
      <c r="DP80" s="773">
        <f t="shared" si="150"/>
        <v>0</v>
      </c>
      <c r="DQ80" s="773">
        <f t="shared" si="151"/>
        <v>0</v>
      </c>
      <c r="DR80" s="773">
        <f t="shared" si="152"/>
        <v>0</v>
      </c>
      <c r="DS80" s="773">
        <f t="shared" si="153"/>
        <v>0</v>
      </c>
      <c r="DT80" s="773">
        <f t="shared" si="154"/>
        <v>0</v>
      </c>
      <c r="DU80" s="526">
        <f t="shared" si="245"/>
        <v>0</v>
      </c>
      <c r="DV80" s="1145">
        <f t="shared" si="155"/>
        <v>0</v>
      </c>
      <c r="DW80" s="1146">
        <f t="shared" si="156"/>
        <v>0</v>
      </c>
      <c r="DX80" s="1146">
        <f t="shared" si="157"/>
        <v>0</v>
      </c>
      <c r="DY80" s="1146">
        <f t="shared" si="158"/>
        <v>0</v>
      </c>
      <c r="DZ80" s="1146">
        <f t="shared" si="159"/>
        <v>0</v>
      </c>
      <c r="EA80" s="1146">
        <f t="shared" si="160"/>
        <v>0</v>
      </c>
      <c r="EB80" s="539">
        <f t="shared" si="246"/>
        <v>0</v>
      </c>
      <c r="EC80" s="540">
        <f t="shared" si="247"/>
        <v>0</v>
      </c>
      <c r="ES80" s="1258">
        <f t="shared" si="161"/>
        <v>0</v>
      </c>
      <c r="ET80" s="775">
        <f t="shared" si="162"/>
        <v>0</v>
      </c>
      <c r="EU80" s="548">
        <f t="shared" si="163"/>
        <v>0</v>
      </c>
      <c r="EV80" s="773">
        <f t="shared" si="164"/>
        <v>0</v>
      </c>
      <c r="EW80" s="773">
        <f t="shared" si="165"/>
        <v>0</v>
      </c>
      <c r="EX80" s="773">
        <f t="shared" si="166"/>
        <v>0</v>
      </c>
      <c r="EY80" s="773">
        <f t="shared" si="167"/>
        <v>0</v>
      </c>
      <c r="EZ80" s="773">
        <f t="shared" si="168"/>
        <v>0</v>
      </c>
      <c r="FA80" s="626">
        <f t="shared" si="248"/>
        <v>0</v>
      </c>
      <c r="FB80" s="1145">
        <f t="shared" si="169"/>
        <v>0</v>
      </c>
      <c r="FC80" s="1146">
        <f t="shared" si="170"/>
        <v>0</v>
      </c>
      <c r="FD80" s="1146">
        <f t="shared" si="171"/>
        <v>0</v>
      </c>
      <c r="FE80" s="1146">
        <f t="shared" si="172"/>
        <v>0</v>
      </c>
      <c r="FF80" s="1146">
        <f t="shared" si="173"/>
        <v>0</v>
      </c>
      <c r="FG80" s="1146">
        <f t="shared" si="174"/>
        <v>0</v>
      </c>
      <c r="FH80" s="1256">
        <f t="shared" si="249"/>
        <v>0</v>
      </c>
      <c r="FI80" s="1157">
        <f t="shared" si="250"/>
        <v>0</v>
      </c>
      <c r="FY80" s="1258">
        <f t="shared" si="175"/>
        <v>0</v>
      </c>
      <c r="FZ80" s="775">
        <f t="shared" si="176"/>
        <v>0</v>
      </c>
      <c r="GA80" s="548">
        <f t="shared" si="177"/>
        <v>0</v>
      </c>
      <c r="GB80" s="773">
        <f t="shared" si="178"/>
        <v>0</v>
      </c>
      <c r="GC80" s="773">
        <f t="shared" si="179"/>
        <v>0</v>
      </c>
      <c r="GD80" s="773">
        <f t="shared" si="180"/>
        <v>0</v>
      </c>
      <c r="GE80" s="773">
        <f t="shared" si="181"/>
        <v>0</v>
      </c>
      <c r="GF80" s="773">
        <f t="shared" si="182"/>
        <v>0</v>
      </c>
      <c r="GG80" s="626">
        <f t="shared" si="251"/>
        <v>0</v>
      </c>
      <c r="GH80" s="1145">
        <f t="shared" si="183"/>
        <v>0</v>
      </c>
      <c r="GI80" s="1146">
        <f t="shared" si="184"/>
        <v>0</v>
      </c>
      <c r="GJ80" s="1146">
        <f t="shared" si="185"/>
        <v>0</v>
      </c>
      <c r="GK80" s="1146">
        <f t="shared" si="186"/>
        <v>0</v>
      </c>
      <c r="GL80" s="1146">
        <f t="shared" si="187"/>
        <v>0</v>
      </c>
      <c r="GM80" s="1146">
        <f t="shared" si="188"/>
        <v>0</v>
      </c>
      <c r="GN80" s="1256">
        <f t="shared" si="252"/>
        <v>0</v>
      </c>
      <c r="GO80" s="1157">
        <f t="shared" si="253"/>
        <v>0</v>
      </c>
      <c r="HE80" s="1675">
        <f t="shared" si="189"/>
        <v>0</v>
      </c>
      <c r="HF80" s="775">
        <f t="shared" si="190"/>
        <v>0</v>
      </c>
      <c r="HG80" s="548">
        <f t="shared" si="191"/>
        <v>0</v>
      </c>
      <c r="HH80" s="773">
        <f t="shared" si="192"/>
        <v>0</v>
      </c>
      <c r="HI80" s="773">
        <f t="shared" si="193"/>
        <v>0</v>
      </c>
      <c r="HJ80" s="773">
        <f t="shared" si="194"/>
        <v>0</v>
      </c>
      <c r="HK80" s="773">
        <f t="shared" si="195"/>
        <v>0</v>
      </c>
      <c r="HL80" s="773">
        <f t="shared" si="196"/>
        <v>0</v>
      </c>
      <c r="HM80" s="626">
        <f t="shared" si="254"/>
        <v>0</v>
      </c>
      <c r="HN80" s="1145">
        <f t="shared" si="197"/>
        <v>0</v>
      </c>
      <c r="HO80" s="1146">
        <f t="shared" si="198"/>
        <v>0</v>
      </c>
      <c r="HP80" s="1146">
        <f t="shared" si="199"/>
        <v>0</v>
      </c>
      <c r="HQ80" s="1146">
        <f t="shared" si="200"/>
        <v>0</v>
      </c>
      <c r="HR80" s="1146">
        <f t="shared" si="201"/>
        <v>0</v>
      </c>
      <c r="HS80" s="1146">
        <f t="shared" si="202"/>
        <v>0</v>
      </c>
      <c r="HT80" s="1256">
        <f t="shared" si="255"/>
        <v>0</v>
      </c>
      <c r="HU80" s="1157">
        <f t="shared" si="256"/>
        <v>0</v>
      </c>
    </row>
    <row r="81" spans="1:229" ht="13.5" customHeight="1" outlineLevel="1" x14ac:dyDescent="0.2">
      <c r="A81" s="474"/>
      <c r="B81" s="1412"/>
      <c r="C81" s="511">
        <v>72</v>
      </c>
      <c r="D81" s="557" t="s">
        <v>52</v>
      </c>
      <c r="E81" s="1721">
        <v>51</v>
      </c>
      <c r="F81" s="558">
        <v>3523.16</v>
      </c>
      <c r="G81" s="543">
        <f t="shared" si="132"/>
        <v>69.081568627450977</v>
      </c>
      <c r="H81" s="559">
        <v>10</v>
      </c>
      <c r="I81" s="558">
        <v>89.6</v>
      </c>
      <c r="J81" s="542">
        <f>I81/H81</f>
        <v>8.9599999999999991</v>
      </c>
      <c r="K81" s="559">
        <v>0</v>
      </c>
      <c r="L81" s="558">
        <v>0</v>
      </c>
      <c r="M81" s="542">
        <v>0</v>
      </c>
      <c r="N81" s="545">
        <f t="shared" si="133"/>
        <v>3612.7599999999998</v>
      </c>
      <c r="O81" s="518">
        <v>0</v>
      </c>
      <c r="P81" s="485">
        <v>17422605.879999999</v>
      </c>
      <c r="Q81" s="518">
        <v>1820302.1</v>
      </c>
      <c r="R81" s="519">
        <f t="shared" si="134"/>
        <v>19242907.98</v>
      </c>
      <c r="S81" s="546">
        <f t="shared" si="203"/>
        <v>19242907.98</v>
      </c>
      <c r="T81" s="521">
        <v>4412033.76</v>
      </c>
      <c r="U81" s="547">
        <v>0</v>
      </c>
      <c r="V81" s="547">
        <v>0</v>
      </c>
      <c r="W81" s="548">
        <v>0</v>
      </c>
      <c r="X81" s="549">
        <v>0</v>
      </c>
      <c r="Y81" s="549">
        <v>0</v>
      </c>
      <c r="Z81" s="549">
        <v>0</v>
      </c>
      <c r="AA81" s="525">
        <f t="shared" si="204"/>
        <v>0</v>
      </c>
      <c r="AB81" s="524">
        <f t="shared" si="205"/>
        <v>0</v>
      </c>
      <c r="AC81" s="526">
        <f t="shared" si="206"/>
        <v>0</v>
      </c>
      <c r="AD81" s="547">
        <v>0</v>
      </c>
      <c r="AE81" s="547">
        <v>0</v>
      </c>
      <c r="AF81" s="547">
        <v>0</v>
      </c>
      <c r="AG81" s="547">
        <v>0</v>
      </c>
      <c r="AH81" s="363">
        <f t="shared" si="207"/>
        <v>0</v>
      </c>
      <c r="AI81" s="547">
        <f t="shared" si="208"/>
        <v>0</v>
      </c>
      <c r="AJ81" s="550">
        <f t="shared" si="209"/>
        <v>0</v>
      </c>
      <c r="AK81" s="551">
        <f t="shared" si="210"/>
        <v>0</v>
      </c>
      <c r="AL81" s="529"/>
      <c r="AM81" s="502"/>
      <c r="AN81" s="530"/>
      <c r="AO81" s="498"/>
      <c r="AP81" s="499"/>
      <c r="AQ81" s="499"/>
      <c r="AR81" s="499"/>
      <c r="AS81" s="531">
        <f t="shared" si="135"/>
        <v>0</v>
      </c>
      <c r="AT81" s="532">
        <f t="shared" si="136"/>
        <v>0</v>
      </c>
      <c r="AU81" s="529">
        <v>0</v>
      </c>
      <c r="AV81" s="533">
        <v>0</v>
      </c>
      <c r="AW81" s="533">
        <v>0</v>
      </c>
      <c r="AX81" s="533">
        <v>0</v>
      </c>
      <c r="AY81" s="533">
        <f t="shared" si="137"/>
        <v>0</v>
      </c>
      <c r="AZ81" s="534">
        <f t="shared" si="138"/>
        <v>0</v>
      </c>
      <c r="BA81" s="535">
        <f t="shared" si="211"/>
        <v>0</v>
      </c>
      <c r="BB81" s="536">
        <f t="shared" si="212"/>
        <v>0</v>
      </c>
      <c r="BC81" s="523">
        <f t="shared" si="213"/>
        <v>0</v>
      </c>
      <c r="BD81" s="525">
        <f t="shared" si="214"/>
        <v>0</v>
      </c>
      <c r="BE81" s="525">
        <f t="shared" si="215"/>
        <v>0</v>
      </c>
      <c r="BF81" s="525">
        <f t="shared" si="216"/>
        <v>0</v>
      </c>
      <c r="BG81" s="525">
        <f t="shared" si="217"/>
        <v>0</v>
      </c>
      <c r="BH81" s="525">
        <f t="shared" si="218"/>
        <v>0</v>
      </c>
      <c r="BI81" s="526">
        <f t="shared" si="219"/>
        <v>0</v>
      </c>
      <c r="BJ81" s="537">
        <f t="shared" si="220"/>
        <v>0</v>
      </c>
      <c r="BK81" s="538">
        <f t="shared" si="221"/>
        <v>0</v>
      </c>
      <c r="BL81" s="538">
        <f t="shared" si="222"/>
        <v>0</v>
      </c>
      <c r="BM81" s="538">
        <f t="shared" si="223"/>
        <v>0</v>
      </c>
      <c r="BN81" s="538">
        <f t="shared" si="224"/>
        <v>0</v>
      </c>
      <c r="BO81" s="538">
        <f t="shared" si="225"/>
        <v>0</v>
      </c>
      <c r="BP81" s="539">
        <f t="shared" si="226"/>
        <v>0</v>
      </c>
      <c r="BQ81" s="540">
        <f t="shared" si="227"/>
        <v>0</v>
      </c>
      <c r="BR81" s="529"/>
      <c r="BS81" s="502"/>
      <c r="BT81" s="530"/>
      <c r="BU81" s="498"/>
      <c r="BV81" s="499"/>
      <c r="BW81" s="499"/>
      <c r="BX81" s="499"/>
      <c r="BY81" s="531">
        <f t="shared" si="139"/>
        <v>0</v>
      </c>
      <c r="BZ81" s="532">
        <f t="shared" si="140"/>
        <v>0</v>
      </c>
      <c r="CA81" s="529"/>
      <c r="CB81" s="533"/>
      <c r="CC81" s="533"/>
      <c r="CD81" s="533"/>
      <c r="CE81" s="533">
        <f t="shared" si="141"/>
        <v>0</v>
      </c>
      <c r="CF81" s="534">
        <f t="shared" si="142"/>
        <v>0</v>
      </c>
      <c r="CG81" s="774">
        <f t="shared" si="228"/>
        <v>0</v>
      </c>
      <c r="CH81" s="775">
        <f t="shared" si="229"/>
        <v>0</v>
      </c>
      <c r="CI81" s="548">
        <f t="shared" si="230"/>
        <v>0</v>
      </c>
      <c r="CJ81" s="773">
        <f t="shared" si="231"/>
        <v>0</v>
      </c>
      <c r="CK81" s="773">
        <f t="shared" si="232"/>
        <v>0</v>
      </c>
      <c r="CL81" s="773">
        <f t="shared" si="233"/>
        <v>0</v>
      </c>
      <c r="CM81" s="773">
        <f t="shared" si="234"/>
        <v>0</v>
      </c>
      <c r="CN81" s="773">
        <f t="shared" si="235"/>
        <v>0</v>
      </c>
      <c r="CO81" s="626">
        <f t="shared" si="236"/>
        <v>0</v>
      </c>
      <c r="CP81" s="1145">
        <f t="shared" si="237"/>
        <v>0</v>
      </c>
      <c r="CQ81" s="1146">
        <f t="shared" si="238"/>
        <v>0</v>
      </c>
      <c r="CR81" s="1146">
        <f t="shared" si="239"/>
        <v>0</v>
      </c>
      <c r="CS81" s="1146">
        <f t="shared" si="240"/>
        <v>0</v>
      </c>
      <c r="CT81" s="1146">
        <f t="shared" si="241"/>
        <v>0</v>
      </c>
      <c r="CU81" s="1146">
        <f t="shared" si="242"/>
        <v>0</v>
      </c>
      <c r="CV81" s="1256">
        <f t="shared" si="243"/>
        <v>0</v>
      </c>
      <c r="CW81" s="1157">
        <f t="shared" si="244"/>
        <v>0</v>
      </c>
      <c r="CX81" s="529"/>
      <c r="CY81" s="502"/>
      <c r="CZ81" s="530"/>
      <c r="DA81" s="498"/>
      <c r="DB81" s="499"/>
      <c r="DC81" s="499"/>
      <c r="DD81" s="499"/>
      <c r="DE81" s="531">
        <f t="shared" si="143"/>
        <v>0</v>
      </c>
      <c r="DF81" s="532">
        <f t="shared" si="144"/>
        <v>0</v>
      </c>
      <c r="DG81" s="529"/>
      <c r="DH81" s="533"/>
      <c r="DI81" s="533"/>
      <c r="DJ81" s="533"/>
      <c r="DK81" s="533">
        <f t="shared" si="145"/>
        <v>0</v>
      </c>
      <c r="DL81" s="534">
        <f t="shared" si="146"/>
        <v>0</v>
      </c>
      <c r="DM81" s="1258">
        <f t="shared" si="147"/>
        <v>0</v>
      </c>
      <c r="DN81" s="775">
        <f t="shared" si="148"/>
        <v>0</v>
      </c>
      <c r="DO81" s="548">
        <f t="shared" si="149"/>
        <v>0</v>
      </c>
      <c r="DP81" s="773">
        <f t="shared" si="150"/>
        <v>0</v>
      </c>
      <c r="DQ81" s="773">
        <f t="shared" si="151"/>
        <v>0</v>
      </c>
      <c r="DR81" s="773">
        <f t="shared" si="152"/>
        <v>0</v>
      </c>
      <c r="DS81" s="773">
        <f t="shared" si="153"/>
        <v>0</v>
      </c>
      <c r="DT81" s="773">
        <f t="shared" si="154"/>
        <v>0</v>
      </c>
      <c r="DU81" s="526">
        <f t="shared" si="245"/>
        <v>0</v>
      </c>
      <c r="DV81" s="1145">
        <f t="shared" si="155"/>
        <v>0</v>
      </c>
      <c r="DW81" s="1146">
        <f t="shared" si="156"/>
        <v>0</v>
      </c>
      <c r="DX81" s="1146">
        <f t="shared" si="157"/>
        <v>0</v>
      </c>
      <c r="DY81" s="1146">
        <f t="shared" si="158"/>
        <v>0</v>
      </c>
      <c r="DZ81" s="1146">
        <f t="shared" si="159"/>
        <v>0</v>
      </c>
      <c r="EA81" s="1146">
        <f t="shared" si="160"/>
        <v>0</v>
      </c>
      <c r="EB81" s="539">
        <f t="shared" si="246"/>
        <v>0</v>
      </c>
      <c r="EC81" s="540">
        <f t="shared" si="247"/>
        <v>0</v>
      </c>
      <c r="ES81" s="1258">
        <f t="shared" si="161"/>
        <v>0</v>
      </c>
      <c r="ET81" s="775">
        <f t="shared" si="162"/>
        <v>0</v>
      </c>
      <c r="EU81" s="548">
        <f t="shared" si="163"/>
        <v>0</v>
      </c>
      <c r="EV81" s="773">
        <f t="shared" si="164"/>
        <v>0</v>
      </c>
      <c r="EW81" s="773">
        <f t="shared" si="165"/>
        <v>0</v>
      </c>
      <c r="EX81" s="773">
        <f t="shared" si="166"/>
        <v>0</v>
      </c>
      <c r="EY81" s="773">
        <f t="shared" si="167"/>
        <v>0</v>
      </c>
      <c r="EZ81" s="773">
        <f t="shared" si="168"/>
        <v>0</v>
      </c>
      <c r="FA81" s="626">
        <f t="shared" si="248"/>
        <v>0</v>
      </c>
      <c r="FB81" s="1145">
        <f t="shared" si="169"/>
        <v>0</v>
      </c>
      <c r="FC81" s="1146">
        <f t="shared" si="170"/>
        <v>0</v>
      </c>
      <c r="FD81" s="1146">
        <f t="shared" si="171"/>
        <v>0</v>
      </c>
      <c r="FE81" s="1146">
        <f t="shared" si="172"/>
        <v>0</v>
      </c>
      <c r="FF81" s="1146">
        <f t="shared" si="173"/>
        <v>0</v>
      </c>
      <c r="FG81" s="1146">
        <f t="shared" si="174"/>
        <v>0</v>
      </c>
      <c r="FH81" s="1256">
        <f t="shared" si="249"/>
        <v>0</v>
      </c>
      <c r="FI81" s="1157">
        <f t="shared" si="250"/>
        <v>0</v>
      </c>
      <c r="FY81" s="1258">
        <f t="shared" si="175"/>
        <v>0</v>
      </c>
      <c r="FZ81" s="775">
        <f t="shared" si="176"/>
        <v>0</v>
      </c>
      <c r="GA81" s="548">
        <f t="shared" si="177"/>
        <v>0</v>
      </c>
      <c r="GB81" s="773">
        <f t="shared" si="178"/>
        <v>0</v>
      </c>
      <c r="GC81" s="773">
        <f t="shared" si="179"/>
        <v>0</v>
      </c>
      <c r="GD81" s="773">
        <f t="shared" si="180"/>
        <v>0</v>
      </c>
      <c r="GE81" s="773">
        <f t="shared" si="181"/>
        <v>0</v>
      </c>
      <c r="GF81" s="773">
        <f t="shared" si="182"/>
        <v>0</v>
      </c>
      <c r="GG81" s="626">
        <f t="shared" si="251"/>
        <v>0</v>
      </c>
      <c r="GH81" s="1145">
        <f t="shared" si="183"/>
        <v>0</v>
      </c>
      <c r="GI81" s="1146">
        <f t="shared" si="184"/>
        <v>0</v>
      </c>
      <c r="GJ81" s="1146">
        <f t="shared" si="185"/>
        <v>0</v>
      </c>
      <c r="GK81" s="1146">
        <f t="shared" si="186"/>
        <v>0</v>
      </c>
      <c r="GL81" s="1146">
        <f t="shared" si="187"/>
        <v>0</v>
      </c>
      <c r="GM81" s="1146">
        <f t="shared" si="188"/>
        <v>0</v>
      </c>
      <c r="GN81" s="1256">
        <f t="shared" si="252"/>
        <v>0</v>
      </c>
      <c r="GO81" s="1157">
        <f t="shared" si="253"/>
        <v>0</v>
      </c>
      <c r="HE81" s="1675">
        <f t="shared" si="189"/>
        <v>0</v>
      </c>
      <c r="HF81" s="775">
        <f t="shared" si="190"/>
        <v>0</v>
      </c>
      <c r="HG81" s="548">
        <f t="shared" si="191"/>
        <v>0</v>
      </c>
      <c r="HH81" s="773">
        <f t="shared" si="192"/>
        <v>0</v>
      </c>
      <c r="HI81" s="773">
        <f t="shared" si="193"/>
        <v>0</v>
      </c>
      <c r="HJ81" s="773">
        <f t="shared" si="194"/>
        <v>0</v>
      </c>
      <c r="HK81" s="773">
        <f t="shared" si="195"/>
        <v>0</v>
      </c>
      <c r="HL81" s="773">
        <f t="shared" si="196"/>
        <v>0</v>
      </c>
      <c r="HM81" s="626">
        <f t="shared" si="254"/>
        <v>0</v>
      </c>
      <c r="HN81" s="1145">
        <f t="shared" si="197"/>
        <v>0</v>
      </c>
      <c r="HO81" s="1146">
        <f t="shared" si="198"/>
        <v>0</v>
      </c>
      <c r="HP81" s="1146">
        <f t="shared" si="199"/>
        <v>0</v>
      </c>
      <c r="HQ81" s="1146">
        <f t="shared" si="200"/>
        <v>0</v>
      </c>
      <c r="HR81" s="1146">
        <f t="shared" si="201"/>
        <v>0</v>
      </c>
      <c r="HS81" s="1146">
        <f t="shared" si="202"/>
        <v>0</v>
      </c>
      <c r="HT81" s="1256">
        <f t="shared" si="255"/>
        <v>0</v>
      </c>
      <c r="HU81" s="1157">
        <f t="shared" si="256"/>
        <v>0</v>
      </c>
    </row>
    <row r="82" spans="1:229" outlineLevel="1" x14ac:dyDescent="0.2">
      <c r="A82" s="474"/>
      <c r="B82" s="1412"/>
      <c r="C82" s="511">
        <v>73</v>
      </c>
      <c r="D82" s="561" t="s">
        <v>85</v>
      </c>
      <c r="E82" s="552">
        <v>27</v>
      </c>
      <c r="F82" s="515">
        <v>1978.12</v>
      </c>
      <c r="G82" s="555">
        <f t="shared" si="132"/>
        <v>73.263703703703698</v>
      </c>
      <c r="H82" s="553">
        <v>0</v>
      </c>
      <c r="I82" s="178">
        <v>0</v>
      </c>
      <c r="J82" s="558">
        <v>0</v>
      </c>
      <c r="K82" s="553">
        <v>0</v>
      </c>
      <c r="L82" s="178">
        <v>0</v>
      </c>
      <c r="M82" s="558">
        <v>0</v>
      </c>
      <c r="N82" s="563">
        <f t="shared" si="133"/>
        <v>1978.12</v>
      </c>
      <c r="O82" s="518">
        <v>0</v>
      </c>
      <c r="P82" s="258">
        <v>11419406.919999998</v>
      </c>
      <c r="Q82" s="518">
        <v>1517680.8</v>
      </c>
      <c r="R82" s="519">
        <f t="shared" si="134"/>
        <v>12937087.719999999</v>
      </c>
      <c r="S82" s="520">
        <f t="shared" si="203"/>
        <v>12937087.719999999</v>
      </c>
      <c r="T82" s="726">
        <v>2563314.87</v>
      </c>
      <c r="U82" s="522">
        <v>0</v>
      </c>
      <c r="V82" s="522">
        <v>0</v>
      </c>
      <c r="W82" s="523">
        <v>0</v>
      </c>
      <c r="X82" s="524">
        <v>0</v>
      </c>
      <c r="Y82" s="524">
        <v>0</v>
      </c>
      <c r="Z82" s="524">
        <v>0</v>
      </c>
      <c r="AA82" s="525">
        <f t="shared" si="204"/>
        <v>0</v>
      </c>
      <c r="AB82" s="524">
        <f t="shared" si="205"/>
        <v>0</v>
      </c>
      <c r="AC82" s="526">
        <f t="shared" si="206"/>
        <v>0</v>
      </c>
      <c r="AD82" s="522">
        <v>0</v>
      </c>
      <c r="AE82" s="522">
        <v>0</v>
      </c>
      <c r="AF82" s="522">
        <v>0</v>
      </c>
      <c r="AG82" s="522">
        <v>0</v>
      </c>
      <c r="AH82" s="176">
        <f t="shared" si="207"/>
        <v>0</v>
      </c>
      <c r="AI82" s="522">
        <f t="shared" si="208"/>
        <v>0</v>
      </c>
      <c r="AJ82" s="527">
        <f t="shared" si="209"/>
        <v>0</v>
      </c>
      <c r="AK82" s="528">
        <f t="shared" si="210"/>
        <v>0</v>
      </c>
      <c r="AL82" s="529"/>
      <c r="AM82" s="533"/>
      <c r="AN82" s="725"/>
      <c r="AO82" s="1257"/>
      <c r="AP82" s="531"/>
      <c r="AQ82" s="531"/>
      <c r="AR82" s="531"/>
      <c r="AS82" s="531">
        <f t="shared" si="135"/>
        <v>0</v>
      </c>
      <c r="AT82" s="532">
        <f t="shared" si="136"/>
        <v>0</v>
      </c>
      <c r="AU82" s="529">
        <v>0</v>
      </c>
      <c r="AV82" s="533">
        <v>0</v>
      </c>
      <c r="AW82" s="533">
        <v>0</v>
      </c>
      <c r="AX82" s="533">
        <v>0</v>
      </c>
      <c r="AY82" s="533">
        <f t="shared" si="137"/>
        <v>0</v>
      </c>
      <c r="AZ82" s="534">
        <f t="shared" si="138"/>
        <v>0</v>
      </c>
      <c r="BA82" s="535">
        <f t="shared" si="211"/>
        <v>0</v>
      </c>
      <c r="BB82" s="536">
        <f t="shared" si="212"/>
        <v>0</v>
      </c>
      <c r="BC82" s="523">
        <f t="shared" si="213"/>
        <v>0</v>
      </c>
      <c r="BD82" s="525">
        <f t="shared" si="214"/>
        <v>0</v>
      </c>
      <c r="BE82" s="525">
        <f t="shared" si="215"/>
        <v>0</v>
      </c>
      <c r="BF82" s="525">
        <f t="shared" si="216"/>
        <v>0</v>
      </c>
      <c r="BG82" s="525">
        <f t="shared" si="217"/>
        <v>0</v>
      </c>
      <c r="BH82" s="525">
        <f t="shared" si="218"/>
        <v>0</v>
      </c>
      <c r="BI82" s="526">
        <f t="shared" si="219"/>
        <v>0</v>
      </c>
      <c r="BJ82" s="537">
        <f t="shared" si="220"/>
        <v>0</v>
      </c>
      <c r="BK82" s="538">
        <f t="shared" si="221"/>
        <v>0</v>
      </c>
      <c r="BL82" s="538">
        <f t="shared" si="222"/>
        <v>0</v>
      </c>
      <c r="BM82" s="538">
        <f t="shared" si="223"/>
        <v>0</v>
      </c>
      <c r="BN82" s="538">
        <f t="shared" si="224"/>
        <v>0</v>
      </c>
      <c r="BO82" s="538">
        <f t="shared" si="225"/>
        <v>0</v>
      </c>
      <c r="BP82" s="539">
        <f t="shared" si="226"/>
        <v>0</v>
      </c>
      <c r="BQ82" s="540">
        <f t="shared" si="227"/>
        <v>0</v>
      </c>
      <c r="BR82" s="529"/>
      <c r="BS82" s="533"/>
      <c r="BT82" s="725"/>
      <c r="BU82" s="1257"/>
      <c r="BV82" s="531"/>
      <c r="BW82" s="531"/>
      <c r="BX82" s="531"/>
      <c r="BY82" s="531">
        <f t="shared" si="139"/>
        <v>0</v>
      </c>
      <c r="BZ82" s="532">
        <f t="shared" si="140"/>
        <v>0</v>
      </c>
      <c r="CA82" s="529"/>
      <c r="CB82" s="533"/>
      <c r="CC82" s="533"/>
      <c r="CD82" s="533"/>
      <c r="CE82" s="533">
        <f t="shared" si="141"/>
        <v>0</v>
      </c>
      <c r="CF82" s="534">
        <f t="shared" si="142"/>
        <v>0</v>
      </c>
      <c r="CG82" s="774">
        <f t="shared" si="228"/>
        <v>0</v>
      </c>
      <c r="CH82" s="775">
        <f t="shared" si="229"/>
        <v>0</v>
      </c>
      <c r="CI82" s="548">
        <f t="shared" si="230"/>
        <v>0</v>
      </c>
      <c r="CJ82" s="773">
        <f t="shared" si="231"/>
        <v>0</v>
      </c>
      <c r="CK82" s="773">
        <f t="shared" si="232"/>
        <v>0</v>
      </c>
      <c r="CL82" s="773">
        <f t="shared" si="233"/>
        <v>0</v>
      </c>
      <c r="CM82" s="773">
        <f t="shared" si="234"/>
        <v>0</v>
      </c>
      <c r="CN82" s="773">
        <f t="shared" si="235"/>
        <v>0</v>
      </c>
      <c r="CO82" s="626">
        <f t="shared" si="236"/>
        <v>0</v>
      </c>
      <c r="CP82" s="1145">
        <f t="shared" si="237"/>
        <v>0</v>
      </c>
      <c r="CQ82" s="1146">
        <f t="shared" si="238"/>
        <v>0</v>
      </c>
      <c r="CR82" s="1146">
        <f t="shared" si="239"/>
        <v>0</v>
      </c>
      <c r="CS82" s="1146">
        <f t="shared" si="240"/>
        <v>0</v>
      </c>
      <c r="CT82" s="1146">
        <f t="shared" si="241"/>
        <v>0</v>
      </c>
      <c r="CU82" s="1146">
        <f t="shared" si="242"/>
        <v>0</v>
      </c>
      <c r="CV82" s="1256">
        <f t="shared" si="243"/>
        <v>0</v>
      </c>
      <c r="CW82" s="1157">
        <f t="shared" si="244"/>
        <v>0</v>
      </c>
      <c r="CX82" s="529"/>
      <c r="CY82" s="533"/>
      <c r="CZ82" s="725"/>
      <c r="DA82" s="1257"/>
      <c r="DB82" s="531"/>
      <c r="DC82" s="531"/>
      <c r="DD82" s="531"/>
      <c r="DE82" s="531">
        <f t="shared" si="143"/>
        <v>0</v>
      </c>
      <c r="DF82" s="532">
        <f t="shared" si="144"/>
        <v>0</v>
      </c>
      <c r="DG82" s="529"/>
      <c r="DH82" s="533"/>
      <c r="DI82" s="533"/>
      <c r="DJ82" s="533"/>
      <c r="DK82" s="533">
        <f t="shared" si="145"/>
        <v>0</v>
      </c>
      <c r="DL82" s="534">
        <f t="shared" si="146"/>
        <v>0</v>
      </c>
      <c r="DM82" s="1258">
        <f t="shared" si="147"/>
        <v>0</v>
      </c>
      <c r="DN82" s="775">
        <f t="shared" si="148"/>
        <v>0</v>
      </c>
      <c r="DO82" s="548">
        <f t="shared" si="149"/>
        <v>0</v>
      </c>
      <c r="DP82" s="773">
        <f t="shared" si="150"/>
        <v>0</v>
      </c>
      <c r="DQ82" s="773">
        <f t="shared" si="151"/>
        <v>0</v>
      </c>
      <c r="DR82" s="773">
        <f t="shared" si="152"/>
        <v>0</v>
      </c>
      <c r="DS82" s="773">
        <f t="shared" si="153"/>
        <v>0</v>
      </c>
      <c r="DT82" s="773">
        <f t="shared" si="154"/>
        <v>0</v>
      </c>
      <c r="DU82" s="526">
        <f t="shared" si="245"/>
        <v>0</v>
      </c>
      <c r="DV82" s="1145">
        <f t="shared" si="155"/>
        <v>0</v>
      </c>
      <c r="DW82" s="1146">
        <f t="shared" si="156"/>
        <v>0</v>
      </c>
      <c r="DX82" s="1146">
        <f t="shared" si="157"/>
        <v>0</v>
      </c>
      <c r="DY82" s="1146">
        <f t="shared" si="158"/>
        <v>0</v>
      </c>
      <c r="DZ82" s="1146">
        <f t="shared" si="159"/>
        <v>0</v>
      </c>
      <c r="EA82" s="1146">
        <f t="shared" si="160"/>
        <v>0</v>
      </c>
      <c r="EB82" s="539">
        <f t="shared" si="246"/>
        <v>0</v>
      </c>
      <c r="EC82" s="540">
        <f t="shared" si="247"/>
        <v>0</v>
      </c>
      <c r="ES82" s="1258">
        <f t="shared" si="161"/>
        <v>0</v>
      </c>
      <c r="ET82" s="775">
        <f t="shared" si="162"/>
        <v>0</v>
      </c>
      <c r="EU82" s="548">
        <f t="shared" si="163"/>
        <v>0</v>
      </c>
      <c r="EV82" s="773">
        <f t="shared" si="164"/>
        <v>0</v>
      </c>
      <c r="EW82" s="773">
        <f t="shared" si="165"/>
        <v>0</v>
      </c>
      <c r="EX82" s="773">
        <f t="shared" si="166"/>
        <v>0</v>
      </c>
      <c r="EY82" s="773">
        <f t="shared" si="167"/>
        <v>0</v>
      </c>
      <c r="EZ82" s="773">
        <f t="shared" si="168"/>
        <v>0</v>
      </c>
      <c r="FA82" s="626">
        <f t="shared" si="248"/>
        <v>0</v>
      </c>
      <c r="FB82" s="1145">
        <f t="shared" si="169"/>
        <v>0</v>
      </c>
      <c r="FC82" s="1146">
        <f t="shared" si="170"/>
        <v>0</v>
      </c>
      <c r="FD82" s="1146">
        <f t="shared" si="171"/>
        <v>0</v>
      </c>
      <c r="FE82" s="1146">
        <f t="shared" si="172"/>
        <v>0</v>
      </c>
      <c r="FF82" s="1146">
        <f t="shared" si="173"/>
        <v>0</v>
      </c>
      <c r="FG82" s="1146">
        <f t="shared" si="174"/>
        <v>0</v>
      </c>
      <c r="FH82" s="1256">
        <f t="shared" si="249"/>
        <v>0</v>
      </c>
      <c r="FI82" s="1157">
        <f t="shared" si="250"/>
        <v>0</v>
      </c>
      <c r="FY82" s="1258">
        <f t="shared" si="175"/>
        <v>0</v>
      </c>
      <c r="FZ82" s="775">
        <f t="shared" si="176"/>
        <v>0</v>
      </c>
      <c r="GA82" s="548">
        <f t="shared" si="177"/>
        <v>0</v>
      </c>
      <c r="GB82" s="773">
        <f t="shared" si="178"/>
        <v>0</v>
      </c>
      <c r="GC82" s="773">
        <f t="shared" si="179"/>
        <v>0</v>
      </c>
      <c r="GD82" s="773">
        <f t="shared" si="180"/>
        <v>0</v>
      </c>
      <c r="GE82" s="773">
        <f t="shared" si="181"/>
        <v>0</v>
      </c>
      <c r="GF82" s="773">
        <f t="shared" si="182"/>
        <v>0</v>
      </c>
      <c r="GG82" s="626">
        <f t="shared" si="251"/>
        <v>0</v>
      </c>
      <c r="GH82" s="1145">
        <f t="shared" si="183"/>
        <v>0</v>
      </c>
      <c r="GI82" s="1146">
        <f t="shared" si="184"/>
        <v>0</v>
      </c>
      <c r="GJ82" s="1146">
        <f t="shared" si="185"/>
        <v>0</v>
      </c>
      <c r="GK82" s="1146">
        <f t="shared" si="186"/>
        <v>0</v>
      </c>
      <c r="GL82" s="1146">
        <f t="shared" si="187"/>
        <v>0</v>
      </c>
      <c r="GM82" s="1146">
        <f t="shared" si="188"/>
        <v>0</v>
      </c>
      <c r="GN82" s="1256">
        <f t="shared" si="252"/>
        <v>0</v>
      </c>
      <c r="GO82" s="1157">
        <f t="shared" si="253"/>
        <v>0</v>
      </c>
      <c r="HE82" s="1675">
        <f t="shared" si="189"/>
        <v>0</v>
      </c>
      <c r="HF82" s="775">
        <f t="shared" si="190"/>
        <v>0</v>
      </c>
      <c r="HG82" s="548">
        <f t="shared" si="191"/>
        <v>0</v>
      </c>
      <c r="HH82" s="773">
        <f t="shared" si="192"/>
        <v>0</v>
      </c>
      <c r="HI82" s="773">
        <f t="shared" si="193"/>
        <v>0</v>
      </c>
      <c r="HJ82" s="773">
        <f t="shared" si="194"/>
        <v>0</v>
      </c>
      <c r="HK82" s="773">
        <f t="shared" si="195"/>
        <v>0</v>
      </c>
      <c r="HL82" s="773">
        <f t="shared" si="196"/>
        <v>0</v>
      </c>
      <c r="HM82" s="626">
        <f t="shared" si="254"/>
        <v>0</v>
      </c>
      <c r="HN82" s="1145">
        <f t="shared" si="197"/>
        <v>0</v>
      </c>
      <c r="HO82" s="1146">
        <f t="shared" si="198"/>
        <v>0</v>
      </c>
      <c r="HP82" s="1146">
        <f t="shared" si="199"/>
        <v>0</v>
      </c>
      <c r="HQ82" s="1146">
        <f t="shared" si="200"/>
        <v>0</v>
      </c>
      <c r="HR82" s="1146">
        <f t="shared" si="201"/>
        <v>0</v>
      </c>
      <c r="HS82" s="1146">
        <f t="shared" si="202"/>
        <v>0</v>
      </c>
      <c r="HT82" s="1256">
        <f t="shared" si="255"/>
        <v>0</v>
      </c>
      <c r="HU82" s="1157">
        <f t="shared" si="256"/>
        <v>0</v>
      </c>
    </row>
    <row r="83" spans="1:229" ht="13.5" customHeight="1" outlineLevel="1" x14ac:dyDescent="0.2">
      <c r="A83" s="474"/>
      <c r="B83" s="1412"/>
      <c r="C83" s="511">
        <v>74</v>
      </c>
      <c r="D83" s="575" t="s">
        <v>54</v>
      </c>
      <c r="E83" s="1721">
        <v>91</v>
      </c>
      <c r="F83" s="558">
        <v>5987.27</v>
      </c>
      <c r="G83" s="543">
        <f t="shared" si="132"/>
        <v>65.794175824175824</v>
      </c>
      <c r="H83" s="559">
        <v>47</v>
      </c>
      <c r="I83" s="558">
        <v>829.43</v>
      </c>
      <c r="J83" s="542">
        <f>I83/H83</f>
        <v>17.647446808510637</v>
      </c>
      <c r="K83" s="559">
        <v>16</v>
      </c>
      <c r="L83" s="558">
        <v>292.41000000000003</v>
      </c>
      <c r="M83" s="542">
        <f>L83/K83</f>
        <v>18.275625000000002</v>
      </c>
      <c r="N83" s="545">
        <f t="shared" si="133"/>
        <v>7109.1100000000006</v>
      </c>
      <c r="O83" s="518">
        <v>796662.21</v>
      </c>
      <c r="P83" s="485">
        <v>36967023.5</v>
      </c>
      <c r="Q83" s="518">
        <v>0</v>
      </c>
      <c r="R83" s="519">
        <f t="shared" si="134"/>
        <v>37763685.710000001</v>
      </c>
      <c r="S83" s="546">
        <f t="shared" si="203"/>
        <v>37763685.710000001</v>
      </c>
      <c r="T83" s="521">
        <v>7781665.2699999996</v>
      </c>
      <c r="U83" s="547">
        <v>0</v>
      </c>
      <c r="V83" s="547">
        <v>0</v>
      </c>
      <c r="W83" s="548">
        <v>0</v>
      </c>
      <c r="X83" s="549">
        <v>0</v>
      </c>
      <c r="Y83" s="549">
        <v>0</v>
      </c>
      <c r="Z83" s="549">
        <v>0</v>
      </c>
      <c r="AA83" s="525">
        <f t="shared" si="204"/>
        <v>0</v>
      </c>
      <c r="AB83" s="524">
        <f t="shared" si="205"/>
        <v>0</v>
      </c>
      <c r="AC83" s="526">
        <f t="shared" si="206"/>
        <v>0</v>
      </c>
      <c r="AD83" s="547">
        <v>0</v>
      </c>
      <c r="AE83" s="547">
        <v>0</v>
      </c>
      <c r="AF83" s="547">
        <v>0</v>
      </c>
      <c r="AG83" s="547">
        <v>0</v>
      </c>
      <c r="AH83" s="363">
        <f t="shared" si="207"/>
        <v>0</v>
      </c>
      <c r="AI83" s="547">
        <f t="shared" si="208"/>
        <v>0</v>
      </c>
      <c r="AJ83" s="550">
        <f t="shared" si="209"/>
        <v>0</v>
      </c>
      <c r="AK83" s="551">
        <f t="shared" si="210"/>
        <v>0</v>
      </c>
      <c r="AL83" s="529"/>
      <c r="AM83" s="502"/>
      <c r="AN83" s="530"/>
      <c r="AO83" s="498"/>
      <c r="AP83" s="499"/>
      <c r="AQ83" s="499"/>
      <c r="AR83" s="499"/>
      <c r="AS83" s="531">
        <f t="shared" si="135"/>
        <v>0</v>
      </c>
      <c r="AT83" s="532">
        <f t="shared" si="136"/>
        <v>0</v>
      </c>
      <c r="AU83" s="529">
        <v>0</v>
      </c>
      <c r="AV83" s="533">
        <v>0</v>
      </c>
      <c r="AW83" s="533">
        <v>0</v>
      </c>
      <c r="AX83" s="533">
        <v>0</v>
      </c>
      <c r="AY83" s="533">
        <f t="shared" si="137"/>
        <v>0</v>
      </c>
      <c r="AZ83" s="534">
        <f t="shared" si="138"/>
        <v>0</v>
      </c>
      <c r="BA83" s="535">
        <f t="shared" si="211"/>
        <v>0</v>
      </c>
      <c r="BB83" s="536">
        <f t="shared" si="212"/>
        <v>0</v>
      </c>
      <c r="BC83" s="523">
        <f t="shared" si="213"/>
        <v>0</v>
      </c>
      <c r="BD83" s="525">
        <f t="shared" si="214"/>
        <v>0</v>
      </c>
      <c r="BE83" s="525">
        <f t="shared" si="215"/>
        <v>0</v>
      </c>
      <c r="BF83" s="525">
        <f t="shared" si="216"/>
        <v>0</v>
      </c>
      <c r="BG83" s="525">
        <f t="shared" si="217"/>
        <v>0</v>
      </c>
      <c r="BH83" s="525">
        <f t="shared" si="218"/>
        <v>0</v>
      </c>
      <c r="BI83" s="526">
        <f t="shared" si="219"/>
        <v>0</v>
      </c>
      <c r="BJ83" s="537">
        <f t="shared" si="220"/>
        <v>0</v>
      </c>
      <c r="BK83" s="538">
        <f t="shared" si="221"/>
        <v>0</v>
      </c>
      <c r="BL83" s="538">
        <f t="shared" si="222"/>
        <v>0</v>
      </c>
      <c r="BM83" s="538">
        <f t="shared" si="223"/>
        <v>0</v>
      </c>
      <c r="BN83" s="538">
        <f t="shared" si="224"/>
        <v>0</v>
      </c>
      <c r="BO83" s="538">
        <f t="shared" si="225"/>
        <v>0</v>
      </c>
      <c r="BP83" s="539">
        <f t="shared" si="226"/>
        <v>0</v>
      </c>
      <c r="BQ83" s="540">
        <f t="shared" si="227"/>
        <v>0</v>
      </c>
      <c r="BR83" s="529"/>
      <c r="BS83" s="502"/>
      <c r="BT83" s="530"/>
      <c r="BU83" s="498"/>
      <c r="BV83" s="499"/>
      <c r="BW83" s="499"/>
      <c r="BX83" s="499"/>
      <c r="BY83" s="531">
        <f t="shared" si="139"/>
        <v>0</v>
      </c>
      <c r="BZ83" s="532">
        <f t="shared" si="140"/>
        <v>0</v>
      </c>
      <c r="CA83" s="529"/>
      <c r="CB83" s="533"/>
      <c r="CC83" s="533"/>
      <c r="CD83" s="533"/>
      <c r="CE83" s="533">
        <f t="shared" si="141"/>
        <v>0</v>
      </c>
      <c r="CF83" s="534">
        <f t="shared" si="142"/>
        <v>0</v>
      </c>
      <c r="CG83" s="774">
        <f t="shared" si="228"/>
        <v>0</v>
      </c>
      <c r="CH83" s="775">
        <f t="shared" si="229"/>
        <v>0</v>
      </c>
      <c r="CI83" s="548">
        <f t="shared" si="230"/>
        <v>0</v>
      </c>
      <c r="CJ83" s="773">
        <f t="shared" si="231"/>
        <v>0</v>
      </c>
      <c r="CK83" s="773">
        <f t="shared" si="232"/>
        <v>0</v>
      </c>
      <c r="CL83" s="773">
        <f t="shared" si="233"/>
        <v>0</v>
      </c>
      <c r="CM83" s="773">
        <f t="shared" si="234"/>
        <v>0</v>
      </c>
      <c r="CN83" s="773">
        <f t="shared" si="235"/>
        <v>0</v>
      </c>
      <c r="CO83" s="626">
        <f t="shared" si="236"/>
        <v>0</v>
      </c>
      <c r="CP83" s="1145">
        <f t="shared" si="237"/>
        <v>0</v>
      </c>
      <c r="CQ83" s="1146">
        <f t="shared" si="238"/>
        <v>0</v>
      </c>
      <c r="CR83" s="1146">
        <f t="shared" si="239"/>
        <v>0</v>
      </c>
      <c r="CS83" s="1146">
        <f t="shared" si="240"/>
        <v>0</v>
      </c>
      <c r="CT83" s="1146">
        <f t="shared" si="241"/>
        <v>0</v>
      </c>
      <c r="CU83" s="1146">
        <f t="shared" si="242"/>
        <v>0</v>
      </c>
      <c r="CV83" s="1256">
        <f t="shared" si="243"/>
        <v>0</v>
      </c>
      <c r="CW83" s="1157">
        <f t="shared" si="244"/>
        <v>0</v>
      </c>
      <c r="CX83" s="529"/>
      <c r="CY83" s="502"/>
      <c r="CZ83" s="530"/>
      <c r="DA83" s="498"/>
      <c r="DB83" s="499"/>
      <c r="DC83" s="499"/>
      <c r="DD83" s="499"/>
      <c r="DE83" s="531">
        <f t="shared" si="143"/>
        <v>0</v>
      </c>
      <c r="DF83" s="532">
        <f t="shared" si="144"/>
        <v>0</v>
      </c>
      <c r="DG83" s="529"/>
      <c r="DH83" s="533"/>
      <c r="DI83" s="533"/>
      <c r="DJ83" s="533"/>
      <c r="DK83" s="533">
        <f t="shared" si="145"/>
        <v>0</v>
      </c>
      <c r="DL83" s="534">
        <f t="shared" si="146"/>
        <v>0</v>
      </c>
      <c r="DM83" s="1258">
        <f t="shared" si="147"/>
        <v>0</v>
      </c>
      <c r="DN83" s="775">
        <f t="shared" si="148"/>
        <v>0</v>
      </c>
      <c r="DO83" s="548">
        <f t="shared" si="149"/>
        <v>0</v>
      </c>
      <c r="DP83" s="773">
        <f t="shared" si="150"/>
        <v>0</v>
      </c>
      <c r="DQ83" s="773">
        <f t="shared" si="151"/>
        <v>0</v>
      </c>
      <c r="DR83" s="773">
        <f t="shared" si="152"/>
        <v>0</v>
      </c>
      <c r="DS83" s="773">
        <f t="shared" si="153"/>
        <v>0</v>
      </c>
      <c r="DT83" s="773">
        <f t="shared" si="154"/>
        <v>0</v>
      </c>
      <c r="DU83" s="526">
        <f t="shared" si="245"/>
        <v>0</v>
      </c>
      <c r="DV83" s="1145">
        <f t="shared" si="155"/>
        <v>0</v>
      </c>
      <c r="DW83" s="1146">
        <f t="shared" si="156"/>
        <v>0</v>
      </c>
      <c r="DX83" s="1146">
        <f t="shared" si="157"/>
        <v>0</v>
      </c>
      <c r="DY83" s="1146">
        <f t="shared" si="158"/>
        <v>0</v>
      </c>
      <c r="DZ83" s="1146">
        <f t="shared" si="159"/>
        <v>0</v>
      </c>
      <c r="EA83" s="1146">
        <f t="shared" si="160"/>
        <v>0</v>
      </c>
      <c r="EB83" s="539">
        <f t="shared" si="246"/>
        <v>0</v>
      </c>
      <c r="EC83" s="540">
        <f t="shared" si="247"/>
        <v>0</v>
      </c>
      <c r="ES83" s="1258">
        <f t="shared" si="161"/>
        <v>0</v>
      </c>
      <c r="ET83" s="775">
        <f t="shared" si="162"/>
        <v>0</v>
      </c>
      <c r="EU83" s="548">
        <f t="shared" si="163"/>
        <v>0</v>
      </c>
      <c r="EV83" s="773">
        <f t="shared" si="164"/>
        <v>0</v>
      </c>
      <c r="EW83" s="773">
        <f t="shared" si="165"/>
        <v>0</v>
      </c>
      <c r="EX83" s="773">
        <f t="shared" si="166"/>
        <v>0</v>
      </c>
      <c r="EY83" s="773">
        <f t="shared" si="167"/>
        <v>0</v>
      </c>
      <c r="EZ83" s="773">
        <f t="shared" si="168"/>
        <v>0</v>
      </c>
      <c r="FA83" s="626">
        <f t="shared" si="248"/>
        <v>0</v>
      </c>
      <c r="FB83" s="1145">
        <f t="shared" si="169"/>
        <v>0</v>
      </c>
      <c r="FC83" s="1146">
        <f t="shared" si="170"/>
        <v>0</v>
      </c>
      <c r="FD83" s="1146">
        <f t="shared" si="171"/>
        <v>0</v>
      </c>
      <c r="FE83" s="1146">
        <f t="shared" si="172"/>
        <v>0</v>
      </c>
      <c r="FF83" s="1146">
        <f t="shared" si="173"/>
        <v>0</v>
      </c>
      <c r="FG83" s="1146">
        <f t="shared" si="174"/>
        <v>0</v>
      </c>
      <c r="FH83" s="1256">
        <f t="shared" si="249"/>
        <v>0</v>
      </c>
      <c r="FI83" s="1157">
        <f t="shared" si="250"/>
        <v>0</v>
      </c>
      <c r="FY83" s="1258">
        <f t="shared" si="175"/>
        <v>0</v>
      </c>
      <c r="FZ83" s="775">
        <f t="shared" si="176"/>
        <v>0</v>
      </c>
      <c r="GA83" s="548">
        <f t="shared" si="177"/>
        <v>0</v>
      </c>
      <c r="GB83" s="773">
        <f t="shared" si="178"/>
        <v>0</v>
      </c>
      <c r="GC83" s="773">
        <f t="shared" si="179"/>
        <v>0</v>
      </c>
      <c r="GD83" s="773">
        <f t="shared" si="180"/>
        <v>0</v>
      </c>
      <c r="GE83" s="773">
        <f t="shared" si="181"/>
        <v>0</v>
      </c>
      <c r="GF83" s="773">
        <f t="shared" si="182"/>
        <v>0</v>
      </c>
      <c r="GG83" s="626">
        <f t="shared" si="251"/>
        <v>0</v>
      </c>
      <c r="GH83" s="1145">
        <f t="shared" si="183"/>
        <v>0</v>
      </c>
      <c r="GI83" s="1146">
        <f t="shared" si="184"/>
        <v>0</v>
      </c>
      <c r="GJ83" s="1146">
        <f t="shared" si="185"/>
        <v>0</v>
      </c>
      <c r="GK83" s="1146">
        <f t="shared" si="186"/>
        <v>0</v>
      </c>
      <c r="GL83" s="1146">
        <f t="shared" si="187"/>
        <v>0</v>
      </c>
      <c r="GM83" s="1146">
        <f t="shared" si="188"/>
        <v>0</v>
      </c>
      <c r="GN83" s="1256">
        <f t="shared" si="252"/>
        <v>0</v>
      </c>
      <c r="GO83" s="1157">
        <f t="shared" si="253"/>
        <v>0</v>
      </c>
      <c r="HE83" s="1675">
        <f t="shared" si="189"/>
        <v>0</v>
      </c>
      <c r="HF83" s="775">
        <f t="shared" si="190"/>
        <v>0</v>
      </c>
      <c r="HG83" s="548">
        <f t="shared" si="191"/>
        <v>0</v>
      </c>
      <c r="HH83" s="773">
        <f t="shared" si="192"/>
        <v>0</v>
      </c>
      <c r="HI83" s="773">
        <f t="shared" si="193"/>
        <v>0</v>
      </c>
      <c r="HJ83" s="773">
        <f t="shared" si="194"/>
        <v>0</v>
      </c>
      <c r="HK83" s="773">
        <f t="shared" si="195"/>
        <v>0</v>
      </c>
      <c r="HL83" s="773">
        <f t="shared" si="196"/>
        <v>0</v>
      </c>
      <c r="HM83" s="626">
        <f t="shared" si="254"/>
        <v>0</v>
      </c>
      <c r="HN83" s="1145">
        <f t="shared" si="197"/>
        <v>0</v>
      </c>
      <c r="HO83" s="1146">
        <f t="shared" si="198"/>
        <v>0</v>
      </c>
      <c r="HP83" s="1146">
        <f t="shared" si="199"/>
        <v>0</v>
      </c>
      <c r="HQ83" s="1146">
        <f t="shared" si="200"/>
        <v>0</v>
      </c>
      <c r="HR83" s="1146">
        <f t="shared" si="201"/>
        <v>0</v>
      </c>
      <c r="HS83" s="1146">
        <f t="shared" si="202"/>
        <v>0</v>
      </c>
      <c r="HT83" s="1256">
        <f t="shared" si="255"/>
        <v>0</v>
      </c>
      <c r="HU83" s="1157">
        <f t="shared" si="256"/>
        <v>0</v>
      </c>
    </row>
    <row r="84" spans="1:229" ht="13.5" customHeight="1" outlineLevel="1" x14ac:dyDescent="0.2">
      <c r="A84" s="474"/>
      <c r="B84" s="1412"/>
      <c r="C84" s="511">
        <v>75</v>
      </c>
      <c r="D84" s="541" t="s">
        <v>55</v>
      </c>
      <c r="E84" s="1721">
        <v>161</v>
      </c>
      <c r="F84" s="558">
        <v>11503.83</v>
      </c>
      <c r="G84" s="543">
        <f t="shared" si="132"/>
        <v>71.452360248447206</v>
      </c>
      <c r="H84" s="559">
        <v>0</v>
      </c>
      <c r="I84" s="558">
        <v>0</v>
      </c>
      <c r="J84" s="542">
        <v>0</v>
      </c>
      <c r="K84" s="559">
        <v>15</v>
      </c>
      <c r="L84" s="558">
        <v>724.56</v>
      </c>
      <c r="M84" s="542">
        <f>L84/K84</f>
        <v>48.303999999999995</v>
      </c>
      <c r="N84" s="545">
        <f t="shared" si="133"/>
        <v>12228.39</v>
      </c>
      <c r="O84" s="518">
        <v>0</v>
      </c>
      <c r="P84" s="485">
        <v>54373122.969999999</v>
      </c>
      <c r="Q84" s="518">
        <v>0</v>
      </c>
      <c r="R84" s="519">
        <f t="shared" si="134"/>
        <v>54373122.969999999</v>
      </c>
      <c r="S84" s="546">
        <f t="shared" si="203"/>
        <v>54373122.969999999</v>
      </c>
      <c r="T84" s="521">
        <v>14229736.23</v>
      </c>
      <c r="U84" s="547">
        <v>0</v>
      </c>
      <c r="V84" s="547">
        <v>0</v>
      </c>
      <c r="W84" s="548">
        <v>0</v>
      </c>
      <c r="X84" s="549">
        <v>0</v>
      </c>
      <c r="Y84" s="549">
        <v>0</v>
      </c>
      <c r="Z84" s="549">
        <v>0</v>
      </c>
      <c r="AA84" s="525">
        <f t="shared" si="204"/>
        <v>0</v>
      </c>
      <c r="AB84" s="524">
        <f t="shared" si="205"/>
        <v>0</v>
      </c>
      <c r="AC84" s="526">
        <f t="shared" si="206"/>
        <v>0</v>
      </c>
      <c r="AD84" s="547">
        <v>0</v>
      </c>
      <c r="AE84" s="547">
        <v>0</v>
      </c>
      <c r="AF84" s="547">
        <v>0</v>
      </c>
      <c r="AG84" s="547">
        <v>0</v>
      </c>
      <c r="AH84" s="363">
        <f t="shared" si="207"/>
        <v>0</v>
      </c>
      <c r="AI84" s="547">
        <f t="shared" si="208"/>
        <v>0</v>
      </c>
      <c r="AJ84" s="550">
        <f t="shared" si="209"/>
        <v>0</v>
      </c>
      <c r="AK84" s="551">
        <f t="shared" si="210"/>
        <v>0</v>
      </c>
      <c r="AL84" s="529"/>
      <c r="AM84" s="502"/>
      <c r="AN84" s="530"/>
      <c r="AO84" s="498"/>
      <c r="AP84" s="499"/>
      <c r="AQ84" s="499"/>
      <c r="AR84" s="499"/>
      <c r="AS84" s="531">
        <f t="shared" si="135"/>
        <v>0</v>
      </c>
      <c r="AT84" s="532">
        <f t="shared" si="136"/>
        <v>0</v>
      </c>
      <c r="AU84" s="529">
        <v>0</v>
      </c>
      <c r="AV84" s="533">
        <v>0</v>
      </c>
      <c r="AW84" s="533">
        <v>0</v>
      </c>
      <c r="AX84" s="533">
        <v>0</v>
      </c>
      <c r="AY84" s="533">
        <f t="shared" si="137"/>
        <v>0</v>
      </c>
      <c r="AZ84" s="534">
        <f t="shared" si="138"/>
        <v>0</v>
      </c>
      <c r="BA84" s="535">
        <f t="shared" si="211"/>
        <v>0</v>
      </c>
      <c r="BB84" s="536">
        <f t="shared" si="212"/>
        <v>0</v>
      </c>
      <c r="BC84" s="523">
        <f t="shared" si="213"/>
        <v>0</v>
      </c>
      <c r="BD84" s="525">
        <f t="shared" si="214"/>
        <v>0</v>
      </c>
      <c r="BE84" s="525">
        <f t="shared" si="215"/>
        <v>0</v>
      </c>
      <c r="BF84" s="525">
        <f t="shared" si="216"/>
        <v>0</v>
      </c>
      <c r="BG84" s="525">
        <f t="shared" si="217"/>
        <v>0</v>
      </c>
      <c r="BH84" s="525">
        <f t="shared" si="218"/>
        <v>0</v>
      </c>
      <c r="BI84" s="526">
        <f t="shared" si="219"/>
        <v>0</v>
      </c>
      <c r="BJ84" s="537">
        <f t="shared" si="220"/>
        <v>0</v>
      </c>
      <c r="BK84" s="538">
        <f t="shared" si="221"/>
        <v>0</v>
      </c>
      <c r="BL84" s="538">
        <f t="shared" si="222"/>
        <v>0</v>
      </c>
      <c r="BM84" s="538">
        <f t="shared" si="223"/>
        <v>0</v>
      </c>
      <c r="BN84" s="538">
        <f t="shared" si="224"/>
        <v>0</v>
      </c>
      <c r="BO84" s="538">
        <f t="shared" si="225"/>
        <v>0</v>
      </c>
      <c r="BP84" s="539">
        <f t="shared" si="226"/>
        <v>0</v>
      </c>
      <c r="BQ84" s="540">
        <f t="shared" si="227"/>
        <v>0</v>
      </c>
      <c r="BR84" s="529"/>
      <c r="BS84" s="502"/>
      <c r="BT84" s="530"/>
      <c r="BU84" s="498"/>
      <c r="BV84" s="499"/>
      <c r="BW84" s="499"/>
      <c r="BX84" s="499"/>
      <c r="BY84" s="531">
        <f t="shared" si="139"/>
        <v>0</v>
      </c>
      <c r="BZ84" s="532">
        <f t="shared" si="140"/>
        <v>0</v>
      </c>
      <c r="CA84" s="529"/>
      <c r="CB84" s="533"/>
      <c r="CC84" s="533"/>
      <c r="CD84" s="533"/>
      <c r="CE84" s="533">
        <f t="shared" si="141"/>
        <v>0</v>
      </c>
      <c r="CF84" s="534">
        <f t="shared" si="142"/>
        <v>0</v>
      </c>
      <c r="CG84" s="774">
        <f t="shared" si="228"/>
        <v>0</v>
      </c>
      <c r="CH84" s="775">
        <f t="shared" si="229"/>
        <v>0</v>
      </c>
      <c r="CI84" s="548">
        <f t="shared" si="230"/>
        <v>0</v>
      </c>
      <c r="CJ84" s="773">
        <f t="shared" si="231"/>
        <v>0</v>
      </c>
      <c r="CK84" s="773">
        <f t="shared" si="232"/>
        <v>0</v>
      </c>
      <c r="CL84" s="773">
        <f t="shared" si="233"/>
        <v>0</v>
      </c>
      <c r="CM84" s="773">
        <f t="shared" si="234"/>
        <v>0</v>
      </c>
      <c r="CN84" s="773">
        <f t="shared" si="235"/>
        <v>0</v>
      </c>
      <c r="CO84" s="626">
        <f t="shared" si="236"/>
        <v>0</v>
      </c>
      <c r="CP84" s="1145">
        <f t="shared" si="237"/>
        <v>0</v>
      </c>
      <c r="CQ84" s="1146">
        <f t="shared" si="238"/>
        <v>0</v>
      </c>
      <c r="CR84" s="1146">
        <f t="shared" si="239"/>
        <v>0</v>
      </c>
      <c r="CS84" s="1146">
        <f t="shared" si="240"/>
        <v>0</v>
      </c>
      <c r="CT84" s="1146">
        <f t="shared" si="241"/>
        <v>0</v>
      </c>
      <c r="CU84" s="1146">
        <f t="shared" si="242"/>
        <v>0</v>
      </c>
      <c r="CV84" s="1256">
        <f t="shared" si="243"/>
        <v>0</v>
      </c>
      <c r="CW84" s="1157">
        <f t="shared" si="244"/>
        <v>0</v>
      </c>
      <c r="CX84" s="529"/>
      <c r="CY84" s="502"/>
      <c r="CZ84" s="530"/>
      <c r="DA84" s="498"/>
      <c r="DB84" s="499"/>
      <c r="DC84" s="499"/>
      <c r="DD84" s="499"/>
      <c r="DE84" s="531">
        <f t="shared" si="143"/>
        <v>0</v>
      </c>
      <c r="DF84" s="532">
        <f t="shared" si="144"/>
        <v>0</v>
      </c>
      <c r="DG84" s="529"/>
      <c r="DH84" s="533"/>
      <c r="DI84" s="533"/>
      <c r="DJ84" s="533"/>
      <c r="DK84" s="533">
        <f t="shared" si="145"/>
        <v>0</v>
      </c>
      <c r="DL84" s="534">
        <f t="shared" si="146"/>
        <v>0</v>
      </c>
      <c r="DM84" s="1258">
        <f t="shared" si="147"/>
        <v>0</v>
      </c>
      <c r="DN84" s="775">
        <f t="shared" si="148"/>
        <v>0</v>
      </c>
      <c r="DO84" s="548">
        <f t="shared" si="149"/>
        <v>0</v>
      </c>
      <c r="DP84" s="773">
        <f t="shared" si="150"/>
        <v>0</v>
      </c>
      <c r="DQ84" s="773">
        <f t="shared" si="151"/>
        <v>0</v>
      </c>
      <c r="DR84" s="773">
        <f t="shared" si="152"/>
        <v>0</v>
      </c>
      <c r="DS84" s="773">
        <f t="shared" si="153"/>
        <v>0</v>
      </c>
      <c r="DT84" s="773">
        <f t="shared" si="154"/>
        <v>0</v>
      </c>
      <c r="DU84" s="526">
        <f t="shared" si="245"/>
        <v>0</v>
      </c>
      <c r="DV84" s="1145">
        <f t="shared" si="155"/>
        <v>0</v>
      </c>
      <c r="DW84" s="1146">
        <f t="shared" si="156"/>
        <v>0</v>
      </c>
      <c r="DX84" s="1146">
        <f t="shared" si="157"/>
        <v>0</v>
      </c>
      <c r="DY84" s="1146">
        <f t="shared" si="158"/>
        <v>0</v>
      </c>
      <c r="DZ84" s="1146">
        <f t="shared" si="159"/>
        <v>0</v>
      </c>
      <c r="EA84" s="1146">
        <f t="shared" si="160"/>
        <v>0</v>
      </c>
      <c r="EB84" s="539">
        <f t="shared" si="246"/>
        <v>0</v>
      </c>
      <c r="EC84" s="540">
        <f t="shared" si="247"/>
        <v>0</v>
      </c>
      <c r="ES84" s="1258">
        <f t="shared" si="161"/>
        <v>0</v>
      </c>
      <c r="ET84" s="775">
        <f t="shared" si="162"/>
        <v>0</v>
      </c>
      <c r="EU84" s="548">
        <f t="shared" si="163"/>
        <v>0</v>
      </c>
      <c r="EV84" s="773">
        <f t="shared" si="164"/>
        <v>0</v>
      </c>
      <c r="EW84" s="773">
        <f t="shared" si="165"/>
        <v>0</v>
      </c>
      <c r="EX84" s="773">
        <f t="shared" si="166"/>
        <v>0</v>
      </c>
      <c r="EY84" s="773">
        <f t="shared" si="167"/>
        <v>0</v>
      </c>
      <c r="EZ84" s="773">
        <f t="shared" si="168"/>
        <v>0</v>
      </c>
      <c r="FA84" s="626">
        <f t="shared" si="248"/>
        <v>0</v>
      </c>
      <c r="FB84" s="1145">
        <f t="shared" si="169"/>
        <v>0</v>
      </c>
      <c r="FC84" s="1146">
        <f t="shared" si="170"/>
        <v>0</v>
      </c>
      <c r="FD84" s="1146">
        <f t="shared" si="171"/>
        <v>0</v>
      </c>
      <c r="FE84" s="1146">
        <f t="shared" si="172"/>
        <v>0</v>
      </c>
      <c r="FF84" s="1146">
        <f t="shared" si="173"/>
        <v>0</v>
      </c>
      <c r="FG84" s="1146">
        <f t="shared" si="174"/>
        <v>0</v>
      </c>
      <c r="FH84" s="1256">
        <f t="shared" si="249"/>
        <v>0</v>
      </c>
      <c r="FI84" s="1157">
        <f t="shared" si="250"/>
        <v>0</v>
      </c>
      <c r="FY84" s="1258">
        <f t="shared" si="175"/>
        <v>0</v>
      </c>
      <c r="FZ84" s="775">
        <f t="shared" si="176"/>
        <v>0</v>
      </c>
      <c r="GA84" s="548">
        <f t="shared" si="177"/>
        <v>0</v>
      </c>
      <c r="GB84" s="773">
        <f t="shared" si="178"/>
        <v>0</v>
      </c>
      <c r="GC84" s="773">
        <f t="shared" si="179"/>
        <v>0</v>
      </c>
      <c r="GD84" s="773">
        <f t="shared" si="180"/>
        <v>0</v>
      </c>
      <c r="GE84" s="773">
        <f t="shared" si="181"/>
        <v>0</v>
      </c>
      <c r="GF84" s="773">
        <f t="shared" si="182"/>
        <v>0</v>
      </c>
      <c r="GG84" s="626">
        <f t="shared" si="251"/>
        <v>0</v>
      </c>
      <c r="GH84" s="1145">
        <f t="shared" si="183"/>
        <v>0</v>
      </c>
      <c r="GI84" s="1146">
        <f t="shared" si="184"/>
        <v>0</v>
      </c>
      <c r="GJ84" s="1146">
        <f t="shared" si="185"/>
        <v>0</v>
      </c>
      <c r="GK84" s="1146">
        <f t="shared" si="186"/>
        <v>0</v>
      </c>
      <c r="GL84" s="1146">
        <f t="shared" si="187"/>
        <v>0</v>
      </c>
      <c r="GM84" s="1146">
        <f t="shared" si="188"/>
        <v>0</v>
      </c>
      <c r="GN84" s="1256">
        <f t="shared" si="252"/>
        <v>0</v>
      </c>
      <c r="GO84" s="1157">
        <f t="shared" si="253"/>
        <v>0</v>
      </c>
      <c r="HE84" s="1675">
        <f t="shared" si="189"/>
        <v>0</v>
      </c>
      <c r="HF84" s="775">
        <f t="shared" si="190"/>
        <v>0</v>
      </c>
      <c r="HG84" s="548">
        <f t="shared" si="191"/>
        <v>0</v>
      </c>
      <c r="HH84" s="773">
        <f t="shared" si="192"/>
        <v>0</v>
      </c>
      <c r="HI84" s="773">
        <f t="shared" si="193"/>
        <v>0</v>
      </c>
      <c r="HJ84" s="773">
        <f t="shared" si="194"/>
        <v>0</v>
      </c>
      <c r="HK84" s="773">
        <f t="shared" si="195"/>
        <v>0</v>
      </c>
      <c r="HL84" s="773">
        <f t="shared" si="196"/>
        <v>0</v>
      </c>
      <c r="HM84" s="626">
        <f t="shared" si="254"/>
        <v>0</v>
      </c>
      <c r="HN84" s="1145">
        <f t="shared" si="197"/>
        <v>0</v>
      </c>
      <c r="HO84" s="1146">
        <f t="shared" si="198"/>
        <v>0</v>
      </c>
      <c r="HP84" s="1146">
        <f t="shared" si="199"/>
        <v>0</v>
      </c>
      <c r="HQ84" s="1146">
        <f t="shared" si="200"/>
        <v>0</v>
      </c>
      <c r="HR84" s="1146">
        <f t="shared" si="201"/>
        <v>0</v>
      </c>
      <c r="HS84" s="1146">
        <f t="shared" si="202"/>
        <v>0</v>
      </c>
      <c r="HT84" s="1256">
        <f t="shared" si="255"/>
        <v>0</v>
      </c>
      <c r="HU84" s="1157">
        <f t="shared" si="256"/>
        <v>0</v>
      </c>
    </row>
    <row r="85" spans="1:229" ht="13.5" customHeight="1" outlineLevel="1" x14ac:dyDescent="0.2">
      <c r="A85" s="474"/>
      <c r="B85" s="1412"/>
      <c r="C85" s="511">
        <v>76</v>
      </c>
      <c r="D85" s="541" t="s">
        <v>56</v>
      </c>
      <c r="E85" s="1721">
        <v>46</v>
      </c>
      <c r="F85" s="558">
        <v>3140.97</v>
      </c>
      <c r="G85" s="543">
        <f t="shared" si="132"/>
        <v>68.281956521739133</v>
      </c>
      <c r="H85" s="559">
        <v>0</v>
      </c>
      <c r="I85" s="558">
        <v>0</v>
      </c>
      <c r="J85" s="542">
        <v>0</v>
      </c>
      <c r="K85" s="559">
        <v>15</v>
      </c>
      <c r="L85" s="558">
        <v>768.13</v>
      </c>
      <c r="M85" s="542">
        <f>L85/K85</f>
        <v>51.208666666666666</v>
      </c>
      <c r="N85" s="545">
        <f t="shared" si="133"/>
        <v>3909.1</v>
      </c>
      <c r="O85" s="518">
        <v>0</v>
      </c>
      <c r="P85" s="485">
        <v>19277178.66</v>
      </c>
      <c r="Q85" s="518">
        <v>0</v>
      </c>
      <c r="R85" s="519">
        <f t="shared" si="134"/>
        <v>19277178.66</v>
      </c>
      <c r="S85" s="546">
        <f t="shared" si="203"/>
        <v>19277178.66</v>
      </c>
      <c r="T85" s="521">
        <v>4205455.53</v>
      </c>
      <c r="U85" s="547">
        <v>0</v>
      </c>
      <c r="V85" s="547">
        <v>0</v>
      </c>
      <c r="W85" s="548">
        <v>0</v>
      </c>
      <c r="X85" s="549">
        <v>0</v>
      </c>
      <c r="Y85" s="549">
        <v>0</v>
      </c>
      <c r="Z85" s="549">
        <v>0</v>
      </c>
      <c r="AA85" s="525">
        <f t="shared" si="204"/>
        <v>0</v>
      </c>
      <c r="AB85" s="524">
        <f t="shared" si="205"/>
        <v>0</v>
      </c>
      <c r="AC85" s="526">
        <f t="shared" si="206"/>
        <v>0</v>
      </c>
      <c r="AD85" s="547">
        <v>0</v>
      </c>
      <c r="AE85" s="547">
        <v>0</v>
      </c>
      <c r="AF85" s="547">
        <v>0</v>
      </c>
      <c r="AG85" s="547">
        <v>0</v>
      </c>
      <c r="AH85" s="363">
        <f t="shared" si="207"/>
        <v>0</v>
      </c>
      <c r="AI85" s="547">
        <f t="shared" si="208"/>
        <v>0</v>
      </c>
      <c r="AJ85" s="550">
        <f t="shared" si="209"/>
        <v>0</v>
      </c>
      <c r="AK85" s="551">
        <f t="shared" si="210"/>
        <v>0</v>
      </c>
      <c r="AL85" s="529"/>
      <c r="AM85" s="502"/>
      <c r="AN85" s="530"/>
      <c r="AO85" s="498"/>
      <c r="AP85" s="499"/>
      <c r="AQ85" s="499"/>
      <c r="AR85" s="499"/>
      <c r="AS85" s="531">
        <f t="shared" si="135"/>
        <v>0</v>
      </c>
      <c r="AT85" s="532">
        <f t="shared" si="136"/>
        <v>0</v>
      </c>
      <c r="AU85" s="529">
        <v>0</v>
      </c>
      <c r="AV85" s="533">
        <v>0</v>
      </c>
      <c r="AW85" s="533">
        <v>0</v>
      </c>
      <c r="AX85" s="533">
        <v>0</v>
      </c>
      <c r="AY85" s="533">
        <f t="shared" si="137"/>
        <v>0</v>
      </c>
      <c r="AZ85" s="534">
        <f t="shared" si="138"/>
        <v>0</v>
      </c>
      <c r="BA85" s="535">
        <f t="shared" si="211"/>
        <v>0</v>
      </c>
      <c r="BB85" s="536">
        <f t="shared" si="212"/>
        <v>0</v>
      </c>
      <c r="BC85" s="523">
        <f t="shared" si="213"/>
        <v>0</v>
      </c>
      <c r="BD85" s="525">
        <f t="shared" si="214"/>
        <v>0</v>
      </c>
      <c r="BE85" s="525">
        <f t="shared" si="215"/>
        <v>0</v>
      </c>
      <c r="BF85" s="525">
        <f t="shared" si="216"/>
        <v>0</v>
      </c>
      <c r="BG85" s="525">
        <f t="shared" si="217"/>
        <v>0</v>
      </c>
      <c r="BH85" s="525">
        <f t="shared" si="218"/>
        <v>0</v>
      </c>
      <c r="BI85" s="526">
        <f t="shared" si="219"/>
        <v>0</v>
      </c>
      <c r="BJ85" s="537">
        <f t="shared" si="220"/>
        <v>0</v>
      </c>
      <c r="BK85" s="538">
        <f t="shared" si="221"/>
        <v>0</v>
      </c>
      <c r="BL85" s="538">
        <f t="shared" si="222"/>
        <v>0</v>
      </c>
      <c r="BM85" s="538">
        <f t="shared" si="223"/>
        <v>0</v>
      </c>
      <c r="BN85" s="538">
        <f t="shared" si="224"/>
        <v>0</v>
      </c>
      <c r="BO85" s="538">
        <f t="shared" si="225"/>
        <v>0</v>
      </c>
      <c r="BP85" s="539">
        <f t="shared" si="226"/>
        <v>0</v>
      </c>
      <c r="BQ85" s="540">
        <f t="shared" si="227"/>
        <v>0</v>
      </c>
      <c r="BR85" s="529"/>
      <c r="BS85" s="502"/>
      <c r="BT85" s="530"/>
      <c r="BU85" s="498"/>
      <c r="BV85" s="499"/>
      <c r="BW85" s="499"/>
      <c r="BX85" s="499"/>
      <c r="BY85" s="531">
        <f t="shared" si="139"/>
        <v>0</v>
      </c>
      <c r="BZ85" s="532">
        <f t="shared" si="140"/>
        <v>0</v>
      </c>
      <c r="CA85" s="529"/>
      <c r="CB85" s="533"/>
      <c r="CC85" s="533"/>
      <c r="CD85" s="533"/>
      <c r="CE85" s="533">
        <f t="shared" si="141"/>
        <v>0</v>
      </c>
      <c r="CF85" s="534">
        <f t="shared" si="142"/>
        <v>0</v>
      </c>
      <c r="CG85" s="774">
        <f t="shared" si="228"/>
        <v>0</v>
      </c>
      <c r="CH85" s="775">
        <f t="shared" si="229"/>
        <v>0</v>
      </c>
      <c r="CI85" s="548">
        <f t="shared" si="230"/>
        <v>0</v>
      </c>
      <c r="CJ85" s="773">
        <f t="shared" si="231"/>
        <v>0</v>
      </c>
      <c r="CK85" s="773">
        <f t="shared" si="232"/>
        <v>0</v>
      </c>
      <c r="CL85" s="773">
        <f t="shared" si="233"/>
        <v>0</v>
      </c>
      <c r="CM85" s="773">
        <f t="shared" si="234"/>
        <v>0</v>
      </c>
      <c r="CN85" s="773">
        <f t="shared" si="235"/>
        <v>0</v>
      </c>
      <c r="CO85" s="626">
        <f t="shared" si="236"/>
        <v>0</v>
      </c>
      <c r="CP85" s="1145">
        <f t="shared" si="237"/>
        <v>0</v>
      </c>
      <c r="CQ85" s="1146">
        <f t="shared" si="238"/>
        <v>0</v>
      </c>
      <c r="CR85" s="1146">
        <f t="shared" si="239"/>
        <v>0</v>
      </c>
      <c r="CS85" s="1146">
        <f t="shared" si="240"/>
        <v>0</v>
      </c>
      <c r="CT85" s="1146">
        <f t="shared" si="241"/>
        <v>0</v>
      </c>
      <c r="CU85" s="1146">
        <f t="shared" si="242"/>
        <v>0</v>
      </c>
      <c r="CV85" s="1256">
        <f t="shared" si="243"/>
        <v>0</v>
      </c>
      <c r="CW85" s="1157">
        <f t="shared" si="244"/>
        <v>0</v>
      </c>
      <c r="CX85" s="529"/>
      <c r="CY85" s="502"/>
      <c r="CZ85" s="530"/>
      <c r="DA85" s="498"/>
      <c r="DB85" s="499"/>
      <c r="DC85" s="499"/>
      <c r="DD85" s="499"/>
      <c r="DE85" s="531">
        <f t="shared" si="143"/>
        <v>0</v>
      </c>
      <c r="DF85" s="532">
        <f t="shared" si="144"/>
        <v>0</v>
      </c>
      <c r="DG85" s="529"/>
      <c r="DH85" s="533"/>
      <c r="DI85" s="533"/>
      <c r="DJ85" s="533"/>
      <c r="DK85" s="533">
        <f t="shared" si="145"/>
        <v>0</v>
      </c>
      <c r="DL85" s="534">
        <f t="shared" si="146"/>
        <v>0</v>
      </c>
      <c r="DM85" s="1258">
        <f t="shared" si="147"/>
        <v>0</v>
      </c>
      <c r="DN85" s="775">
        <f t="shared" si="148"/>
        <v>0</v>
      </c>
      <c r="DO85" s="548">
        <f t="shared" si="149"/>
        <v>0</v>
      </c>
      <c r="DP85" s="773">
        <f t="shared" si="150"/>
        <v>0</v>
      </c>
      <c r="DQ85" s="773">
        <f t="shared" si="151"/>
        <v>0</v>
      </c>
      <c r="DR85" s="773">
        <f t="shared" si="152"/>
        <v>0</v>
      </c>
      <c r="DS85" s="773">
        <f t="shared" si="153"/>
        <v>0</v>
      </c>
      <c r="DT85" s="773">
        <f t="shared" si="154"/>
        <v>0</v>
      </c>
      <c r="DU85" s="526">
        <f t="shared" si="245"/>
        <v>0</v>
      </c>
      <c r="DV85" s="1145">
        <f t="shared" si="155"/>
        <v>0</v>
      </c>
      <c r="DW85" s="1146">
        <f t="shared" si="156"/>
        <v>0</v>
      </c>
      <c r="DX85" s="1146">
        <f t="shared" si="157"/>
        <v>0</v>
      </c>
      <c r="DY85" s="1146">
        <f t="shared" si="158"/>
        <v>0</v>
      </c>
      <c r="DZ85" s="1146">
        <f t="shared" si="159"/>
        <v>0</v>
      </c>
      <c r="EA85" s="1146">
        <f t="shared" si="160"/>
        <v>0</v>
      </c>
      <c r="EB85" s="539">
        <f t="shared" si="246"/>
        <v>0</v>
      </c>
      <c r="EC85" s="540">
        <f t="shared" si="247"/>
        <v>0</v>
      </c>
      <c r="ES85" s="1258">
        <f t="shared" si="161"/>
        <v>0</v>
      </c>
      <c r="ET85" s="775">
        <f t="shared" si="162"/>
        <v>0</v>
      </c>
      <c r="EU85" s="548">
        <f t="shared" si="163"/>
        <v>0</v>
      </c>
      <c r="EV85" s="773">
        <f t="shared" si="164"/>
        <v>0</v>
      </c>
      <c r="EW85" s="773">
        <f t="shared" si="165"/>
        <v>0</v>
      </c>
      <c r="EX85" s="773">
        <f t="shared" si="166"/>
        <v>0</v>
      </c>
      <c r="EY85" s="773">
        <f t="shared" si="167"/>
        <v>0</v>
      </c>
      <c r="EZ85" s="773">
        <f t="shared" si="168"/>
        <v>0</v>
      </c>
      <c r="FA85" s="626">
        <f t="shared" si="248"/>
        <v>0</v>
      </c>
      <c r="FB85" s="1145">
        <f t="shared" si="169"/>
        <v>0</v>
      </c>
      <c r="FC85" s="1146">
        <f t="shared" si="170"/>
        <v>0</v>
      </c>
      <c r="FD85" s="1146">
        <f t="shared" si="171"/>
        <v>0</v>
      </c>
      <c r="FE85" s="1146">
        <f t="shared" si="172"/>
        <v>0</v>
      </c>
      <c r="FF85" s="1146">
        <f t="shared" si="173"/>
        <v>0</v>
      </c>
      <c r="FG85" s="1146">
        <f t="shared" si="174"/>
        <v>0</v>
      </c>
      <c r="FH85" s="1256">
        <f t="shared" si="249"/>
        <v>0</v>
      </c>
      <c r="FI85" s="1157">
        <f t="shared" si="250"/>
        <v>0</v>
      </c>
      <c r="FY85" s="1258">
        <f t="shared" si="175"/>
        <v>0</v>
      </c>
      <c r="FZ85" s="775">
        <f t="shared" si="176"/>
        <v>0</v>
      </c>
      <c r="GA85" s="548">
        <f t="shared" si="177"/>
        <v>0</v>
      </c>
      <c r="GB85" s="773">
        <f t="shared" si="178"/>
        <v>0</v>
      </c>
      <c r="GC85" s="773">
        <f t="shared" si="179"/>
        <v>0</v>
      </c>
      <c r="GD85" s="773">
        <f t="shared" si="180"/>
        <v>0</v>
      </c>
      <c r="GE85" s="773">
        <f t="shared" si="181"/>
        <v>0</v>
      </c>
      <c r="GF85" s="773">
        <f t="shared" si="182"/>
        <v>0</v>
      </c>
      <c r="GG85" s="626">
        <f t="shared" si="251"/>
        <v>0</v>
      </c>
      <c r="GH85" s="1145">
        <f t="shared" si="183"/>
        <v>0</v>
      </c>
      <c r="GI85" s="1146">
        <f t="shared" si="184"/>
        <v>0</v>
      </c>
      <c r="GJ85" s="1146">
        <f t="shared" si="185"/>
        <v>0</v>
      </c>
      <c r="GK85" s="1146">
        <f t="shared" si="186"/>
        <v>0</v>
      </c>
      <c r="GL85" s="1146">
        <f t="shared" si="187"/>
        <v>0</v>
      </c>
      <c r="GM85" s="1146">
        <f t="shared" si="188"/>
        <v>0</v>
      </c>
      <c r="GN85" s="1256">
        <f t="shared" si="252"/>
        <v>0</v>
      </c>
      <c r="GO85" s="1157">
        <f t="shared" si="253"/>
        <v>0</v>
      </c>
      <c r="HE85" s="1675">
        <f t="shared" si="189"/>
        <v>0</v>
      </c>
      <c r="HF85" s="775">
        <f t="shared" si="190"/>
        <v>0</v>
      </c>
      <c r="HG85" s="548">
        <f t="shared" si="191"/>
        <v>0</v>
      </c>
      <c r="HH85" s="773">
        <f t="shared" si="192"/>
        <v>0</v>
      </c>
      <c r="HI85" s="773">
        <f t="shared" si="193"/>
        <v>0</v>
      </c>
      <c r="HJ85" s="773">
        <f t="shared" si="194"/>
        <v>0</v>
      </c>
      <c r="HK85" s="773">
        <f t="shared" si="195"/>
        <v>0</v>
      </c>
      <c r="HL85" s="773">
        <f t="shared" si="196"/>
        <v>0</v>
      </c>
      <c r="HM85" s="626">
        <f t="shared" si="254"/>
        <v>0</v>
      </c>
      <c r="HN85" s="1145">
        <f t="shared" si="197"/>
        <v>0</v>
      </c>
      <c r="HO85" s="1146">
        <f t="shared" si="198"/>
        <v>0</v>
      </c>
      <c r="HP85" s="1146">
        <f t="shared" si="199"/>
        <v>0</v>
      </c>
      <c r="HQ85" s="1146">
        <f t="shared" si="200"/>
        <v>0</v>
      </c>
      <c r="HR85" s="1146">
        <f t="shared" si="201"/>
        <v>0</v>
      </c>
      <c r="HS85" s="1146">
        <f t="shared" si="202"/>
        <v>0</v>
      </c>
      <c r="HT85" s="1256">
        <f t="shared" si="255"/>
        <v>0</v>
      </c>
      <c r="HU85" s="1157">
        <f t="shared" si="256"/>
        <v>0</v>
      </c>
    </row>
    <row r="86" spans="1:229" ht="13.5" customHeight="1" outlineLevel="1" x14ac:dyDescent="0.2">
      <c r="A86" s="474"/>
      <c r="B86" s="1412"/>
      <c r="C86" s="511">
        <v>77</v>
      </c>
      <c r="D86" s="557" t="s">
        <v>57</v>
      </c>
      <c r="E86" s="1721">
        <v>63</v>
      </c>
      <c r="F86" s="558">
        <v>4185.8999999999996</v>
      </c>
      <c r="G86" s="543">
        <f t="shared" si="132"/>
        <v>66.442857142857136</v>
      </c>
      <c r="H86" s="559">
        <v>0</v>
      </c>
      <c r="I86" s="558">
        <v>0</v>
      </c>
      <c r="J86" s="542">
        <v>0</v>
      </c>
      <c r="K86" s="559">
        <v>0</v>
      </c>
      <c r="L86" s="558">
        <v>0</v>
      </c>
      <c r="M86" s="542">
        <v>0</v>
      </c>
      <c r="N86" s="545">
        <f t="shared" si="133"/>
        <v>4185.8999999999996</v>
      </c>
      <c r="O86" s="518">
        <v>0</v>
      </c>
      <c r="P86" s="485">
        <v>20185961.030000001</v>
      </c>
      <c r="Q86" s="518">
        <v>5177581.53</v>
      </c>
      <c r="R86" s="519">
        <f t="shared" si="134"/>
        <v>25363542.560000002</v>
      </c>
      <c r="S86" s="546">
        <f t="shared" si="203"/>
        <v>25363542.560000002</v>
      </c>
      <c r="T86" s="521">
        <v>5485957.9800000004</v>
      </c>
      <c r="U86" s="547">
        <v>0</v>
      </c>
      <c r="V86" s="547">
        <v>0</v>
      </c>
      <c r="W86" s="548">
        <v>0</v>
      </c>
      <c r="X86" s="549">
        <v>0</v>
      </c>
      <c r="Y86" s="549">
        <v>0</v>
      </c>
      <c r="Z86" s="549">
        <v>0</v>
      </c>
      <c r="AA86" s="525">
        <f t="shared" si="204"/>
        <v>0</v>
      </c>
      <c r="AB86" s="524">
        <f t="shared" si="205"/>
        <v>0</v>
      </c>
      <c r="AC86" s="526">
        <f t="shared" si="206"/>
        <v>0</v>
      </c>
      <c r="AD86" s="547">
        <v>0</v>
      </c>
      <c r="AE86" s="547">
        <v>0</v>
      </c>
      <c r="AF86" s="547">
        <v>0</v>
      </c>
      <c r="AG86" s="547">
        <v>0</v>
      </c>
      <c r="AH86" s="363">
        <f t="shared" si="207"/>
        <v>0</v>
      </c>
      <c r="AI86" s="547">
        <f t="shared" si="208"/>
        <v>0</v>
      </c>
      <c r="AJ86" s="550">
        <f t="shared" si="209"/>
        <v>0</v>
      </c>
      <c r="AK86" s="551">
        <f t="shared" si="210"/>
        <v>0</v>
      </c>
      <c r="AL86" s="529"/>
      <c r="AM86" s="502"/>
      <c r="AN86" s="530"/>
      <c r="AO86" s="498"/>
      <c r="AP86" s="499"/>
      <c r="AQ86" s="499"/>
      <c r="AR86" s="499"/>
      <c r="AS86" s="531">
        <f t="shared" si="135"/>
        <v>0</v>
      </c>
      <c r="AT86" s="532">
        <f t="shared" si="136"/>
        <v>0</v>
      </c>
      <c r="AU86" s="529">
        <v>0</v>
      </c>
      <c r="AV86" s="533">
        <v>0</v>
      </c>
      <c r="AW86" s="533">
        <v>0</v>
      </c>
      <c r="AX86" s="533">
        <v>0</v>
      </c>
      <c r="AY86" s="533">
        <f t="shared" si="137"/>
        <v>0</v>
      </c>
      <c r="AZ86" s="534">
        <f t="shared" si="138"/>
        <v>0</v>
      </c>
      <c r="BA86" s="535">
        <f t="shared" si="211"/>
        <v>0</v>
      </c>
      <c r="BB86" s="536">
        <f t="shared" si="212"/>
        <v>0</v>
      </c>
      <c r="BC86" s="523">
        <f t="shared" si="213"/>
        <v>0</v>
      </c>
      <c r="BD86" s="525">
        <f t="shared" si="214"/>
        <v>0</v>
      </c>
      <c r="BE86" s="525">
        <f t="shared" si="215"/>
        <v>0</v>
      </c>
      <c r="BF86" s="525">
        <f t="shared" si="216"/>
        <v>0</v>
      </c>
      <c r="BG86" s="525">
        <f t="shared" si="217"/>
        <v>0</v>
      </c>
      <c r="BH86" s="525">
        <f t="shared" si="218"/>
        <v>0</v>
      </c>
      <c r="BI86" s="526">
        <f t="shared" si="219"/>
        <v>0</v>
      </c>
      <c r="BJ86" s="537">
        <f t="shared" si="220"/>
        <v>0</v>
      </c>
      <c r="BK86" s="538">
        <f t="shared" si="221"/>
        <v>0</v>
      </c>
      <c r="BL86" s="538">
        <f t="shared" si="222"/>
        <v>0</v>
      </c>
      <c r="BM86" s="538">
        <f t="shared" si="223"/>
        <v>0</v>
      </c>
      <c r="BN86" s="538">
        <f t="shared" si="224"/>
        <v>0</v>
      </c>
      <c r="BO86" s="538">
        <f t="shared" si="225"/>
        <v>0</v>
      </c>
      <c r="BP86" s="539">
        <f t="shared" si="226"/>
        <v>0</v>
      </c>
      <c r="BQ86" s="540">
        <f t="shared" si="227"/>
        <v>0</v>
      </c>
      <c r="BR86" s="529"/>
      <c r="BS86" s="502"/>
      <c r="BT86" s="530"/>
      <c r="BU86" s="498"/>
      <c r="BV86" s="499"/>
      <c r="BW86" s="499"/>
      <c r="BX86" s="499"/>
      <c r="BY86" s="531">
        <f t="shared" si="139"/>
        <v>0</v>
      </c>
      <c r="BZ86" s="532">
        <f t="shared" si="140"/>
        <v>0</v>
      </c>
      <c r="CA86" s="529"/>
      <c r="CB86" s="533"/>
      <c r="CC86" s="533"/>
      <c r="CD86" s="533"/>
      <c r="CE86" s="533">
        <f t="shared" si="141"/>
        <v>0</v>
      </c>
      <c r="CF86" s="534">
        <f t="shared" si="142"/>
        <v>0</v>
      </c>
      <c r="CG86" s="774">
        <f t="shared" si="228"/>
        <v>0</v>
      </c>
      <c r="CH86" s="775">
        <f t="shared" si="229"/>
        <v>0</v>
      </c>
      <c r="CI86" s="548">
        <f t="shared" si="230"/>
        <v>0</v>
      </c>
      <c r="CJ86" s="773">
        <f t="shared" si="231"/>
        <v>0</v>
      </c>
      <c r="CK86" s="773">
        <f t="shared" si="232"/>
        <v>0</v>
      </c>
      <c r="CL86" s="773">
        <f t="shared" si="233"/>
        <v>0</v>
      </c>
      <c r="CM86" s="773">
        <f t="shared" si="234"/>
        <v>0</v>
      </c>
      <c r="CN86" s="773">
        <f t="shared" si="235"/>
        <v>0</v>
      </c>
      <c r="CO86" s="626">
        <f t="shared" si="236"/>
        <v>0</v>
      </c>
      <c r="CP86" s="1145">
        <f t="shared" si="237"/>
        <v>0</v>
      </c>
      <c r="CQ86" s="1146">
        <f t="shared" si="238"/>
        <v>0</v>
      </c>
      <c r="CR86" s="1146">
        <f t="shared" si="239"/>
        <v>0</v>
      </c>
      <c r="CS86" s="1146">
        <f t="shared" si="240"/>
        <v>0</v>
      </c>
      <c r="CT86" s="1146">
        <f t="shared" si="241"/>
        <v>0</v>
      </c>
      <c r="CU86" s="1146">
        <f t="shared" si="242"/>
        <v>0</v>
      </c>
      <c r="CV86" s="1256">
        <f t="shared" si="243"/>
        <v>0</v>
      </c>
      <c r="CW86" s="1157">
        <f t="shared" si="244"/>
        <v>0</v>
      </c>
      <c r="CX86" s="529"/>
      <c r="CY86" s="502"/>
      <c r="CZ86" s="530"/>
      <c r="DA86" s="498"/>
      <c r="DB86" s="499"/>
      <c r="DC86" s="499"/>
      <c r="DD86" s="499"/>
      <c r="DE86" s="531">
        <f t="shared" si="143"/>
        <v>0</v>
      </c>
      <c r="DF86" s="532">
        <f t="shared" si="144"/>
        <v>0</v>
      </c>
      <c r="DG86" s="529"/>
      <c r="DH86" s="533"/>
      <c r="DI86" s="533"/>
      <c r="DJ86" s="533"/>
      <c r="DK86" s="533">
        <f t="shared" si="145"/>
        <v>0</v>
      </c>
      <c r="DL86" s="534">
        <f t="shared" si="146"/>
        <v>0</v>
      </c>
      <c r="DM86" s="1258">
        <f t="shared" si="147"/>
        <v>0</v>
      </c>
      <c r="DN86" s="775">
        <f t="shared" si="148"/>
        <v>0</v>
      </c>
      <c r="DO86" s="548">
        <f t="shared" si="149"/>
        <v>0</v>
      </c>
      <c r="DP86" s="773">
        <f t="shared" si="150"/>
        <v>0</v>
      </c>
      <c r="DQ86" s="773">
        <f t="shared" si="151"/>
        <v>0</v>
      </c>
      <c r="DR86" s="773">
        <f t="shared" si="152"/>
        <v>0</v>
      </c>
      <c r="DS86" s="773">
        <f t="shared" si="153"/>
        <v>0</v>
      </c>
      <c r="DT86" s="773">
        <f t="shared" si="154"/>
        <v>0</v>
      </c>
      <c r="DU86" s="526">
        <f t="shared" si="245"/>
        <v>0</v>
      </c>
      <c r="DV86" s="1145">
        <f t="shared" si="155"/>
        <v>0</v>
      </c>
      <c r="DW86" s="1146">
        <f t="shared" si="156"/>
        <v>0</v>
      </c>
      <c r="DX86" s="1146">
        <f t="shared" si="157"/>
        <v>0</v>
      </c>
      <c r="DY86" s="1146">
        <f t="shared" si="158"/>
        <v>0</v>
      </c>
      <c r="DZ86" s="1146">
        <f t="shared" si="159"/>
        <v>0</v>
      </c>
      <c r="EA86" s="1146">
        <f t="shared" si="160"/>
        <v>0</v>
      </c>
      <c r="EB86" s="539">
        <f t="shared" si="246"/>
        <v>0</v>
      </c>
      <c r="EC86" s="540">
        <f t="shared" si="247"/>
        <v>0</v>
      </c>
      <c r="ES86" s="1258">
        <f t="shared" si="161"/>
        <v>0</v>
      </c>
      <c r="ET86" s="775">
        <f t="shared" si="162"/>
        <v>0</v>
      </c>
      <c r="EU86" s="548">
        <f t="shared" si="163"/>
        <v>0</v>
      </c>
      <c r="EV86" s="773">
        <f t="shared" si="164"/>
        <v>0</v>
      </c>
      <c r="EW86" s="773">
        <f t="shared" si="165"/>
        <v>0</v>
      </c>
      <c r="EX86" s="773">
        <f t="shared" si="166"/>
        <v>0</v>
      </c>
      <c r="EY86" s="773">
        <f t="shared" si="167"/>
        <v>0</v>
      </c>
      <c r="EZ86" s="773">
        <f t="shared" si="168"/>
        <v>0</v>
      </c>
      <c r="FA86" s="626">
        <f t="shared" si="248"/>
        <v>0</v>
      </c>
      <c r="FB86" s="1145">
        <f t="shared" si="169"/>
        <v>0</v>
      </c>
      <c r="FC86" s="1146">
        <f t="shared" si="170"/>
        <v>0</v>
      </c>
      <c r="FD86" s="1146">
        <f t="shared" si="171"/>
        <v>0</v>
      </c>
      <c r="FE86" s="1146">
        <f t="shared" si="172"/>
        <v>0</v>
      </c>
      <c r="FF86" s="1146">
        <f t="shared" si="173"/>
        <v>0</v>
      </c>
      <c r="FG86" s="1146">
        <f t="shared" si="174"/>
        <v>0</v>
      </c>
      <c r="FH86" s="1256">
        <f t="shared" si="249"/>
        <v>0</v>
      </c>
      <c r="FI86" s="1157">
        <f t="shared" si="250"/>
        <v>0</v>
      </c>
      <c r="FY86" s="1258">
        <f t="shared" si="175"/>
        <v>0</v>
      </c>
      <c r="FZ86" s="775">
        <f t="shared" si="176"/>
        <v>0</v>
      </c>
      <c r="GA86" s="548">
        <f t="shared" si="177"/>
        <v>0</v>
      </c>
      <c r="GB86" s="773">
        <f t="shared" si="178"/>
        <v>0</v>
      </c>
      <c r="GC86" s="773">
        <f t="shared" si="179"/>
        <v>0</v>
      </c>
      <c r="GD86" s="773">
        <f t="shared" si="180"/>
        <v>0</v>
      </c>
      <c r="GE86" s="773">
        <f t="shared" si="181"/>
        <v>0</v>
      </c>
      <c r="GF86" s="773">
        <f t="shared" si="182"/>
        <v>0</v>
      </c>
      <c r="GG86" s="626">
        <f t="shared" si="251"/>
        <v>0</v>
      </c>
      <c r="GH86" s="1145">
        <f t="shared" si="183"/>
        <v>0</v>
      </c>
      <c r="GI86" s="1146">
        <f t="shared" si="184"/>
        <v>0</v>
      </c>
      <c r="GJ86" s="1146">
        <f t="shared" si="185"/>
        <v>0</v>
      </c>
      <c r="GK86" s="1146">
        <f t="shared" si="186"/>
        <v>0</v>
      </c>
      <c r="GL86" s="1146">
        <f t="shared" si="187"/>
        <v>0</v>
      </c>
      <c r="GM86" s="1146">
        <f t="shared" si="188"/>
        <v>0</v>
      </c>
      <c r="GN86" s="1256">
        <f t="shared" si="252"/>
        <v>0</v>
      </c>
      <c r="GO86" s="1157">
        <f t="shared" si="253"/>
        <v>0</v>
      </c>
      <c r="HE86" s="1675">
        <f t="shared" si="189"/>
        <v>0</v>
      </c>
      <c r="HF86" s="775">
        <f t="shared" si="190"/>
        <v>0</v>
      </c>
      <c r="HG86" s="548">
        <f t="shared" si="191"/>
        <v>0</v>
      </c>
      <c r="HH86" s="773">
        <f t="shared" si="192"/>
        <v>0</v>
      </c>
      <c r="HI86" s="773">
        <f t="shared" si="193"/>
        <v>0</v>
      </c>
      <c r="HJ86" s="773">
        <f t="shared" si="194"/>
        <v>0</v>
      </c>
      <c r="HK86" s="773">
        <f t="shared" si="195"/>
        <v>0</v>
      </c>
      <c r="HL86" s="773">
        <f t="shared" si="196"/>
        <v>0</v>
      </c>
      <c r="HM86" s="626">
        <f t="shared" si="254"/>
        <v>0</v>
      </c>
      <c r="HN86" s="1145">
        <f t="shared" si="197"/>
        <v>0</v>
      </c>
      <c r="HO86" s="1146">
        <f t="shared" si="198"/>
        <v>0</v>
      </c>
      <c r="HP86" s="1146">
        <f t="shared" si="199"/>
        <v>0</v>
      </c>
      <c r="HQ86" s="1146">
        <f t="shared" si="200"/>
        <v>0</v>
      </c>
      <c r="HR86" s="1146">
        <f t="shared" si="201"/>
        <v>0</v>
      </c>
      <c r="HS86" s="1146">
        <f t="shared" si="202"/>
        <v>0</v>
      </c>
      <c r="HT86" s="1256">
        <f t="shared" si="255"/>
        <v>0</v>
      </c>
      <c r="HU86" s="1157">
        <f t="shared" si="256"/>
        <v>0</v>
      </c>
    </row>
    <row r="87" spans="1:229" ht="13.5" customHeight="1" outlineLevel="1" x14ac:dyDescent="0.2">
      <c r="A87" s="474"/>
      <c r="B87" s="1412"/>
      <c r="C87" s="511">
        <v>78</v>
      </c>
      <c r="D87" s="560" t="s">
        <v>103</v>
      </c>
      <c r="E87" s="1721">
        <v>82</v>
      </c>
      <c r="F87" s="558">
        <v>6107.59</v>
      </c>
      <c r="G87" s="543">
        <f t="shared" si="132"/>
        <v>74.482804878048782</v>
      </c>
      <c r="H87" s="559">
        <f>60-44</f>
        <v>16</v>
      </c>
      <c r="I87" s="558">
        <f>649.45-476.26</f>
        <v>173.19000000000005</v>
      </c>
      <c r="J87" s="542">
        <f t="shared" ref="J87:J103" si="257">I87/H87</f>
        <v>10.824375000000003</v>
      </c>
      <c r="K87" s="559">
        <v>0</v>
      </c>
      <c r="L87" s="558">
        <v>0</v>
      </c>
      <c r="M87" s="542">
        <v>0</v>
      </c>
      <c r="N87" s="545">
        <f t="shared" si="133"/>
        <v>6280.7800000000007</v>
      </c>
      <c r="O87" s="518">
        <v>0</v>
      </c>
      <c r="P87" s="542">
        <f>33307448.07+11526.99-neprodano!EC18</f>
        <v>30528686.019465655</v>
      </c>
      <c r="Q87" s="576">
        <f>10293977.35-neprodano!ED18</f>
        <v>9705270.1487199999</v>
      </c>
      <c r="R87" s="519">
        <f t="shared" si="134"/>
        <v>40233956.168185651</v>
      </c>
      <c r="S87" s="546">
        <f t="shared" si="203"/>
        <v>40233956.168185651</v>
      </c>
      <c r="T87" s="521">
        <v>9895640.2899147943</v>
      </c>
      <c r="U87" s="547">
        <v>0</v>
      </c>
      <c r="V87" s="547">
        <v>0</v>
      </c>
      <c r="W87" s="548">
        <v>0</v>
      </c>
      <c r="X87" s="549">
        <v>0</v>
      </c>
      <c r="Y87" s="549">
        <v>0</v>
      </c>
      <c r="Z87" s="549">
        <v>0</v>
      </c>
      <c r="AA87" s="525">
        <f t="shared" si="204"/>
        <v>0</v>
      </c>
      <c r="AB87" s="524">
        <f t="shared" si="205"/>
        <v>0</v>
      </c>
      <c r="AC87" s="526">
        <f t="shared" si="206"/>
        <v>0</v>
      </c>
      <c r="AD87" s="547">
        <v>0</v>
      </c>
      <c r="AE87" s="547">
        <v>0</v>
      </c>
      <c r="AF87" s="547">
        <v>0</v>
      </c>
      <c r="AG87" s="547">
        <v>0</v>
      </c>
      <c r="AH87" s="363">
        <f t="shared" si="207"/>
        <v>0</v>
      </c>
      <c r="AI87" s="547">
        <f t="shared" si="208"/>
        <v>0</v>
      </c>
      <c r="AJ87" s="550">
        <f t="shared" si="209"/>
        <v>0</v>
      </c>
      <c r="AK87" s="551">
        <f t="shared" si="210"/>
        <v>0</v>
      </c>
      <c r="AL87" s="529"/>
      <c r="AM87" s="502"/>
      <c r="AN87" s="530"/>
      <c r="AO87" s="498"/>
      <c r="AP87" s="499"/>
      <c r="AQ87" s="499"/>
      <c r="AR87" s="499"/>
      <c r="AS87" s="531">
        <f t="shared" si="135"/>
        <v>0</v>
      </c>
      <c r="AT87" s="532">
        <f t="shared" si="136"/>
        <v>0</v>
      </c>
      <c r="AU87" s="529">
        <v>0</v>
      </c>
      <c r="AV87" s="533">
        <v>0</v>
      </c>
      <c r="AW87" s="533">
        <v>0</v>
      </c>
      <c r="AX87" s="533">
        <v>0</v>
      </c>
      <c r="AY87" s="533">
        <f t="shared" si="137"/>
        <v>0</v>
      </c>
      <c r="AZ87" s="534">
        <f t="shared" si="138"/>
        <v>0</v>
      </c>
      <c r="BA87" s="535">
        <f t="shared" si="211"/>
        <v>0</v>
      </c>
      <c r="BB87" s="536">
        <f t="shared" si="212"/>
        <v>0</v>
      </c>
      <c r="BC87" s="523">
        <f t="shared" si="213"/>
        <v>0</v>
      </c>
      <c r="BD87" s="525">
        <f t="shared" si="214"/>
        <v>0</v>
      </c>
      <c r="BE87" s="525">
        <f t="shared" si="215"/>
        <v>0</v>
      </c>
      <c r="BF87" s="525">
        <f t="shared" si="216"/>
        <v>0</v>
      </c>
      <c r="BG87" s="525">
        <f t="shared" si="217"/>
        <v>0</v>
      </c>
      <c r="BH87" s="525">
        <f t="shared" si="218"/>
        <v>0</v>
      </c>
      <c r="BI87" s="526">
        <f t="shared" si="219"/>
        <v>0</v>
      </c>
      <c r="BJ87" s="537">
        <f t="shared" si="220"/>
        <v>0</v>
      </c>
      <c r="BK87" s="538">
        <f t="shared" si="221"/>
        <v>0</v>
      </c>
      <c r="BL87" s="538">
        <f t="shared" si="222"/>
        <v>0</v>
      </c>
      <c r="BM87" s="538">
        <f t="shared" si="223"/>
        <v>0</v>
      </c>
      <c r="BN87" s="538">
        <f t="shared" si="224"/>
        <v>0</v>
      </c>
      <c r="BO87" s="538">
        <f t="shared" si="225"/>
        <v>0</v>
      </c>
      <c r="BP87" s="539">
        <f t="shared" si="226"/>
        <v>0</v>
      </c>
      <c r="BQ87" s="540">
        <f t="shared" si="227"/>
        <v>0</v>
      </c>
      <c r="BR87" s="529"/>
      <c r="BS87" s="502"/>
      <c r="BT87" s="530"/>
      <c r="BU87" s="498"/>
      <c r="BV87" s="499"/>
      <c r="BW87" s="499"/>
      <c r="BX87" s="499"/>
      <c r="BY87" s="531">
        <f t="shared" si="139"/>
        <v>0</v>
      </c>
      <c r="BZ87" s="532">
        <f t="shared" si="140"/>
        <v>0</v>
      </c>
      <c r="CA87" s="529"/>
      <c r="CB87" s="533"/>
      <c r="CC87" s="533"/>
      <c r="CD87" s="533"/>
      <c r="CE87" s="533">
        <f t="shared" si="141"/>
        <v>0</v>
      </c>
      <c r="CF87" s="534">
        <f t="shared" si="142"/>
        <v>0</v>
      </c>
      <c r="CG87" s="774">
        <f t="shared" si="228"/>
        <v>0</v>
      </c>
      <c r="CH87" s="775">
        <f t="shared" si="229"/>
        <v>0</v>
      </c>
      <c r="CI87" s="548">
        <f t="shared" si="230"/>
        <v>0</v>
      </c>
      <c r="CJ87" s="773">
        <f t="shared" si="231"/>
        <v>0</v>
      </c>
      <c r="CK87" s="773">
        <f t="shared" si="232"/>
        <v>0</v>
      </c>
      <c r="CL87" s="773">
        <f t="shared" si="233"/>
        <v>0</v>
      </c>
      <c r="CM87" s="773">
        <f t="shared" si="234"/>
        <v>0</v>
      </c>
      <c r="CN87" s="773">
        <f t="shared" si="235"/>
        <v>0</v>
      </c>
      <c r="CO87" s="626">
        <f t="shared" si="236"/>
        <v>0</v>
      </c>
      <c r="CP87" s="1145">
        <f t="shared" si="237"/>
        <v>0</v>
      </c>
      <c r="CQ87" s="1146">
        <f t="shared" si="238"/>
        <v>0</v>
      </c>
      <c r="CR87" s="1146">
        <f t="shared" si="239"/>
        <v>0</v>
      </c>
      <c r="CS87" s="1146">
        <f t="shared" si="240"/>
        <v>0</v>
      </c>
      <c r="CT87" s="1146">
        <f t="shared" si="241"/>
        <v>0</v>
      </c>
      <c r="CU87" s="1146">
        <f t="shared" si="242"/>
        <v>0</v>
      </c>
      <c r="CV87" s="1256">
        <f t="shared" si="243"/>
        <v>0</v>
      </c>
      <c r="CW87" s="1157">
        <f t="shared" si="244"/>
        <v>0</v>
      </c>
      <c r="CX87" s="529"/>
      <c r="CY87" s="502"/>
      <c r="CZ87" s="530"/>
      <c r="DA87" s="498"/>
      <c r="DB87" s="499"/>
      <c r="DC87" s="499"/>
      <c r="DD87" s="499"/>
      <c r="DE87" s="531">
        <f t="shared" si="143"/>
        <v>0</v>
      </c>
      <c r="DF87" s="532">
        <f t="shared" si="144"/>
        <v>0</v>
      </c>
      <c r="DG87" s="529"/>
      <c r="DH87" s="533"/>
      <c r="DI87" s="533"/>
      <c r="DJ87" s="533"/>
      <c r="DK87" s="533">
        <f t="shared" si="145"/>
        <v>0</v>
      </c>
      <c r="DL87" s="534">
        <f t="shared" si="146"/>
        <v>0</v>
      </c>
      <c r="DM87" s="1258">
        <f t="shared" si="147"/>
        <v>0</v>
      </c>
      <c r="DN87" s="775">
        <f t="shared" si="148"/>
        <v>0</v>
      </c>
      <c r="DO87" s="548">
        <f t="shared" si="149"/>
        <v>0</v>
      </c>
      <c r="DP87" s="773">
        <f t="shared" si="150"/>
        <v>0</v>
      </c>
      <c r="DQ87" s="773">
        <f t="shared" si="151"/>
        <v>0</v>
      </c>
      <c r="DR87" s="773">
        <f t="shared" si="152"/>
        <v>0</v>
      </c>
      <c r="DS87" s="773">
        <f t="shared" si="153"/>
        <v>0</v>
      </c>
      <c r="DT87" s="773">
        <f t="shared" si="154"/>
        <v>0</v>
      </c>
      <c r="DU87" s="526">
        <f t="shared" si="245"/>
        <v>0</v>
      </c>
      <c r="DV87" s="1145">
        <f t="shared" si="155"/>
        <v>0</v>
      </c>
      <c r="DW87" s="1146">
        <f t="shared" si="156"/>
        <v>0</v>
      </c>
      <c r="DX87" s="1146">
        <f t="shared" si="157"/>
        <v>0</v>
      </c>
      <c r="DY87" s="1146">
        <f t="shared" si="158"/>
        <v>0</v>
      </c>
      <c r="DZ87" s="1146">
        <f t="shared" si="159"/>
        <v>0</v>
      </c>
      <c r="EA87" s="1146">
        <f t="shared" si="160"/>
        <v>0</v>
      </c>
      <c r="EB87" s="539">
        <f t="shared" si="246"/>
        <v>0</v>
      </c>
      <c r="EC87" s="540">
        <f t="shared" si="247"/>
        <v>0</v>
      </c>
      <c r="ES87" s="1258">
        <f t="shared" si="161"/>
        <v>0</v>
      </c>
      <c r="ET87" s="775">
        <f t="shared" si="162"/>
        <v>0</v>
      </c>
      <c r="EU87" s="548">
        <f t="shared" si="163"/>
        <v>0</v>
      </c>
      <c r="EV87" s="773">
        <f t="shared" si="164"/>
        <v>0</v>
      </c>
      <c r="EW87" s="773">
        <f t="shared" si="165"/>
        <v>0</v>
      </c>
      <c r="EX87" s="773">
        <f t="shared" si="166"/>
        <v>0</v>
      </c>
      <c r="EY87" s="773">
        <f t="shared" si="167"/>
        <v>0</v>
      </c>
      <c r="EZ87" s="773">
        <f t="shared" si="168"/>
        <v>0</v>
      </c>
      <c r="FA87" s="626">
        <f t="shared" si="248"/>
        <v>0</v>
      </c>
      <c r="FB87" s="1145">
        <f t="shared" si="169"/>
        <v>0</v>
      </c>
      <c r="FC87" s="1146">
        <f t="shared" si="170"/>
        <v>0</v>
      </c>
      <c r="FD87" s="1146">
        <f t="shared" si="171"/>
        <v>0</v>
      </c>
      <c r="FE87" s="1146">
        <f t="shared" si="172"/>
        <v>0</v>
      </c>
      <c r="FF87" s="1146">
        <f t="shared" si="173"/>
        <v>0</v>
      </c>
      <c r="FG87" s="1146">
        <f t="shared" si="174"/>
        <v>0</v>
      </c>
      <c r="FH87" s="1256">
        <f t="shared" si="249"/>
        <v>0</v>
      </c>
      <c r="FI87" s="1157">
        <f t="shared" si="250"/>
        <v>0</v>
      </c>
      <c r="FY87" s="1258">
        <f t="shared" si="175"/>
        <v>0</v>
      </c>
      <c r="FZ87" s="775">
        <f t="shared" si="176"/>
        <v>0</v>
      </c>
      <c r="GA87" s="548">
        <f t="shared" si="177"/>
        <v>0</v>
      </c>
      <c r="GB87" s="773">
        <f t="shared" si="178"/>
        <v>0</v>
      </c>
      <c r="GC87" s="773">
        <f t="shared" si="179"/>
        <v>0</v>
      </c>
      <c r="GD87" s="773">
        <f t="shared" si="180"/>
        <v>0</v>
      </c>
      <c r="GE87" s="773">
        <f t="shared" si="181"/>
        <v>0</v>
      </c>
      <c r="GF87" s="773">
        <f t="shared" si="182"/>
        <v>0</v>
      </c>
      <c r="GG87" s="626">
        <f t="shared" si="251"/>
        <v>0</v>
      </c>
      <c r="GH87" s="1145">
        <f t="shared" si="183"/>
        <v>0</v>
      </c>
      <c r="GI87" s="1146">
        <f t="shared" si="184"/>
        <v>0</v>
      </c>
      <c r="GJ87" s="1146">
        <f t="shared" si="185"/>
        <v>0</v>
      </c>
      <c r="GK87" s="1146">
        <f t="shared" si="186"/>
        <v>0</v>
      </c>
      <c r="GL87" s="1146">
        <f t="shared" si="187"/>
        <v>0</v>
      </c>
      <c r="GM87" s="1146">
        <f t="shared" si="188"/>
        <v>0</v>
      </c>
      <c r="GN87" s="1256">
        <f t="shared" si="252"/>
        <v>0</v>
      </c>
      <c r="GO87" s="1157">
        <f t="shared" si="253"/>
        <v>0</v>
      </c>
      <c r="HE87" s="1675">
        <f t="shared" si="189"/>
        <v>0</v>
      </c>
      <c r="HF87" s="775">
        <f t="shared" si="190"/>
        <v>0</v>
      </c>
      <c r="HG87" s="548">
        <f t="shared" si="191"/>
        <v>0</v>
      </c>
      <c r="HH87" s="773">
        <f t="shared" si="192"/>
        <v>0</v>
      </c>
      <c r="HI87" s="773">
        <f t="shared" si="193"/>
        <v>0</v>
      </c>
      <c r="HJ87" s="773">
        <f t="shared" si="194"/>
        <v>0</v>
      </c>
      <c r="HK87" s="773">
        <f t="shared" si="195"/>
        <v>0</v>
      </c>
      <c r="HL87" s="773">
        <f t="shared" si="196"/>
        <v>0</v>
      </c>
      <c r="HM87" s="626">
        <f t="shared" si="254"/>
        <v>0</v>
      </c>
      <c r="HN87" s="1145">
        <f t="shared" si="197"/>
        <v>0</v>
      </c>
      <c r="HO87" s="1146">
        <f t="shared" si="198"/>
        <v>0</v>
      </c>
      <c r="HP87" s="1146">
        <f t="shared" si="199"/>
        <v>0</v>
      </c>
      <c r="HQ87" s="1146">
        <f t="shared" si="200"/>
        <v>0</v>
      </c>
      <c r="HR87" s="1146">
        <f t="shared" si="201"/>
        <v>0</v>
      </c>
      <c r="HS87" s="1146">
        <f t="shared" si="202"/>
        <v>0</v>
      </c>
      <c r="HT87" s="1256">
        <f t="shared" si="255"/>
        <v>0</v>
      </c>
      <c r="HU87" s="1157">
        <f t="shared" si="256"/>
        <v>0</v>
      </c>
    </row>
    <row r="88" spans="1:229" ht="13.5" customHeight="1" outlineLevel="1" x14ac:dyDescent="0.2">
      <c r="A88" s="474"/>
      <c r="B88" s="1412"/>
      <c r="C88" s="511">
        <v>79</v>
      </c>
      <c r="D88" s="560" t="s">
        <v>104</v>
      </c>
      <c r="E88" s="1721">
        <v>78</v>
      </c>
      <c r="F88" s="558">
        <v>5821.54</v>
      </c>
      <c r="G88" s="543">
        <f t="shared" si="132"/>
        <v>74.635128205128211</v>
      </c>
      <c r="H88" s="559">
        <f>60-28</f>
        <v>32</v>
      </c>
      <c r="I88" s="558">
        <f>649.45-303.08</f>
        <v>346.37000000000006</v>
      </c>
      <c r="J88" s="542">
        <f t="shared" si="257"/>
        <v>10.824062500000002</v>
      </c>
      <c r="K88" s="559">
        <v>3</v>
      </c>
      <c r="L88" s="558">
        <v>274.66000000000003</v>
      </c>
      <c r="M88" s="542">
        <f>L88/K88</f>
        <v>91.553333333333342</v>
      </c>
      <c r="N88" s="545">
        <f t="shared" si="133"/>
        <v>6442.57</v>
      </c>
      <c r="O88" s="518">
        <v>0</v>
      </c>
      <c r="P88" s="542">
        <f>34025853-neprodano!EC19+7335.36</f>
        <v>32240871.060066663</v>
      </c>
      <c r="Q88" s="576">
        <f>9851555.99-neprodano!ED19</f>
        <v>9475937.3170133345</v>
      </c>
      <c r="R88" s="519">
        <f t="shared" si="134"/>
        <v>41716808.377079993</v>
      </c>
      <c r="S88" s="546">
        <f t="shared" si="203"/>
        <v>41716808.377079993</v>
      </c>
      <c r="T88" s="521">
        <f>9203077.49-186.52*7.624949*303.08</f>
        <v>8772035.4508545622</v>
      </c>
      <c r="U88" s="547">
        <v>0</v>
      </c>
      <c r="V88" s="547">
        <v>0</v>
      </c>
      <c r="W88" s="548">
        <v>0</v>
      </c>
      <c r="X88" s="549">
        <v>0</v>
      </c>
      <c r="Y88" s="549">
        <v>0</v>
      </c>
      <c r="Z88" s="549">
        <v>0</v>
      </c>
      <c r="AA88" s="525">
        <f t="shared" si="204"/>
        <v>0</v>
      </c>
      <c r="AB88" s="524">
        <f t="shared" si="205"/>
        <v>0</v>
      </c>
      <c r="AC88" s="526">
        <f t="shared" si="206"/>
        <v>0</v>
      </c>
      <c r="AD88" s="547">
        <v>0</v>
      </c>
      <c r="AE88" s="547">
        <v>0</v>
      </c>
      <c r="AF88" s="547">
        <v>0</v>
      </c>
      <c r="AG88" s="547">
        <v>0</v>
      </c>
      <c r="AH88" s="363">
        <f t="shared" si="207"/>
        <v>0</v>
      </c>
      <c r="AI88" s="547">
        <f t="shared" si="208"/>
        <v>0</v>
      </c>
      <c r="AJ88" s="550">
        <f t="shared" si="209"/>
        <v>0</v>
      </c>
      <c r="AK88" s="551">
        <f t="shared" si="210"/>
        <v>0</v>
      </c>
      <c r="AL88" s="529"/>
      <c r="AM88" s="502"/>
      <c r="AN88" s="530"/>
      <c r="AO88" s="498"/>
      <c r="AP88" s="499"/>
      <c r="AQ88" s="499"/>
      <c r="AR88" s="499"/>
      <c r="AS88" s="531">
        <f t="shared" si="135"/>
        <v>0</v>
      </c>
      <c r="AT88" s="532">
        <f t="shared" si="136"/>
        <v>0</v>
      </c>
      <c r="AU88" s="529">
        <v>0</v>
      </c>
      <c r="AV88" s="533">
        <v>0</v>
      </c>
      <c r="AW88" s="533">
        <v>0</v>
      </c>
      <c r="AX88" s="533">
        <v>0</v>
      </c>
      <c r="AY88" s="533">
        <f t="shared" si="137"/>
        <v>0</v>
      </c>
      <c r="AZ88" s="534">
        <f t="shared" si="138"/>
        <v>0</v>
      </c>
      <c r="BA88" s="535">
        <f t="shared" si="211"/>
        <v>0</v>
      </c>
      <c r="BB88" s="536">
        <f t="shared" si="212"/>
        <v>0</v>
      </c>
      <c r="BC88" s="523">
        <f t="shared" si="213"/>
        <v>0</v>
      </c>
      <c r="BD88" s="525">
        <f t="shared" si="214"/>
        <v>0</v>
      </c>
      <c r="BE88" s="525">
        <f t="shared" si="215"/>
        <v>0</v>
      </c>
      <c r="BF88" s="525">
        <f t="shared" si="216"/>
        <v>0</v>
      </c>
      <c r="BG88" s="525">
        <f t="shared" si="217"/>
        <v>0</v>
      </c>
      <c r="BH88" s="525">
        <f t="shared" si="218"/>
        <v>0</v>
      </c>
      <c r="BI88" s="526">
        <f t="shared" si="219"/>
        <v>0</v>
      </c>
      <c r="BJ88" s="537">
        <f t="shared" si="220"/>
        <v>0</v>
      </c>
      <c r="BK88" s="538">
        <f t="shared" si="221"/>
        <v>0</v>
      </c>
      <c r="BL88" s="538">
        <f t="shared" si="222"/>
        <v>0</v>
      </c>
      <c r="BM88" s="538">
        <f t="shared" si="223"/>
        <v>0</v>
      </c>
      <c r="BN88" s="538">
        <f t="shared" si="224"/>
        <v>0</v>
      </c>
      <c r="BO88" s="538">
        <f t="shared" si="225"/>
        <v>0</v>
      </c>
      <c r="BP88" s="539">
        <f t="shared" si="226"/>
        <v>0</v>
      </c>
      <c r="BQ88" s="540">
        <f t="shared" si="227"/>
        <v>0</v>
      </c>
      <c r="BR88" s="529"/>
      <c r="BS88" s="502"/>
      <c r="BT88" s="530"/>
      <c r="BU88" s="498"/>
      <c r="BV88" s="499"/>
      <c r="BW88" s="499"/>
      <c r="BX88" s="499"/>
      <c r="BY88" s="531">
        <f t="shared" si="139"/>
        <v>0</v>
      </c>
      <c r="BZ88" s="532">
        <f t="shared" si="140"/>
        <v>0</v>
      </c>
      <c r="CA88" s="529"/>
      <c r="CB88" s="533"/>
      <c r="CC88" s="533"/>
      <c r="CD88" s="533"/>
      <c r="CE88" s="533">
        <f t="shared" si="141"/>
        <v>0</v>
      </c>
      <c r="CF88" s="534">
        <f t="shared" si="142"/>
        <v>0</v>
      </c>
      <c r="CG88" s="774">
        <f t="shared" si="228"/>
        <v>0</v>
      </c>
      <c r="CH88" s="775">
        <f t="shared" si="229"/>
        <v>0</v>
      </c>
      <c r="CI88" s="548">
        <f t="shared" si="230"/>
        <v>0</v>
      </c>
      <c r="CJ88" s="773">
        <f t="shared" si="231"/>
        <v>0</v>
      </c>
      <c r="CK88" s="773">
        <f t="shared" si="232"/>
        <v>0</v>
      </c>
      <c r="CL88" s="773">
        <f t="shared" si="233"/>
        <v>0</v>
      </c>
      <c r="CM88" s="773">
        <f t="shared" si="234"/>
        <v>0</v>
      </c>
      <c r="CN88" s="773">
        <f t="shared" si="235"/>
        <v>0</v>
      </c>
      <c r="CO88" s="626">
        <f t="shared" si="236"/>
        <v>0</v>
      </c>
      <c r="CP88" s="1145">
        <f t="shared" si="237"/>
        <v>0</v>
      </c>
      <c r="CQ88" s="1146">
        <f t="shared" si="238"/>
        <v>0</v>
      </c>
      <c r="CR88" s="1146">
        <f t="shared" si="239"/>
        <v>0</v>
      </c>
      <c r="CS88" s="1146">
        <f t="shared" si="240"/>
        <v>0</v>
      </c>
      <c r="CT88" s="1146">
        <f t="shared" si="241"/>
        <v>0</v>
      </c>
      <c r="CU88" s="1146">
        <f t="shared" si="242"/>
        <v>0</v>
      </c>
      <c r="CV88" s="1256">
        <f t="shared" si="243"/>
        <v>0</v>
      </c>
      <c r="CW88" s="1157">
        <f t="shared" si="244"/>
        <v>0</v>
      </c>
      <c r="CX88" s="529"/>
      <c r="CY88" s="502"/>
      <c r="CZ88" s="530"/>
      <c r="DA88" s="498"/>
      <c r="DB88" s="499"/>
      <c r="DC88" s="499"/>
      <c r="DD88" s="499"/>
      <c r="DE88" s="531">
        <f t="shared" si="143"/>
        <v>0</v>
      </c>
      <c r="DF88" s="532">
        <f t="shared" si="144"/>
        <v>0</v>
      </c>
      <c r="DG88" s="529"/>
      <c r="DH88" s="533"/>
      <c r="DI88" s="533"/>
      <c r="DJ88" s="533"/>
      <c r="DK88" s="533">
        <f t="shared" si="145"/>
        <v>0</v>
      </c>
      <c r="DL88" s="534">
        <f t="shared" si="146"/>
        <v>0</v>
      </c>
      <c r="DM88" s="1258">
        <f t="shared" si="147"/>
        <v>0</v>
      </c>
      <c r="DN88" s="775">
        <f t="shared" si="148"/>
        <v>0</v>
      </c>
      <c r="DO88" s="548">
        <f t="shared" si="149"/>
        <v>0</v>
      </c>
      <c r="DP88" s="773">
        <f t="shared" si="150"/>
        <v>0</v>
      </c>
      <c r="DQ88" s="773">
        <f t="shared" si="151"/>
        <v>0</v>
      </c>
      <c r="DR88" s="773">
        <f t="shared" si="152"/>
        <v>0</v>
      </c>
      <c r="DS88" s="773">
        <f t="shared" si="153"/>
        <v>0</v>
      </c>
      <c r="DT88" s="773">
        <f t="shared" si="154"/>
        <v>0</v>
      </c>
      <c r="DU88" s="526">
        <f t="shared" si="245"/>
        <v>0</v>
      </c>
      <c r="DV88" s="1145">
        <f t="shared" si="155"/>
        <v>0</v>
      </c>
      <c r="DW88" s="1146">
        <f t="shared" si="156"/>
        <v>0</v>
      </c>
      <c r="DX88" s="1146">
        <f t="shared" si="157"/>
        <v>0</v>
      </c>
      <c r="DY88" s="1146">
        <f t="shared" si="158"/>
        <v>0</v>
      </c>
      <c r="DZ88" s="1146">
        <f t="shared" si="159"/>
        <v>0</v>
      </c>
      <c r="EA88" s="1146">
        <f t="shared" si="160"/>
        <v>0</v>
      </c>
      <c r="EB88" s="539">
        <f t="shared" si="246"/>
        <v>0</v>
      </c>
      <c r="EC88" s="540">
        <f t="shared" si="247"/>
        <v>0</v>
      </c>
      <c r="ES88" s="1258">
        <f t="shared" si="161"/>
        <v>0</v>
      </c>
      <c r="ET88" s="775">
        <f t="shared" si="162"/>
        <v>0</v>
      </c>
      <c r="EU88" s="548">
        <f t="shared" si="163"/>
        <v>0</v>
      </c>
      <c r="EV88" s="773">
        <f t="shared" si="164"/>
        <v>0</v>
      </c>
      <c r="EW88" s="773">
        <f t="shared" si="165"/>
        <v>0</v>
      </c>
      <c r="EX88" s="773">
        <f t="shared" si="166"/>
        <v>0</v>
      </c>
      <c r="EY88" s="773">
        <f t="shared" si="167"/>
        <v>0</v>
      </c>
      <c r="EZ88" s="773">
        <f t="shared" si="168"/>
        <v>0</v>
      </c>
      <c r="FA88" s="626">
        <f t="shared" si="248"/>
        <v>0</v>
      </c>
      <c r="FB88" s="1145">
        <f t="shared" si="169"/>
        <v>0</v>
      </c>
      <c r="FC88" s="1146">
        <f t="shared" si="170"/>
        <v>0</v>
      </c>
      <c r="FD88" s="1146">
        <f t="shared" si="171"/>
        <v>0</v>
      </c>
      <c r="FE88" s="1146">
        <f t="shared" si="172"/>
        <v>0</v>
      </c>
      <c r="FF88" s="1146">
        <f t="shared" si="173"/>
        <v>0</v>
      </c>
      <c r="FG88" s="1146">
        <f t="shared" si="174"/>
        <v>0</v>
      </c>
      <c r="FH88" s="1256">
        <f t="shared" si="249"/>
        <v>0</v>
      </c>
      <c r="FI88" s="1157">
        <f t="shared" si="250"/>
        <v>0</v>
      </c>
      <c r="FY88" s="1258">
        <f t="shared" si="175"/>
        <v>0</v>
      </c>
      <c r="FZ88" s="775">
        <f t="shared" si="176"/>
        <v>0</v>
      </c>
      <c r="GA88" s="548">
        <f t="shared" si="177"/>
        <v>0</v>
      </c>
      <c r="GB88" s="773">
        <f t="shared" si="178"/>
        <v>0</v>
      </c>
      <c r="GC88" s="773">
        <f t="shared" si="179"/>
        <v>0</v>
      </c>
      <c r="GD88" s="773">
        <f t="shared" si="180"/>
        <v>0</v>
      </c>
      <c r="GE88" s="773">
        <f t="shared" si="181"/>
        <v>0</v>
      </c>
      <c r="GF88" s="773">
        <f t="shared" si="182"/>
        <v>0</v>
      </c>
      <c r="GG88" s="626">
        <f t="shared" si="251"/>
        <v>0</v>
      </c>
      <c r="GH88" s="1145">
        <f t="shared" si="183"/>
        <v>0</v>
      </c>
      <c r="GI88" s="1146">
        <f t="shared" si="184"/>
        <v>0</v>
      </c>
      <c r="GJ88" s="1146">
        <f t="shared" si="185"/>
        <v>0</v>
      </c>
      <c r="GK88" s="1146">
        <f t="shared" si="186"/>
        <v>0</v>
      </c>
      <c r="GL88" s="1146">
        <f t="shared" si="187"/>
        <v>0</v>
      </c>
      <c r="GM88" s="1146">
        <f t="shared" si="188"/>
        <v>0</v>
      </c>
      <c r="GN88" s="1256">
        <f t="shared" si="252"/>
        <v>0</v>
      </c>
      <c r="GO88" s="1157">
        <f t="shared" si="253"/>
        <v>0</v>
      </c>
      <c r="HE88" s="1675">
        <f t="shared" si="189"/>
        <v>0</v>
      </c>
      <c r="HF88" s="775">
        <f t="shared" si="190"/>
        <v>0</v>
      </c>
      <c r="HG88" s="548">
        <f t="shared" si="191"/>
        <v>0</v>
      </c>
      <c r="HH88" s="773">
        <f t="shared" si="192"/>
        <v>0</v>
      </c>
      <c r="HI88" s="773">
        <f t="shared" si="193"/>
        <v>0</v>
      </c>
      <c r="HJ88" s="773">
        <f t="shared" si="194"/>
        <v>0</v>
      </c>
      <c r="HK88" s="773">
        <f t="shared" si="195"/>
        <v>0</v>
      </c>
      <c r="HL88" s="773">
        <f t="shared" si="196"/>
        <v>0</v>
      </c>
      <c r="HM88" s="626">
        <f t="shared" si="254"/>
        <v>0</v>
      </c>
      <c r="HN88" s="1145">
        <f t="shared" si="197"/>
        <v>0</v>
      </c>
      <c r="HO88" s="1146">
        <f t="shared" si="198"/>
        <v>0</v>
      </c>
      <c r="HP88" s="1146">
        <f t="shared" si="199"/>
        <v>0</v>
      </c>
      <c r="HQ88" s="1146">
        <f t="shared" si="200"/>
        <v>0</v>
      </c>
      <c r="HR88" s="1146">
        <f t="shared" si="201"/>
        <v>0</v>
      </c>
      <c r="HS88" s="1146">
        <f t="shared" si="202"/>
        <v>0</v>
      </c>
      <c r="HT88" s="1256">
        <f t="shared" si="255"/>
        <v>0</v>
      </c>
      <c r="HU88" s="1157">
        <f t="shared" si="256"/>
        <v>0</v>
      </c>
    </row>
    <row r="89" spans="1:229" ht="13.5" customHeight="1" outlineLevel="1" x14ac:dyDescent="0.2">
      <c r="A89" s="474"/>
      <c r="B89" s="1412"/>
      <c r="C89" s="511">
        <v>80</v>
      </c>
      <c r="D89" s="560" t="s">
        <v>105</v>
      </c>
      <c r="E89" s="1721">
        <v>95</v>
      </c>
      <c r="F89" s="558">
        <v>6296.41</v>
      </c>
      <c r="G89" s="543">
        <f t="shared" si="132"/>
        <v>66.277999999999992</v>
      </c>
      <c r="H89" s="559">
        <f>63-36</f>
        <v>27</v>
      </c>
      <c r="I89" s="558">
        <f>882.64-483.48</f>
        <v>399.15999999999997</v>
      </c>
      <c r="J89" s="542">
        <f t="shared" si="257"/>
        <v>14.783703703703702</v>
      </c>
      <c r="K89" s="559">
        <v>12</v>
      </c>
      <c r="L89" s="558">
        <v>748.2</v>
      </c>
      <c r="M89" s="542">
        <f>L89/K89</f>
        <v>62.35</v>
      </c>
      <c r="N89" s="545">
        <f t="shared" si="133"/>
        <v>7443.7699999999995</v>
      </c>
      <c r="O89" s="518">
        <v>0</v>
      </c>
      <c r="P89" s="542">
        <f>41055023.8+9431.17-neprodano!EC20</f>
        <v>38243808.108845793</v>
      </c>
      <c r="Q89" s="576">
        <f>11025482.3-neprodano!ED20</f>
        <v>10353043.811600002</v>
      </c>
      <c r="R89" s="519">
        <f t="shared" si="134"/>
        <v>48596851.920445792</v>
      </c>
      <c r="S89" s="546">
        <f t="shared" si="203"/>
        <v>48596851.920445792</v>
      </c>
      <c r="T89" s="521">
        <v>8905980.7380516008</v>
      </c>
      <c r="U89" s="547">
        <v>0</v>
      </c>
      <c r="V89" s="547">
        <v>0</v>
      </c>
      <c r="W89" s="548">
        <v>0</v>
      </c>
      <c r="X89" s="549">
        <v>0</v>
      </c>
      <c r="Y89" s="549">
        <v>0</v>
      </c>
      <c r="Z89" s="549">
        <v>0</v>
      </c>
      <c r="AA89" s="525">
        <f t="shared" si="204"/>
        <v>0</v>
      </c>
      <c r="AB89" s="524">
        <f t="shared" si="205"/>
        <v>0</v>
      </c>
      <c r="AC89" s="526">
        <f t="shared" si="206"/>
        <v>0</v>
      </c>
      <c r="AD89" s="547">
        <v>0</v>
      </c>
      <c r="AE89" s="547">
        <v>0</v>
      </c>
      <c r="AF89" s="547">
        <v>0</v>
      </c>
      <c r="AG89" s="547">
        <v>0</v>
      </c>
      <c r="AH89" s="363">
        <f t="shared" si="207"/>
        <v>0</v>
      </c>
      <c r="AI89" s="547">
        <f t="shared" si="208"/>
        <v>0</v>
      </c>
      <c r="AJ89" s="550">
        <f t="shared" si="209"/>
        <v>0</v>
      </c>
      <c r="AK89" s="551">
        <f t="shared" si="210"/>
        <v>0</v>
      </c>
      <c r="AL89" s="529"/>
      <c r="AM89" s="502"/>
      <c r="AN89" s="530"/>
      <c r="AO89" s="498"/>
      <c r="AP89" s="499"/>
      <c r="AQ89" s="499"/>
      <c r="AR89" s="499"/>
      <c r="AS89" s="531">
        <f t="shared" si="135"/>
        <v>0</v>
      </c>
      <c r="AT89" s="532">
        <f t="shared" si="136"/>
        <v>0</v>
      </c>
      <c r="AU89" s="529">
        <v>0</v>
      </c>
      <c r="AV89" s="533">
        <v>0</v>
      </c>
      <c r="AW89" s="533">
        <v>0</v>
      </c>
      <c r="AX89" s="533">
        <v>0</v>
      </c>
      <c r="AY89" s="533">
        <f t="shared" si="137"/>
        <v>0</v>
      </c>
      <c r="AZ89" s="534">
        <f t="shared" si="138"/>
        <v>0</v>
      </c>
      <c r="BA89" s="535">
        <f t="shared" si="211"/>
        <v>0</v>
      </c>
      <c r="BB89" s="536">
        <f t="shared" si="212"/>
        <v>0</v>
      </c>
      <c r="BC89" s="523">
        <f t="shared" si="213"/>
        <v>0</v>
      </c>
      <c r="BD89" s="525">
        <f t="shared" si="214"/>
        <v>0</v>
      </c>
      <c r="BE89" s="525">
        <f t="shared" si="215"/>
        <v>0</v>
      </c>
      <c r="BF89" s="525">
        <f t="shared" si="216"/>
        <v>0</v>
      </c>
      <c r="BG89" s="525">
        <f t="shared" si="217"/>
        <v>0</v>
      </c>
      <c r="BH89" s="525">
        <f t="shared" si="218"/>
        <v>0</v>
      </c>
      <c r="BI89" s="526">
        <f t="shared" si="219"/>
        <v>0</v>
      </c>
      <c r="BJ89" s="537">
        <f t="shared" si="220"/>
        <v>0</v>
      </c>
      <c r="BK89" s="538">
        <f t="shared" si="221"/>
        <v>0</v>
      </c>
      <c r="BL89" s="538">
        <f t="shared" si="222"/>
        <v>0</v>
      </c>
      <c r="BM89" s="538">
        <f t="shared" si="223"/>
        <v>0</v>
      </c>
      <c r="BN89" s="538">
        <f t="shared" si="224"/>
        <v>0</v>
      </c>
      <c r="BO89" s="538">
        <f t="shared" si="225"/>
        <v>0</v>
      </c>
      <c r="BP89" s="539">
        <f t="shared" si="226"/>
        <v>0</v>
      </c>
      <c r="BQ89" s="540">
        <f t="shared" si="227"/>
        <v>0</v>
      </c>
      <c r="BR89" s="529"/>
      <c r="BS89" s="502"/>
      <c r="BT89" s="530"/>
      <c r="BU89" s="498"/>
      <c r="BV89" s="499"/>
      <c r="BW89" s="499"/>
      <c r="BX89" s="499"/>
      <c r="BY89" s="531">
        <f t="shared" si="139"/>
        <v>0</v>
      </c>
      <c r="BZ89" s="532">
        <f t="shared" si="140"/>
        <v>0</v>
      </c>
      <c r="CA89" s="529"/>
      <c r="CB89" s="533"/>
      <c r="CC89" s="533"/>
      <c r="CD89" s="533"/>
      <c r="CE89" s="533">
        <f t="shared" si="141"/>
        <v>0</v>
      </c>
      <c r="CF89" s="534">
        <f t="shared" si="142"/>
        <v>0</v>
      </c>
      <c r="CG89" s="774">
        <f t="shared" si="228"/>
        <v>0</v>
      </c>
      <c r="CH89" s="775">
        <f t="shared" si="229"/>
        <v>0</v>
      </c>
      <c r="CI89" s="548">
        <f t="shared" si="230"/>
        <v>0</v>
      </c>
      <c r="CJ89" s="773">
        <f t="shared" si="231"/>
        <v>0</v>
      </c>
      <c r="CK89" s="773">
        <f t="shared" si="232"/>
        <v>0</v>
      </c>
      <c r="CL89" s="773">
        <f t="shared" si="233"/>
        <v>0</v>
      </c>
      <c r="CM89" s="773">
        <f t="shared" si="234"/>
        <v>0</v>
      </c>
      <c r="CN89" s="773">
        <f t="shared" si="235"/>
        <v>0</v>
      </c>
      <c r="CO89" s="626">
        <f t="shared" si="236"/>
        <v>0</v>
      </c>
      <c r="CP89" s="1145">
        <f t="shared" si="237"/>
        <v>0</v>
      </c>
      <c r="CQ89" s="1146">
        <f t="shared" si="238"/>
        <v>0</v>
      </c>
      <c r="CR89" s="1146">
        <f t="shared" si="239"/>
        <v>0</v>
      </c>
      <c r="CS89" s="1146">
        <f t="shared" si="240"/>
        <v>0</v>
      </c>
      <c r="CT89" s="1146">
        <f t="shared" si="241"/>
        <v>0</v>
      </c>
      <c r="CU89" s="1146">
        <f t="shared" si="242"/>
        <v>0</v>
      </c>
      <c r="CV89" s="1256">
        <f t="shared" si="243"/>
        <v>0</v>
      </c>
      <c r="CW89" s="1157">
        <f t="shared" si="244"/>
        <v>0</v>
      </c>
      <c r="CX89" s="529"/>
      <c r="CY89" s="502"/>
      <c r="CZ89" s="530"/>
      <c r="DA89" s="498"/>
      <c r="DB89" s="499"/>
      <c r="DC89" s="499"/>
      <c r="DD89" s="499"/>
      <c r="DE89" s="531">
        <f t="shared" si="143"/>
        <v>0</v>
      </c>
      <c r="DF89" s="532">
        <f t="shared" si="144"/>
        <v>0</v>
      </c>
      <c r="DG89" s="529"/>
      <c r="DH89" s="533"/>
      <c r="DI89" s="533"/>
      <c r="DJ89" s="533"/>
      <c r="DK89" s="533">
        <f t="shared" si="145"/>
        <v>0</v>
      </c>
      <c r="DL89" s="534">
        <f t="shared" si="146"/>
        <v>0</v>
      </c>
      <c r="DM89" s="1258">
        <f t="shared" si="147"/>
        <v>0</v>
      </c>
      <c r="DN89" s="775">
        <f t="shared" si="148"/>
        <v>0</v>
      </c>
      <c r="DO89" s="548">
        <f t="shared" si="149"/>
        <v>0</v>
      </c>
      <c r="DP89" s="773">
        <f t="shared" si="150"/>
        <v>0</v>
      </c>
      <c r="DQ89" s="773">
        <f t="shared" si="151"/>
        <v>0</v>
      </c>
      <c r="DR89" s="773">
        <f t="shared" si="152"/>
        <v>0</v>
      </c>
      <c r="DS89" s="773">
        <f t="shared" si="153"/>
        <v>0</v>
      </c>
      <c r="DT89" s="773">
        <f t="shared" si="154"/>
        <v>0</v>
      </c>
      <c r="DU89" s="526">
        <f t="shared" si="245"/>
        <v>0</v>
      </c>
      <c r="DV89" s="1145">
        <f t="shared" si="155"/>
        <v>0</v>
      </c>
      <c r="DW89" s="1146">
        <f t="shared" si="156"/>
        <v>0</v>
      </c>
      <c r="DX89" s="1146">
        <f t="shared" si="157"/>
        <v>0</v>
      </c>
      <c r="DY89" s="1146">
        <f t="shared" si="158"/>
        <v>0</v>
      </c>
      <c r="DZ89" s="1146">
        <f t="shared" si="159"/>
        <v>0</v>
      </c>
      <c r="EA89" s="1146">
        <f t="shared" si="160"/>
        <v>0</v>
      </c>
      <c r="EB89" s="539">
        <f t="shared" si="246"/>
        <v>0</v>
      </c>
      <c r="EC89" s="540">
        <f t="shared" si="247"/>
        <v>0</v>
      </c>
      <c r="ES89" s="1258">
        <f t="shared" si="161"/>
        <v>0</v>
      </c>
      <c r="ET89" s="775">
        <f t="shared" si="162"/>
        <v>0</v>
      </c>
      <c r="EU89" s="548">
        <f t="shared" si="163"/>
        <v>0</v>
      </c>
      <c r="EV89" s="773">
        <f t="shared" si="164"/>
        <v>0</v>
      </c>
      <c r="EW89" s="773">
        <f t="shared" si="165"/>
        <v>0</v>
      </c>
      <c r="EX89" s="773">
        <f t="shared" si="166"/>
        <v>0</v>
      </c>
      <c r="EY89" s="773">
        <f t="shared" si="167"/>
        <v>0</v>
      </c>
      <c r="EZ89" s="773">
        <f t="shared" si="168"/>
        <v>0</v>
      </c>
      <c r="FA89" s="626">
        <f t="shared" si="248"/>
        <v>0</v>
      </c>
      <c r="FB89" s="1145">
        <f t="shared" si="169"/>
        <v>0</v>
      </c>
      <c r="FC89" s="1146">
        <f t="shared" si="170"/>
        <v>0</v>
      </c>
      <c r="FD89" s="1146">
        <f t="shared" si="171"/>
        <v>0</v>
      </c>
      <c r="FE89" s="1146">
        <f t="shared" si="172"/>
        <v>0</v>
      </c>
      <c r="FF89" s="1146">
        <f t="shared" si="173"/>
        <v>0</v>
      </c>
      <c r="FG89" s="1146">
        <f t="shared" si="174"/>
        <v>0</v>
      </c>
      <c r="FH89" s="1256">
        <f t="shared" si="249"/>
        <v>0</v>
      </c>
      <c r="FI89" s="1157">
        <f t="shared" si="250"/>
        <v>0</v>
      </c>
      <c r="FY89" s="1258">
        <f t="shared" si="175"/>
        <v>0</v>
      </c>
      <c r="FZ89" s="775">
        <f t="shared" si="176"/>
        <v>0</v>
      </c>
      <c r="GA89" s="548">
        <f t="shared" si="177"/>
        <v>0</v>
      </c>
      <c r="GB89" s="773">
        <f t="shared" si="178"/>
        <v>0</v>
      </c>
      <c r="GC89" s="773">
        <f t="shared" si="179"/>
        <v>0</v>
      </c>
      <c r="GD89" s="773">
        <f t="shared" si="180"/>
        <v>0</v>
      </c>
      <c r="GE89" s="773">
        <f t="shared" si="181"/>
        <v>0</v>
      </c>
      <c r="GF89" s="773">
        <f t="shared" si="182"/>
        <v>0</v>
      </c>
      <c r="GG89" s="626">
        <f t="shared" si="251"/>
        <v>0</v>
      </c>
      <c r="GH89" s="1145">
        <f t="shared" si="183"/>
        <v>0</v>
      </c>
      <c r="GI89" s="1146">
        <f t="shared" si="184"/>
        <v>0</v>
      </c>
      <c r="GJ89" s="1146">
        <f t="shared" si="185"/>
        <v>0</v>
      </c>
      <c r="GK89" s="1146">
        <f t="shared" si="186"/>
        <v>0</v>
      </c>
      <c r="GL89" s="1146">
        <f t="shared" si="187"/>
        <v>0</v>
      </c>
      <c r="GM89" s="1146">
        <f t="shared" si="188"/>
        <v>0</v>
      </c>
      <c r="GN89" s="1256">
        <f t="shared" si="252"/>
        <v>0</v>
      </c>
      <c r="GO89" s="1157">
        <f t="shared" si="253"/>
        <v>0</v>
      </c>
      <c r="HE89" s="1675">
        <f t="shared" si="189"/>
        <v>0</v>
      </c>
      <c r="HF89" s="775">
        <f t="shared" si="190"/>
        <v>0</v>
      </c>
      <c r="HG89" s="548">
        <f t="shared" si="191"/>
        <v>0</v>
      </c>
      <c r="HH89" s="773">
        <f t="shared" si="192"/>
        <v>0</v>
      </c>
      <c r="HI89" s="773">
        <f t="shared" si="193"/>
        <v>0</v>
      </c>
      <c r="HJ89" s="773">
        <f t="shared" si="194"/>
        <v>0</v>
      </c>
      <c r="HK89" s="773">
        <f t="shared" si="195"/>
        <v>0</v>
      </c>
      <c r="HL89" s="773">
        <f t="shared" si="196"/>
        <v>0</v>
      </c>
      <c r="HM89" s="626">
        <f t="shared" si="254"/>
        <v>0</v>
      </c>
      <c r="HN89" s="1145">
        <f t="shared" si="197"/>
        <v>0</v>
      </c>
      <c r="HO89" s="1146">
        <f t="shared" si="198"/>
        <v>0</v>
      </c>
      <c r="HP89" s="1146">
        <f t="shared" si="199"/>
        <v>0</v>
      </c>
      <c r="HQ89" s="1146">
        <f t="shared" si="200"/>
        <v>0</v>
      </c>
      <c r="HR89" s="1146">
        <f t="shared" si="201"/>
        <v>0</v>
      </c>
      <c r="HS89" s="1146">
        <f t="shared" si="202"/>
        <v>0</v>
      </c>
      <c r="HT89" s="1256">
        <f t="shared" si="255"/>
        <v>0</v>
      </c>
      <c r="HU89" s="1157">
        <f t="shared" si="256"/>
        <v>0</v>
      </c>
    </row>
    <row r="90" spans="1:229" ht="13.5" customHeight="1" outlineLevel="1" x14ac:dyDescent="0.2">
      <c r="A90" s="474"/>
      <c r="B90" s="1412"/>
      <c r="C90" s="511">
        <v>81</v>
      </c>
      <c r="D90" s="560" t="s">
        <v>106</v>
      </c>
      <c r="E90" s="1721">
        <v>79</v>
      </c>
      <c r="F90" s="558">
        <v>6993.24</v>
      </c>
      <c r="G90" s="543">
        <f t="shared" si="132"/>
        <v>88.522025316455696</v>
      </c>
      <c r="H90" s="559">
        <f>46-4</f>
        <v>42</v>
      </c>
      <c r="I90" s="558">
        <f>558.49-48.62</f>
        <v>509.87</v>
      </c>
      <c r="J90" s="542">
        <f t="shared" si="257"/>
        <v>12.139761904761905</v>
      </c>
      <c r="K90" s="559">
        <v>4</v>
      </c>
      <c r="L90" s="558">
        <v>215.7</v>
      </c>
      <c r="M90" s="542">
        <f>L90/K90</f>
        <v>53.924999999999997</v>
      </c>
      <c r="N90" s="545">
        <f t="shared" si="133"/>
        <v>7718.8099999999995</v>
      </c>
      <c r="O90" s="518">
        <v>0</v>
      </c>
      <c r="P90" s="542">
        <f>39132393.39+1047.91-neprodano!EC21</f>
        <v>38843922.719355345</v>
      </c>
      <c r="Q90" s="576">
        <f>11548584.67-neprodano!ED21</f>
        <v>11489291.6076</v>
      </c>
      <c r="R90" s="519">
        <f t="shared" si="134"/>
        <v>50333214.326955348</v>
      </c>
      <c r="S90" s="546">
        <f t="shared" si="203"/>
        <v>50333214.326955348</v>
      </c>
      <c r="T90" s="521">
        <f>10929858.01-193.14*7.493692*48.62</f>
        <v>10859488.744064575</v>
      </c>
      <c r="U90" s="547">
        <v>0</v>
      </c>
      <c r="V90" s="547">
        <v>0</v>
      </c>
      <c r="W90" s="548">
        <v>0</v>
      </c>
      <c r="X90" s="549">
        <v>0</v>
      </c>
      <c r="Y90" s="549">
        <v>0</v>
      </c>
      <c r="Z90" s="549">
        <v>0</v>
      </c>
      <c r="AA90" s="525">
        <f t="shared" si="204"/>
        <v>0</v>
      </c>
      <c r="AB90" s="524">
        <f t="shared" si="205"/>
        <v>0</v>
      </c>
      <c r="AC90" s="526">
        <f t="shared" si="206"/>
        <v>0</v>
      </c>
      <c r="AD90" s="547">
        <v>0</v>
      </c>
      <c r="AE90" s="547">
        <v>0</v>
      </c>
      <c r="AF90" s="547">
        <v>0</v>
      </c>
      <c r="AG90" s="547">
        <v>0</v>
      </c>
      <c r="AH90" s="363">
        <f t="shared" si="207"/>
        <v>0</v>
      </c>
      <c r="AI90" s="547">
        <f t="shared" si="208"/>
        <v>0</v>
      </c>
      <c r="AJ90" s="550">
        <f t="shared" si="209"/>
        <v>0</v>
      </c>
      <c r="AK90" s="551">
        <f t="shared" si="210"/>
        <v>0</v>
      </c>
      <c r="AL90" s="529"/>
      <c r="AM90" s="502"/>
      <c r="AN90" s="530"/>
      <c r="AO90" s="498"/>
      <c r="AP90" s="499"/>
      <c r="AQ90" s="499"/>
      <c r="AR90" s="499"/>
      <c r="AS90" s="531">
        <f t="shared" si="135"/>
        <v>0</v>
      </c>
      <c r="AT90" s="532">
        <f t="shared" si="136"/>
        <v>0</v>
      </c>
      <c r="AU90" s="529">
        <v>0</v>
      </c>
      <c r="AV90" s="533">
        <v>0</v>
      </c>
      <c r="AW90" s="533">
        <v>0</v>
      </c>
      <c r="AX90" s="533">
        <v>0</v>
      </c>
      <c r="AY90" s="533">
        <f t="shared" si="137"/>
        <v>0</v>
      </c>
      <c r="AZ90" s="534">
        <f t="shared" si="138"/>
        <v>0</v>
      </c>
      <c r="BA90" s="535">
        <f t="shared" si="211"/>
        <v>0</v>
      </c>
      <c r="BB90" s="536">
        <f t="shared" si="212"/>
        <v>0</v>
      </c>
      <c r="BC90" s="523">
        <f t="shared" si="213"/>
        <v>0</v>
      </c>
      <c r="BD90" s="525">
        <f t="shared" si="214"/>
        <v>0</v>
      </c>
      <c r="BE90" s="525">
        <f t="shared" si="215"/>
        <v>0</v>
      </c>
      <c r="BF90" s="525">
        <f t="shared" si="216"/>
        <v>0</v>
      </c>
      <c r="BG90" s="525">
        <f t="shared" si="217"/>
        <v>0</v>
      </c>
      <c r="BH90" s="525">
        <f t="shared" si="218"/>
        <v>0</v>
      </c>
      <c r="BI90" s="526">
        <f t="shared" si="219"/>
        <v>0</v>
      </c>
      <c r="BJ90" s="537">
        <f t="shared" si="220"/>
        <v>0</v>
      </c>
      <c r="BK90" s="538">
        <f t="shared" si="221"/>
        <v>0</v>
      </c>
      <c r="BL90" s="538">
        <f t="shared" si="222"/>
        <v>0</v>
      </c>
      <c r="BM90" s="538">
        <f t="shared" si="223"/>
        <v>0</v>
      </c>
      <c r="BN90" s="538">
        <f t="shared" si="224"/>
        <v>0</v>
      </c>
      <c r="BO90" s="538">
        <f t="shared" si="225"/>
        <v>0</v>
      </c>
      <c r="BP90" s="539">
        <f t="shared" si="226"/>
        <v>0</v>
      </c>
      <c r="BQ90" s="540">
        <f t="shared" si="227"/>
        <v>0</v>
      </c>
      <c r="BR90" s="529"/>
      <c r="BS90" s="502"/>
      <c r="BT90" s="530"/>
      <c r="BU90" s="498"/>
      <c r="BV90" s="499"/>
      <c r="BW90" s="499"/>
      <c r="BX90" s="499"/>
      <c r="BY90" s="531">
        <f t="shared" si="139"/>
        <v>0</v>
      </c>
      <c r="BZ90" s="532">
        <f t="shared" si="140"/>
        <v>0</v>
      </c>
      <c r="CA90" s="529"/>
      <c r="CB90" s="533"/>
      <c r="CC90" s="533"/>
      <c r="CD90" s="533"/>
      <c r="CE90" s="533">
        <f t="shared" si="141"/>
        <v>0</v>
      </c>
      <c r="CF90" s="534">
        <f t="shared" si="142"/>
        <v>0</v>
      </c>
      <c r="CG90" s="774">
        <f t="shared" si="228"/>
        <v>0</v>
      </c>
      <c r="CH90" s="775">
        <f t="shared" si="229"/>
        <v>0</v>
      </c>
      <c r="CI90" s="548">
        <f t="shared" si="230"/>
        <v>0</v>
      </c>
      <c r="CJ90" s="773">
        <f t="shared" si="231"/>
        <v>0</v>
      </c>
      <c r="CK90" s="773">
        <f t="shared" si="232"/>
        <v>0</v>
      </c>
      <c r="CL90" s="773">
        <f t="shared" si="233"/>
        <v>0</v>
      </c>
      <c r="CM90" s="773">
        <f t="shared" si="234"/>
        <v>0</v>
      </c>
      <c r="CN90" s="773">
        <f t="shared" si="235"/>
        <v>0</v>
      </c>
      <c r="CO90" s="626">
        <f t="shared" si="236"/>
        <v>0</v>
      </c>
      <c r="CP90" s="1145">
        <f t="shared" si="237"/>
        <v>0</v>
      </c>
      <c r="CQ90" s="1146">
        <f t="shared" si="238"/>
        <v>0</v>
      </c>
      <c r="CR90" s="1146">
        <f t="shared" si="239"/>
        <v>0</v>
      </c>
      <c r="CS90" s="1146">
        <f t="shared" si="240"/>
        <v>0</v>
      </c>
      <c r="CT90" s="1146">
        <f t="shared" si="241"/>
        <v>0</v>
      </c>
      <c r="CU90" s="1146">
        <f t="shared" si="242"/>
        <v>0</v>
      </c>
      <c r="CV90" s="1256">
        <f t="shared" si="243"/>
        <v>0</v>
      </c>
      <c r="CW90" s="1157">
        <f t="shared" si="244"/>
        <v>0</v>
      </c>
      <c r="CX90" s="529"/>
      <c r="CY90" s="502"/>
      <c r="CZ90" s="530"/>
      <c r="DA90" s="498"/>
      <c r="DB90" s="499"/>
      <c r="DC90" s="499"/>
      <c r="DD90" s="499"/>
      <c r="DE90" s="531">
        <f t="shared" si="143"/>
        <v>0</v>
      </c>
      <c r="DF90" s="532">
        <f t="shared" si="144"/>
        <v>0</v>
      </c>
      <c r="DG90" s="529"/>
      <c r="DH90" s="533"/>
      <c r="DI90" s="533"/>
      <c r="DJ90" s="533"/>
      <c r="DK90" s="533">
        <f t="shared" si="145"/>
        <v>0</v>
      </c>
      <c r="DL90" s="534">
        <f t="shared" si="146"/>
        <v>0</v>
      </c>
      <c r="DM90" s="1258">
        <f t="shared" si="147"/>
        <v>0</v>
      </c>
      <c r="DN90" s="775">
        <f t="shared" si="148"/>
        <v>0</v>
      </c>
      <c r="DO90" s="548">
        <f t="shared" si="149"/>
        <v>0</v>
      </c>
      <c r="DP90" s="773">
        <f t="shared" si="150"/>
        <v>0</v>
      </c>
      <c r="DQ90" s="773">
        <f t="shared" si="151"/>
        <v>0</v>
      </c>
      <c r="DR90" s="773">
        <f t="shared" si="152"/>
        <v>0</v>
      </c>
      <c r="DS90" s="773">
        <f t="shared" si="153"/>
        <v>0</v>
      </c>
      <c r="DT90" s="773">
        <f t="shared" si="154"/>
        <v>0</v>
      </c>
      <c r="DU90" s="526">
        <f t="shared" si="245"/>
        <v>0</v>
      </c>
      <c r="DV90" s="1145">
        <f t="shared" si="155"/>
        <v>0</v>
      </c>
      <c r="DW90" s="1146">
        <f t="shared" si="156"/>
        <v>0</v>
      </c>
      <c r="DX90" s="1146">
        <f t="shared" si="157"/>
        <v>0</v>
      </c>
      <c r="DY90" s="1146">
        <f t="shared" si="158"/>
        <v>0</v>
      </c>
      <c r="DZ90" s="1146">
        <f t="shared" si="159"/>
        <v>0</v>
      </c>
      <c r="EA90" s="1146">
        <f t="shared" si="160"/>
        <v>0</v>
      </c>
      <c r="EB90" s="539">
        <f t="shared" si="246"/>
        <v>0</v>
      </c>
      <c r="EC90" s="540">
        <f t="shared" si="247"/>
        <v>0</v>
      </c>
      <c r="ES90" s="1258">
        <f t="shared" si="161"/>
        <v>0</v>
      </c>
      <c r="ET90" s="775">
        <f t="shared" si="162"/>
        <v>0</v>
      </c>
      <c r="EU90" s="548">
        <f t="shared" si="163"/>
        <v>0</v>
      </c>
      <c r="EV90" s="773">
        <f t="shared" si="164"/>
        <v>0</v>
      </c>
      <c r="EW90" s="773">
        <f t="shared" si="165"/>
        <v>0</v>
      </c>
      <c r="EX90" s="773">
        <f t="shared" si="166"/>
        <v>0</v>
      </c>
      <c r="EY90" s="773">
        <f t="shared" si="167"/>
        <v>0</v>
      </c>
      <c r="EZ90" s="773">
        <f t="shared" si="168"/>
        <v>0</v>
      </c>
      <c r="FA90" s="626">
        <f t="shared" si="248"/>
        <v>0</v>
      </c>
      <c r="FB90" s="1145">
        <f t="shared" si="169"/>
        <v>0</v>
      </c>
      <c r="FC90" s="1146">
        <f t="shared" si="170"/>
        <v>0</v>
      </c>
      <c r="FD90" s="1146">
        <f t="shared" si="171"/>
        <v>0</v>
      </c>
      <c r="FE90" s="1146">
        <f t="shared" si="172"/>
        <v>0</v>
      </c>
      <c r="FF90" s="1146">
        <f t="shared" si="173"/>
        <v>0</v>
      </c>
      <c r="FG90" s="1146">
        <f t="shared" si="174"/>
        <v>0</v>
      </c>
      <c r="FH90" s="1256">
        <f t="shared" si="249"/>
        <v>0</v>
      </c>
      <c r="FI90" s="1157">
        <f t="shared" si="250"/>
        <v>0</v>
      </c>
      <c r="FY90" s="1258">
        <f t="shared" si="175"/>
        <v>0</v>
      </c>
      <c r="FZ90" s="775">
        <f t="shared" si="176"/>
        <v>0</v>
      </c>
      <c r="GA90" s="548">
        <f t="shared" si="177"/>
        <v>0</v>
      </c>
      <c r="GB90" s="773">
        <f t="shared" si="178"/>
        <v>0</v>
      </c>
      <c r="GC90" s="773">
        <f t="shared" si="179"/>
        <v>0</v>
      </c>
      <c r="GD90" s="773">
        <f t="shared" si="180"/>
        <v>0</v>
      </c>
      <c r="GE90" s="773">
        <f t="shared" si="181"/>
        <v>0</v>
      </c>
      <c r="GF90" s="773">
        <f t="shared" si="182"/>
        <v>0</v>
      </c>
      <c r="GG90" s="626">
        <f t="shared" si="251"/>
        <v>0</v>
      </c>
      <c r="GH90" s="1145">
        <f t="shared" si="183"/>
        <v>0</v>
      </c>
      <c r="GI90" s="1146">
        <f t="shared" si="184"/>
        <v>0</v>
      </c>
      <c r="GJ90" s="1146">
        <f t="shared" si="185"/>
        <v>0</v>
      </c>
      <c r="GK90" s="1146">
        <f t="shared" si="186"/>
        <v>0</v>
      </c>
      <c r="GL90" s="1146">
        <f t="shared" si="187"/>
        <v>0</v>
      </c>
      <c r="GM90" s="1146">
        <f t="shared" si="188"/>
        <v>0</v>
      </c>
      <c r="GN90" s="1256">
        <f t="shared" si="252"/>
        <v>0</v>
      </c>
      <c r="GO90" s="1157">
        <f t="shared" si="253"/>
        <v>0</v>
      </c>
      <c r="HE90" s="1675">
        <f t="shared" si="189"/>
        <v>0</v>
      </c>
      <c r="HF90" s="775">
        <f t="shared" si="190"/>
        <v>0</v>
      </c>
      <c r="HG90" s="548">
        <f t="shared" si="191"/>
        <v>0</v>
      </c>
      <c r="HH90" s="773">
        <f t="shared" si="192"/>
        <v>0</v>
      </c>
      <c r="HI90" s="773">
        <f t="shared" si="193"/>
        <v>0</v>
      </c>
      <c r="HJ90" s="773">
        <f t="shared" si="194"/>
        <v>0</v>
      </c>
      <c r="HK90" s="773">
        <f t="shared" si="195"/>
        <v>0</v>
      </c>
      <c r="HL90" s="773">
        <f t="shared" si="196"/>
        <v>0</v>
      </c>
      <c r="HM90" s="626">
        <f t="shared" si="254"/>
        <v>0</v>
      </c>
      <c r="HN90" s="1145">
        <f t="shared" si="197"/>
        <v>0</v>
      </c>
      <c r="HO90" s="1146">
        <f t="shared" si="198"/>
        <v>0</v>
      </c>
      <c r="HP90" s="1146">
        <f t="shared" si="199"/>
        <v>0</v>
      </c>
      <c r="HQ90" s="1146">
        <f t="shared" si="200"/>
        <v>0</v>
      </c>
      <c r="HR90" s="1146">
        <f t="shared" si="201"/>
        <v>0</v>
      </c>
      <c r="HS90" s="1146">
        <f t="shared" si="202"/>
        <v>0</v>
      </c>
      <c r="HT90" s="1256">
        <f t="shared" si="255"/>
        <v>0</v>
      </c>
      <c r="HU90" s="1157">
        <f t="shared" si="256"/>
        <v>0</v>
      </c>
    </row>
    <row r="91" spans="1:229" ht="13.5" customHeight="1" outlineLevel="1" x14ac:dyDescent="0.2">
      <c r="A91" s="474"/>
      <c r="B91" s="1412"/>
      <c r="C91" s="511">
        <v>82</v>
      </c>
      <c r="D91" s="560" t="s">
        <v>107</v>
      </c>
      <c r="E91" s="1721">
        <v>124</v>
      </c>
      <c r="F91" s="558">
        <v>9998.7800000000007</v>
      </c>
      <c r="G91" s="543">
        <f t="shared" si="132"/>
        <v>80.635322580645166</v>
      </c>
      <c r="H91" s="559">
        <f>89-32</f>
        <v>57</v>
      </c>
      <c r="I91" s="558">
        <f>1130.17-389.5</f>
        <v>740.67000000000007</v>
      </c>
      <c r="J91" s="542">
        <f t="shared" si="257"/>
        <v>12.99421052631579</v>
      </c>
      <c r="K91" s="559">
        <v>10</v>
      </c>
      <c r="L91" s="558">
        <v>454.97</v>
      </c>
      <c r="M91" s="542">
        <f>L91/K91</f>
        <v>45.497</v>
      </c>
      <c r="N91" s="545">
        <f t="shared" si="133"/>
        <v>11194.42</v>
      </c>
      <c r="O91" s="518">
        <v>0</v>
      </c>
      <c r="P91" s="542">
        <f>61917764.271+8383.26-neprodano!EC22</f>
        <v>59579988.31593851</v>
      </c>
      <c r="Q91" s="576">
        <f>17008030.35-neprodano!ED22</f>
        <v>16436153.207000002</v>
      </c>
      <c r="R91" s="519">
        <f t="shared" si="134"/>
        <v>76016141.52293852</v>
      </c>
      <c r="S91" s="546">
        <f t="shared" si="203"/>
        <v>76016141.52293852</v>
      </c>
      <c r="T91" s="521">
        <v>13101131.92233292</v>
      </c>
      <c r="U91" s="547">
        <v>0</v>
      </c>
      <c r="V91" s="547">
        <v>0</v>
      </c>
      <c r="W91" s="548">
        <v>0</v>
      </c>
      <c r="X91" s="549">
        <v>0</v>
      </c>
      <c r="Y91" s="549">
        <v>0</v>
      </c>
      <c r="Z91" s="549">
        <v>0</v>
      </c>
      <c r="AA91" s="525">
        <f t="shared" si="204"/>
        <v>0</v>
      </c>
      <c r="AB91" s="524">
        <f t="shared" si="205"/>
        <v>0</v>
      </c>
      <c r="AC91" s="526">
        <f t="shared" si="206"/>
        <v>0</v>
      </c>
      <c r="AD91" s="547">
        <v>0</v>
      </c>
      <c r="AE91" s="547">
        <v>0</v>
      </c>
      <c r="AF91" s="547">
        <v>0</v>
      </c>
      <c r="AG91" s="547">
        <v>0</v>
      </c>
      <c r="AH91" s="363">
        <f t="shared" si="207"/>
        <v>0</v>
      </c>
      <c r="AI91" s="547">
        <f t="shared" si="208"/>
        <v>0</v>
      </c>
      <c r="AJ91" s="550">
        <f t="shared" si="209"/>
        <v>0</v>
      </c>
      <c r="AK91" s="551">
        <f t="shared" si="210"/>
        <v>0</v>
      </c>
      <c r="AL91" s="529"/>
      <c r="AM91" s="502"/>
      <c r="AN91" s="530"/>
      <c r="AO91" s="498"/>
      <c r="AP91" s="499"/>
      <c r="AQ91" s="499"/>
      <c r="AR91" s="499"/>
      <c r="AS91" s="531">
        <f t="shared" si="135"/>
        <v>0</v>
      </c>
      <c r="AT91" s="532">
        <f t="shared" si="136"/>
        <v>0</v>
      </c>
      <c r="AU91" s="529">
        <v>0</v>
      </c>
      <c r="AV91" s="533">
        <v>0</v>
      </c>
      <c r="AW91" s="533">
        <v>0</v>
      </c>
      <c r="AX91" s="533">
        <v>0</v>
      </c>
      <c r="AY91" s="533">
        <f t="shared" si="137"/>
        <v>0</v>
      </c>
      <c r="AZ91" s="534">
        <f t="shared" si="138"/>
        <v>0</v>
      </c>
      <c r="BA91" s="535">
        <f t="shared" si="211"/>
        <v>0</v>
      </c>
      <c r="BB91" s="536">
        <f t="shared" si="212"/>
        <v>0</v>
      </c>
      <c r="BC91" s="523">
        <f t="shared" si="213"/>
        <v>0</v>
      </c>
      <c r="BD91" s="525">
        <f t="shared" si="214"/>
        <v>0</v>
      </c>
      <c r="BE91" s="525">
        <f t="shared" si="215"/>
        <v>0</v>
      </c>
      <c r="BF91" s="525">
        <f t="shared" si="216"/>
        <v>0</v>
      </c>
      <c r="BG91" s="525">
        <f t="shared" si="217"/>
        <v>0</v>
      </c>
      <c r="BH91" s="525">
        <f t="shared" si="218"/>
        <v>0</v>
      </c>
      <c r="BI91" s="526">
        <f t="shared" si="219"/>
        <v>0</v>
      </c>
      <c r="BJ91" s="537">
        <f t="shared" si="220"/>
        <v>0</v>
      </c>
      <c r="BK91" s="538">
        <f t="shared" si="221"/>
        <v>0</v>
      </c>
      <c r="BL91" s="538">
        <f t="shared" si="222"/>
        <v>0</v>
      </c>
      <c r="BM91" s="538">
        <f t="shared" si="223"/>
        <v>0</v>
      </c>
      <c r="BN91" s="538">
        <f t="shared" si="224"/>
        <v>0</v>
      </c>
      <c r="BO91" s="538">
        <f t="shared" si="225"/>
        <v>0</v>
      </c>
      <c r="BP91" s="539">
        <f t="shared" si="226"/>
        <v>0</v>
      </c>
      <c r="BQ91" s="540">
        <f t="shared" si="227"/>
        <v>0</v>
      </c>
      <c r="BR91" s="529"/>
      <c r="BS91" s="502"/>
      <c r="BT91" s="530"/>
      <c r="BU91" s="498"/>
      <c r="BV91" s="499"/>
      <c r="BW91" s="499"/>
      <c r="BX91" s="499"/>
      <c r="BY91" s="531">
        <f t="shared" si="139"/>
        <v>0</v>
      </c>
      <c r="BZ91" s="532">
        <f t="shared" si="140"/>
        <v>0</v>
      </c>
      <c r="CA91" s="529"/>
      <c r="CB91" s="533"/>
      <c r="CC91" s="533"/>
      <c r="CD91" s="533"/>
      <c r="CE91" s="533">
        <f t="shared" si="141"/>
        <v>0</v>
      </c>
      <c r="CF91" s="534">
        <f t="shared" si="142"/>
        <v>0</v>
      </c>
      <c r="CG91" s="774">
        <f t="shared" si="228"/>
        <v>0</v>
      </c>
      <c r="CH91" s="775">
        <f t="shared" si="229"/>
        <v>0</v>
      </c>
      <c r="CI91" s="548">
        <f t="shared" si="230"/>
        <v>0</v>
      </c>
      <c r="CJ91" s="773">
        <f t="shared" si="231"/>
        <v>0</v>
      </c>
      <c r="CK91" s="773">
        <f t="shared" si="232"/>
        <v>0</v>
      </c>
      <c r="CL91" s="773">
        <f t="shared" si="233"/>
        <v>0</v>
      </c>
      <c r="CM91" s="773">
        <f t="shared" si="234"/>
        <v>0</v>
      </c>
      <c r="CN91" s="773">
        <f t="shared" si="235"/>
        <v>0</v>
      </c>
      <c r="CO91" s="626">
        <f t="shared" si="236"/>
        <v>0</v>
      </c>
      <c r="CP91" s="1145">
        <f t="shared" si="237"/>
        <v>0</v>
      </c>
      <c r="CQ91" s="1146">
        <f t="shared" si="238"/>
        <v>0</v>
      </c>
      <c r="CR91" s="1146">
        <f t="shared" si="239"/>
        <v>0</v>
      </c>
      <c r="CS91" s="1146">
        <f t="shared" si="240"/>
        <v>0</v>
      </c>
      <c r="CT91" s="1146">
        <f t="shared" si="241"/>
        <v>0</v>
      </c>
      <c r="CU91" s="1146">
        <f t="shared" si="242"/>
        <v>0</v>
      </c>
      <c r="CV91" s="1256">
        <f t="shared" si="243"/>
        <v>0</v>
      </c>
      <c r="CW91" s="1157">
        <f t="shared" si="244"/>
        <v>0</v>
      </c>
      <c r="CX91" s="529"/>
      <c r="CY91" s="502"/>
      <c r="CZ91" s="530"/>
      <c r="DA91" s="498"/>
      <c r="DB91" s="499"/>
      <c r="DC91" s="499"/>
      <c r="DD91" s="499"/>
      <c r="DE91" s="531">
        <f t="shared" si="143"/>
        <v>0</v>
      </c>
      <c r="DF91" s="532">
        <f t="shared" si="144"/>
        <v>0</v>
      </c>
      <c r="DG91" s="529"/>
      <c r="DH91" s="533"/>
      <c r="DI91" s="533"/>
      <c r="DJ91" s="533"/>
      <c r="DK91" s="533">
        <f t="shared" si="145"/>
        <v>0</v>
      </c>
      <c r="DL91" s="534">
        <f t="shared" si="146"/>
        <v>0</v>
      </c>
      <c r="DM91" s="1258">
        <f t="shared" si="147"/>
        <v>0</v>
      </c>
      <c r="DN91" s="775">
        <f t="shared" si="148"/>
        <v>0</v>
      </c>
      <c r="DO91" s="548">
        <f t="shared" si="149"/>
        <v>0</v>
      </c>
      <c r="DP91" s="773">
        <f t="shared" si="150"/>
        <v>0</v>
      </c>
      <c r="DQ91" s="773">
        <f t="shared" si="151"/>
        <v>0</v>
      </c>
      <c r="DR91" s="773">
        <f t="shared" si="152"/>
        <v>0</v>
      </c>
      <c r="DS91" s="773">
        <f t="shared" si="153"/>
        <v>0</v>
      </c>
      <c r="DT91" s="773">
        <f t="shared" si="154"/>
        <v>0</v>
      </c>
      <c r="DU91" s="526">
        <f t="shared" si="245"/>
        <v>0</v>
      </c>
      <c r="DV91" s="1145">
        <f t="shared" si="155"/>
        <v>0</v>
      </c>
      <c r="DW91" s="1146">
        <f t="shared" si="156"/>
        <v>0</v>
      </c>
      <c r="DX91" s="1146">
        <f t="shared" si="157"/>
        <v>0</v>
      </c>
      <c r="DY91" s="1146">
        <f t="shared" si="158"/>
        <v>0</v>
      </c>
      <c r="DZ91" s="1146">
        <f t="shared" si="159"/>
        <v>0</v>
      </c>
      <c r="EA91" s="1146">
        <f t="shared" si="160"/>
        <v>0</v>
      </c>
      <c r="EB91" s="539">
        <f t="shared" si="246"/>
        <v>0</v>
      </c>
      <c r="EC91" s="540">
        <f t="shared" si="247"/>
        <v>0</v>
      </c>
      <c r="ES91" s="1258">
        <f t="shared" si="161"/>
        <v>0</v>
      </c>
      <c r="ET91" s="775">
        <f t="shared" si="162"/>
        <v>0</v>
      </c>
      <c r="EU91" s="548">
        <f t="shared" si="163"/>
        <v>0</v>
      </c>
      <c r="EV91" s="773">
        <f t="shared" si="164"/>
        <v>0</v>
      </c>
      <c r="EW91" s="773">
        <f t="shared" si="165"/>
        <v>0</v>
      </c>
      <c r="EX91" s="773">
        <f t="shared" si="166"/>
        <v>0</v>
      </c>
      <c r="EY91" s="773">
        <f t="shared" si="167"/>
        <v>0</v>
      </c>
      <c r="EZ91" s="773">
        <f t="shared" si="168"/>
        <v>0</v>
      </c>
      <c r="FA91" s="626">
        <f t="shared" si="248"/>
        <v>0</v>
      </c>
      <c r="FB91" s="1145">
        <f t="shared" si="169"/>
        <v>0</v>
      </c>
      <c r="FC91" s="1146">
        <f t="shared" si="170"/>
        <v>0</v>
      </c>
      <c r="FD91" s="1146">
        <f t="shared" si="171"/>
        <v>0</v>
      </c>
      <c r="FE91" s="1146">
        <f t="shared" si="172"/>
        <v>0</v>
      </c>
      <c r="FF91" s="1146">
        <f t="shared" si="173"/>
        <v>0</v>
      </c>
      <c r="FG91" s="1146">
        <f t="shared" si="174"/>
        <v>0</v>
      </c>
      <c r="FH91" s="1256">
        <f t="shared" si="249"/>
        <v>0</v>
      </c>
      <c r="FI91" s="1157">
        <f t="shared" si="250"/>
        <v>0</v>
      </c>
      <c r="FY91" s="1258">
        <f t="shared" si="175"/>
        <v>0</v>
      </c>
      <c r="FZ91" s="775">
        <f t="shared" si="176"/>
        <v>0</v>
      </c>
      <c r="GA91" s="548">
        <f t="shared" si="177"/>
        <v>0</v>
      </c>
      <c r="GB91" s="773">
        <f t="shared" si="178"/>
        <v>0</v>
      </c>
      <c r="GC91" s="773">
        <f t="shared" si="179"/>
        <v>0</v>
      </c>
      <c r="GD91" s="773">
        <f t="shared" si="180"/>
        <v>0</v>
      </c>
      <c r="GE91" s="773">
        <f t="shared" si="181"/>
        <v>0</v>
      </c>
      <c r="GF91" s="773">
        <f t="shared" si="182"/>
        <v>0</v>
      </c>
      <c r="GG91" s="626">
        <f t="shared" si="251"/>
        <v>0</v>
      </c>
      <c r="GH91" s="1145">
        <f t="shared" si="183"/>
        <v>0</v>
      </c>
      <c r="GI91" s="1146">
        <f t="shared" si="184"/>
        <v>0</v>
      </c>
      <c r="GJ91" s="1146">
        <f t="shared" si="185"/>
        <v>0</v>
      </c>
      <c r="GK91" s="1146">
        <f t="shared" si="186"/>
        <v>0</v>
      </c>
      <c r="GL91" s="1146">
        <f t="shared" si="187"/>
        <v>0</v>
      </c>
      <c r="GM91" s="1146">
        <f t="shared" si="188"/>
        <v>0</v>
      </c>
      <c r="GN91" s="1256">
        <f t="shared" si="252"/>
        <v>0</v>
      </c>
      <c r="GO91" s="1157">
        <f t="shared" si="253"/>
        <v>0</v>
      </c>
      <c r="HE91" s="1675">
        <f t="shared" si="189"/>
        <v>0</v>
      </c>
      <c r="HF91" s="775">
        <f t="shared" si="190"/>
        <v>0</v>
      </c>
      <c r="HG91" s="548">
        <f t="shared" si="191"/>
        <v>0</v>
      </c>
      <c r="HH91" s="773">
        <f t="shared" si="192"/>
        <v>0</v>
      </c>
      <c r="HI91" s="773">
        <f t="shared" si="193"/>
        <v>0</v>
      </c>
      <c r="HJ91" s="773">
        <f t="shared" si="194"/>
        <v>0</v>
      </c>
      <c r="HK91" s="773">
        <f t="shared" si="195"/>
        <v>0</v>
      </c>
      <c r="HL91" s="773">
        <f t="shared" si="196"/>
        <v>0</v>
      </c>
      <c r="HM91" s="626">
        <f t="shared" si="254"/>
        <v>0</v>
      </c>
      <c r="HN91" s="1145">
        <f t="shared" si="197"/>
        <v>0</v>
      </c>
      <c r="HO91" s="1146">
        <f t="shared" si="198"/>
        <v>0</v>
      </c>
      <c r="HP91" s="1146">
        <f t="shared" si="199"/>
        <v>0</v>
      </c>
      <c r="HQ91" s="1146">
        <f t="shared" si="200"/>
        <v>0</v>
      </c>
      <c r="HR91" s="1146">
        <f t="shared" si="201"/>
        <v>0</v>
      </c>
      <c r="HS91" s="1146">
        <f t="shared" si="202"/>
        <v>0</v>
      </c>
      <c r="HT91" s="1256">
        <f t="shared" si="255"/>
        <v>0</v>
      </c>
      <c r="HU91" s="1157">
        <f t="shared" si="256"/>
        <v>0</v>
      </c>
    </row>
    <row r="92" spans="1:229" ht="13.5" customHeight="1" outlineLevel="1" x14ac:dyDescent="0.2">
      <c r="A92" s="474"/>
      <c r="B92" s="1412"/>
      <c r="C92" s="511">
        <v>83</v>
      </c>
      <c r="D92" s="560" t="s">
        <v>108</v>
      </c>
      <c r="E92" s="1721">
        <v>128</v>
      </c>
      <c r="F92" s="558">
        <v>10409.69</v>
      </c>
      <c r="G92" s="543">
        <f t="shared" si="132"/>
        <v>81.325703125000004</v>
      </c>
      <c r="H92" s="559">
        <f>89-32</f>
        <v>57</v>
      </c>
      <c r="I92" s="558">
        <f>1129.31-406.04</f>
        <v>723.27</v>
      </c>
      <c r="J92" s="542">
        <f t="shared" si="257"/>
        <v>12.688947368421053</v>
      </c>
      <c r="K92" s="559">
        <v>0</v>
      </c>
      <c r="L92" s="558">
        <v>0</v>
      </c>
      <c r="M92" s="542">
        <v>0</v>
      </c>
      <c r="N92" s="545">
        <f t="shared" si="133"/>
        <v>11132.960000000001</v>
      </c>
      <c r="O92" s="518">
        <v>0</v>
      </c>
      <c r="P92" s="542">
        <f>62373573.49+8383.26-neprodano!EC23</f>
        <v>59906603.441681981</v>
      </c>
      <c r="Q92" s="576">
        <f>17651148.59-neprodano!ED23</f>
        <v>17030011.645216178</v>
      </c>
      <c r="R92" s="519">
        <f t="shared" si="134"/>
        <v>76936615.086898163</v>
      </c>
      <c r="S92" s="546">
        <f t="shared" si="203"/>
        <v>76936615.086898163</v>
      </c>
      <c r="T92" s="521">
        <f>14472118.93-169.64*7.393255*406.04</f>
        <v>13962866.900379673</v>
      </c>
      <c r="U92" s="547">
        <v>0</v>
      </c>
      <c r="V92" s="547">
        <v>0</v>
      </c>
      <c r="W92" s="548">
        <v>0</v>
      </c>
      <c r="X92" s="549">
        <v>0</v>
      </c>
      <c r="Y92" s="549">
        <v>0</v>
      </c>
      <c r="Z92" s="549">
        <v>0</v>
      </c>
      <c r="AA92" s="525">
        <f t="shared" si="204"/>
        <v>0</v>
      </c>
      <c r="AB92" s="524">
        <f t="shared" si="205"/>
        <v>0</v>
      </c>
      <c r="AC92" s="526">
        <f t="shared" si="206"/>
        <v>0</v>
      </c>
      <c r="AD92" s="547">
        <v>0</v>
      </c>
      <c r="AE92" s="547">
        <v>0</v>
      </c>
      <c r="AF92" s="547">
        <v>0</v>
      </c>
      <c r="AG92" s="547">
        <v>0</v>
      </c>
      <c r="AH92" s="363">
        <f t="shared" si="207"/>
        <v>0</v>
      </c>
      <c r="AI92" s="547">
        <f t="shared" si="208"/>
        <v>0</v>
      </c>
      <c r="AJ92" s="550">
        <f t="shared" si="209"/>
        <v>0</v>
      </c>
      <c r="AK92" s="551">
        <f t="shared" si="210"/>
        <v>0</v>
      </c>
      <c r="AL92" s="529"/>
      <c r="AM92" s="502"/>
      <c r="AN92" s="530"/>
      <c r="AO92" s="498"/>
      <c r="AP92" s="499"/>
      <c r="AQ92" s="499"/>
      <c r="AR92" s="499"/>
      <c r="AS92" s="531">
        <f t="shared" si="135"/>
        <v>0</v>
      </c>
      <c r="AT92" s="532">
        <f t="shared" si="136"/>
        <v>0</v>
      </c>
      <c r="AU92" s="529">
        <v>0</v>
      </c>
      <c r="AV92" s="533">
        <v>0</v>
      </c>
      <c r="AW92" s="533">
        <v>0</v>
      </c>
      <c r="AX92" s="533">
        <v>0</v>
      </c>
      <c r="AY92" s="533">
        <f t="shared" si="137"/>
        <v>0</v>
      </c>
      <c r="AZ92" s="534">
        <f t="shared" si="138"/>
        <v>0</v>
      </c>
      <c r="BA92" s="535">
        <f t="shared" si="211"/>
        <v>0</v>
      </c>
      <c r="BB92" s="536">
        <f t="shared" si="212"/>
        <v>0</v>
      </c>
      <c r="BC92" s="523">
        <f t="shared" si="213"/>
        <v>0</v>
      </c>
      <c r="BD92" s="525">
        <f t="shared" si="214"/>
        <v>0</v>
      </c>
      <c r="BE92" s="525">
        <f t="shared" si="215"/>
        <v>0</v>
      </c>
      <c r="BF92" s="525">
        <f t="shared" si="216"/>
        <v>0</v>
      </c>
      <c r="BG92" s="525">
        <f t="shared" si="217"/>
        <v>0</v>
      </c>
      <c r="BH92" s="525">
        <f t="shared" si="218"/>
        <v>0</v>
      </c>
      <c r="BI92" s="526">
        <f t="shared" si="219"/>
        <v>0</v>
      </c>
      <c r="BJ92" s="537">
        <f t="shared" si="220"/>
        <v>0</v>
      </c>
      <c r="BK92" s="538">
        <f t="shared" si="221"/>
        <v>0</v>
      </c>
      <c r="BL92" s="538">
        <f t="shared" si="222"/>
        <v>0</v>
      </c>
      <c r="BM92" s="538">
        <f t="shared" si="223"/>
        <v>0</v>
      </c>
      <c r="BN92" s="538">
        <f t="shared" si="224"/>
        <v>0</v>
      </c>
      <c r="BO92" s="538">
        <f t="shared" si="225"/>
        <v>0</v>
      </c>
      <c r="BP92" s="539">
        <f t="shared" si="226"/>
        <v>0</v>
      </c>
      <c r="BQ92" s="540">
        <f t="shared" si="227"/>
        <v>0</v>
      </c>
      <c r="BR92" s="529"/>
      <c r="BS92" s="502"/>
      <c r="BT92" s="530"/>
      <c r="BU92" s="498"/>
      <c r="BV92" s="499"/>
      <c r="BW92" s="499"/>
      <c r="BX92" s="499"/>
      <c r="BY92" s="531">
        <f t="shared" si="139"/>
        <v>0</v>
      </c>
      <c r="BZ92" s="532">
        <f t="shared" si="140"/>
        <v>0</v>
      </c>
      <c r="CA92" s="529"/>
      <c r="CB92" s="533"/>
      <c r="CC92" s="533"/>
      <c r="CD92" s="533"/>
      <c r="CE92" s="533">
        <f t="shared" si="141"/>
        <v>0</v>
      </c>
      <c r="CF92" s="534">
        <f t="shared" si="142"/>
        <v>0</v>
      </c>
      <c r="CG92" s="774">
        <f t="shared" si="228"/>
        <v>0</v>
      </c>
      <c r="CH92" s="775">
        <f t="shared" si="229"/>
        <v>0</v>
      </c>
      <c r="CI92" s="548">
        <f t="shared" si="230"/>
        <v>0</v>
      </c>
      <c r="CJ92" s="773">
        <f t="shared" si="231"/>
        <v>0</v>
      </c>
      <c r="CK92" s="773">
        <f t="shared" si="232"/>
        <v>0</v>
      </c>
      <c r="CL92" s="773">
        <f t="shared" si="233"/>
        <v>0</v>
      </c>
      <c r="CM92" s="773">
        <f t="shared" si="234"/>
        <v>0</v>
      </c>
      <c r="CN92" s="773">
        <f t="shared" si="235"/>
        <v>0</v>
      </c>
      <c r="CO92" s="626">
        <f t="shared" si="236"/>
        <v>0</v>
      </c>
      <c r="CP92" s="1145">
        <f t="shared" si="237"/>
        <v>0</v>
      </c>
      <c r="CQ92" s="1146">
        <f t="shared" si="238"/>
        <v>0</v>
      </c>
      <c r="CR92" s="1146">
        <f t="shared" si="239"/>
        <v>0</v>
      </c>
      <c r="CS92" s="1146">
        <f t="shared" si="240"/>
        <v>0</v>
      </c>
      <c r="CT92" s="1146">
        <f t="shared" si="241"/>
        <v>0</v>
      </c>
      <c r="CU92" s="1146">
        <f t="shared" si="242"/>
        <v>0</v>
      </c>
      <c r="CV92" s="1256">
        <f t="shared" si="243"/>
        <v>0</v>
      </c>
      <c r="CW92" s="1157">
        <f t="shared" si="244"/>
        <v>0</v>
      </c>
      <c r="CX92" s="529"/>
      <c r="CY92" s="502"/>
      <c r="CZ92" s="530"/>
      <c r="DA92" s="498"/>
      <c r="DB92" s="499"/>
      <c r="DC92" s="499"/>
      <c r="DD92" s="499"/>
      <c r="DE92" s="531">
        <f t="shared" si="143"/>
        <v>0</v>
      </c>
      <c r="DF92" s="532">
        <f t="shared" si="144"/>
        <v>0</v>
      </c>
      <c r="DG92" s="529"/>
      <c r="DH92" s="533"/>
      <c r="DI92" s="533"/>
      <c r="DJ92" s="533"/>
      <c r="DK92" s="533">
        <f t="shared" si="145"/>
        <v>0</v>
      </c>
      <c r="DL92" s="534">
        <f t="shared" si="146"/>
        <v>0</v>
      </c>
      <c r="DM92" s="1258">
        <f t="shared" si="147"/>
        <v>0</v>
      </c>
      <c r="DN92" s="775">
        <f t="shared" si="148"/>
        <v>0</v>
      </c>
      <c r="DO92" s="548">
        <f t="shared" si="149"/>
        <v>0</v>
      </c>
      <c r="DP92" s="773">
        <f t="shared" si="150"/>
        <v>0</v>
      </c>
      <c r="DQ92" s="773">
        <f t="shared" si="151"/>
        <v>0</v>
      </c>
      <c r="DR92" s="773">
        <f t="shared" si="152"/>
        <v>0</v>
      </c>
      <c r="DS92" s="773">
        <f t="shared" si="153"/>
        <v>0</v>
      </c>
      <c r="DT92" s="773">
        <f t="shared" si="154"/>
        <v>0</v>
      </c>
      <c r="DU92" s="526">
        <f t="shared" si="245"/>
        <v>0</v>
      </c>
      <c r="DV92" s="1145">
        <f t="shared" si="155"/>
        <v>0</v>
      </c>
      <c r="DW92" s="1146">
        <f t="shared" si="156"/>
        <v>0</v>
      </c>
      <c r="DX92" s="1146">
        <f t="shared" si="157"/>
        <v>0</v>
      </c>
      <c r="DY92" s="1146">
        <f t="shared" si="158"/>
        <v>0</v>
      </c>
      <c r="DZ92" s="1146">
        <f t="shared" si="159"/>
        <v>0</v>
      </c>
      <c r="EA92" s="1146">
        <f t="shared" si="160"/>
        <v>0</v>
      </c>
      <c r="EB92" s="539">
        <f t="shared" si="246"/>
        <v>0</v>
      </c>
      <c r="EC92" s="540">
        <f t="shared" si="247"/>
        <v>0</v>
      </c>
      <c r="ES92" s="1258">
        <f t="shared" si="161"/>
        <v>0</v>
      </c>
      <c r="ET92" s="775">
        <f t="shared" si="162"/>
        <v>0</v>
      </c>
      <c r="EU92" s="548">
        <f t="shared" si="163"/>
        <v>0</v>
      </c>
      <c r="EV92" s="773">
        <f t="shared" si="164"/>
        <v>0</v>
      </c>
      <c r="EW92" s="773">
        <f t="shared" si="165"/>
        <v>0</v>
      </c>
      <c r="EX92" s="773">
        <f t="shared" si="166"/>
        <v>0</v>
      </c>
      <c r="EY92" s="773">
        <f t="shared" si="167"/>
        <v>0</v>
      </c>
      <c r="EZ92" s="773">
        <f t="shared" si="168"/>
        <v>0</v>
      </c>
      <c r="FA92" s="626">
        <f t="shared" si="248"/>
        <v>0</v>
      </c>
      <c r="FB92" s="1145">
        <f t="shared" si="169"/>
        <v>0</v>
      </c>
      <c r="FC92" s="1146">
        <f t="shared" si="170"/>
        <v>0</v>
      </c>
      <c r="FD92" s="1146">
        <f t="shared" si="171"/>
        <v>0</v>
      </c>
      <c r="FE92" s="1146">
        <f t="shared" si="172"/>
        <v>0</v>
      </c>
      <c r="FF92" s="1146">
        <f t="shared" si="173"/>
        <v>0</v>
      </c>
      <c r="FG92" s="1146">
        <f t="shared" si="174"/>
        <v>0</v>
      </c>
      <c r="FH92" s="1256">
        <f t="shared" si="249"/>
        <v>0</v>
      </c>
      <c r="FI92" s="1157">
        <f t="shared" si="250"/>
        <v>0</v>
      </c>
      <c r="FY92" s="1258">
        <f t="shared" si="175"/>
        <v>0</v>
      </c>
      <c r="FZ92" s="775">
        <f t="shared" si="176"/>
        <v>0</v>
      </c>
      <c r="GA92" s="548">
        <f t="shared" si="177"/>
        <v>0</v>
      </c>
      <c r="GB92" s="773">
        <f t="shared" si="178"/>
        <v>0</v>
      </c>
      <c r="GC92" s="773">
        <f t="shared" si="179"/>
        <v>0</v>
      </c>
      <c r="GD92" s="773">
        <f t="shared" si="180"/>
        <v>0</v>
      </c>
      <c r="GE92" s="773">
        <f t="shared" si="181"/>
        <v>0</v>
      </c>
      <c r="GF92" s="773">
        <f t="shared" si="182"/>
        <v>0</v>
      </c>
      <c r="GG92" s="626">
        <f t="shared" si="251"/>
        <v>0</v>
      </c>
      <c r="GH92" s="1145">
        <f t="shared" si="183"/>
        <v>0</v>
      </c>
      <c r="GI92" s="1146">
        <f t="shared" si="184"/>
        <v>0</v>
      </c>
      <c r="GJ92" s="1146">
        <f t="shared" si="185"/>
        <v>0</v>
      </c>
      <c r="GK92" s="1146">
        <f t="shared" si="186"/>
        <v>0</v>
      </c>
      <c r="GL92" s="1146">
        <f t="shared" si="187"/>
        <v>0</v>
      </c>
      <c r="GM92" s="1146">
        <f t="shared" si="188"/>
        <v>0</v>
      </c>
      <c r="GN92" s="1256">
        <f t="shared" si="252"/>
        <v>0</v>
      </c>
      <c r="GO92" s="1157">
        <f t="shared" si="253"/>
        <v>0</v>
      </c>
      <c r="HE92" s="1675">
        <f t="shared" si="189"/>
        <v>0</v>
      </c>
      <c r="HF92" s="775">
        <f t="shared" si="190"/>
        <v>0</v>
      </c>
      <c r="HG92" s="548">
        <f t="shared" si="191"/>
        <v>0</v>
      </c>
      <c r="HH92" s="773">
        <f t="shared" si="192"/>
        <v>0</v>
      </c>
      <c r="HI92" s="773">
        <f t="shared" si="193"/>
        <v>0</v>
      </c>
      <c r="HJ92" s="773">
        <f t="shared" si="194"/>
        <v>0</v>
      </c>
      <c r="HK92" s="773">
        <f t="shared" si="195"/>
        <v>0</v>
      </c>
      <c r="HL92" s="773">
        <f t="shared" si="196"/>
        <v>0</v>
      </c>
      <c r="HM92" s="626">
        <f t="shared" si="254"/>
        <v>0</v>
      </c>
      <c r="HN92" s="1145">
        <f t="shared" si="197"/>
        <v>0</v>
      </c>
      <c r="HO92" s="1146">
        <f t="shared" si="198"/>
        <v>0</v>
      </c>
      <c r="HP92" s="1146">
        <f t="shared" si="199"/>
        <v>0</v>
      </c>
      <c r="HQ92" s="1146">
        <f t="shared" si="200"/>
        <v>0</v>
      </c>
      <c r="HR92" s="1146">
        <f t="shared" si="201"/>
        <v>0</v>
      </c>
      <c r="HS92" s="1146">
        <f t="shared" si="202"/>
        <v>0</v>
      </c>
      <c r="HT92" s="1256">
        <f t="shared" si="255"/>
        <v>0</v>
      </c>
      <c r="HU92" s="1157">
        <f t="shared" si="256"/>
        <v>0</v>
      </c>
    </row>
    <row r="93" spans="1:229" ht="13.5" customHeight="1" outlineLevel="1" x14ac:dyDescent="0.2">
      <c r="A93" s="474"/>
      <c r="B93" s="1412"/>
      <c r="C93" s="511">
        <v>84</v>
      </c>
      <c r="D93" s="560" t="s">
        <v>109</v>
      </c>
      <c r="E93" s="1721">
        <v>102</v>
      </c>
      <c r="F93" s="558">
        <v>8015.37</v>
      </c>
      <c r="G93" s="543">
        <f t="shared" si="132"/>
        <v>78.582058823529408</v>
      </c>
      <c r="H93" s="559">
        <f>97-27</f>
        <v>70</v>
      </c>
      <c r="I93" s="558">
        <f>1007.89-280.55</f>
        <v>727.33999999999992</v>
      </c>
      <c r="J93" s="542">
        <f t="shared" si="257"/>
        <v>10.390571428571427</v>
      </c>
      <c r="K93" s="559">
        <v>13</v>
      </c>
      <c r="L93" s="558">
        <v>769.1</v>
      </c>
      <c r="M93" s="542">
        <f>L93/K93</f>
        <v>59.161538461538463</v>
      </c>
      <c r="N93" s="545">
        <f t="shared" si="133"/>
        <v>9511.81</v>
      </c>
      <c r="O93" s="518">
        <v>0</v>
      </c>
      <c r="P93" s="542">
        <f>50778640+7073.38-neprodano!EC24</f>
        <v>49147638.061042257</v>
      </c>
      <c r="Q93" s="576">
        <f>13429337.74-neprodano!ED24</f>
        <v>13044584.211244743</v>
      </c>
      <c r="R93" s="519">
        <f t="shared" si="134"/>
        <v>62192222.272286996</v>
      </c>
      <c r="S93" s="546">
        <f t="shared" si="203"/>
        <v>62192222.272286996</v>
      </c>
      <c r="T93" s="521">
        <f>12737791.82-191.03*7.389739*280.55</f>
        <v>12341750.090459757</v>
      </c>
      <c r="U93" s="547">
        <v>0</v>
      </c>
      <c r="V93" s="547">
        <v>0</v>
      </c>
      <c r="W93" s="548">
        <v>0</v>
      </c>
      <c r="X93" s="549">
        <v>0</v>
      </c>
      <c r="Y93" s="549">
        <v>0</v>
      </c>
      <c r="Z93" s="549">
        <v>0</v>
      </c>
      <c r="AA93" s="525">
        <f t="shared" si="204"/>
        <v>0</v>
      </c>
      <c r="AB93" s="524">
        <f t="shared" si="205"/>
        <v>0</v>
      </c>
      <c r="AC93" s="526">
        <f t="shared" si="206"/>
        <v>0</v>
      </c>
      <c r="AD93" s="547">
        <v>0</v>
      </c>
      <c r="AE93" s="547">
        <v>0</v>
      </c>
      <c r="AF93" s="547">
        <v>0</v>
      </c>
      <c r="AG93" s="547">
        <v>0</v>
      </c>
      <c r="AH93" s="363">
        <f t="shared" si="207"/>
        <v>0</v>
      </c>
      <c r="AI93" s="547">
        <f t="shared" si="208"/>
        <v>0</v>
      </c>
      <c r="AJ93" s="550">
        <f t="shared" si="209"/>
        <v>0</v>
      </c>
      <c r="AK93" s="551">
        <f t="shared" si="210"/>
        <v>0</v>
      </c>
      <c r="AL93" s="529"/>
      <c r="AM93" s="502"/>
      <c r="AN93" s="530"/>
      <c r="AO93" s="498"/>
      <c r="AP93" s="499"/>
      <c r="AQ93" s="499"/>
      <c r="AR93" s="499"/>
      <c r="AS93" s="531">
        <f t="shared" si="135"/>
        <v>0</v>
      </c>
      <c r="AT93" s="532">
        <f t="shared" si="136"/>
        <v>0</v>
      </c>
      <c r="AU93" s="529">
        <v>0</v>
      </c>
      <c r="AV93" s="533">
        <v>0</v>
      </c>
      <c r="AW93" s="533">
        <v>0</v>
      </c>
      <c r="AX93" s="533">
        <v>0</v>
      </c>
      <c r="AY93" s="533">
        <f t="shared" si="137"/>
        <v>0</v>
      </c>
      <c r="AZ93" s="534">
        <f t="shared" si="138"/>
        <v>0</v>
      </c>
      <c r="BA93" s="535">
        <f t="shared" si="211"/>
        <v>0</v>
      </c>
      <c r="BB93" s="536">
        <f t="shared" si="212"/>
        <v>0</v>
      </c>
      <c r="BC93" s="523">
        <f t="shared" si="213"/>
        <v>0</v>
      </c>
      <c r="BD93" s="525">
        <f t="shared" si="214"/>
        <v>0</v>
      </c>
      <c r="BE93" s="525">
        <f t="shared" si="215"/>
        <v>0</v>
      </c>
      <c r="BF93" s="525">
        <f t="shared" si="216"/>
        <v>0</v>
      </c>
      <c r="BG93" s="525">
        <f t="shared" si="217"/>
        <v>0</v>
      </c>
      <c r="BH93" s="525">
        <f t="shared" si="218"/>
        <v>0</v>
      </c>
      <c r="BI93" s="526">
        <f t="shared" si="219"/>
        <v>0</v>
      </c>
      <c r="BJ93" s="537">
        <f t="shared" si="220"/>
        <v>0</v>
      </c>
      <c r="BK93" s="538">
        <f t="shared" si="221"/>
        <v>0</v>
      </c>
      <c r="BL93" s="538">
        <f t="shared" si="222"/>
        <v>0</v>
      </c>
      <c r="BM93" s="538">
        <f t="shared" si="223"/>
        <v>0</v>
      </c>
      <c r="BN93" s="538">
        <f t="shared" si="224"/>
        <v>0</v>
      </c>
      <c r="BO93" s="538">
        <f t="shared" si="225"/>
        <v>0</v>
      </c>
      <c r="BP93" s="539">
        <f t="shared" si="226"/>
        <v>0</v>
      </c>
      <c r="BQ93" s="540">
        <f t="shared" si="227"/>
        <v>0</v>
      </c>
      <c r="BR93" s="529"/>
      <c r="BS93" s="502"/>
      <c r="BT93" s="530"/>
      <c r="BU93" s="498"/>
      <c r="BV93" s="499"/>
      <c r="BW93" s="499"/>
      <c r="BX93" s="499"/>
      <c r="BY93" s="531">
        <f t="shared" si="139"/>
        <v>0</v>
      </c>
      <c r="BZ93" s="532">
        <f t="shared" si="140"/>
        <v>0</v>
      </c>
      <c r="CA93" s="529"/>
      <c r="CB93" s="533"/>
      <c r="CC93" s="533"/>
      <c r="CD93" s="533"/>
      <c r="CE93" s="533">
        <f t="shared" si="141"/>
        <v>0</v>
      </c>
      <c r="CF93" s="534">
        <f t="shared" si="142"/>
        <v>0</v>
      </c>
      <c r="CG93" s="774">
        <f t="shared" si="228"/>
        <v>0</v>
      </c>
      <c r="CH93" s="775">
        <f t="shared" si="229"/>
        <v>0</v>
      </c>
      <c r="CI93" s="548">
        <f t="shared" si="230"/>
        <v>0</v>
      </c>
      <c r="CJ93" s="773">
        <f t="shared" si="231"/>
        <v>0</v>
      </c>
      <c r="CK93" s="773">
        <f t="shared" si="232"/>
        <v>0</v>
      </c>
      <c r="CL93" s="773">
        <f t="shared" si="233"/>
        <v>0</v>
      </c>
      <c r="CM93" s="773">
        <f t="shared" si="234"/>
        <v>0</v>
      </c>
      <c r="CN93" s="773">
        <f t="shared" si="235"/>
        <v>0</v>
      </c>
      <c r="CO93" s="626">
        <f t="shared" si="236"/>
        <v>0</v>
      </c>
      <c r="CP93" s="1145">
        <f t="shared" si="237"/>
        <v>0</v>
      </c>
      <c r="CQ93" s="1146">
        <f t="shared" si="238"/>
        <v>0</v>
      </c>
      <c r="CR93" s="1146">
        <f t="shared" si="239"/>
        <v>0</v>
      </c>
      <c r="CS93" s="1146">
        <f t="shared" si="240"/>
        <v>0</v>
      </c>
      <c r="CT93" s="1146">
        <f t="shared" si="241"/>
        <v>0</v>
      </c>
      <c r="CU93" s="1146">
        <f t="shared" si="242"/>
        <v>0</v>
      </c>
      <c r="CV93" s="1256">
        <f t="shared" si="243"/>
        <v>0</v>
      </c>
      <c r="CW93" s="1157">
        <f t="shared" si="244"/>
        <v>0</v>
      </c>
      <c r="CX93" s="529"/>
      <c r="CY93" s="502"/>
      <c r="CZ93" s="530"/>
      <c r="DA93" s="498"/>
      <c r="DB93" s="499"/>
      <c r="DC93" s="499"/>
      <c r="DD93" s="499"/>
      <c r="DE93" s="531">
        <f t="shared" si="143"/>
        <v>0</v>
      </c>
      <c r="DF93" s="532">
        <f t="shared" si="144"/>
        <v>0</v>
      </c>
      <c r="DG93" s="529"/>
      <c r="DH93" s="533"/>
      <c r="DI93" s="533"/>
      <c r="DJ93" s="533"/>
      <c r="DK93" s="533">
        <f t="shared" si="145"/>
        <v>0</v>
      </c>
      <c r="DL93" s="534">
        <f t="shared" si="146"/>
        <v>0</v>
      </c>
      <c r="DM93" s="1258">
        <f t="shared" si="147"/>
        <v>0</v>
      </c>
      <c r="DN93" s="775">
        <f t="shared" si="148"/>
        <v>0</v>
      </c>
      <c r="DO93" s="548">
        <f t="shared" si="149"/>
        <v>0</v>
      </c>
      <c r="DP93" s="773">
        <f t="shared" si="150"/>
        <v>0</v>
      </c>
      <c r="DQ93" s="773">
        <f t="shared" si="151"/>
        <v>0</v>
      </c>
      <c r="DR93" s="773">
        <f t="shared" si="152"/>
        <v>0</v>
      </c>
      <c r="DS93" s="773">
        <f t="shared" si="153"/>
        <v>0</v>
      </c>
      <c r="DT93" s="773">
        <f t="shared" si="154"/>
        <v>0</v>
      </c>
      <c r="DU93" s="526">
        <f t="shared" si="245"/>
        <v>0</v>
      </c>
      <c r="DV93" s="1145">
        <f t="shared" si="155"/>
        <v>0</v>
      </c>
      <c r="DW93" s="1146">
        <f t="shared" si="156"/>
        <v>0</v>
      </c>
      <c r="DX93" s="1146">
        <f t="shared" si="157"/>
        <v>0</v>
      </c>
      <c r="DY93" s="1146">
        <f t="shared" si="158"/>
        <v>0</v>
      </c>
      <c r="DZ93" s="1146">
        <f t="shared" si="159"/>
        <v>0</v>
      </c>
      <c r="EA93" s="1146">
        <f t="shared" si="160"/>
        <v>0</v>
      </c>
      <c r="EB93" s="539">
        <f t="shared" si="246"/>
        <v>0</v>
      </c>
      <c r="EC93" s="540">
        <f t="shared" si="247"/>
        <v>0</v>
      </c>
      <c r="ES93" s="1258">
        <f t="shared" si="161"/>
        <v>0</v>
      </c>
      <c r="ET93" s="775">
        <f t="shared" si="162"/>
        <v>0</v>
      </c>
      <c r="EU93" s="548">
        <f t="shared" si="163"/>
        <v>0</v>
      </c>
      <c r="EV93" s="773">
        <f t="shared" si="164"/>
        <v>0</v>
      </c>
      <c r="EW93" s="773">
        <f t="shared" si="165"/>
        <v>0</v>
      </c>
      <c r="EX93" s="773">
        <f t="shared" si="166"/>
        <v>0</v>
      </c>
      <c r="EY93" s="773">
        <f t="shared" si="167"/>
        <v>0</v>
      </c>
      <c r="EZ93" s="773">
        <f t="shared" si="168"/>
        <v>0</v>
      </c>
      <c r="FA93" s="626">
        <f t="shared" si="248"/>
        <v>0</v>
      </c>
      <c r="FB93" s="1145">
        <f t="shared" si="169"/>
        <v>0</v>
      </c>
      <c r="FC93" s="1146">
        <f t="shared" si="170"/>
        <v>0</v>
      </c>
      <c r="FD93" s="1146">
        <f t="shared" si="171"/>
        <v>0</v>
      </c>
      <c r="FE93" s="1146">
        <f t="shared" si="172"/>
        <v>0</v>
      </c>
      <c r="FF93" s="1146">
        <f t="shared" si="173"/>
        <v>0</v>
      </c>
      <c r="FG93" s="1146">
        <f t="shared" si="174"/>
        <v>0</v>
      </c>
      <c r="FH93" s="1256">
        <f t="shared" si="249"/>
        <v>0</v>
      </c>
      <c r="FI93" s="1157">
        <f t="shared" si="250"/>
        <v>0</v>
      </c>
      <c r="FY93" s="1258">
        <f t="shared" si="175"/>
        <v>0</v>
      </c>
      <c r="FZ93" s="775">
        <f t="shared" si="176"/>
        <v>0</v>
      </c>
      <c r="GA93" s="548">
        <f t="shared" si="177"/>
        <v>0</v>
      </c>
      <c r="GB93" s="773">
        <f t="shared" si="178"/>
        <v>0</v>
      </c>
      <c r="GC93" s="773">
        <f t="shared" si="179"/>
        <v>0</v>
      </c>
      <c r="GD93" s="773">
        <f t="shared" si="180"/>
        <v>0</v>
      </c>
      <c r="GE93" s="773">
        <f t="shared" si="181"/>
        <v>0</v>
      </c>
      <c r="GF93" s="773">
        <f t="shared" si="182"/>
        <v>0</v>
      </c>
      <c r="GG93" s="626">
        <f t="shared" si="251"/>
        <v>0</v>
      </c>
      <c r="GH93" s="1145">
        <f t="shared" si="183"/>
        <v>0</v>
      </c>
      <c r="GI93" s="1146">
        <f t="shared" si="184"/>
        <v>0</v>
      </c>
      <c r="GJ93" s="1146">
        <f t="shared" si="185"/>
        <v>0</v>
      </c>
      <c r="GK93" s="1146">
        <f t="shared" si="186"/>
        <v>0</v>
      </c>
      <c r="GL93" s="1146">
        <f t="shared" si="187"/>
        <v>0</v>
      </c>
      <c r="GM93" s="1146">
        <f t="shared" si="188"/>
        <v>0</v>
      </c>
      <c r="GN93" s="1256">
        <f t="shared" si="252"/>
        <v>0</v>
      </c>
      <c r="GO93" s="1157">
        <f t="shared" si="253"/>
        <v>0</v>
      </c>
      <c r="HE93" s="1675">
        <f t="shared" si="189"/>
        <v>0</v>
      </c>
      <c r="HF93" s="775">
        <f t="shared" si="190"/>
        <v>0</v>
      </c>
      <c r="HG93" s="548">
        <f t="shared" si="191"/>
        <v>0</v>
      </c>
      <c r="HH93" s="773">
        <f t="shared" si="192"/>
        <v>0</v>
      </c>
      <c r="HI93" s="773">
        <f t="shared" si="193"/>
        <v>0</v>
      </c>
      <c r="HJ93" s="773">
        <f t="shared" si="194"/>
        <v>0</v>
      </c>
      <c r="HK93" s="773">
        <f t="shared" si="195"/>
        <v>0</v>
      </c>
      <c r="HL93" s="773">
        <f t="shared" si="196"/>
        <v>0</v>
      </c>
      <c r="HM93" s="626">
        <f t="shared" si="254"/>
        <v>0</v>
      </c>
      <c r="HN93" s="1145">
        <f t="shared" si="197"/>
        <v>0</v>
      </c>
      <c r="HO93" s="1146">
        <f t="shared" si="198"/>
        <v>0</v>
      </c>
      <c r="HP93" s="1146">
        <f t="shared" si="199"/>
        <v>0</v>
      </c>
      <c r="HQ93" s="1146">
        <f t="shared" si="200"/>
        <v>0</v>
      </c>
      <c r="HR93" s="1146">
        <f t="shared" si="201"/>
        <v>0</v>
      </c>
      <c r="HS93" s="1146">
        <f t="shared" si="202"/>
        <v>0</v>
      </c>
      <c r="HT93" s="1256">
        <f t="shared" si="255"/>
        <v>0</v>
      </c>
      <c r="HU93" s="1157">
        <f t="shared" si="256"/>
        <v>0</v>
      </c>
    </row>
    <row r="94" spans="1:229" ht="13.5" customHeight="1" outlineLevel="1" x14ac:dyDescent="0.2">
      <c r="A94" s="474"/>
      <c r="B94" s="1412"/>
      <c r="C94" s="511">
        <v>85</v>
      </c>
      <c r="D94" s="560" t="s">
        <v>110</v>
      </c>
      <c r="E94" s="1721">
        <v>38</v>
      </c>
      <c r="F94" s="558">
        <v>3646.86</v>
      </c>
      <c r="G94" s="543">
        <f t="shared" si="132"/>
        <v>95.97</v>
      </c>
      <c r="H94" s="559">
        <v>10</v>
      </c>
      <c r="I94" s="558">
        <v>164.4</v>
      </c>
      <c r="J94" s="542">
        <f t="shared" si="257"/>
        <v>16.440000000000001</v>
      </c>
      <c r="K94" s="559">
        <v>0</v>
      </c>
      <c r="L94" s="558">
        <v>0</v>
      </c>
      <c r="M94" s="542">
        <v>0</v>
      </c>
      <c r="N94" s="545">
        <f t="shared" si="133"/>
        <v>3811.26</v>
      </c>
      <c r="O94" s="518">
        <v>0</v>
      </c>
      <c r="P94" s="542">
        <v>18697763.609999999</v>
      </c>
      <c r="Q94" s="576">
        <v>5863901.6399999997</v>
      </c>
      <c r="R94" s="519">
        <f t="shared" si="134"/>
        <v>24561665.25</v>
      </c>
      <c r="S94" s="546">
        <f t="shared" si="203"/>
        <v>24561665.25</v>
      </c>
      <c r="T94" s="521">
        <v>5048052.22</v>
      </c>
      <c r="U94" s="547">
        <v>0</v>
      </c>
      <c r="V94" s="547">
        <v>0</v>
      </c>
      <c r="W94" s="548">
        <v>0</v>
      </c>
      <c r="X94" s="549">
        <v>0</v>
      </c>
      <c r="Y94" s="549">
        <v>0</v>
      </c>
      <c r="Z94" s="549">
        <v>0</v>
      </c>
      <c r="AA94" s="525">
        <f t="shared" si="204"/>
        <v>0</v>
      </c>
      <c r="AB94" s="524">
        <f t="shared" si="205"/>
        <v>0</v>
      </c>
      <c r="AC94" s="526">
        <f t="shared" si="206"/>
        <v>0</v>
      </c>
      <c r="AD94" s="547">
        <v>0</v>
      </c>
      <c r="AE94" s="547">
        <v>0</v>
      </c>
      <c r="AF94" s="547">
        <v>0</v>
      </c>
      <c r="AG94" s="547">
        <v>0</v>
      </c>
      <c r="AH94" s="363">
        <f t="shared" si="207"/>
        <v>0</v>
      </c>
      <c r="AI94" s="547">
        <f t="shared" si="208"/>
        <v>0</v>
      </c>
      <c r="AJ94" s="550">
        <f t="shared" si="209"/>
        <v>0</v>
      </c>
      <c r="AK94" s="551">
        <f t="shared" si="210"/>
        <v>0</v>
      </c>
      <c r="AL94" s="529"/>
      <c r="AM94" s="502"/>
      <c r="AN94" s="530"/>
      <c r="AO94" s="498"/>
      <c r="AP94" s="499"/>
      <c r="AQ94" s="499"/>
      <c r="AR94" s="499"/>
      <c r="AS94" s="531">
        <f t="shared" si="135"/>
        <v>0</v>
      </c>
      <c r="AT94" s="532">
        <f t="shared" si="136"/>
        <v>0</v>
      </c>
      <c r="AU94" s="529">
        <v>0</v>
      </c>
      <c r="AV94" s="533">
        <v>0</v>
      </c>
      <c r="AW94" s="533">
        <v>0</v>
      </c>
      <c r="AX94" s="533">
        <v>0</v>
      </c>
      <c r="AY94" s="533">
        <f t="shared" si="137"/>
        <v>0</v>
      </c>
      <c r="AZ94" s="534">
        <f t="shared" si="138"/>
        <v>0</v>
      </c>
      <c r="BA94" s="535">
        <f t="shared" si="211"/>
        <v>0</v>
      </c>
      <c r="BB94" s="536">
        <f t="shared" si="212"/>
        <v>0</v>
      </c>
      <c r="BC94" s="523">
        <f t="shared" si="213"/>
        <v>0</v>
      </c>
      <c r="BD94" s="525">
        <f t="shared" si="214"/>
        <v>0</v>
      </c>
      <c r="BE94" s="525">
        <f t="shared" si="215"/>
        <v>0</v>
      </c>
      <c r="BF94" s="525">
        <f t="shared" si="216"/>
        <v>0</v>
      </c>
      <c r="BG94" s="525">
        <f t="shared" si="217"/>
        <v>0</v>
      </c>
      <c r="BH94" s="525">
        <f t="shared" si="218"/>
        <v>0</v>
      </c>
      <c r="BI94" s="526">
        <f t="shared" si="219"/>
        <v>0</v>
      </c>
      <c r="BJ94" s="537">
        <f t="shared" si="220"/>
        <v>0</v>
      </c>
      <c r="BK94" s="538">
        <f t="shared" si="221"/>
        <v>0</v>
      </c>
      <c r="BL94" s="538">
        <f t="shared" si="222"/>
        <v>0</v>
      </c>
      <c r="BM94" s="538">
        <f t="shared" si="223"/>
        <v>0</v>
      </c>
      <c r="BN94" s="538">
        <f t="shared" si="224"/>
        <v>0</v>
      </c>
      <c r="BO94" s="538">
        <f t="shared" si="225"/>
        <v>0</v>
      </c>
      <c r="BP94" s="539">
        <f t="shared" si="226"/>
        <v>0</v>
      </c>
      <c r="BQ94" s="540">
        <f t="shared" si="227"/>
        <v>0</v>
      </c>
      <c r="BR94" s="529"/>
      <c r="BS94" s="502"/>
      <c r="BT94" s="530"/>
      <c r="BU94" s="498"/>
      <c r="BV94" s="499"/>
      <c r="BW94" s="499"/>
      <c r="BX94" s="499"/>
      <c r="BY94" s="531">
        <f t="shared" si="139"/>
        <v>0</v>
      </c>
      <c r="BZ94" s="532">
        <f t="shared" si="140"/>
        <v>0</v>
      </c>
      <c r="CA94" s="529"/>
      <c r="CB94" s="533"/>
      <c r="CC94" s="533"/>
      <c r="CD94" s="533"/>
      <c r="CE94" s="533">
        <f t="shared" si="141"/>
        <v>0</v>
      </c>
      <c r="CF94" s="534">
        <f t="shared" si="142"/>
        <v>0</v>
      </c>
      <c r="CG94" s="774">
        <f t="shared" si="228"/>
        <v>0</v>
      </c>
      <c r="CH94" s="775">
        <f t="shared" si="229"/>
        <v>0</v>
      </c>
      <c r="CI94" s="548">
        <f t="shared" si="230"/>
        <v>0</v>
      </c>
      <c r="CJ94" s="773">
        <f t="shared" si="231"/>
        <v>0</v>
      </c>
      <c r="CK94" s="773">
        <f t="shared" si="232"/>
        <v>0</v>
      </c>
      <c r="CL94" s="773">
        <f t="shared" si="233"/>
        <v>0</v>
      </c>
      <c r="CM94" s="773">
        <f t="shared" si="234"/>
        <v>0</v>
      </c>
      <c r="CN94" s="773">
        <f t="shared" si="235"/>
        <v>0</v>
      </c>
      <c r="CO94" s="626">
        <f t="shared" si="236"/>
        <v>0</v>
      </c>
      <c r="CP94" s="1145">
        <f t="shared" si="237"/>
        <v>0</v>
      </c>
      <c r="CQ94" s="1146">
        <f t="shared" si="238"/>
        <v>0</v>
      </c>
      <c r="CR94" s="1146">
        <f t="shared" si="239"/>
        <v>0</v>
      </c>
      <c r="CS94" s="1146">
        <f t="shared" si="240"/>
        <v>0</v>
      </c>
      <c r="CT94" s="1146">
        <f t="shared" si="241"/>
        <v>0</v>
      </c>
      <c r="CU94" s="1146">
        <f t="shared" si="242"/>
        <v>0</v>
      </c>
      <c r="CV94" s="1256">
        <f t="shared" si="243"/>
        <v>0</v>
      </c>
      <c r="CW94" s="1157">
        <f t="shared" si="244"/>
        <v>0</v>
      </c>
      <c r="CX94" s="529"/>
      <c r="CY94" s="502"/>
      <c r="CZ94" s="530"/>
      <c r="DA94" s="498"/>
      <c r="DB94" s="499"/>
      <c r="DC94" s="499"/>
      <c r="DD94" s="499"/>
      <c r="DE94" s="531">
        <f t="shared" si="143"/>
        <v>0</v>
      </c>
      <c r="DF94" s="532">
        <f t="shared" si="144"/>
        <v>0</v>
      </c>
      <c r="DG94" s="529"/>
      <c r="DH94" s="533"/>
      <c r="DI94" s="533"/>
      <c r="DJ94" s="533"/>
      <c r="DK94" s="533">
        <f t="shared" si="145"/>
        <v>0</v>
      </c>
      <c r="DL94" s="534">
        <f t="shared" si="146"/>
        <v>0</v>
      </c>
      <c r="DM94" s="1258">
        <f t="shared" si="147"/>
        <v>0</v>
      </c>
      <c r="DN94" s="775">
        <f t="shared" si="148"/>
        <v>0</v>
      </c>
      <c r="DO94" s="548">
        <f t="shared" si="149"/>
        <v>0</v>
      </c>
      <c r="DP94" s="773">
        <f t="shared" si="150"/>
        <v>0</v>
      </c>
      <c r="DQ94" s="773">
        <f t="shared" si="151"/>
        <v>0</v>
      </c>
      <c r="DR94" s="773">
        <f t="shared" si="152"/>
        <v>0</v>
      </c>
      <c r="DS94" s="773">
        <f t="shared" si="153"/>
        <v>0</v>
      </c>
      <c r="DT94" s="773">
        <f t="shared" si="154"/>
        <v>0</v>
      </c>
      <c r="DU94" s="526">
        <f t="shared" si="245"/>
        <v>0</v>
      </c>
      <c r="DV94" s="1145">
        <f t="shared" si="155"/>
        <v>0</v>
      </c>
      <c r="DW94" s="1146">
        <f t="shared" si="156"/>
        <v>0</v>
      </c>
      <c r="DX94" s="1146">
        <f t="shared" si="157"/>
        <v>0</v>
      </c>
      <c r="DY94" s="1146">
        <f t="shared" si="158"/>
        <v>0</v>
      </c>
      <c r="DZ94" s="1146">
        <f t="shared" si="159"/>
        <v>0</v>
      </c>
      <c r="EA94" s="1146">
        <f t="shared" si="160"/>
        <v>0</v>
      </c>
      <c r="EB94" s="539">
        <f t="shared" si="246"/>
        <v>0</v>
      </c>
      <c r="EC94" s="540">
        <f t="shared" si="247"/>
        <v>0</v>
      </c>
      <c r="ES94" s="1258">
        <f t="shared" si="161"/>
        <v>0</v>
      </c>
      <c r="ET94" s="775">
        <f t="shared" si="162"/>
        <v>0</v>
      </c>
      <c r="EU94" s="548">
        <f t="shared" si="163"/>
        <v>0</v>
      </c>
      <c r="EV94" s="773">
        <f t="shared" si="164"/>
        <v>0</v>
      </c>
      <c r="EW94" s="773">
        <f t="shared" si="165"/>
        <v>0</v>
      </c>
      <c r="EX94" s="773">
        <f t="shared" si="166"/>
        <v>0</v>
      </c>
      <c r="EY94" s="773">
        <f t="shared" si="167"/>
        <v>0</v>
      </c>
      <c r="EZ94" s="773">
        <f t="shared" si="168"/>
        <v>0</v>
      </c>
      <c r="FA94" s="626">
        <f t="shared" si="248"/>
        <v>0</v>
      </c>
      <c r="FB94" s="1145">
        <f t="shared" si="169"/>
        <v>0</v>
      </c>
      <c r="FC94" s="1146">
        <f t="shared" si="170"/>
        <v>0</v>
      </c>
      <c r="FD94" s="1146">
        <f t="shared" si="171"/>
        <v>0</v>
      </c>
      <c r="FE94" s="1146">
        <f t="shared" si="172"/>
        <v>0</v>
      </c>
      <c r="FF94" s="1146">
        <f t="shared" si="173"/>
        <v>0</v>
      </c>
      <c r="FG94" s="1146">
        <f t="shared" si="174"/>
        <v>0</v>
      </c>
      <c r="FH94" s="1256">
        <f t="shared" si="249"/>
        <v>0</v>
      </c>
      <c r="FI94" s="1157">
        <f t="shared" si="250"/>
        <v>0</v>
      </c>
      <c r="FY94" s="1258">
        <f t="shared" si="175"/>
        <v>0</v>
      </c>
      <c r="FZ94" s="775">
        <f t="shared" si="176"/>
        <v>0</v>
      </c>
      <c r="GA94" s="548">
        <f t="shared" si="177"/>
        <v>0</v>
      </c>
      <c r="GB94" s="773">
        <f t="shared" si="178"/>
        <v>0</v>
      </c>
      <c r="GC94" s="773">
        <f t="shared" si="179"/>
        <v>0</v>
      </c>
      <c r="GD94" s="773">
        <f t="shared" si="180"/>
        <v>0</v>
      </c>
      <c r="GE94" s="773">
        <f t="shared" si="181"/>
        <v>0</v>
      </c>
      <c r="GF94" s="773">
        <f t="shared" si="182"/>
        <v>0</v>
      </c>
      <c r="GG94" s="626">
        <f t="shared" si="251"/>
        <v>0</v>
      </c>
      <c r="GH94" s="1145">
        <f t="shared" si="183"/>
        <v>0</v>
      </c>
      <c r="GI94" s="1146">
        <f t="shared" si="184"/>
        <v>0</v>
      </c>
      <c r="GJ94" s="1146">
        <f t="shared" si="185"/>
        <v>0</v>
      </c>
      <c r="GK94" s="1146">
        <f t="shared" si="186"/>
        <v>0</v>
      </c>
      <c r="GL94" s="1146">
        <f t="shared" si="187"/>
        <v>0</v>
      </c>
      <c r="GM94" s="1146">
        <f t="shared" si="188"/>
        <v>0</v>
      </c>
      <c r="GN94" s="1256">
        <f t="shared" si="252"/>
        <v>0</v>
      </c>
      <c r="GO94" s="1157">
        <f t="shared" si="253"/>
        <v>0</v>
      </c>
      <c r="HE94" s="1675">
        <f t="shared" si="189"/>
        <v>0</v>
      </c>
      <c r="HF94" s="775">
        <f t="shared" si="190"/>
        <v>0</v>
      </c>
      <c r="HG94" s="548">
        <f t="shared" si="191"/>
        <v>0</v>
      </c>
      <c r="HH94" s="773">
        <f t="shared" si="192"/>
        <v>0</v>
      </c>
      <c r="HI94" s="773">
        <f t="shared" si="193"/>
        <v>0</v>
      </c>
      <c r="HJ94" s="773">
        <f t="shared" si="194"/>
        <v>0</v>
      </c>
      <c r="HK94" s="773">
        <f t="shared" si="195"/>
        <v>0</v>
      </c>
      <c r="HL94" s="773">
        <f t="shared" si="196"/>
        <v>0</v>
      </c>
      <c r="HM94" s="626">
        <f t="shared" si="254"/>
        <v>0</v>
      </c>
      <c r="HN94" s="1145">
        <f t="shared" si="197"/>
        <v>0</v>
      </c>
      <c r="HO94" s="1146">
        <f t="shared" si="198"/>
        <v>0</v>
      </c>
      <c r="HP94" s="1146">
        <f t="shared" si="199"/>
        <v>0</v>
      </c>
      <c r="HQ94" s="1146">
        <f t="shared" si="200"/>
        <v>0</v>
      </c>
      <c r="HR94" s="1146">
        <f t="shared" si="201"/>
        <v>0</v>
      </c>
      <c r="HS94" s="1146">
        <f t="shared" si="202"/>
        <v>0</v>
      </c>
      <c r="HT94" s="1256">
        <f t="shared" si="255"/>
        <v>0</v>
      </c>
      <c r="HU94" s="1157">
        <f t="shared" si="256"/>
        <v>0</v>
      </c>
    </row>
    <row r="95" spans="1:229" ht="12" customHeight="1" outlineLevel="1" x14ac:dyDescent="0.2">
      <c r="A95" s="474"/>
      <c r="B95" s="1412"/>
      <c r="C95" s="511">
        <v>86</v>
      </c>
      <c r="D95" s="577" t="s">
        <v>139</v>
      </c>
      <c r="E95" s="1724">
        <f>43-4</f>
        <v>39</v>
      </c>
      <c r="F95" s="578">
        <f>3084.87-83.5-76.86-42.3-80.8</f>
        <v>2801.4099999999994</v>
      </c>
      <c r="G95" s="515">
        <f t="shared" si="132"/>
        <v>71.831025641025619</v>
      </c>
      <c r="H95" s="579">
        <f>30-7</f>
        <v>23</v>
      </c>
      <c r="I95" s="578">
        <f>351.42-80.96</f>
        <v>270.46000000000004</v>
      </c>
      <c r="J95" s="519">
        <f t="shared" si="257"/>
        <v>11.759130434782611</v>
      </c>
      <c r="K95" s="579">
        <v>0</v>
      </c>
      <c r="L95" s="578">
        <v>0</v>
      </c>
      <c r="M95" s="519">
        <v>0</v>
      </c>
      <c r="N95" s="580">
        <f t="shared" si="133"/>
        <v>3071.8699999999994</v>
      </c>
      <c r="O95" s="581">
        <v>0</v>
      </c>
      <c r="P95" s="582">
        <f>17452287.71+1833.84-neprodano!EC25-neprodano!EC10</f>
        <v>15544236.865574893</v>
      </c>
      <c r="Q95" s="582">
        <f>5265551.25-neprodano!ED25-neprodano!ED10</f>
        <v>4719450.0671640001</v>
      </c>
      <c r="R95" s="519">
        <f t="shared" si="134"/>
        <v>20263686.932738893</v>
      </c>
      <c r="S95" s="546">
        <f t="shared" si="203"/>
        <v>20263686.932738893</v>
      </c>
      <c r="T95" s="521">
        <v>3764087.9677096573</v>
      </c>
      <c r="U95" s="547">
        <v>0</v>
      </c>
      <c r="V95" s="547">
        <v>0</v>
      </c>
      <c r="W95" s="548">
        <v>0</v>
      </c>
      <c r="X95" s="549">
        <f>243219.95+10244.17+59755.83</f>
        <v>313219.95</v>
      </c>
      <c r="Y95" s="549">
        <v>0</v>
      </c>
      <c r="Z95" s="549">
        <v>0</v>
      </c>
      <c r="AA95" s="525">
        <f t="shared" si="204"/>
        <v>0</v>
      </c>
      <c r="AB95" s="524">
        <f t="shared" si="205"/>
        <v>313219.95</v>
      </c>
      <c r="AC95" s="526">
        <f t="shared" si="206"/>
        <v>1.5457204359683837E-2</v>
      </c>
      <c r="AD95" s="547">
        <v>0</v>
      </c>
      <c r="AE95" s="547">
        <v>59755.83</v>
      </c>
      <c r="AF95" s="547">
        <v>0</v>
      </c>
      <c r="AG95" s="547">
        <v>0</v>
      </c>
      <c r="AH95" s="363">
        <f t="shared" si="207"/>
        <v>0</v>
      </c>
      <c r="AI95" s="547">
        <f t="shared" si="208"/>
        <v>59755.83</v>
      </c>
      <c r="AJ95" s="550">
        <f t="shared" si="209"/>
        <v>2.9489120217040012E-3</v>
      </c>
      <c r="AK95" s="551">
        <f t="shared" si="210"/>
        <v>0</v>
      </c>
      <c r="AL95" s="529"/>
      <c r="AM95" s="502"/>
      <c r="AN95" s="530"/>
      <c r="AO95" s="498"/>
      <c r="AP95" s="499"/>
      <c r="AQ95" s="499"/>
      <c r="AR95" s="499"/>
      <c r="AS95" s="531">
        <f t="shared" si="135"/>
        <v>0</v>
      </c>
      <c r="AT95" s="532">
        <f t="shared" si="136"/>
        <v>0</v>
      </c>
      <c r="AU95" s="529">
        <v>0</v>
      </c>
      <c r="AV95" s="533">
        <v>0</v>
      </c>
      <c r="AW95" s="533">
        <v>0</v>
      </c>
      <c r="AX95" s="533">
        <v>0</v>
      </c>
      <c r="AY95" s="533">
        <f t="shared" si="137"/>
        <v>0</v>
      </c>
      <c r="AZ95" s="534">
        <f t="shared" si="138"/>
        <v>0</v>
      </c>
      <c r="BA95" s="535">
        <f t="shared" si="211"/>
        <v>0</v>
      </c>
      <c r="BB95" s="536">
        <f t="shared" si="212"/>
        <v>0</v>
      </c>
      <c r="BC95" s="523">
        <f t="shared" si="213"/>
        <v>0</v>
      </c>
      <c r="BD95" s="525">
        <f t="shared" si="214"/>
        <v>313219.95</v>
      </c>
      <c r="BE95" s="525">
        <f t="shared" si="215"/>
        <v>0</v>
      </c>
      <c r="BF95" s="525">
        <f t="shared" si="216"/>
        <v>0</v>
      </c>
      <c r="BG95" s="525">
        <f t="shared" si="217"/>
        <v>0</v>
      </c>
      <c r="BH95" s="525">
        <f t="shared" si="218"/>
        <v>313219.95</v>
      </c>
      <c r="BI95" s="526">
        <f t="shared" si="219"/>
        <v>1.5457204359683837E-2</v>
      </c>
      <c r="BJ95" s="537">
        <f t="shared" si="220"/>
        <v>0</v>
      </c>
      <c r="BK95" s="538">
        <f t="shared" si="221"/>
        <v>59755.83</v>
      </c>
      <c r="BL95" s="538">
        <f t="shared" si="222"/>
        <v>0</v>
      </c>
      <c r="BM95" s="538">
        <f t="shared" si="223"/>
        <v>0</v>
      </c>
      <c r="BN95" s="538">
        <f t="shared" si="224"/>
        <v>0</v>
      </c>
      <c r="BO95" s="538">
        <f t="shared" si="225"/>
        <v>59755.83</v>
      </c>
      <c r="BP95" s="539">
        <f t="shared" si="226"/>
        <v>2.9489120217040012E-3</v>
      </c>
      <c r="BQ95" s="540">
        <f t="shared" si="227"/>
        <v>0</v>
      </c>
      <c r="BR95" s="529"/>
      <c r="BS95" s="502"/>
      <c r="BT95" s="530"/>
      <c r="BU95" s="498"/>
      <c r="BV95" s="499"/>
      <c r="BW95" s="499"/>
      <c r="BX95" s="499"/>
      <c r="BY95" s="531">
        <f t="shared" si="139"/>
        <v>0</v>
      </c>
      <c r="BZ95" s="532">
        <f t="shared" si="140"/>
        <v>0</v>
      </c>
      <c r="CA95" s="529"/>
      <c r="CB95" s="533"/>
      <c r="CC95" s="533"/>
      <c r="CD95" s="533"/>
      <c r="CE95" s="533">
        <f t="shared" si="141"/>
        <v>0</v>
      </c>
      <c r="CF95" s="534">
        <f t="shared" si="142"/>
        <v>0</v>
      </c>
      <c r="CG95" s="774">
        <f t="shared" si="228"/>
        <v>0</v>
      </c>
      <c r="CH95" s="775">
        <f t="shared" si="229"/>
        <v>0</v>
      </c>
      <c r="CI95" s="548">
        <f t="shared" si="230"/>
        <v>0</v>
      </c>
      <c r="CJ95" s="773">
        <f t="shared" si="231"/>
        <v>313219.95</v>
      </c>
      <c r="CK95" s="773">
        <f t="shared" si="232"/>
        <v>0</v>
      </c>
      <c r="CL95" s="773">
        <f t="shared" si="233"/>
        <v>0</v>
      </c>
      <c r="CM95" s="773">
        <f t="shared" si="234"/>
        <v>0</v>
      </c>
      <c r="CN95" s="773">
        <f t="shared" si="235"/>
        <v>313219.95</v>
      </c>
      <c r="CO95" s="626">
        <f t="shared" si="236"/>
        <v>1.5457204359683837E-2</v>
      </c>
      <c r="CP95" s="1145">
        <f t="shared" si="237"/>
        <v>0</v>
      </c>
      <c r="CQ95" s="1146">
        <f t="shared" si="238"/>
        <v>59755.83</v>
      </c>
      <c r="CR95" s="1146">
        <f t="shared" si="239"/>
        <v>0</v>
      </c>
      <c r="CS95" s="1146">
        <f t="shared" si="240"/>
        <v>0</v>
      </c>
      <c r="CT95" s="1146">
        <f t="shared" si="241"/>
        <v>0</v>
      </c>
      <c r="CU95" s="1146">
        <f t="shared" si="242"/>
        <v>59755.83</v>
      </c>
      <c r="CV95" s="1256">
        <f t="shared" si="243"/>
        <v>2.9489120217040012E-3</v>
      </c>
      <c r="CW95" s="1157">
        <f t="shared" si="244"/>
        <v>0</v>
      </c>
      <c r="CX95" s="529"/>
      <c r="CY95" s="502"/>
      <c r="CZ95" s="530"/>
      <c r="DA95" s="498"/>
      <c r="DB95" s="499"/>
      <c r="DC95" s="499"/>
      <c r="DD95" s="499"/>
      <c r="DE95" s="531">
        <f t="shared" si="143"/>
        <v>0</v>
      </c>
      <c r="DF95" s="532">
        <f t="shared" si="144"/>
        <v>0</v>
      </c>
      <c r="DG95" s="529"/>
      <c r="DH95" s="533"/>
      <c r="DI95" s="533"/>
      <c r="DJ95" s="533"/>
      <c r="DK95" s="533">
        <f t="shared" si="145"/>
        <v>0</v>
      </c>
      <c r="DL95" s="534">
        <f t="shared" si="146"/>
        <v>0</v>
      </c>
      <c r="DM95" s="1258">
        <f t="shared" si="147"/>
        <v>0</v>
      </c>
      <c r="DN95" s="775">
        <f t="shared" si="148"/>
        <v>0</v>
      </c>
      <c r="DO95" s="548">
        <f t="shared" si="149"/>
        <v>0</v>
      </c>
      <c r="DP95" s="773">
        <f t="shared" si="150"/>
        <v>313219.95</v>
      </c>
      <c r="DQ95" s="773">
        <f t="shared" si="151"/>
        <v>0</v>
      </c>
      <c r="DR95" s="773">
        <f t="shared" si="152"/>
        <v>0</v>
      </c>
      <c r="DS95" s="773">
        <f t="shared" si="153"/>
        <v>0</v>
      </c>
      <c r="DT95" s="773">
        <f t="shared" si="154"/>
        <v>313219.95</v>
      </c>
      <c r="DU95" s="526">
        <f t="shared" si="245"/>
        <v>1.5457204359683837E-2</v>
      </c>
      <c r="DV95" s="1145">
        <f t="shared" si="155"/>
        <v>0</v>
      </c>
      <c r="DW95" s="1146">
        <f t="shared" si="156"/>
        <v>59755.83</v>
      </c>
      <c r="DX95" s="1146">
        <f t="shared" si="157"/>
        <v>0</v>
      </c>
      <c r="DY95" s="1146">
        <f t="shared" si="158"/>
        <v>0</v>
      </c>
      <c r="DZ95" s="1146">
        <f t="shared" si="159"/>
        <v>0</v>
      </c>
      <c r="EA95" s="1146">
        <f t="shared" si="160"/>
        <v>59755.83</v>
      </c>
      <c r="EB95" s="539">
        <f t="shared" si="246"/>
        <v>2.9489120217040012E-3</v>
      </c>
      <c r="EC95" s="540">
        <f t="shared" si="247"/>
        <v>0</v>
      </c>
      <c r="ES95" s="1258">
        <f t="shared" si="161"/>
        <v>0</v>
      </c>
      <c r="ET95" s="775">
        <f t="shared" si="162"/>
        <v>0</v>
      </c>
      <c r="EU95" s="548">
        <f t="shared" si="163"/>
        <v>0</v>
      </c>
      <c r="EV95" s="773">
        <f t="shared" si="164"/>
        <v>313219.95</v>
      </c>
      <c r="EW95" s="773">
        <f t="shared" si="165"/>
        <v>0</v>
      </c>
      <c r="EX95" s="773">
        <f t="shared" si="166"/>
        <v>0</v>
      </c>
      <c r="EY95" s="773">
        <f t="shared" si="167"/>
        <v>0</v>
      </c>
      <c r="EZ95" s="773">
        <f t="shared" si="168"/>
        <v>313219.95</v>
      </c>
      <c r="FA95" s="626">
        <f t="shared" si="248"/>
        <v>1.5457204359683837E-2</v>
      </c>
      <c r="FB95" s="1145">
        <f t="shared" si="169"/>
        <v>0</v>
      </c>
      <c r="FC95" s="1146">
        <f t="shared" si="170"/>
        <v>59755.83</v>
      </c>
      <c r="FD95" s="1146">
        <f t="shared" si="171"/>
        <v>0</v>
      </c>
      <c r="FE95" s="1146">
        <f t="shared" si="172"/>
        <v>0</v>
      </c>
      <c r="FF95" s="1146">
        <f t="shared" si="173"/>
        <v>0</v>
      </c>
      <c r="FG95" s="1146">
        <f t="shared" si="174"/>
        <v>59755.83</v>
      </c>
      <c r="FH95" s="1256">
        <f t="shared" si="249"/>
        <v>2.9489120217040012E-3</v>
      </c>
      <c r="FI95" s="1157">
        <f t="shared" si="250"/>
        <v>0</v>
      </c>
      <c r="FY95" s="1258">
        <f t="shared" si="175"/>
        <v>0</v>
      </c>
      <c r="FZ95" s="775">
        <f t="shared" si="176"/>
        <v>0</v>
      </c>
      <c r="GA95" s="548">
        <f t="shared" si="177"/>
        <v>0</v>
      </c>
      <c r="GB95" s="773">
        <f t="shared" si="178"/>
        <v>313219.95</v>
      </c>
      <c r="GC95" s="773">
        <f t="shared" si="179"/>
        <v>0</v>
      </c>
      <c r="GD95" s="773">
        <f t="shared" si="180"/>
        <v>0</v>
      </c>
      <c r="GE95" s="773">
        <f t="shared" si="181"/>
        <v>0</v>
      </c>
      <c r="GF95" s="773">
        <f t="shared" si="182"/>
        <v>313219.95</v>
      </c>
      <c r="GG95" s="626">
        <f t="shared" si="251"/>
        <v>1.5457204359683837E-2</v>
      </c>
      <c r="GH95" s="1145">
        <f t="shared" si="183"/>
        <v>0</v>
      </c>
      <c r="GI95" s="1146">
        <f t="shared" si="184"/>
        <v>59755.83</v>
      </c>
      <c r="GJ95" s="1146">
        <f t="shared" si="185"/>
        <v>0</v>
      </c>
      <c r="GK95" s="1146">
        <f t="shared" si="186"/>
        <v>0</v>
      </c>
      <c r="GL95" s="1146">
        <f t="shared" si="187"/>
        <v>0</v>
      </c>
      <c r="GM95" s="1146">
        <f t="shared" si="188"/>
        <v>59755.83</v>
      </c>
      <c r="GN95" s="1256">
        <f t="shared" si="252"/>
        <v>2.9489120217040012E-3</v>
      </c>
      <c r="GO95" s="1157">
        <f t="shared" si="253"/>
        <v>0</v>
      </c>
      <c r="HE95" s="1675">
        <f t="shared" si="189"/>
        <v>0</v>
      </c>
      <c r="HF95" s="775">
        <f t="shared" si="190"/>
        <v>0</v>
      </c>
      <c r="HG95" s="548">
        <f t="shared" si="191"/>
        <v>0</v>
      </c>
      <c r="HH95" s="773">
        <f t="shared" si="192"/>
        <v>313219.95</v>
      </c>
      <c r="HI95" s="773">
        <f t="shared" si="193"/>
        <v>0</v>
      </c>
      <c r="HJ95" s="773">
        <f t="shared" si="194"/>
        <v>0</v>
      </c>
      <c r="HK95" s="773">
        <f t="shared" si="195"/>
        <v>0</v>
      </c>
      <c r="HL95" s="773">
        <f t="shared" si="196"/>
        <v>313219.95</v>
      </c>
      <c r="HM95" s="626">
        <f t="shared" si="254"/>
        <v>1.5457204359683837E-2</v>
      </c>
      <c r="HN95" s="1145">
        <f t="shared" si="197"/>
        <v>0</v>
      </c>
      <c r="HO95" s="1146">
        <f t="shared" si="198"/>
        <v>59755.83</v>
      </c>
      <c r="HP95" s="1146">
        <f t="shared" si="199"/>
        <v>0</v>
      </c>
      <c r="HQ95" s="1146">
        <f t="shared" si="200"/>
        <v>0</v>
      </c>
      <c r="HR95" s="1146">
        <f t="shared" si="201"/>
        <v>0</v>
      </c>
      <c r="HS95" s="1146">
        <f t="shared" si="202"/>
        <v>59755.83</v>
      </c>
      <c r="HT95" s="1256">
        <f t="shared" si="255"/>
        <v>2.9489120217040012E-3</v>
      </c>
      <c r="HU95" s="1157">
        <f t="shared" si="256"/>
        <v>0</v>
      </c>
    </row>
    <row r="96" spans="1:229" ht="13.5" customHeight="1" outlineLevel="1" x14ac:dyDescent="0.2">
      <c r="A96" s="474"/>
      <c r="B96" s="1412"/>
      <c r="C96" s="511">
        <v>87</v>
      </c>
      <c r="D96" s="560" t="s">
        <v>111</v>
      </c>
      <c r="E96" s="1721">
        <v>43</v>
      </c>
      <c r="F96" s="558">
        <v>3100.7</v>
      </c>
      <c r="G96" s="543">
        <f t="shared" si="132"/>
        <v>72.109302325581396</v>
      </c>
      <c r="H96" s="559">
        <f>28-2</f>
        <v>26</v>
      </c>
      <c r="I96" s="558">
        <f>299.63-19.48</f>
        <v>280.14999999999998</v>
      </c>
      <c r="J96" s="542">
        <f t="shared" si="257"/>
        <v>10.774999999999999</v>
      </c>
      <c r="K96" s="559">
        <v>0</v>
      </c>
      <c r="L96" s="558">
        <v>0</v>
      </c>
      <c r="M96" s="542">
        <v>0</v>
      </c>
      <c r="N96" s="545">
        <f t="shared" si="133"/>
        <v>3380.85</v>
      </c>
      <c r="O96" s="518">
        <v>0</v>
      </c>
      <c r="P96" s="542">
        <f>18822723.95+523.95-neprodano!EC26</f>
        <v>18703413.228896718</v>
      </c>
      <c r="Q96" s="576">
        <f>5202681.74-neprodano!ED26</f>
        <v>5172876.8724800004</v>
      </c>
      <c r="R96" s="519">
        <f t="shared" si="134"/>
        <v>23876290.10137672</v>
      </c>
      <c r="S96" s="546">
        <f t="shared" si="203"/>
        <v>23876290.10137672</v>
      </c>
      <c r="T96" s="521">
        <f>4187960.72-166.58*7.393255*19.48</f>
        <v>4163969.7672193083</v>
      </c>
      <c r="U96" s="547">
        <v>0</v>
      </c>
      <c r="V96" s="547">
        <v>0</v>
      </c>
      <c r="W96" s="548">
        <v>0</v>
      </c>
      <c r="X96" s="549">
        <v>0</v>
      </c>
      <c r="Y96" s="549">
        <v>0</v>
      </c>
      <c r="Z96" s="549">
        <v>0</v>
      </c>
      <c r="AA96" s="525">
        <f t="shared" si="204"/>
        <v>0</v>
      </c>
      <c r="AB96" s="524">
        <f t="shared" si="205"/>
        <v>0</v>
      </c>
      <c r="AC96" s="526">
        <f t="shared" si="206"/>
        <v>0</v>
      </c>
      <c r="AD96" s="547">
        <v>0</v>
      </c>
      <c r="AE96" s="547">
        <v>0</v>
      </c>
      <c r="AF96" s="547">
        <v>0</v>
      </c>
      <c r="AG96" s="547">
        <v>0</v>
      </c>
      <c r="AH96" s="363">
        <f t="shared" si="207"/>
        <v>0</v>
      </c>
      <c r="AI96" s="547">
        <f t="shared" si="208"/>
        <v>0</v>
      </c>
      <c r="AJ96" s="550">
        <f t="shared" si="209"/>
        <v>0</v>
      </c>
      <c r="AK96" s="551">
        <f t="shared" si="210"/>
        <v>0</v>
      </c>
      <c r="AL96" s="529"/>
      <c r="AM96" s="502"/>
      <c r="AN96" s="530"/>
      <c r="AO96" s="498"/>
      <c r="AP96" s="499"/>
      <c r="AQ96" s="499"/>
      <c r="AR96" s="499"/>
      <c r="AS96" s="531">
        <f t="shared" si="135"/>
        <v>0</v>
      </c>
      <c r="AT96" s="532">
        <f t="shared" si="136"/>
        <v>0</v>
      </c>
      <c r="AU96" s="529">
        <v>0</v>
      </c>
      <c r="AV96" s="533">
        <v>0</v>
      </c>
      <c r="AW96" s="533">
        <v>0</v>
      </c>
      <c r="AX96" s="533">
        <v>0</v>
      </c>
      <c r="AY96" s="533">
        <f t="shared" si="137"/>
        <v>0</v>
      </c>
      <c r="AZ96" s="534">
        <f t="shared" si="138"/>
        <v>0</v>
      </c>
      <c r="BA96" s="535">
        <f t="shared" si="211"/>
        <v>0</v>
      </c>
      <c r="BB96" s="536">
        <f t="shared" si="212"/>
        <v>0</v>
      </c>
      <c r="BC96" s="523">
        <f t="shared" si="213"/>
        <v>0</v>
      </c>
      <c r="BD96" s="525">
        <f t="shared" si="214"/>
        <v>0</v>
      </c>
      <c r="BE96" s="525">
        <f t="shared" si="215"/>
        <v>0</v>
      </c>
      <c r="BF96" s="525">
        <f t="shared" si="216"/>
        <v>0</v>
      </c>
      <c r="BG96" s="525">
        <f t="shared" si="217"/>
        <v>0</v>
      </c>
      <c r="BH96" s="525">
        <f t="shared" si="218"/>
        <v>0</v>
      </c>
      <c r="BI96" s="526">
        <f t="shared" si="219"/>
        <v>0</v>
      </c>
      <c r="BJ96" s="537">
        <f t="shared" si="220"/>
        <v>0</v>
      </c>
      <c r="BK96" s="538">
        <f t="shared" si="221"/>
        <v>0</v>
      </c>
      <c r="BL96" s="538">
        <f t="shared" si="222"/>
        <v>0</v>
      </c>
      <c r="BM96" s="538">
        <f t="shared" si="223"/>
        <v>0</v>
      </c>
      <c r="BN96" s="538">
        <f t="shared" si="224"/>
        <v>0</v>
      </c>
      <c r="BO96" s="538">
        <f t="shared" si="225"/>
        <v>0</v>
      </c>
      <c r="BP96" s="539">
        <f t="shared" si="226"/>
        <v>0</v>
      </c>
      <c r="BQ96" s="540">
        <f t="shared" si="227"/>
        <v>0</v>
      </c>
      <c r="BR96" s="529"/>
      <c r="BS96" s="502"/>
      <c r="BT96" s="530"/>
      <c r="BU96" s="498"/>
      <c r="BV96" s="499"/>
      <c r="BW96" s="499"/>
      <c r="BX96" s="499"/>
      <c r="BY96" s="531">
        <f t="shared" si="139"/>
        <v>0</v>
      </c>
      <c r="BZ96" s="532">
        <f t="shared" si="140"/>
        <v>0</v>
      </c>
      <c r="CA96" s="529"/>
      <c r="CB96" s="533"/>
      <c r="CC96" s="533"/>
      <c r="CD96" s="533"/>
      <c r="CE96" s="533">
        <f t="shared" si="141"/>
        <v>0</v>
      </c>
      <c r="CF96" s="534">
        <f t="shared" si="142"/>
        <v>0</v>
      </c>
      <c r="CG96" s="774">
        <f t="shared" si="228"/>
        <v>0</v>
      </c>
      <c r="CH96" s="775">
        <f t="shared" si="229"/>
        <v>0</v>
      </c>
      <c r="CI96" s="548">
        <f t="shared" si="230"/>
        <v>0</v>
      </c>
      <c r="CJ96" s="773">
        <f t="shared" si="231"/>
        <v>0</v>
      </c>
      <c r="CK96" s="773">
        <f t="shared" si="232"/>
        <v>0</v>
      </c>
      <c r="CL96" s="773">
        <f t="shared" si="233"/>
        <v>0</v>
      </c>
      <c r="CM96" s="773">
        <f t="shared" si="234"/>
        <v>0</v>
      </c>
      <c r="CN96" s="773">
        <f t="shared" si="235"/>
        <v>0</v>
      </c>
      <c r="CO96" s="626">
        <f t="shared" si="236"/>
        <v>0</v>
      </c>
      <c r="CP96" s="1145">
        <f t="shared" si="237"/>
        <v>0</v>
      </c>
      <c r="CQ96" s="1146">
        <f t="shared" si="238"/>
        <v>0</v>
      </c>
      <c r="CR96" s="1146">
        <f t="shared" si="239"/>
        <v>0</v>
      </c>
      <c r="CS96" s="1146">
        <f t="shared" si="240"/>
        <v>0</v>
      </c>
      <c r="CT96" s="1146">
        <f t="shared" si="241"/>
        <v>0</v>
      </c>
      <c r="CU96" s="1146">
        <f t="shared" si="242"/>
        <v>0</v>
      </c>
      <c r="CV96" s="1256">
        <f t="shared" si="243"/>
        <v>0</v>
      </c>
      <c r="CW96" s="1157">
        <f t="shared" si="244"/>
        <v>0</v>
      </c>
      <c r="CX96" s="529"/>
      <c r="CY96" s="502"/>
      <c r="CZ96" s="530"/>
      <c r="DA96" s="498"/>
      <c r="DB96" s="499"/>
      <c r="DC96" s="499"/>
      <c r="DD96" s="499"/>
      <c r="DE96" s="531">
        <f t="shared" si="143"/>
        <v>0</v>
      </c>
      <c r="DF96" s="532">
        <f t="shared" si="144"/>
        <v>0</v>
      </c>
      <c r="DG96" s="529"/>
      <c r="DH96" s="533"/>
      <c r="DI96" s="533"/>
      <c r="DJ96" s="533"/>
      <c r="DK96" s="533">
        <f t="shared" si="145"/>
        <v>0</v>
      </c>
      <c r="DL96" s="534">
        <f t="shared" si="146"/>
        <v>0</v>
      </c>
      <c r="DM96" s="1258">
        <f t="shared" si="147"/>
        <v>0</v>
      </c>
      <c r="DN96" s="775">
        <f t="shared" si="148"/>
        <v>0</v>
      </c>
      <c r="DO96" s="548">
        <f t="shared" si="149"/>
        <v>0</v>
      </c>
      <c r="DP96" s="773">
        <f t="shared" si="150"/>
        <v>0</v>
      </c>
      <c r="DQ96" s="773">
        <f t="shared" si="151"/>
        <v>0</v>
      </c>
      <c r="DR96" s="773">
        <f t="shared" si="152"/>
        <v>0</v>
      </c>
      <c r="DS96" s="773">
        <f t="shared" si="153"/>
        <v>0</v>
      </c>
      <c r="DT96" s="773">
        <f t="shared" si="154"/>
        <v>0</v>
      </c>
      <c r="DU96" s="526">
        <f t="shared" si="245"/>
        <v>0</v>
      </c>
      <c r="DV96" s="1145">
        <f t="shared" si="155"/>
        <v>0</v>
      </c>
      <c r="DW96" s="1146">
        <f t="shared" si="156"/>
        <v>0</v>
      </c>
      <c r="DX96" s="1146">
        <f t="shared" si="157"/>
        <v>0</v>
      </c>
      <c r="DY96" s="1146">
        <f t="shared" si="158"/>
        <v>0</v>
      </c>
      <c r="DZ96" s="1146">
        <f t="shared" si="159"/>
        <v>0</v>
      </c>
      <c r="EA96" s="1146">
        <f t="shared" si="160"/>
        <v>0</v>
      </c>
      <c r="EB96" s="539">
        <f t="shared" si="246"/>
        <v>0</v>
      </c>
      <c r="EC96" s="540">
        <f t="shared" si="247"/>
        <v>0</v>
      </c>
      <c r="ES96" s="1258">
        <f t="shared" si="161"/>
        <v>0</v>
      </c>
      <c r="ET96" s="775">
        <f t="shared" si="162"/>
        <v>0</v>
      </c>
      <c r="EU96" s="548">
        <f t="shared" si="163"/>
        <v>0</v>
      </c>
      <c r="EV96" s="773">
        <f t="shared" si="164"/>
        <v>0</v>
      </c>
      <c r="EW96" s="773">
        <f t="shared" si="165"/>
        <v>0</v>
      </c>
      <c r="EX96" s="773">
        <f t="shared" si="166"/>
        <v>0</v>
      </c>
      <c r="EY96" s="773">
        <f t="shared" si="167"/>
        <v>0</v>
      </c>
      <c r="EZ96" s="773">
        <f t="shared" si="168"/>
        <v>0</v>
      </c>
      <c r="FA96" s="626">
        <f t="shared" si="248"/>
        <v>0</v>
      </c>
      <c r="FB96" s="1145">
        <f t="shared" si="169"/>
        <v>0</v>
      </c>
      <c r="FC96" s="1146">
        <f t="shared" si="170"/>
        <v>0</v>
      </c>
      <c r="FD96" s="1146">
        <f t="shared" si="171"/>
        <v>0</v>
      </c>
      <c r="FE96" s="1146">
        <f t="shared" si="172"/>
        <v>0</v>
      </c>
      <c r="FF96" s="1146">
        <f t="shared" si="173"/>
        <v>0</v>
      </c>
      <c r="FG96" s="1146">
        <f t="shared" si="174"/>
        <v>0</v>
      </c>
      <c r="FH96" s="1256">
        <f t="shared" si="249"/>
        <v>0</v>
      </c>
      <c r="FI96" s="1157">
        <f t="shared" si="250"/>
        <v>0</v>
      </c>
      <c r="FY96" s="1258">
        <f t="shared" si="175"/>
        <v>0</v>
      </c>
      <c r="FZ96" s="775">
        <f t="shared" si="176"/>
        <v>0</v>
      </c>
      <c r="GA96" s="548">
        <f t="shared" si="177"/>
        <v>0</v>
      </c>
      <c r="GB96" s="773">
        <f t="shared" si="178"/>
        <v>0</v>
      </c>
      <c r="GC96" s="773">
        <f t="shared" si="179"/>
        <v>0</v>
      </c>
      <c r="GD96" s="773">
        <f t="shared" si="180"/>
        <v>0</v>
      </c>
      <c r="GE96" s="773">
        <f t="shared" si="181"/>
        <v>0</v>
      </c>
      <c r="GF96" s="773">
        <f t="shared" si="182"/>
        <v>0</v>
      </c>
      <c r="GG96" s="626">
        <f t="shared" si="251"/>
        <v>0</v>
      </c>
      <c r="GH96" s="1145">
        <f t="shared" si="183"/>
        <v>0</v>
      </c>
      <c r="GI96" s="1146">
        <f t="shared" si="184"/>
        <v>0</v>
      </c>
      <c r="GJ96" s="1146">
        <f t="shared" si="185"/>
        <v>0</v>
      </c>
      <c r="GK96" s="1146">
        <f t="shared" si="186"/>
        <v>0</v>
      </c>
      <c r="GL96" s="1146">
        <f t="shared" si="187"/>
        <v>0</v>
      </c>
      <c r="GM96" s="1146">
        <f t="shared" si="188"/>
        <v>0</v>
      </c>
      <c r="GN96" s="1256">
        <f t="shared" si="252"/>
        <v>0</v>
      </c>
      <c r="GO96" s="1157">
        <f t="shared" si="253"/>
        <v>0</v>
      </c>
      <c r="HE96" s="1675">
        <f t="shared" si="189"/>
        <v>0</v>
      </c>
      <c r="HF96" s="775">
        <f t="shared" si="190"/>
        <v>0</v>
      </c>
      <c r="HG96" s="548">
        <f t="shared" si="191"/>
        <v>0</v>
      </c>
      <c r="HH96" s="773">
        <f t="shared" si="192"/>
        <v>0</v>
      </c>
      <c r="HI96" s="773">
        <f t="shared" si="193"/>
        <v>0</v>
      </c>
      <c r="HJ96" s="773">
        <f t="shared" si="194"/>
        <v>0</v>
      </c>
      <c r="HK96" s="773">
        <f t="shared" si="195"/>
        <v>0</v>
      </c>
      <c r="HL96" s="773">
        <f t="shared" si="196"/>
        <v>0</v>
      </c>
      <c r="HM96" s="626">
        <f t="shared" si="254"/>
        <v>0</v>
      </c>
      <c r="HN96" s="1145">
        <f t="shared" si="197"/>
        <v>0</v>
      </c>
      <c r="HO96" s="1146">
        <f t="shared" si="198"/>
        <v>0</v>
      </c>
      <c r="HP96" s="1146">
        <f t="shared" si="199"/>
        <v>0</v>
      </c>
      <c r="HQ96" s="1146">
        <f t="shared" si="200"/>
        <v>0</v>
      </c>
      <c r="HR96" s="1146">
        <f t="shared" si="201"/>
        <v>0</v>
      </c>
      <c r="HS96" s="1146">
        <f t="shared" si="202"/>
        <v>0</v>
      </c>
      <c r="HT96" s="1256">
        <f t="shared" si="255"/>
        <v>0</v>
      </c>
      <c r="HU96" s="1157">
        <f t="shared" si="256"/>
        <v>0</v>
      </c>
    </row>
    <row r="97" spans="1:229" ht="13.5" customHeight="1" outlineLevel="1" x14ac:dyDescent="0.2">
      <c r="A97" s="474"/>
      <c r="B97" s="1412"/>
      <c r="C97" s="511">
        <v>88</v>
      </c>
      <c r="D97" s="560" t="s">
        <v>112</v>
      </c>
      <c r="E97" s="1721">
        <v>43</v>
      </c>
      <c r="F97" s="558">
        <v>3100.7</v>
      </c>
      <c r="G97" s="543">
        <f t="shared" si="132"/>
        <v>72.109302325581396</v>
      </c>
      <c r="H97" s="559">
        <f>28-6</f>
        <v>22</v>
      </c>
      <c r="I97" s="558">
        <f>294.56-63.12</f>
        <v>231.44</v>
      </c>
      <c r="J97" s="542">
        <f t="shared" si="257"/>
        <v>10.52</v>
      </c>
      <c r="K97" s="559">
        <v>0</v>
      </c>
      <c r="L97" s="558">
        <v>0</v>
      </c>
      <c r="M97" s="542">
        <v>0</v>
      </c>
      <c r="N97" s="545">
        <f t="shared" si="133"/>
        <v>3332.14</v>
      </c>
      <c r="O97" s="518">
        <v>0</v>
      </c>
      <c r="P97" s="542">
        <f>18604622.42+1571.86-neprodano!EC27</f>
        <v>18216259.974145502</v>
      </c>
      <c r="Q97" s="576">
        <f>5196324.62-neprodano!ED27</f>
        <v>5099721.4798400002</v>
      </c>
      <c r="R97" s="519">
        <f t="shared" si="134"/>
        <v>23315981.453985501</v>
      </c>
      <c r="S97" s="546">
        <f t="shared" si="203"/>
        <v>23315981.453985501</v>
      </c>
      <c r="T97" s="521">
        <f>4172458.26-166.22*7.393255*63.12</f>
        <v>4094889.6598741678</v>
      </c>
      <c r="U97" s="547">
        <v>0</v>
      </c>
      <c r="V97" s="547">
        <v>0</v>
      </c>
      <c r="W97" s="548">
        <v>0</v>
      </c>
      <c r="X97" s="549">
        <v>0</v>
      </c>
      <c r="Y97" s="549">
        <v>0</v>
      </c>
      <c r="Z97" s="549">
        <v>0</v>
      </c>
      <c r="AA97" s="525">
        <f t="shared" si="204"/>
        <v>0</v>
      </c>
      <c r="AB97" s="524">
        <f t="shared" si="205"/>
        <v>0</v>
      </c>
      <c r="AC97" s="526">
        <f t="shared" si="206"/>
        <v>0</v>
      </c>
      <c r="AD97" s="547">
        <v>0</v>
      </c>
      <c r="AE97" s="547">
        <v>0</v>
      </c>
      <c r="AF97" s="547">
        <v>0</v>
      </c>
      <c r="AG97" s="547">
        <v>0</v>
      </c>
      <c r="AH97" s="363">
        <f t="shared" si="207"/>
        <v>0</v>
      </c>
      <c r="AI97" s="547">
        <f t="shared" si="208"/>
        <v>0</v>
      </c>
      <c r="AJ97" s="550">
        <f t="shared" si="209"/>
        <v>0</v>
      </c>
      <c r="AK97" s="551">
        <f t="shared" si="210"/>
        <v>0</v>
      </c>
      <c r="AL97" s="529"/>
      <c r="AM97" s="502"/>
      <c r="AN97" s="530"/>
      <c r="AO97" s="498"/>
      <c r="AP97" s="499"/>
      <c r="AQ97" s="499"/>
      <c r="AR97" s="499"/>
      <c r="AS97" s="531">
        <f t="shared" si="135"/>
        <v>0</v>
      </c>
      <c r="AT97" s="532">
        <f t="shared" si="136"/>
        <v>0</v>
      </c>
      <c r="AU97" s="529">
        <v>0</v>
      </c>
      <c r="AV97" s="533">
        <v>0</v>
      </c>
      <c r="AW97" s="533">
        <v>0</v>
      </c>
      <c r="AX97" s="533">
        <v>0</v>
      </c>
      <c r="AY97" s="533">
        <f t="shared" si="137"/>
        <v>0</v>
      </c>
      <c r="AZ97" s="534">
        <f t="shared" si="138"/>
        <v>0</v>
      </c>
      <c r="BA97" s="535">
        <f t="shared" si="211"/>
        <v>0</v>
      </c>
      <c r="BB97" s="536">
        <f t="shared" si="212"/>
        <v>0</v>
      </c>
      <c r="BC97" s="523">
        <f t="shared" si="213"/>
        <v>0</v>
      </c>
      <c r="BD97" s="525">
        <f t="shared" si="214"/>
        <v>0</v>
      </c>
      <c r="BE97" s="525">
        <f t="shared" si="215"/>
        <v>0</v>
      </c>
      <c r="BF97" s="525">
        <f t="shared" si="216"/>
        <v>0</v>
      </c>
      <c r="BG97" s="525">
        <f t="shared" si="217"/>
        <v>0</v>
      </c>
      <c r="BH97" s="525">
        <f t="shared" si="218"/>
        <v>0</v>
      </c>
      <c r="BI97" s="526">
        <f t="shared" si="219"/>
        <v>0</v>
      </c>
      <c r="BJ97" s="537">
        <f t="shared" si="220"/>
        <v>0</v>
      </c>
      <c r="BK97" s="538">
        <f t="shared" si="221"/>
        <v>0</v>
      </c>
      <c r="BL97" s="538">
        <f t="shared" si="222"/>
        <v>0</v>
      </c>
      <c r="BM97" s="538">
        <f t="shared" si="223"/>
        <v>0</v>
      </c>
      <c r="BN97" s="538">
        <f t="shared" si="224"/>
        <v>0</v>
      </c>
      <c r="BO97" s="538">
        <f t="shared" si="225"/>
        <v>0</v>
      </c>
      <c r="BP97" s="539">
        <f t="shared" si="226"/>
        <v>0</v>
      </c>
      <c r="BQ97" s="540">
        <f t="shared" si="227"/>
        <v>0</v>
      </c>
      <c r="BR97" s="529"/>
      <c r="BS97" s="502"/>
      <c r="BT97" s="530"/>
      <c r="BU97" s="498"/>
      <c r="BV97" s="499"/>
      <c r="BW97" s="499"/>
      <c r="BX97" s="499"/>
      <c r="BY97" s="531">
        <f t="shared" si="139"/>
        <v>0</v>
      </c>
      <c r="BZ97" s="532">
        <f t="shared" si="140"/>
        <v>0</v>
      </c>
      <c r="CA97" s="529"/>
      <c r="CB97" s="533"/>
      <c r="CC97" s="533"/>
      <c r="CD97" s="533"/>
      <c r="CE97" s="533">
        <f t="shared" si="141"/>
        <v>0</v>
      </c>
      <c r="CF97" s="534">
        <f t="shared" si="142"/>
        <v>0</v>
      </c>
      <c r="CG97" s="774">
        <f t="shared" si="228"/>
        <v>0</v>
      </c>
      <c r="CH97" s="775">
        <f t="shared" si="229"/>
        <v>0</v>
      </c>
      <c r="CI97" s="548">
        <f t="shared" si="230"/>
        <v>0</v>
      </c>
      <c r="CJ97" s="773">
        <f t="shared" si="231"/>
        <v>0</v>
      </c>
      <c r="CK97" s="773">
        <f t="shared" si="232"/>
        <v>0</v>
      </c>
      <c r="CL97" s="773">
        <f t="shared" si="233"/>
        <v>0</v>
      </c>
      <c r="CM97" s="773">
        <f t="shared" si="234"/>
        <v>0</v>
      </c>
      <c r="CN97" s="773">
        <f t="shared" si="235"/>
        <v>0</v>
      </c>
      <c r="CO97" s="626">
        <f t="shared" si="236"/>
        <v>0</v>
      </c>
      <c r="CP97" s="1145">
        <f t="shared" si="237"/>
        <v>0</v>
      </c>
      <c r="CQ97" s="1146">
        <f t="shared" si="238"/>
        <v>0</v>
      </c>
      <c r="CR97" s="1146">
        <f t="shared" si="239"/>
        <v>0</v>
      </c>
      <c r="CS97" s="1146">
        <f t="shared" si="240"/>
        <v>0</v>
      </c>
      <c r="CT97" s="1146">
        <f t="shared" si="241"/>
        <v>0</v>
      </c>
      <c r="CU97" s="1146">
        <f t="shared" si="242"/>
        <v>0</v>
      </c>
      <c r="CV97" s="1256">
        <f t="shared" si="243"/>
        <v>0</v>
      </c>
      <c r="CW97" s="1157">
        <f t="shared" si="244"/>
        <v>0</v>
      </c>
      <c r="CX97" s="529"/>
      <c r="CY97" s="502"/>
      <c r="CZ97" s="530"/>
      <c r="DA97" s="498"/>
      <c r="DB97" s="499"/>
      <c r="DC97" s="499"/>
      <c r="DD97" s="499"/>
      <c r="DE97" s="531">
        <f t="shared" si="143"/>
        <v>0</v>
      </c>
      <c r="DF97" s="532">
        <f t="shared" si="144"/>
        <v>0</v>
      </c>
      <c r="DG97" s="529"/>
      <c r="DH97" s="533"/>
      <c r="DI97" s="533"/>
      <c r="DJ97" s="533"/>
      <c r="DK97" s="533">
        <f t="shared" si="145"/>
        <v>0</v>
      </c>
      <c r="DL97" s="534">
        <f t="shared" si="146"/>
        <v>0</v>
      </c>
      <c r="DM97" s="1258">
        <f t="shared" si="147"/>
        <v>0</v>
      </c>
      <c r="DN97" s="775">
        <f t="shared" si="148"/>
        <v>0</v>
      </c>
      <c r="DO97" s="548">
        <f t="shared" si="149"/>
        <v>0</v>
      </c>
      <c r="DP97" s="773">
        <f t="shared" si="150"/>
        <v>0</v>
      </c>
      <c r="DQ97" s="773">
        <f t="shared" si="151"/>
        <v>0</v>
      </c>
      <c r="DR97" s="773">
        <f t="shared" si="152"/>
        <v>0</v>
      </c>
      <c r="DS97" s="773">
        <f t="shared" si="153"/>
        <v>0</v>
      </c>
      <c r="DT97" s="773">
        <f t="shared" si="154"/>
        <v>0</v>
      </c>
      <c r="DU97" s="526">
        <f t="shared" si="245"/>
        <v>0</v>
      </c>
      <c r="DV97" s="1145">
        <f t="shared" si="155"/>
        <v>0</v>
      </c>
      <c r="DW97" s="1146">
        <f t="shared" si="156"/>
        <v>0</v>
      </c>
      <c r="DX97" s="1146">
        <f t="shared" si="157"/>
        <v>0</v>
      </c>
      <c r="DY97" s="1146">
        <f t="shared" si="158"/>
        <v>0</v>
      </c>
      <c r="DZ97" s="1146">
        <f t="shared" si="159"/>
        <v>0</v>
      </c>
      <c r="EA97" s="1146">
        <f t="shared" si="160"/>
        <v>0</v>
      </c>
      <c r="EB97" s="539">
        <f t="shared" si="246"/>
        <v>0</v>
      </c>
      <c r="EC97" s="540">
        <f t="shared" si="247"/>
        <v>0</v>
      </c>
      <c r="ES97" s="1258">
        <f t="shared" si="161"/>
        <v>0</v>
      </c>
      <c r="ET97" s="775">
        <f t="shared" si="162"/>
        <v>0</v>
      </c>
      <c r="EU97" s="548">
        <f t="shared" si="163"/>
        <v>0</v>
      </c>
      <c r="EV97" s="773">
        <f t="shared" si="164"/>
        <v>0</v>
      </c>
      <c r="EW97" s="773">
        <f t="shared" si="165"/>
        <v>0</v>
      </c>
      <c r="EX97" s="773">
        <f t="shared" si="166"/>
        <v>0</v>
      </c>
      <c r="EY97" s="773">
        <f t="shared" si="167"/>
        <v>0</v>
      </c>
      <c r="EZ97" s="773">
        <f t="shared" si="168"/>
        <v>0</v>
      </c>
      <c r="FA97" s="626">
        <f t="shared" si="248"/>
        <v>0</v>
      </c>
      <c r="FB97" s="1145">
        <f t="shared" si="169"/>
        <v>0</v>
      </c>
      <c r="FC97" s="1146">
        <f t="shared" si="170"/>
        <v>0</v>
      </c>
      <c r="FD97" s="1146">
        <f t="shared" si="171"/>
        <v>0</v>
      </c>
      <c r="FE97" s="1146">
        <f t="shared" si="172"/>
        <v>0</v>
      </c>
      <c r="FF97" s="1146">
        <f t="shared" si="173"/>
        <v>0</v>
      </c>
      <c r="FG97" s="1146">
        <f t="shared" si="174"/>
        <v>0</v>
      </c>
      <c r="FH97" s="1256">
        <f t="shared" si="249"/>
        <v>0</v>
      </c>
      <c r="FI97" s="1157">
        <f t="shared" si="250"/>
        <v>0</v>
      </c>
      <c r="FY97" s="1258">
        <f t="shared" si="175"/>
        <v>0</v>
      </c>
      <c r="FZ97" s="775">
        <f t="shared" si="176"/>
        <v>0</v>
      </c>
      <c r="GA97" s="548">
        <f t="shared" si="177"/>
        <v>0</v>
      </c>
      <c r="GB97" s="773">
        <f t="shared" si="178"/>
        <v>0</v>
      </c>
      <c r="GC97" s="773">
        <f t="shared" si="179"/>
        <v>0</v>
      </c>
      <c r="GD97" s="773">
        <f t="shared" si="180"/>
        <v>0</v>
      </c>
      <c r="GE97" s="773">
        <f t="shared" si="181"/>
        <v>0</v>
      </c>
      <c r="GF97" s="773">
        <f t="shared" si="182"/>
        <v>0</v>
      </c>
      <c r="GG97" s="626">
        <f t="shared" si="251"/>
        <v>0</v>
      </c>
      <c r="GH97" s="1145">
        <f t="shared" si="183"/>
        <v>0</v>
      </c>
      <c r="GI97" s="1146">
        <f t="shared" si="184"/>
        <v>0</v>
      </c>
      <c r="GJ97" s="1146">
        <f t="shared" si="185"/>
        <v>0</v>
      </c>
      <c r="GK97" s="1146">
        <f t="shared" si="186"/>
        <v>0</v>
      </c>
      <c r="GL97" s="1146">
        <f t="shared" si="187"/>
        <v>0</v>
      </c>
      <c r="GM97" s="1146">
        <f t="shared" si="188"/>
        <v>0</v>
      </c>
      <c r="GN97" s="1256">
        <f t="shared" si="252"/>
        <v>0</v>
      </c>
      <c r="GO97" s="1157">
        <f t="shared" si="253"/>
        <v>0</v>
      </c>
      <c r="HE97" s="1675">
        <f t="shared" si="189"/>
        <v>0</v>
      </c>
      <c r="HF97" s="775">
        <f t="shared" si="190"/>
        <v>0</v>
      </c>
      <c r="HG97" s="548">
        <f t="shared" si="191"/>
        <v>0</v>
      </c>
      <c r="HH97" s="773">
        <f t="shared" si="192"/>
        <v>0</v>
      </c>
      <c r="HI97" s="773">
        <f t="shared" si="193"/>
        <v>0</v>
      </c>
      <c r="HJ97" s="773">
        <f t="shared" si="194"/>
        <v>0</v>
      </c>
      <c r="HK97" s="773">
        <f t="shared" si="195"/>
        <v>0</v>
      </c>
      <c r="HL97" s="773">
        <f t="shared" si="196"/>
        <v>0</v>
      </c>
      <c r="HM97" s="626">
        <f t="shared" si="254"/>
        <v>0</v>
      </c>
      <c r="HN97" s="1145">
        <f t="shared" si="197"/>
        <v>0</v>
      </c>
      <c r="HO97" s="1146">
        <f t="shared" si="198"/>
        <v>0</v>
      </c>
      <c r="HP97" s="1146">
        <f t="shared" si="199"/>
        <v>0</v>
      </c>
      <c r="HQ97" s="1146">
        <f t="shared" si="200"/>
        <v>0</v>
      </c>
      <c r="HR97" s="1146">
        <f t="shared" si="201"/>
        <v>0</v>
      </c>
      <c r="HS97" s="1146">
        <f t="shared" si="202"/>
        <v>0</v>
      </c>
      <c r="HT97" s="1256">
        <f t="shared" si="255"/>
        <v>0</v>
      </c>
      <c r="HU97" s="1157">
        <f t="shared" si="256"/>
        <v>0</v>
      </c>
    </row>
    <row r="98" spans="1:229" ht="13.5" customHeight="1" outlineLevel="1" x14ac:dyDescent="0.2">
      <c r="A98" s="474"/>
      <c r="B98" s="1412"/>
      <c r="C98" s="511">
        <v>89</v>
      </c>
      <c r="D98" s="560" t="s">
        <v>115</v>
      </c>
      <c r="E98" s="1721">
        <v>44</v>
      </c>
      <c r="F98" s="558">
        <v>3743.96</v>
      </c>
      <c r="G98" s="543">
        <f t="shared" si="132"/>
        <v>85.09</v>
      </c>
      <c r="H98" s="559">
        <f>14-1</f>
        <v>13</v>
      </c>
      <c r="I98" s="558">
        <f>238.82-17.06</f>
        <v>221.76</v>
      </c>
      <c r="J98" s="542">
        <f t="shared" si="257"/>
        <v>17.058461538461536</v>
      </c>
      <c r="K98" s="559">
        <v>0</v>
      </c>
      <c r="L98" s="558">
        <v>0</v>
      </c>
      <c r="M98" s="542">
        <v>0</v>
      </c>
      <c r="N98" s="545">
        <f t="shared" si="133"/>
        <v>3965.7200000000003</v>
      </c>
      <c r="O98" s="518">
        <v>0</v>
      </c>
      <c r="P98" s="542">
        <f>19743191.69+261.98-neprodano!EC28</f>
        <v>19647872.730753563</v>
      </c>
      <c r="Q98" s="576">
        <f>6084282.07-neprodano!ED28</f>
        <v>6058222.4410057142</v>
      </c>
      <c r="R98" s="519">
        <f t="shared" si="134"/>
        <v>25706095.171759278</v>
      </c>
      <c r="S98" s="546">
        <f t="shared" si="203"/>
        <v>25706095.171759278</v>
      </c>
      <c r="T98" s="521">
        <v>5694838.1536628027</v>
      </c>
      <c r="U98" s="547">
        <v>0</v>
      </c>
      <c r="V98" s="547">
        <v>0</v>
      </c>
      <c r="W98" s="548">
        <v>0</v>
      </c>
      <c r="X98" s="549">
        <v>0</v>
      </c>
      <c r="Y98" s="549">
        <v>0</v>
      </c>
      <c r="Z98" s="549">
        <v>0</v>
      </c>
      <c r="AA98" s="525">
        <f t="shared" si="204"/>
        <v>0</v>
      </c>
      <c r="AB98" s="524">
        <f t="shared" si="205"/>
        <v>0</v>
      </c>
      <c r="AC98" s="526">
        <f t="shared" si="206"/>
        <v>0</v>
      </c>
      <c r="AD98" s="547">
        <v>0</v>
      </c>
      <c r="AE98" s="547">
        <v>0</v>
      </c>
      <c r="AF98" s="547">
        <v>0</v>
      </c>
      <c r="AG98" s="547">
        <v>0</v>
      </c>
      <c r="AH98" s="363">
        <f t="shared" si="207"/>
        <v>0</v>
      </c>
      <c r="AI98" s="547">
        <f t="shared" si="208"/>
        <v>0</v>
      </c>
      <c r="AJ98" s="550">
        <f t="shared" si="209"/>
        <v>0</v>
      </c>
      <c r="AK98" s="551">
        <f t="shared" si="210"/>
        <v>0</v>
      </c>
      <c r="AL98" s="529"/>
      <c r="AM98" s="502"/>
      <c r="AN98" s="530"/>
      <c r="AO98" s="498"/>
      <c r="AP98" s="499"/>
      <c r="AQ98" s="499"/>
      <c r="AR98" s="499"/>
      <c r="AS98" s="531">
        <f t="shared" si="135"/>
        <v>0</v>
      </c>
      <c r="AT98" s="532">
        <f t="shared" si="136"/>
        <v>0</v>
      </c>
      <c r="AU98" s="529">
        <v>0</v>
      </c>
      <c r="AV98" s="533">
        <v>0</v>
      </c>
      <c r="AW98" s="533">
        <v>0</v>
      </c>
      <c r="AX98" s="533">
        <v>0</v>
      </c>
      <c r="AY98" s="533">
        <f t="shared" si="137"/>
        <v>0</v>
      </c>
      <c r="AZ98" s="534">
        <f t="shared" si="138"/>
        <v>0</v>
      </c>
      <c r="BA98" s="535">
        <f t="shared" si="211"/>
        <v>0</v>
      </c>
      <c r="BB98" s="536">
        <f t="shared" si="212"/>
        <v>0</v>
      </c>
      <c r="BC98" s="523">
        <f t="shared" si="213"/>
        <v>0</v>
      </c>
      <c r="BD98" s="525">
        <f t="shared" si="214"/>
        <v>0</v>
      </c>
      <c r="BE98" s="525">
        <f t="shared" si="215"/>
        <v>0</v>
      </c>
      <c r="BF98" s="525">
        <f t="shared" si="216"/>
        <v>0</v>
      </c>
      <c r="BG98" s="525">
        <f t="shared" si="217"/>
        <v>0</v>
      </c>
      <c r="BH98" s="525">
        <f t="shared" si="218"/>
        <v>0</v>
      </c>
      <c r="BI98" s="526">
        <f t="shared" si="219"/>
        <v>0</v>
      </c>
      <c r="BJ98" s="537">
        <f t="shared" si="220"/>
        <v>0</v>
      </c>
      <c r="BK98" s="538">
        <f t="shared" si="221"/>
        <v>0</v>
      </c>
      <c r="BL98" s="538">
        <f t="shared" si="222"/>
        <v>0</v>
      </c>
      <c r="BM98" s="538">
        <f t="shared" si="223"/>
        <v>0</v>
      </c>
      <c r="BN98" s="538">
        <f t="shared" si="224"/>
        <v>0</v>
      </c>
      <c r="BO98" s="538">
        <f t="shared" si="225"/>
        <v>0</v>
      </c>
      <c r="BP98" s="539">
        <f t="shared" si="226"/>
        <v>0</v>
      </c>
      <c r="BQ98" s="540">
        <f t="shared" si="227"/>
        <v>0</v>
      </c>
      <c r="BR98" s="529"/>
      <c r="BS98" s="502"/>
      <c r="BT98" s="530"/>
      <c r="BU98" s="498"/>
      <c r="BV98" s="499"/>
      <c r="BW98" s="499"/>
      <c r="BX98" s="499"/>
      <c r="BY98" s="531">
        <f t="shared" si="139"/>
        <v>0</v>
      </c>
      <c r="BZ98" s="532">
        <f t="shared" si="140"/>
        <v>0</v>
      </c>
      <c r="CA98" s="529"/>
      <c r="CB98" s="533"/>
      <c r="CC98" s="533"/>
      <c r="CD98" s="533"/>
      <c r="CE98" s="533">
        <f t="shared" si="141"/>
        <v>0</v>
      </c>
      <c r="CF98" s="534">
        <f t="shared" si="142"/>
        <v>0</v>
      </c>
      <c r="CG98" s="774">
        <f t="shared" si="228"/>
        <v>0</v>
      </c>
      <c r="CH98" s="775">
        <f t="shared" si="229"/>
        <v>0</v>
      </c>
      <c r="CI98" s="548">
        <f t="shared" si="230"/>
        <v>0</v>
      </c>
      <c r="CJ98" s="773">
        <f t="shared" si="231"/>
        <v>0</v>
      </c>
      <c r="CK98" s="773">
        <f t="shared" si="232"/>
        <v>0</v>
      </c>
      <c r="CL98" s="773">
        <f t="shared" si="233"/>
        <v>0</v>
      </c>
      <c r="CM98" s="773">
        <f t="shared" si="234"/>
        <v>0</v>
      </c>
      <c r="CN98" s="773">
        <f t="shared" si="235"/>
        <v>0</v>
      </c>
      <c r="CO98" s="626">
        <f t="shared" si="236"/>
        <v>0</v>
      </c>
      <c r="CP98" s="1145">
        <f t="shared" si="237"/>
        <v>0</v>
      </c>
      <c r="CQ98" s="1146">
        <f t="shared" si="238"/>
        <v>0</v>
      </c>
      <c r="CR98" s="1146">
        <f t="shared" si="239"/>
        <v>0</v>
      </c>
      <c r="CS98" s="1146">
        <f t="shared" si="240"/>
        <v>0</v>
      </c>
      <c r="CT98" s="1146">
        <f t="shared" si="241"/>
        <v>0</v>
      </c>
      <c r="CU98" s="1146">
        <f t="shared" si="242"/>
        <v>0</v>
      </c>
      <c r="CV98" s="1256">
        <f t="shared" si="243"/>
        <v>0</v>
      </c>
      <c r="CW98" s="1157">
        <f t="shared" si="244"/>
        <v>0</v>
      </c>
      <c r="CX98" s="529"/>
      <c r="CY98" s="502"/>
      <c r="CZ98" s="530"/>
      <c r="DA98" s="498"/>
      <c r="DB98" s="499"/>
      <c r="DC98" s="499"/>
      <c r="DD98" s="499"/>
      <c r="DE98" s="531">
        <f t="shared" si="143"/>
        <v>0</v>
      </c>
      <c r="DF98" s="532">
        <f t="shared" si="144"/>
        <v>0</v>
      </c>
      <c r="DG98" s="529"/>
      <c r="DH98" s="533"/>
      <c r="DI98" s="533"/>
      <c r="DJ98" s="533"/>
      <c r="DK98" s="533">
        <f t="shared" si="145"/>
        <v>0</v>
      </c>
      <c r="DL98" s="534">
        <f t="shared" si="146"/>
        <v>0</v>
      </c>
      <c r="DM98" s="1258">
        <f t="shared" si="147"/>
        <v>0</v>
      </c>
      <c r="DN98" s="775">
        <f t="shared" si="148"/>
        <v>0</v>
      </c>
      <c r="DO98" s="548">
        <f t="shared" si="149"/>
        <v>0</v>
      </c>
      <c r="DP98" s="773">
        <f t="shared" si="150"/>
        <v>0</v>
      </c>
      <c r="DQ98" s="773">
        <f t="shared" si="151"/>
        <v>0</v>
      </c>
      <c r="DR98" s="773">
        <f t="shared" si="152"/>
        <v>0</v>
      </c>
      <c r="DS98" s="773">
        <f t="shared" si="153"/>
        <v>0</v>
      </c>
      <c r="DT98" s="773">
        <f t="shared" si="154"/>
        <v>0</v>
      </c>
      <c r="DU98" s="526">
        <f t="shared" si="245"/>
        <v>0</v>
      </c>
      <c r="DV98" s="1145">
        <f t="shared" si="155"/>
        <v>0</v>
      </c>
      <c r="DW98" s="1146">
        <f t="shared" si="156"/>
        <v>0</v>
      </c>
      <c r="DX98" s="1146">
        <f t="shared" si="157"/>
        <v>0</v>
      </c>
      <c r="DY98" s="1146">
        <f t="shared" si="158"/>
        <v>0</v>
      </c>
      <c r="DZ98" s="1146">
        <f t="shared" si="159"/>
        <v>0</v>
      </c>
      <c r="EA98" s="1146">
        <f t="shared" si="160"/>
        <v>0</v>
      </c>
      <c r="EB98" s="539">
        <f t="shared" si="246"/>
        <v>0</v>
      </c>
      <c r="EC98" s="540">
        <f t="shared" si="247"/>
        <v>0</v>
      </c>
      <c r="ES98" s="1258">
        <f t="shared" si="161"/>
        <v>0</v>
      </c>
      <c r="ET98" s="775">
        <f t="shared" si="162"/>
        <v>0</v>
      </c>
      <c r="EU98" s="548">
        <f t="shared" si="163"/>
        <v>0</v>
      </c>
      <c r="EV98" s="773">
        <f t="shared" si="164"/>
        <v>0</v>
      </c>
      <c r="EW98" s="773">
        <f t="shared" si="165"/>
        <v>0</v>
      </c>
      <c r="EX98" s="773">
        <f t="shared" si="166"/>
        <v>0</v>
      </c>
      <c r="EY98" s="773">
        <f t="shared" si="167"/>
        <v>0</v>
      </c>
      <c r="EZ98" s="773">
        <f t="shared" si="168"/>
        <v>0</v>
      </c>
      <c r="FA98" s="626">
        <f t="shared" si="248"/>
        <v>0</v>
      </c>
      <c r="FB98" s="1145">
        <f t="shared" si="169"/>
        <v>0</v>
      </c>
      <c r="FC98" s="1146">
        <f t="shared" si="170"/>
        <v>0</v>
      </c>
      <c r="FD98" s="1146">
        <f t="shared" si="171"/>
        <v>0</v>
      </c>
      <c r="FE98" s="1146">
        <f t="shared" si="172"/>
        <v>0</v>
      </c>
      <c r="FF98" s="1146">
        <f t="shared" si="173"/>
        <v>0</v>
      </c>
      <c r="FG98" s="1146">
        <f t="shared" si="174"/>
        <v>0</v>
      </c>
      <c r="FH98" s="1256">
        <f t="shared" si="249"/>
        <v>0</v>
      </c>
      <c r="FI98" s="1157">
        <f t="shared" si="250"/>
        <v>0</v>
      </c>
      <c r="FY98" s="1258">
        <f t="shared" si="175"/>
        <v>0</v>
      </c>
      <c r="FZ98" s="775">
        <f t="shared" si="176"/>
        <v>0</v>
      </c>
      <c r="GA98" s="548">
        <f t="shared" si="177"/>
        <v>0</v>
      </c>
      <c r="GB98" s="773">
        <f t="shared" si="178"/>
        <v>0</v>
      </c>
      <c r="GC98" s="773">
        <f t="shared" si="179"/>
        <v>0</v>
      </c>
      <c r="GD98" s="773">
        <f t="shared" si="180"/>
        <v>0</v>
      </c>
      <c r="GE98" s="773">
        <f t="shared" si="181"/>
        <v>0</v>
      </c>
      <c r="GF98" s="773">
        <f t="shared" si="182"/>
        <v>0</v>
      </c>
      <c r="GG98" s="626">
        <f t="shared" si="251"/>
        <v>0</v>
      </c>
      <c r="GH98" s="1145">
        <f t="shared" si="183"/>
        <v>0</v>
      </c>
      <c r="GI98" s="1146">
        <f t="shared" si="184"/>
        <v>0</v>
      </c>
      <c r="GJ98" s="1146">
        <f t="shared" si="185"/>
        <v>0</v>
      </c>
      <c r="GK98" s="1146">
        <f t="shared" si="186"/>
        <v>0</v>
      </c>
      <c r="GL98" s="1146">
        <f t="shared" si="187"/>
        <v>0</v>
      </c>
      <c r="GM98" s="1146">
        <f t="shared" si="188"/>
        <v>0</v>
      </c>
      <c r="GN98" s="1256">
        <f t="shared" si="252"/>
        <v>0</v>
      </c>
      <c r="GO98" s="1157">
        <f t="shared" si="253"/>
        <v>0</v>
      </c>
      <c r="HE98" s="1675">
        <f t="shared" si="189"/>
        <v>0</v>
      </c>
      <c r="HF98" s="775">
        <f t="shared" si="190"/>
        <v>0</v>
      </c>
      <c r="HG98" s="548">
        <f t="shared" si="191"/>
        <v>0</v>
      </c>
      <c r="HH98" s="773">
        <f t="shared" si="192"/>
        <v>0</v>
      </c>
      <c r="HI98" s="773">
        <f t="shared" si="193"/>
        <v>0</v>
      </c>
      <c r="HJ98" s="773">
        <f t="shared" si="194"/>
        <v>0</v>
      </c>
      <c r="HK98" s="773">
        <f t="shared" si="195"/>
        <v>0</v>
      </c>
      <c r="HL98" s="773">
        <f t="shared" si="196"/>
        <v>0</v>
      </c>
      <c r="HM98" s="626">
        <f t="shared" si="254"/>
        <v>0</v>
      </c>
      <c r="HN98" s="1145">
        <f t="shared" si="197"/>
        <v>0</v>
      </c>
      <c r="HO98" s="1146">
        <f t="shared" si="198"/>
        <v>0</v>
      </c>
      <c r="HP98" s="1146">
        <f t="shared" si="199"/>
        <v>0</v>
      </c>
      <c r="HQ98" s="1146">
        <f t="shared" si="200"/>
        <v>0</v>
      </c>
      <c r="HR98" s="1146">
        <f t="shared" si="201"/>
        <v>0</v>
      </c>
      <c r="HS98" s="1146">
        <f t="shared" si="202"/>
        <v>0</v>
      </c>
      <c r="HT98" s="1256">
        <f t="shared" si="255"/>
        <v>0</v>
      </c>
      <c r="HU98" s="1157">
        <f t="shared" si="256"/>
        <v>0</v>
      </c>
    </row>
    <row r="99" spans="1:229" ht="13.5" customHeight="1" outlineLevel="1" x14ac:dyDescent="0.2">
      <c r="A99" s="474"/>
      <c r="B99" s="1412"/>
      <c r="C99" s="511">
        <v>90</v>
      </c>
      <c r="D99" s="560" t="s">
        <v>116</v>
      </c>
      <c r="E99" s="1721">
        <v>46</v>
      </c>
      <c r="F99" s="558">
        <v>3812.01</v>
      </c>
      <c r="G99" s="543">
        <f t="shared" si="132"/>
        <v>82.869782608695658</v>
      </c>
      <c r="H99" s="559">
        <v>22</v>
      </c>
      <c r="I99" s="558">
        <v>275.66000000000003</v>
      </c>
      <c r="J99" s="542">
        <f t="shared" si="257"/>
        <v>12.530000000000001</v>
      </c>
      <c r="K99" s="559">
        <v>0</v>
      </c>
      <c r="L99" s="558">
        <v>0</v>
      </c>
      <c r="M99" s="542">
        <v>0</v>
      </c>
      <c r="N99" s="545">
        <f t="shared" si="133"/>
        <v>4087.67</v>
      </c>
      <c r="O99" s="518">
        <v>0</v>
      </c>
      <c r="P99" s="542">
        <v>19035868</v>
      </c>
      <c r="Q99" s="576">
        <v>6223939.9800000004</v>
      </c>
      <c r="R99" s="519">
        <f t="shared" si="134"/>
        <v>25259807.98</v>
      </c>
      <c r="S99" s="546">
        <f t="shared" si="203"/>
        <v>25259807.98</v>
      </c>
      <c r="T99" s="521">
        <v>6368645.0599999996</v>
      </c>
      <c r="U99" s="547">
        <v>0</v>
      </c>
      <c r="V99" s="547">
        <v>0</v>
      </c>
      <c r="W99" s="548">
        <v>0</v>
      </c>
      <c r="X99" s="549">
        <v>0</v>
      </c>
      <c r="Y99" s="549">
        <v>0</v>
      </c>
      <c r="Z99" s="549">
        <v>0</v>
      </c>
      <c r="AA99" s="525">
        <f t="shared" si="204"/>
        <v>0</v>
      </c>
      <c r="AB99" s="524">
        <f t="shared" si="205"/>
        <v>0</v>
      </c>
      <c r="AC99" s="526">
        <f t="shared" si="206"/>
        <v>0</v>
      </c>
      <c r="AD99" s="547">
        <v>0</v>
      </c>
      <c r="AE99" s="547">
        <v>0</v>
      </c>
      <c r="AF99" s="547">
        <v>0</v>
      </c>
      <c r="AG99" s="547">
        <v>0</v>
      </c>
      <c r="AH99" s="363">
        <f t="shared" si="207"/>
        <v>0</v>
      </c>
      <c r="AI99" s="547">
        <f t="shared" si="208"/>
        <v>0</v>
      </c>
      <c r="AJ99" s="550">
        <f t="shared" si="209"/>
        <v>0</v>
      </c>
      <c r="AK99" s="551">
        <f t="shared" si="210"/>
        <v>0</v>
      </c>
      <c r="AL99" s="529"/>
      <c r="AM99" s="502"/>
      <c r="AN99" s="530"/>
      <c r="AO99" s="498"/>
      <c r="AP99" s="499"/>
      <c r="AQ99" s="499"/>
      <c r="AR99" s="499"/>
      <c r="AS99" s="531">
        <f t="shared" si="135"/>
        <v>0</v>
      </c>
      <c r="AT99" s="532">
        <f t="shared" si="136"/>
        <v>0</v>
      </c>
      <c r="AU99" s="529">
        <v>0</v>
      </c>
      <c r="AV99" s="533">
        <v>0</v>
      </c>
      <c r="AW99" s="533">
        <v>0</v>
      </c>
      <c r="AX99" s="533">
        <v>0</v>
      </c>
      <c r="AY99" s="533">
        <f t="shared" si="137"/>
        <v>0</v>
      </c>
      <c r="AZ99" s="534">
        <f t="shared" si="138"/>
        <v>0</v>
      </c>
      <c r="BA99" s="535">
        <f t="shared" si="211"/>
        <v>0</v>
      </c>
      <c r="BB99" s="536">
        <f t="shared" si="212"/>
        <v>0</v>
      </c>
      <c r="BC99" s="523">
        <f t="shared" si="213"/>
        <v>0</v>
      </c>
      <c r="BD99" s="525">
        <f t="shared" si="214"/>
        <v>0</v>
      </c>
      <c r="BE99" s="525">
        <f t="shared" si="215"/>
        <v>0</v>
      </c>
      <c r="BF99" s="525">
        <f t="shared" si="216"/>
        <v>0</v>
      </c>
      <c r="BG99" s="525">
        <f t="shared" si="217"/>
        <v>0</v>
      </c>
      <c r="BH99" s="525">
        <f t="shared" si="218"/>
        <v>0</v>
      </c>
      <c r="BI99" s="526">
        <f t="shared" si="219"/>
        <v>0</v>
      </c>
      <c r="BJ99" s="537">
        <f t="shared" si="220"/>
        <v>0</v>
      </c>
      <c r="BK99" s="538">
        <f t="shared" si="221"/>
        <v>0</v>
      </c>
      <c r="BL99" s="538">
        <f t="shared" si="222"/>
        <v>0</v>
      </c>
      <c r="BM99" s="538">
        <f t="shared" si="223"/>
        <v>0</v>
      </c>
      <c r="BN99" s="538">
        <f t="shared" si="224"/>
        <v>0</v>
      </c>
      <c r="BO99" s="538">
        <f t="shared" si="225"/>
        <v>0</v>
      </c>
      <c r="BP99" s="539">
        <f t="shared" si="226"/>
        <v>0</v>
      </c>
      <c r="BQ99" s="540">
        <f t="shared" si="227"/>
        <v>0</v>
      </c>
      <c r="BR99" s="529"/>
      <c r="BS99" s="502"/>
      <c r="BT99" s="530"/>
      <c r="BU99" s="498"/>
      <c r="BV99" s="499"/>
      <c r="BW99" s="499"/>
      <c r="BX99" s="499"/>
      <c r="BY99" s="531">
        <f t="shared" si="139"/>
        <v>0</v>
      </c>
      <c r="BZ99" s="532">
        <f t="shared" si="140"/>
        <v>0</v>
      </c>
      <c r="CA99" s="529"/>
      <c r="CB99" s="533"/>
      <c r="CC99" s="533"/>
      <c r="CD99" s="533"/>
      <c r="CE99" s="533">
        <f t="shared" si="141"/>
        <v>0</v>
      </c>
      <c r="CF99" s="534">
        <f t="shared" si="142"/>
        <v>0</v>
      </c>
      <c r="CG99" s="774">
        <f t="shared" si="228"/>
        <v>0</v>
      </c>
      <c r="CH99" s="775">
        <f t="shared" si="229"/>
        <v>0</v>
      </c>
      <c r="CI99" s="548">
        <f t="shared" si="230"/>
        <v>0</v>
      </c>
      <c r="CJ99" s="773">
        <f t="shared" si="231"/>
        <v>0</v>
      </c>
      <c r="CK99" s="773">
        <f t="shared" si="232"/>
        <v>0</v>
      </c>
      <c r="CL99" s="773">
        <f t="shared" si="233"/>
        <v>0</v>
      </c>
      <c r="CM99" s="773">
        <f t="shared" si="234"/>
        <v>0</v>
      </c>
      <c r="CN99" s="773">
        <f t="shared" si="235"/>
        <v>0</v>
      </c>
      <c r="CO99" s="626">
        <f t="shared" si="236"/>
        <v>0</v>
      </c>
      <c r="CP99" s="1145">
        <f t="shared" si="237"/>
        <v>0</v>
      </c>
      <c r="CQ99" s="1146">
        <f t="shared" si="238"/>
        <v>0</v>
      </c>
      <c r="CR99" s="1146">
        <f t="shared" si="239"/>
        <v>0</v>
      </c>
      <c r="CS99" s="1146">
        <f t="shared" si="240"/>
        <v>0</v>
      </c>
      <c r="CT99" s="1146">
        <f t="shared" si="241"/>
        <v>0</v>
      </c>
      <c r="CU99" s="1146">
        <f t="shared" si="242"/>
        <v>0</v>
      </c>
      <c r="CV99" s="1256">
        <f t="shared" si="243"/>
        <v>0</v>
      </c>
      <c r="CW99" s="1157">
        <f t="shared" si="244"/>
        <v>0</v>
      </c>
      <c r="CX99" s="529"/>
      <c r="CY99" s="502"/>
      <c r="CZ99" s="530"/>
      <c r="DA99" s="498"/>
      <c r="DB99" s="499"/>
      <c r="DC99" s="499"/>
      <c r="DD99" s="499"/>
      <c r="DE99" s="531">
        <f t="shared" si="143"/>
        <v>0</v>
      </c>
      <c r="DF99" s="532">
        <f t="shared" si="144"/>
        <v>0</v>
      </c>
      <c r="DG99" s="529"/>
      <c r="DH99" s="533"/>
      <c r="DI99" s="533"/>
      <c r="DJ99" s="533"/>
      <c r="DK99" s="533">
        <f t="shared" si="145"/>
        <v>0</v>
      </c>
      <c r="DL99" s="534">
        <f t="shared" si="146"/>
        <v>0</v>
      </c>
      <c r="DM99" s="1258">
        <f t="shared" si="147"/>
        <v>0</v>
      </c>
      <c r="DN99" s="775">
        <f t="shared" si="148"/>
        <v>0</v>
      </c>
      <c r="DO99" s="548">
        <f t="shared" si="149"/>
        <v>0</v>
      </c>
      <c r="DP99" s="773">
        <f t="shared" si="150"/>
        <v>0</v>
      </c>
      <c r="DQ99" s="773">
        <f t="shared" si="151"/>
        <v>0</v>
      </c>
      <c r="DR99" s="773">
        <f t="shared" si="152"/>
        <v>0</v>
      </c>
      <c r="DS99" s="773">
        <f t="shared" si="153"/>
        <v>0</v>
      </c>
      <c r="DT99" s="773">
        <f t="shared" si="154"/>
        <v>0</v>
      </c>
      <c r="DU99" s="526">
        <f t="shared" si="245"/>
        <v>0</v>
      </c>
      <c r="DV99" s="1145">
        <f t="shared" si="155"/>
        <v>0</v>
      </c>
      <c r="DW99" s="1146">
        <f t="shared" si="156"/>
        <v>0</v>
      </c>
      <c r="DX99" s="1146">
        <f t="shared" si="157"/>
        <v>0</v>
      </c>
      <c r="DY99" s="1146">
        <f t="shared" si="158"/>
        <v>0</v>
      </c>
      <c r="DZ99" s="1146">
        <f t="shared" si="159"/>
        <v>0</v>
      </c>
      <c r="EA99" s="1146">
        <f t="shared" si="160"/>
        <v>0</v>
      </c>
      <c r="EB99" s="539">
        <f t="shared" si="246"/>
        <v>0</v>
      </c>
      <c r="EC99" s="540">
        <f t="shared" si="247"/>
        <v>0</v>
      </c>
      <c r="ES99" s="1258">
        <f t="shared" si="161"/>
        <v>0</v>
      </c>
      <c r="ET99" s="775">
        <f t="shared" si="162"/>
        <v>0</v>
      </c>
      <c r="EU99" s="548">
        <f t="shared" si="163"/>
        <v>0</v>
      </c>
      <c r="EV99" s="773">
        <f t="shared" si="164"/>
        <v>0</v>
      </c>
      <c r="EW99" s="773">
        <f t="shared" si="165"/>
        <v>0</v>
      </c>
      <c r="EX99" s="773">
        <f t="shared" si="166"/>
        <v>0</v>
      </c>
      <c r="EY99" s="773">
        <f t="shared" si="167"/>
        <v>0</v>
      </c>
      <c r="EZ99" s="773">
        <f t="shared" si="168"/>
        <v>0</v>
      </c>
      <c r="FA99" s="626">
        <f t="shared" si="248"/>
        <v>0</v>
      </c>
      <c r="FB99" s="1145">
        <f t="shared" si="169"/>
        <v>0</v>
      </c>
      <c r="FC99" s="1146">
        <f t="shared" si="170"/>
        <v>0</v>
      </c>
      <c r="FD99" s="1146">
        <f t="shared" si="171"/>
        <v>0</v>
      </c>
      <c r="FE99" s="1146">
        <f t="shared" si="172"/>
        <v>0</v>
      </c>
      <c r="FF99" s="1146">
        <f t="shared" si="173"/>
        <v>0</v>
      </c>
      <c r="FG99" s="1146">
        <f t="shared" si="174"/>
        <v>0</v>
      </c>
      <c r="FH99" s="1256">
        <f t="shared" si="249"/>
        <v>0</v>
      </c>
      <c r="FI99" s="1157">
        <f t="shared" si="250"/>
        <v>0</v>
      </c>
      <c r="FY99" s="1258">
        <f t="shared" si="175"/>
        <v>0</v>
      </c>
      <c r="FZ99" s="775">
        <f t="shared" si="176"/>
        <v>0</v>
      </c>
      <c r="GA99" s="548">
        <f t="shared" si="177"/>
        <v>0</v>
      </c>
      <c r="GB99" s="773">
        <f t="shared" si="178"/>
        <v>0</v>
      </c>
      <c r="GC99" s="773">
        <f t="shared" si="179"/>
        <v>0</v>
      </c>
      <c r="GD99" s="773">
        <f t="shared" si="180"/>
        <v>0</v>
      </c>
      <c r="GE99" s="773">
        <f t="shared" si="181"/>
        <v>0</v>
      </c>
      <c r="GF99" s="773">
        <f t="shared" si="182"/>
        <v>0</v>
      </c>
      <c r="GG99" s="626">
        <f t="shared" si="251"/>
        <v>0</v>
      </c>
      <c r="GH99" s="1145">
        <f t="shared" si="183"/>
        <v>0</v>
      </c>
      <c r="GI99" s="1146">
        <f t="shared" si="184"/>
        <v>0</v>
      </c>
      <c r="GJ99" s="1146">
        <f t="shared" si="185"/>
        <v>0</v>
      </c>
      <c r="GK99" s="1146">
        <f t="shared" si="186"/>
        <v>0</v>
      </c>
      <c r="GL99" s="1146">
        <f t="shared" si="187"/>
        <v>0</v>
      </c>
      <c r="GM99" s="1146">
        <f t="shared" si="188"/>
        <v>0</v>
      </c>
      <c r="GN99" s="1256">
        <f t="shared" si="252"/>
        <v>0</v>
      </c>
      <c r="GO99" s="1157">
        <f t="shared" si="253"/>
        <v>0</v>
      </c>
      <c r="HE99" s="1675">
        <f t="shared" si="189"/>
        <v>0</v>
      </c>
      <c r="HF99" s="775">
        <f t="shared" si="190"/>
        <v>0</v>
      </c>
      <c r="HG99" s="548">
        <f t="shared" si="191"/>
        <v>0</v>
      </c>
      <c r="HH99" s="773">
        <f t="shared" si="192"/>
        <v>0</v>
      </c>
      <c r="HI99" s="773">
        <f t="shared" si="193"/>
        <v>0</v>
      </c>
      <c r="HJ99" s="773">
        <f t="shared" si="194"/>
        <v>0</v>
      </c>
      <c r="HK99" s="773">
        <f t="shared" si="195"/>
        <v>0</v>
      </c>
      <c r="HL99" s="773">
        <f t="shared" si="196"/>
        <v>0</v>
      </c>
      <c r="HM99" s="626">
        <f t="shared" si="254"/>
        <v>0</v>
      </c>
      <c r="HN99" s="1145">
        <f t="shared" si="197"/>
        <v>0</v>
      </c>
      <c r="HO99" s="1146">
        <f t="shared" si="198"/>
        <v>0</v>
      </c>
      <c r="HP99" s="1146">
        <f t="shared" si="199"/>
        <v>0</v>
      </c>
      <c r="HQ99" s="1146">
        <f t="shared" si="200"/>
        <v>0</v>
      </c>
      <c r="HR99" s="1146">
        <f t="shared" si="201"/>
        <v>0</v>
      </c>
      <c r="HS99" s="1146">
        <f t="shared" si="202"/>
        <v>0</v>
      </c>
      <c r="HT99" s="1256">
        <f t="shared" si="255"/>
        <v>0</v>
      </c>
      <c r="HU99" s="1157">
        <f t="shared" si="256"/>
        <v>0</v>
      </c>
    </row>
    <row r="100" spans="1:229" ht="13.5" customHeight="1" outlineLevel="1" x14ac:dyDescent="0.2">
      <c r="A100" s="474"/>
      <c r="B100" s="1412"/>
      <c r="C100" s="511">
        <v>91</v>
      </c>
      <c r="D100" s="560" t="s">
        <v>117</v>
      </c>
      <c r="E100" s="1721">
        <v>46</v>
      </c>
      <c r="F100" s="558">
        <v>3904.79</v>
      </c>
      <c r="G100" s="543">
        <f t="shared" si="132"/>
        <v>84.886739130434776</v>
      </c>
      <c r="H100" s="559">
        <v>14</v>
      </c>
      <c r="I100" s="558">
        <v>219.58</v>
      </c>
      <c r="J100" s="542">
        <f t="shared" si="257"/>
        <v>15.684285714285716</v>
      </c>
      <c r="K100" s="559">
        <v>0</v>
      </c>
      <c r="L100" s="558">
        <v>0</v>
      </c>
      <c r="M100" s="542">
        <v>0</v>
      </c>
      <c r="N100" s="545">
        <f t="shared" si="133"/>
        <v>4124.37</v>
      </c>
      <c r="O100" s="518">
        <v>0</v>
      </c>
      <c r="P100" s="542">
        <v>19992981.309999999</v>
      </c>
      <c r="Q100" s="576">
        <v>6304302.9400000004</v>
      </c>
      <c r="R100" s="519">
        <f t="shared" si="134"/>
        <v>26297284.25</v>
      </c>
      <c r="S100" s="546">
        <f t="shared" si="203"/>
        <v>26297284.25</v>
      </c>
      <c r="T100" s="521">
        <v>6491346.4800000004</v>
      </c>
      <c r="U100" s="547">
        <v>0</v>
      </c>
      <c r="V100" s="547">
        <v>0</v>
      </c>
      <c r="W100" s="548">
        <v>0</v>
      </c>
      <c r="X100" s="549">
        <v>0</v>
      </c>
      <c r="Y100" s="549">
        <v>0</v>
      </c>
      <c r="Z100" s="549">
        <v>0</v>
      </c>
      <c r="AA100" s="525">
        <f t="shared" si="204"/>
        <v>0</v>
      </c>
      <c r="AB100" s="524">
        <f t="shared" si="205"/>
        <v>0</v>
      </c>
      <c r="AC100" s="526">
        <f t="shared" si="206"/>
        <v>0</v>
      </c>
      <c r="AD100" s="547">
        <v>0</v>
      </c>
      <c r="AE100" s="547">
        <v>0</v>
      </c>
      <c r="AF100" s="547">
        <v>0</v>
      </c>
      <c r="AG100" s="547">
        <v>0</v>
      </c>
      <c r="AH100" s="363">
        <f t="shared" si="207"/>
        <v>0</v>
      </c>
      <c r="AI100" s="547">
        <f t="shared" si="208"/>
        <v>0</v>
      </c>
      <c r="AJ100" s="550">
        <f t="shared" si="209"/>
        <v>0</v>
      </c>
      <c r="AK100" s="551">
        <f t="shared" si="210"/>
        <v>0</v>
      </c>
      <c r="AL100" s="529"/>
      <c r="AM100" s="502"/>
      <c r="AN100" s="530"/>
      <c r="AO100" s="498"/>
      <c r="AP100" s="499"/>
      <c r="AQ100" s="499"/>
      <c r="AR100" s="499"/>
      <c r="AS100" s="531">
        <f t="shared" si="135"/>
        <v>0</v>
      </c>
      <c r="AT100" s="532">
        <f t="shared" si="136"/>
        <v>0</v>
      </c>
      <c r="AU100" s="529">
        <v>0</v>
      </c>
      <c r="AV100" s="533">
        <v>0</v>
      </c>
      <c r="AW100" s="533">
        <v>0</v>
      </c>
      <c r="AX100" s="533">
        <v>0</v>
      </c>
      <c r="AY100" s="533">
        <f t="shared" si="137"/>
        <v>0</v>
      </c>
      <c r="AZ100" s="534">
        <f t="shared" si="138"/>
        <v>0</v>
      </c>
      <c r="BA100" s="535">
        <f t="shared" si="211"/>
        <v>0</v>
      </c>
      <c r="BB100" s="536">
        <f t="shared" si="212"/>
        <v>0</v>
      </c>
      <c r="BC100" s="523">
        <f t="shared" si="213"/>
        <v>0</v>
      </c>
      <c r="BD100" s="525">
        <f t="shared" si="214"/>
        <v>0</v>
      </c>
      <c r="BE100" s="525">
        <f t="shared" si="215"/>
        <v>0</v>
      </c>
      <c r="BF100" s="525">
        <f t="shared" si="216"/>
        <v>0</v>
      </c>
      <c r="BG100" s="525">
        <f t="shared" si="217"/>
        <v>0</v>
      </c>
      <c r="BH100" s="525">
        <f t="shared" si="218"/>
        <v>0</v>
      </c>
      <c r="BI100" s="526">
        <f t="shared" si="219"/>
        <v>0</v>
      </c>
      <c r="BJ100" s="537">
        <f t="shared" si="220"/>
        <v>0</v>
      </c>
      <c r="BK100" s="538">
        <f t="shared" si="221"/>
        <v>0</v>
      </c>
      <c r="BL100" s="538">
        <f t="shared" si="222"/>
        <v>0</v>
      </c>
      <c r="BM100" s="538">
        <f t="shared" si="223"/>
        <v>0</v>
      </c>
      <c r="BN100" s="538">
        <f t="shared" si="224"/>
        <v>0</v>
      </c>
      <c r="BO100" s="538">
        <f t="shared" si="225"/>
        <v>0</v>
      </c>
      <c r="BP100" s="539">
        <f t="shared" si="226"/>
        <v>0</v>
      </c>
      <c r="BQ100" s="540">
        <f t="shared" si="227"/>
        <v>0</v>
      </c>
      <c r="BR100" s="529"/>
      <c r="BS100" s="502"/>
      <c r="BT100" s="530"/>
      <c r="BU100" s="498"/>
      <c r="BV100" s="499"/>
      <c r="BW100" s="499"/>
      <c r="BX100" s="499"/>
      <c r="BY100" s="531">
        <f t="shared" si="139"/>
        <v>0</v>
      </c>
      <c r="BZ100" s="532">
        <f t="shared" si="140"/>
        <v>0</v>
      </c>
      <c r="CA100" s="529"/>
      <c r="CB100" s="533"/>
      <c r="CC100" s="533"/>
      <c r="CD100" s="533"/>
      <c r="CE100" s="533">
        <f t="shared" si="141"/>
        <v>0</v>
      </c>
      <c r="CF100" s="534">
        <f t="shared" si="142"/>
        <v>0</v>
      </c>
      <c r="CG100" s="774">
        <f t="shared" si="228"/>
        <v>0</v>
      </c>
      <c r="CH100" s="775">
        <f t="shared" si="229"/>
        <v>0</v>
      </c>
      <c r="CI100" s="548">
        <f t="shared" si="230"/>
        <v>0</v>
      </c>
      <c r="CJ100" s="773">
        <f t="shared" si="231"/>
        <v>0</v>
      </c>
      <c r="CK100" s="773">
        <f t="shared" si="232"/>
        <v>0</v>
      </c>
      <c r="CL100" s="773">
        <f t="shared" si="233"/>
        <v>0</v>
      </c>
      <c r="CM100" s="773">
        <f t="shared" si="234"/>
        <v>0</v>
      </c>
      <c r="CN100" s="773">
        <f t="shared" si="235"/>
        <v>0</v>
      </c>
      <c r="CO100" s="626">
        <f t="shared" si="236"/>
        <v>0</v>
      </c>
      <c r="CP100" s="1145">
        <f t="shared" si="237"/>
        <v>0</v>
      </c>
      <c r="CQ100" s="1146">
        <f t="shared" si="238"/>
        <v>0</v>
      </c>
      <c r="CR100" s="1146">
        <f t="shared" si="239"/>
        <v>0</v>
      </c>
      <c r="CS100" s="1146">
        <f t="shared" si="240"/>
        <v>0</v>
      </c>
      <c r="CT100" s="1146">
        <f t="shared" si="241"/>
        <v>0</v>
      </c>
      <c r="CU100" s="1146">
        <f t="shared" si="242"/>
        <v>0</v>
      </c>
      <c r="CV100" s="1256">
        <f t="shared" si="243"/>
        <v>0</v>
      </c>
      <c r="CW100" s="1157">
        <f t="shared" si="244"/>
        <v>0</v>
      </c>
      <c r="CX100" s="529"/>
      <c r="CY100" s="502"/>
      <c r="CZ100" s="530"/>
      <c r="DA100" s="498"/>
      <c r="DB100" s="499"/>
      <c r="DC100" s="499"/>
      <c r="DD100" s="499"/>
      <c r="DE100" s="531">
        <f t="shared" si="143"/>
        <v>0</v>
      </c>
      <c r="DF100" s="532">
        <f t="shared" si="144"/>
        <v>0</v>
      </c>
      <c r="DG100" s="529"/>
      <c r="DH100" s="533"/>
      <c r="DI100" s="533"/>
      <c r="DJ100" s="533"/>
      <c r="DK100" s="533">
        <f t="shared" si="145"/>
        <v>0</v>
      </c>
      <c r="DL100" s="534">
        <f t="shared" si="146"/>
        <v>0</v>
      </c>
      <c r="DM100" s="1258">
        <f t="shared" si="147"/>
        <v>0</v>
      </c>
      <c r="DN100" s="775">
        <f t="shared" si="148"/>
        <v>0</v>
      </c>
      <c r="DO100" s="548">
        <f t="shared" si="149"/>
        <v>0</v>
      </c>
      <c r="DP100" s="773">
        <f t="shared" si="150"/>
        <v>0</v>
      </c>
      <c r="DQ100" s="773">
        <f t="shared" si="151"/>
        <v>0</v>
      </c>
      <c r="DR100" s="773">
        <f t="shared" si="152"/>
        <v>0</v>
      </c>
      <c r="DS100" s="773">
        <f t="shared" si="153"/>
        <v>0</v>
      </c>
      <c r="DT100" s="773">
        <f t="shared" si="154"/>
        <v>0</v>
      </c>
      <c r="DU100" s="526">
        <f t="shared" si="245"/>
        <v>0</v>
      </c>
      <c r="DV100" s="1145">
        <f t="shared" si="155"/>
        <v>0</v>
      </c>
      <c r="DW100" s="1146">
        <f t="shared" si="156"/>
        <v>0</v>
      </c>
      <c r="DX100" s="1146">
        <f t="shared" si="157"/>
        <v>0</v>
      </c>
      <c r="DY100" s="1146">
        <f t="shared" si="158"/>
        <v>0</v>
      </c>
      <c r="DZ100" s="1146">
        <f t="shared" si="159"/>
        <v>0</v>
      </c>
      <c r="EA100" s="1146">
        <f t="shared" si="160"/>
        <v>0</v>
      </c>
      <c r="EB100" s="539">
        <f t="shared" si="246"/>
        <v>0</v>
      </c>
      <c r="EC100" s="540">
        <f t="shared" si="247"/>
        <v>0</v>
      </c>
      <c r="ES100" s="1258">
        <f t="shared" si="161"/>
        <v>0</v>
      </c>
      <c r="ET100" s="775">
        <f t="shared" si="162"/>
        <v>0</v>
      </c>
      <c r="EU100" s="548">
        <f t="shared" si="163"/>
        <v>0</v>
      </c>
      <c r="EV100" s="773">
        <f t="shared" si="164"/>
        <v>0</v>
      </c>
      <c r="EW100" s="773">
        <f t="shared" si="165"/>
        <v>0</v>
      </c>
      <c r="EX100" s="773">
        <f t="shared" si="166"/>
        <v>0</v>
      </c>
      <c r="EY100" s="773">
        <f t="shared" si="167"/>
        <v>0</v>
      </c>
      <c r="EZ100" s="773">
        <f t="shared" si="168"/>
        <v>0</v>
      </c>
      <c r="FA100" s="626">
        <f t="shared" si="248"/>
        <v>0</v>
      </c>
      <c r="FB100" s="1145">
        <f t="shared" si="169"/>
        <v>0</v>
      </c>
      <c r="FC100" s="1146">
        <f t="shared" si="170"/>
        <v>0</v>
      </c>
      <c r="FD100" s="1146">
        <f t="shared" si="171"/>
        <v>0</v>
      </c>
      <c r="FE100" s="1146">
        <f t="shared" si="172"/>
        <v>0</v>
      </c>
      <c r="FF100" s="1146">
        <f t="shared" si="173"/>
        <v>0</v>
      </c>
      <c r="FG100" s="1146">
        <f t="shared" si="174"/>
        <v>0</v>
      </c>
      <c r="FH100" s="1256">
        <f t="shared" si="249"/>
        <v>0</v>
      </c>
      <c r="FI100" s="1157">
        <f t="shared" si="250"/>
        <v>0</v>
      </c>
      <c r="FY100" s="1258">
        <f t="shared" si="175"/>
        <v>0</v>
      </c>
      <c r="FZ100" s="775">
        <f t="shared" si="176"/>
        <v>0</v>
      </c>
      <c r="GA100" s="548">
        <f t="shared" si="177"/>
        <v>0</v>
      </c>
      <c r="GB100" s="773">
        <f t="shared" si="178"/>
        <v>0</v>
      </c>
      <c r="GC100" s="773">
        <f t="shared" si="179"/>
        <v>0</v>
      </c>
      <c r="GD100" s="773">
        <f t="shared" si="180"/>
        <v>0</v>
      </c>
      <c r="GE100" s="773">
        <f t="shared" si="181"/>
        <v>0</v>
      </c>
      <c r="GF100" s="773">
        <f t="shared" si="182"/>
        <v>0</v>
      </c>
      <c r="GG100" s="626">
        <f t="shared" si="251"/>
        <v>0</v>
      </c>
      <c r="GH100" s="1145">
        <f t="shared" si="183"/>
        <v>0</v>
      </c>
      <c r="GI100" s="1146">
        <f t="shared" si="184"/>
        <v>0</v>
      </c>
      <c r="GJ100" s="1146">
        <f t="shared" si="185"/>
        <v>0</v>
      </c>
      <c r="GK100" s="1146">
        <f t="shared" si="186"/>
        <v>0</v>
      </c>
      <c r="GL100" s="1146">
        <f t="shared" si="187"/>
        <v>0</v>
      </c>
      <c r="GM100" s="1146">
        <f t="shared" si="188"/>
        <v>0</v>
      </c>
      <c r="GN100" s="1256">
        <f t="shared" si="252"/>
        <v>0</v>
      </c>
      <c r="GO100" s="1157">
        <f t="shared" si="253"/>
        <v>0</v>
      </c>
      <c r="HE100" s="1675">
        <f t="shared" si="189"/>
        <v>0</v>
      </c>
      <c r="HF100" s="775">
        <f t="shared" si="190"/>
        <v>0</v>
      </c>
      <c r="HG100" s="548">
        <f t="shared" si="191"/>
        <v>0</v>
      </c>
      <c r="HH100" s="773">
        <f t="shared" si="192"/>
        <v>0</v>
      </c>
      <c r="HI100" s="773">
        <f t="shared" si="193"/>
        <v>0</v>
      </c>
      <c r="HJ100" s="773">
        <f t="shared" si="194"/>
        <v>0</v>
      </c>
      <c r="HK100" s="773">
        <f t="shared" si="195"/>
        <v>0</v>
      </c>
      <c r="HL100" s="773">
        <f t="shared" si="196"/>
        <v>0</v>
      </c>
      <c r="HM100" s="626">
        <f t="shared" si="254"/>
        <v>0</v>
      </c>
      <c r="HN100" s="1145">
        <f t="shared" si="197"/>
        <v>0</v>
      </c>
      <c r="HO100" s="1146">
        <f t="shared" si="198"/>
        <v>0</v>
      </c>
      <c r="HP100" s="1146">
        <f t="shared" si="199"/>
        <v>0</v>
      </c>
      <c r="HQ100" s="1146">
        <f t="shared" si="200"/>
        <v>0</v>
      </c>
      <c r="HR100" s="1146">
        <f t="shared" si="201"/>
        <v>0</v>
      </c>
      <c r="HS100" s="1146">
        <f t="shared" si="202"/>
        <v>0</v>
      </c>
      <c r="HT100" s="1256">
        <f t="shared" si="255"/>
        <v>0</v>
      </c>
      <c r="HU100" s="1157">
        <f t="shared" si="256"/>
        <v>0</v>
      </c>
    </row>
    <row r="101" spans="1:229" ht="13.5" customHeight="1" outlineLevel="1" x14ac:dyDescent="0.2">
      <c r="A101" s="474"/>
      <c r="B101" s="1412"/>
      <c r="C101" s="511">
        <v>92</v>
      </c>
      <c r="D101" s="560" t="s">
        <v>118</v>
      </c>
      <c r="E101" s="1721">
        <v>40</v>
      </c>
      <c r="F101" s="558">
        <v>3037.14</v>
      </c>
      <c r="G101" s="543">
        <f t="shared" si="132"/>
        <v>75.9285</v>
      </c>
      <c r="H101" s="559">
        <f>28-15</f>
        <v>13</v>
      </c>
      <c r="I101" s="558">
        <f>280.42-147.63</f>
        <v>132.79000000000002</v>
      </c>
      <c r="J101" s="542">
        <f t="shared" si="257"/>
        <v>10.214615384615387</v>
      </c>
      <c r="K101" s="559">
        <v>6</v>
      </c>
      <c r="L101" s="558">
        <v>563.96</v>
      </c>
      <c r="M101" s="542">
        <f t="shared" ref="M101:M107" si="258">L101/K101</f>
        <v>93.993333333333339</v>
      </c>
      <c r="N101" s="545">
        <f t="shared" si="133"/>
        <v>3733.89</v>
      </c>
      <c r="O101" s="518">
        <v>0</v>
      </c>
      <c r="P101" s="542">
        <f>20644673.09+3929.66-neprodano!EC29</f>
        <v>19767241.942267198</v>
      </c>
      <c r="Q101" s="576">
        <f>4719715.56-neprodano!ED29</f>
        <v>4540202.2041599993</v>
      </c>
      <c r="R101" s="519">
        <f t="shared" si="134"/>
        <v>24307444.146427199</v>
      </c>
      <c r="S101" s="546">
        <f t="shared" si="203"/>
        <v>24307444.146427199</v>
      </c>
      <c r="T101" s="521">
        <v>3959514.0752661023</v>
      </c>
      <c r="U101" s="547">
        <v>0</v>
      </c>
      <c r="V101" s="547">
        <v>0</v>
      </c>
      <c r="W101" s="548">
        <v>0</v>
      </c>
      <c r="X101" s="549">
        <v>0</v>
      </c>
      <c r="Y101" s="549">
        <v>0</v>
      </c>
      <c r="Z101" s="549">
        <v>0</v>
      </c>
      <c r="AA101" s="525">
        <f t="shared" si="204"/>
        <v>0</v>
      </c>
      <c r="AB101" s="524">
        <f t="shared" si="205"/>
        <v>0</v>
      </c>
      <c r="AC101" s="526">
        <f t="shared" si="206"/>
        <v>0</v>
      </c>
      <c r="AD101" s="547">
        <v>0</v>
      </c>
      <c r="AE101" s="547">
        <v>0</v>
      </c>
      <c r="AF101" s="547">
        <v>0</v>
      </c>
      <c r="AG101" s="547">
        <v>0</v>
      </c>
      <c r="AH101" s="363">
        <f t="shared" si="207"/>
        <v>0</v>
      </c>
      <c r="AI101" s="547">
        <f t="shared" si="208"/>
        <v>0</v>
      </c>
      <c r="AJ101" s="550">
        <f t="shared" si="209"/>
        <v>0</v>
      </c>
      <c r="AK101" s="551">
        <f t="shared" si="210"/>
        <v>0</v>
      </c>
      <c r="AL101" s="529"/>
      <c r="AM101" s="502"/>
      <c r="AN101" s="530"/>
      <c r="AO101" s="498"/>
      <c r="AP101" s="499"/>
      <c r="AQ101" s="499"/>
      <c r="AR101" s="499"/>
      <c r="AS101" s="531">
        <f t="shared" si="135"/>
        <v>0</v>
      </c>
      <c r="AT101" s="532">
        <f t="shared" si="136"/>
        <v>0</v>
      </c>
      <c r="AU101" s="529">
        <v>0</v>
      </c>
      <c r="AV101" s="533">
        <v>0</v>
      </c>
      <c r="AW101" s="533">
        <v>0</v>
      </c>
      <c r="AX101" s="533">
        <v>0</v>
      </c>
      <c r="AY101" s="533">
        <f t="shared" si="137"/>
        <v>0</v>
      </c>
      <c r="AZ101" s="534">
        <f t="shared" si="138"/>
        <v>0</v>
      </c>
      <c r="BA101" s="535">
        <f t="shared" si="211"/>
        <v>0</v>
      </c>
      <c r="BB101" s="536">
        <f t="shared" si="212"/>
        <v>0</v>
      </c>
      <c r="BC101" s="523">
        <f t="shared" si="213"/>
        <v>0</v>
      </c>
      <c r="BD101" s="525">
        <f t="shared" si="214"/>
        <v>0</v>
      </c>
      <c r="BE101" s="525">
        <f t="shared" si="215"/>
        <v>0</v>
      </c>
      <c r="BF101" s="525">
        <f t="shared" si="216"/>
        <v>0</v>
      </c>
      <c r="BG101" s="525">
        <f t="shared" si="217"/>
        <v>0</v>
      </c>
      <c r="BH101" s="525">
        <f t="shared" si="218"/>
        <v>0</v>
      </c>
      <c r="BI101" s="526">
        <f t="shared" si="219"/>
        <v>0</v>
      </c>
      <c r="BJ101" s="537">
        <f t="shared" si="220"/>
        <v>0</v>
      </c>
      <c r="BK101" s="538">
        <f t="shared" si="221"/>
        <v>0</v>
      </c>
      <c r="BL101" s="538">
        <f t="shared" si="222"/>
        <v>0</v>
      </c>
      <c r="BM101" s="538">
        <f t="shared" si="223"/>
        <v>0</v>
      </c>
      <c r="BN101" s="538">
        <f t="shared" si="224"/>
        <v>0</v>
      </c>
      <c r="BO101" s="538">
        <f t="shared" si="225"/>
        <v>0</v>
      </c>
      <c r="BP101" s="539">
        <f t="shared" si="226"/>
        <v>0</v>
      </c>
      <c r="BQ101" s="540">
        <f t="shared" si="227"/>
        <v>0</v>
      </c>
      <c r="BR101" s="529"/>
      <c r="BS101" s="502"/>
      <c r="BT101" s="530"/>
      <c r="BU101" s="498"/>
      <c r="BV101" s="499"/>
      <c r="BW101" s="499"/>
      <c r="BX101" s="499"/>
      <c r="BY101" s="531">
        <f t="shared" si="139"/>
        <v>0</v>
      </c>
      <c r="BZ101" s="532">
        <f t="shared" si="140"/>
        <v>0</v>
      </c>
      <c r="CA101" s="529"/>
      <c r="CB101" s="533"/>
      <c r="CC101" s="533"/>
      <c r="CD101" s="533"/>
      <c r="CE101" s="533">
        <f t="shared" si="141"/>
        <v>0</v>
      </c>
      <c r="CF101" s="534">
        <f t="shared" si="142"/>
        <v>0</v>
      </c>
      <c r="CG101" s="774">
        <f t="shared" si="228"/>
        <v>0</v>
      </c>
      <c r="CH101" s="775">
        <f t="shared" si="229"/>
        <v>0</v>
      </c>
      <c r="CI101" s="548">
        <f t="shared" si="230"/>
        <v>0</v>
      </c>
      <c r="CJ101" s="773">
        <f t="shared" si="231"/>
        <v>0</v>
      </c>
      <c r="CK101" s="773">
        <f t="shared" si="232"/>
        <v>0</v>
      </c>
      <c r="CL101" s="773">
        <f t="shared" si="233"/>
        <v>0</v>
      </c>
      <c r="CM101" s="773">
        <f t="shared" si="234"/>
        <v>0</v>
      </c>
      <c r="CN101" s="773">
        <f t="shared" si="235"/>
        <v>0</v>
      </c>
      <c r="CO101" s="626">
        <f t="shared" si="236"/>
        <v>0</v>
      </c>
      <c r="CP101" s="1145">
        <f t="shared" si="237"/>
        <v>0</v>
      </c>
      <c r="CQ101" s="1146">
        <f t="shared" si="238"/>
        <v>0</v>
      </c>
      <c r="CR101" s="1146">
        <f t="shared" si="239"/>
        <v>0</v>
      </c>
      <c r="CS101" s="1146">
        <f t="shared" si="240"/>
        <v>0</v>
      </c>
      <c r="CT101" s="1146">
        <f t="shared" si="241"/>
        <v>0</v>
      </c>
      <c r="CU101" s="1146">
        <f t="shared" si="242"/>
        <v>0</v>
      </c>
      <c r="CV101" s="1256">
        <f t="shared" si="243"/>
        <v>0</v>
      </c>
      <c r="CW101" s="1157">
        <f t="shared" si="244"/>
        <v>0</v>
      </c>
      <c r="CX101" s="529"/>
      <c r="CY101" s="502"/>
      <c r="CZ101" s="530"/>
      <c r="DA101" s="498"/>
      <c r="DB101" s="499"/>
      <c r="DC101" s="499"/>
      <c r="DD101" s="499"/>
      <c r="DE101" s="531">
        <f t="shared" si="143"/>
        <v>0</v>
      </c>
      <c r="DF101" s="532">
        <f t="shared" si="144"/>
        <v>0</v>
      </c>
      <c r="DG101" s="529"/>
      <c r="DH101" s="533"/>
      <c r="DI101" s="533"/>
      <c r="DJ101" s="533"/>
      <c r="DK101" s="533">
        <f t="shared" si="145"/>
        <v>0</v>
      </c>
      <c r="DL101" s="534">
        <f t="shared" si="146"/>
        <v>0</v>
      </c>
      <c r="DM101" s="1258">
        <f t="shared" si="147"/>
        <v>0</v>
      </c>
      <c r="DN101" s="775">
        <f t="shared" si="148"/>
        <v>0</v>
      </c>
      <c r="DO101" s="548">
        <f t="shared" si="149"/>
        <v>0</v>
      </c>
      <c r="DP101" s="773">
        <f t="shared" si="150"/>
        <v>0</v>
      </c>
      <c r="DQ101" s="773">
        <f t="shared" si="151"/>
        <v>0</v>
      </c>
      <c r="DR101" s="773">
        <f t="shared" si="152"/>
        <v>0</v>
      </c>
      <c r="DS101" s="773">
        <f t="shared" si="153"/>
        <v>0</v>
      </c>
      <c r="DT101" s="773">
        <f t="shared" si="154"/>
        <v>0</v>
      </c>
      <c r="DU101" s="526">
        <f t="shared" si="245"/>
        <v>0</v>
      </c>
      <c r="DV101" s="1145">
        <f t="shared" si="155"/>
        <v>0</v>
      </c>
      <c r="DW101" s="1146">
        <f t="shared" si="156"/>
        <v>0</v>
      </c>
      <c r="DX101" s="1146">
        <f t="shared" si="157"/>
        <v>0</v>
      </c>
      <c r="DY101" s="1146">
        <f t="shared" si="158"/>
        <v>0</v>
      </c>
      <c r="DZ101" s="1146">
        <f t="shared" si="159"/>
        <v>0</v>
      </c>
      <c r="EA101" s="1146">
        <f t="shared" si="160"/>
        <v>0</v>
      </c>
      <c r="EB101" s="539">
        <f t="shared" si="246"/>
        <v>0</v>
      </c>
      <c r="EC101" s="540">
        <f t="shared" si="247"/>
        <v>0</v>
      </c>
      <c r="ES101" s="1258">
        <f t="shared" si="161"/>
        <v>0</v>
      </c>
      <c r="ET101" s="775">
        <f t="shared" si="162"/>
        <v>0</v>
      </c>
      <c r="EU101" s="548">
        <f t="shared" si="163"/>
        <v>0</v>
      </c>
      <c r="EV101" s="773">
        <f t="shared" si="164"/>
        <v>0</v>
      </c>
      <c r="EW101" s="773">
        <f t="shared" si="165"/>
        <v>0</v>
      </c>
      <c r="EX101" s="773">
        <f t="shared" si="166"/>
        <v>0</v>
      </c>
      <c r="EY101" s="773">
        <f t="shared" si="167"/>
        <v>0</v>
      </c>
      <c r="EZ101" s="773">
        <f t="shared" si="168"/>
        <v>0</v>
      </c>
      <c r="FA101" s="626">
        <f t="shared" si="248"/>
        <v>0</v>
      </c>
      <c r="FB101" s="1145">
        <f t="shared" si="169"/>
        <v>0</v>
      </c>
      <c r="FC101" s="1146">
        <f t="shared" si="170"/>
        <v>0</v>
      </c>
      <c r="FD101" s="1146">
        <f t="shared" si="171"/>
        <v>0</v>
      </c>
      <c r="FE101" s="1146">
        <f t="shared" si="172"/>
        <v>0</v>
      </c>
      <c r="FF101" s="1146">
        <f t="shared" si="173"/>
        <v>0</v>
      </c>
      <c r="FG101" s="1146">
        <f t="shared" si="174"/>
        <v>0</v>
      </c>
      <c r="FH101" s="1256">
        <f t="shared" si="249"/>
        <v>0</v>
      </c>
      <c r="FI101" s="1157">
        <f t="shared" si="250"/>
        <v>0</v>
      </c>
      <c r="FY101" s="1258">
        <f t="shared" si="175"/>
        <v>0</v>
      </c>
      <c r="FZ101" s="775">
        <f t="shared" si="176"/>
        <v>0</v>
      </c>
      <c r="GA101" s="548">
        <f t="shared" si="177"/>
        <v>0</v>
      </c>
      <c r="GB101" s="773">
        <f t="shared" si="178"/>
        <v>0</v>
      </c>
      <c r="GC101" s="773">
        <f t="shared" si="179"/>
        <v>0</v>
      </c>
      <c r="GD101" s="773">
        <f t="shared" si="180"/>
        <v>0</v>
      </c>
      <c r="GE101" s="773">
        <f t="shared" si="181"/>
        <v>0</v>
      </c>
      <c r="GF101" s="773">
        <f t="shared" si="182"/>
        <v>0</v>
      </c>
      <c r="GG101" s="626">
        <f t="shared" si="251"/>
        <v>0</v>
      </c>
      <c r="GH101" s="1145">
        <f t="shared" si="183"/>
        <v>0</v>
      </c>
      <c r="GI101" s="1146">
        <f t="shared" si="184"/>
        <v>0</v>
      </c>
      <c r="GJ101" s="1146">
        <f t="shared" si="185"/>
        <v>0</v>
      </c>
      <c r="GK101" s="1146">
        <f t="shared" si="186"/>
        <v>0</v>
      </c>
      <c r="GL101" s="1146">
        <f t="shared" si="187"/>
        <v>0</v>
      </c>
      <c r="GM101" s="1146">
        <f t="shared" si="188"/>
        <v>0</v>
      </c>
      <c r="GN101" s="1256">
        <f t="shared" si="252"/>
        <v>0</v>
      </c>
      <c r="GO101" s="1157">
        <f t="shared" si="253"/>
        <v>0</v>
      </c>
      <c r="HE101" s="1675">
        <f t="shared" si="189"/>
        <v>0</v>
      </c>
      <c r="HF101" s="775">
        <f t="shared" si="190"/>
        <v>0</v>
      </c>
      <c r="HG101" s="548">
        <f t="shared" si="191"/>
        <v>0</v>
      </c>
      <c r="HH101" s="773">
        <f t="shared" si="192"/>
        <v>0</v>
      </c>
      <c r="HI101" s="773">
        <f t="shared" si="193"/>
        <v>0</v>
      </c>
      <c r="HJ101" s="773">
        <f t="shared" si="194"/>
        <v>0</v>
      </c>
      <c r="HK101" s="773">
        <f t="shared" si="195"/>
        <v>0</v>
      </c>
      <c r="HL101" s="773">
        <f t="shared" si="196"/>
        <v>0</v>
      </c>
      <c r="HM101" s="626">
        <f t="shared" si="254"/>
        <v>0</v>
      </c>
      <c r="HN101" s="1145">
        <f t="shared" si="197"/>
        <v>0</v>
      </c>
      <c r="HO101" s="1146">
        <f t="shared" si="198"/>
        <v>0</v>
      </c>
      <c r="HP101" s="1146">
        <f t="shared" si="199"/>
        <v>0</v>
      </c>
      <c r="HQ101" s="1146">
        <f t="shared" si="200"/>
        <v>0</v>
      </c>
      <c r="HR101" s="1146">
        <f t="shared" si="201"/>
        <v>0</v>
      </c>
      <c r="HS101" s="1146">
        <f t="shared" si="202"/>
        <v>0</v>
      </c>
      <c r="HT101" s="1256">
        <f t="shared" si="255"/>
        <v>0</v>
      </c>
      <c r="HU101" s="1157">
        <f t="shared" si="256"/>
        <v>0</v>
      </c>
    </row>
    <row r="102" spans="1:229" ht="12.75" customHeight="1" outlineLevel="1" x14ac:dyDescent="0.2">
      <c r="A102" s="474"/>
      <c r="B102" s="1412"/>
      <c r="C102" s="511">
        <v>93</v>
      </c>
      <c r="D102" s="560" t="s">
        <v>119</v>
      </c>
      <c r="E102" s="1721">
        <v>34</v>
      </c>
      <c r="F102" s="558">
        <v>2514.1999999999998</v>
      </c>
      <c r="G102" s="543">
        <f t="shared" si="132"/>
        <v>73.947058823529403</v>
      </c>
      <c r="H102" s="559">
        <f>23-13</f>
        <v>10</v>
      </c>
      <c r="I102" s="558">
        <f>297.7-174.72</f>
        <v>122.97999999999999</v>
      </c>
      <c r="J102" s="542">
        <f t="shared" si="257"/>
        <v>12.297999999999998</v>
      </c>
      <c r="K102" s="559">
        <v>4</v>
      </c>
      <c r="L102" s="558">
        <v>223.4</v>
      </c>
      <c r="M102" s="542">
        <f t="shared" si="258"/>
        <v>55.85</v>
      </c>
      <c r="N102" s="545">
        <f t="shared" si="133"/>
        <v>2860.58</v>
      </c>
      <c r="O102" s="518">
        <v>0</v>
      </c>
      <c r="P102" s="542">
        <f>15716256.06+3405.7-neprodano!EC30</f>
        <v>14678052.870348809</v>
      </c>
      <c r="Q102" s="576">
        <f>4290144.89-neprodano!ED30</f>
        <v>4065317.6400799998</v>
      </c>
      <c r="R102" s="519">
        <f t="shared" si="134"/>
        <v>18743370.510428809</v>
      </c>
      <c r="S102" s="546">
        <f t="shared" si="203"/>
        <v>18743370.510428809</v>
      </c>
      <c r="T102" s="521">
        <v>3651533.0833433601</v>
      </c>
      <c r="U102" s="547">
        <v>0</v>
      </c>
      <c r="V102" s="547">
        <v>0</v>
      </c>
      <c r="W102" s="548">
        <v>0</v>
      </c>
      <c r="X102" s="549">
        <v>0</v>
      </c>
      <c r="Y102" s="549">
        <v>0</v>
      </c>
      <c r="Z102" s="549">
        <v>0</v>
      </c>
      <c r="AA102" s="525">
        <f t="shared" si="204"/>
        <v>0</v>
      </c>
      <c r="AB102" s="524">
        <f t="shared" si="205"/>
        <v>0</v>
      </c>
      <c r="AC102" s="526">
        <f t="shared" si="206"/>
        <v>0</v>
      </c>
      <c r="AD102" s="547">
        <v>0</v>
      </c>
      <c r="AE102" s="547">
        <v>0</v>
      </c>
      <c r="AF102" s="547">
        <v>0</v>
      </c>
      <c r="AG102" s="547">
        <v>0</v>
      </c>
      <c r="AH102" s="363">
        <f t="shared" si="207"/>
        <v>0</v>
      </c>
      <c r="AI102" s="547">
        <f t="shared" si="208"/>
        <v>0</v>
      </c>
      <c r="AJ102" s="550">
        <f t="shared" si="209"/>
        <v>0</v>
      </c>
      <c r="AK102" s="551">
        <f t="shared" si="210"/>
        <v>0</v>
      </c>
      <c r="AL102" s="529"/>
      <c r="AM102" s="502"/>
      <c r="AN102" s="530"/>
      <c r="AO102" s="498"/>
      <c r="AP102" s="499"/>
      <c r="AQ102" s="499"/>
      <c r="AR102" s="499"/>
      <c r="AS102" s="531">
        <f t="shared" si="135"/>
        <v>0</v>
      </c>
      <c r="AT102" s="532">
        <f t="shared" si="136"/>
        <v>0</v>
      </c>
      <c r="AU102" s="529">
        <v>0</v>
      </c>
      <c r="AV102" s="533">
        <v>0</v>
      </c>
      <c r="AW102" s="533">
        <v>0</v>
      </c>
      <c r="AX102" s="533">
        <v>0</v>
      </c>
      <c r="AY102" s="533">
        <f t="shared" si="137"/>
        <v>0</v>
      </c>
      <c r="AZ102" s="534">
        <f t="shared" si="138"/>
        <v>0</v>
      </c>
      <c r="BA102" s="535">
        <f t="shared" si="211"/>
        <v>0</v>
      </c>
      <c r="BB102" s="536">
        <f t="shared" si="212"/>
        <v>0</v>
      </c>
      <c r="BC102" s="523">
        <f t="shared" si="213"/>
        <v>0</v>
      </c>
      <c r="BD102" s="525">
        <f t="shared" si="214"/>
        <v>0</v>
      </c>
      <c r="BE102" s="525">
        <f t="shared" si="215"/>
        <v>0</v>
      </c>
      <c r="BF102" s="525">
        <f t="shared" si="216"/>
        <v>0</v>
      </c>
      <c r="BG102" s="525">
        <f t="shared" si="217"/>
        <v>0</v>
      </c>
      <c r="BH102" s="525">
        <f t="shared" si="218"/>
        <v>0</v>
      </c>
      <c r="BI102" s="526">
        <f t="shared" si="219"/>
        <v>0</v>
      </c>
      <c r="BJ102" s="537">
        <f t="shared" si="220"/>
        <v>0</v>
      </c>
      <c r="BK102" s="538">
        <f t="shared" si="221"/>
        <v>0</v>
      </c>
      <c r="BL102" s="538">
        <f t="shared" si="222"/>
        <v>0</v>
      </c>
      <c r="BM102" s="538">
        <f t="shared" si="223"/>
        <v>0</v>
      </c>
      <c r="BN102" s="538">
        <f t="shared" si="224"/>
        <v>0</v>
      </c>
      <c r="BO102" s="538">
        <f t="shared" si="225"/>
        <v>0</v>
      </c>
      <c r="BP102" s="539">
        <f t="shared" si="226"/>
        <v>0</v>
      </c>
      <c r="BQ102" s="540">
        <f t="shared" si="227"/>
        <v>0</v>
      </c>
      <c r="BR102" s="529"/>
      <c r="BS102" s="502"/>
      <c r="BT102" s="530"/>
      <c r="BU102" s="498"/>
      <c r="BV102" s="499"/>
      <c r="BW102" s="499"/>
      <c r="BX102" s="499"/>
      <c r="BY102" s="531">
        <f t="shared" si="139"/>
        <v>0</v>
      </c>
      <c r="BZ102" s="532">
        <f t="shared" si="140"/>
        <v>0</v>
      </c>
      <c r="CA102" s="529"/>
      <c r="CB102" s="533"/>
      <c r="CC102" s="533"/>
      <c r="CD102" s="533"/>
      <c r="CE102" s="533">
        <f t="shared" si="141"/>
        <v>0</v>
      </c>
      <c r="CF102" s="534">
        <f t="shared" si="142"/>
        <v>0</v>
      </c>
      <c r="CG102" s="774">
        <f t="shared" si="228"/>
        <v>0</v>
      </c>
      <c r="CH102" s="775">
        <f t="shared" si="229"/>
        <v>0</v>
      </c>
      <c r="CI102" s="548">
        <f t="shared" si="230"/>
        <v>0</v>
      </c>
      <c r="CJ102" s="773">
        <f t="shared" si="231"/>
        <v>0</v>
      </c>
      <c r="CK102" s="773">
        <f t="shared" si="232"/>
        <v>0</v>
      </c>
      <c r="CL102" s="773">
        <f t="shared" si="233"/>
        <v>0</v>
      </c>
      <c r="CM102" s="773">
        <f t="shared" si="234"/>
        <v>0</v>
      </c>
      <c r="CN102" s="773">
        <f t="shared" si="235"/>
        <v>0</v>
      </c>
      <c r="CO102" s="626">
        <f t="shared" si="236"/>
        <v>0</v>
      </c>
      <c r="CP102" s="1145">
        <f t="shared" si="237"/>
        <v>0</v>
      </c>
      <c r="CQ102" s="1146">
        <f t="shared" si="238"/>
        <v>0</v>
      </c>
      <c r="CR102" s="1146">
        <f t="shared" si="239"/>
        <v>0</v>
      </c>
      <c r="CS102" s="1146">
        <f t="shared" si="240"/>
        <v>0</v>
      </c>
      <c r="CT102" s="1146">
        <f t="shared" si="241"/>
        <v>0</v>
      </c>
      <c r="CU102" s="1146">
        <f t="shared" si="242"/>
        <v>0</v>
      </c>
      <c r="CV102" s="1256">
        <f t="shared" si="243"/>
        <v>0</v>
      </c>
      <c r="CW102" s="1157">
        <f t="shared" si="244"/>
        <v>0</v>
      </c>
      <c r="CX102" s="529"/>
      <c r="CY102" s="502"/>
      <c r="CZ102" s="530"/>
      <c r="DA102" s="498"/>
      <c r="DB102" s="499"/>
      <c r="DC102" s="499"/>
      <c r="DD102" s="499"/>
      <c r="DE102" s="531">
        <f t="shared" si="143"/>
        <v>0</v>
      </c>
      <c r="DF102" s="532">
        <f t="shared" si="144"/>
        <v>0</v>
      </c>
      <c r="DG102" s="529"/>
      <c r="DH102" s="533"/>
      <c r="DI102" s="533"/>
      <c r="DJ102" s="533"/>
      <c r="DK102" s="533">
        <f t="shared" si="145"/>
        <v>0</v>
      </c>
      <c r="DL102" s="534">
        <f t="shared" si="146"/>
        <v>0</v>
      </c>
      <c r="DM102" s="1258">
        <f t="shared" si="147"/>
        <v>0</v>
      </c>
      <c r="DN102" s="775">
        <f t="shared" si="148"/>
        <v>0</v>
      </c>
      <c r="DO102" s="548">
        <f t="shared" si="149"/>
        <v>0</v>
      </c>
      <c r="DP102" s="773">
        <f t="shared" si="150"/>
        <v>0</v>
      </c>
      <c r="DQ102" s="773">
        <f t="shared" si="151"/>
        <v>0</v>
      </c>
      <c r="DR102" s="773">
        <f t="shared" si="152"/>
        <v>0</v>
      </c>
      <c r="DS102" s="773">
        <f t="shared" si="153"/>
        <v>0</v>
      </c>
      <c r="DT102" s="773">
        <f t="shared" si="154"/>
        <v>0</v>
      </c>
      <c r="DU102" s="526">
        <f t="shared" si="245"/>
        <v>0</v>
      </c>
      <c r="DV102" s="1145">
        <f t="shared" si="155"/>
        <v>0</v>
      </c>
      <c r="DW102" s="1146">
        <f t="shared" si="156"/>
        <v>0</v>
      </c>
      <c r="DX102" s="1146">
        <f t="shared" si="157"/>
        <v>0</v>
      </c>
      <c r="DY102" s="1146">
        <f t="shared" si="158"/>
        <v>0</v>
      </c>
      <c r="DZ102" s="1146">
        <f t="shared" si="159"/>
        <v>0</v>
      </c>
      <c r="EA102" s="1146">
        <f t="shared" si="160"/>
        <v>0</v>
      </c>
      <c r="EB102" s="539">
        <f t="shared" si="246"/>
        <v>0</v>
      </c>
      <c r="EC102" s="540">
        <f t="shared" si="247"/>
        <v>0</v>
      </c>
      <c r="ES102" s="1258">
        <f t="shared" si="161"/>
        <v>0</v>
      </c>
      <c r="ET102" s="775">
        <f t="shared" si="162"/>
        <v>0</v>
      </c>
      <c r="EU102" s="548">
        <f t="shared" si="163"/>
        <v>0</v>
      </c>
      <c r="EV102" s="773">
        <f t="shared" si="164"/>
        <v>0</v>
      </c>
      <c r="EW102" s="773">
        <f t="shared" si="165"/>
        <v>0</v>
      </c>
      <c r="EX102" s="773">
        <f t="shared" si="166"/>
        <v>0</v>
      </c>
      <c r="EY102" s="773">
        <f t="shared" si="167"/>
        <v>0</v>
      </c>
      <c r="EZ102" s="773">
        <f t="shared" si="168"/>
        <v>0</v>
      </c>
      <c r="FA102" s="626">
        <f t="shared" si="248"/>
        <v>0</v>
      </c>
      <c r="FB102" s="1145">
        <f t="shared" si="169"/>
        <v>0</v>
      </c>
      <c r="FC102" s="1146">
        <f t="shared" si="170"/>
        <v>0</v>
      </c>
      <c r="FD102" s="1146">
        <f t="shared" si="171"/>
        <v>0</v>
      </c>
      <c r="FE102" s="1146">
        <f t="shared" si="172"/>
        <v>0</v>
      </c>
      <c r="FF102" s="1146">
        <f t="shared" si="173"/>
        <v>0</v>
      </c>
      <c r="FG102" s="1146">
        <f t="shared" si="174"/>
        <v>0</v>
      </c>
      <c r="FH102" s="1256">
        <f t="shared" si="249"/>
        <v>0</v>
      </c>
      <c r="FI102" s="1157">
        <f t="shared" si="250"/>
        <v>0</v>
      </c>
      <c r="FY102" s="1258">
        <f t="shared" si="175"/>
        <v>0</v>
      </c>
      <c r="FZ102" s="775">
        <f t="shared" si="176"/>
        <v>0</v>
      </c>
      <c r="GA102" s="548">
        <f t="shared" si="177"/>
        <v>0</v>
      </c>
      <c r="GB102" s="773">
        <f t="shared" si="178"/>
        <v>0</v>
      </c>
      <c r="GC102" s="773">
        <f t="shared" si="179"/>
        <v>0</v>
      </c>
      <c r="GD102" s="773">
        <f t="shared" si="180"/>
        <v>0</v>
      </c>
      <c r="GE102" s="773">
        <f t="shared" si="181"/>
        <v>0</v>
      </c>
      <c r="GF102" s="773">
        <f t="shared" si="182"/>
        <v>0</v>
      </c>
      <c r="GG102" s="626">
        <f t="shared" si="251"/>
        <v>0</v>
      </c>
      <c r="GH102" s="1145">
        <f t="shared" si="183"/>
        <v>0</v>
      </c>
      <c r="GI102" s="1146">
        <f t="shared" si="184"/>
        <v>0</v>
      </c>
      <c r="GJ102" s="1146">
        <f t="shared" si="185"/>
        <v>0</v>
      </c>
      <c r="GK102" s="1146">
        <f t="shared" si="186"/>
        <v>0</v>
      </c>
      <c r="GL102" s="1146">
        <f t="shared" si="187"/>
        <v>0</v>
      </c>
      <c r="GM102" s="1146">
        <f t="shared" si="188"/>
        <v>0</v>
      </c>
      <c r="GN102" s="1256">
        <f t="shared" si="252"/>
        <v>0</v>
      </c>
      <c r="GO102" s="1157">
        <f t="shared" si="253"/>
        <v>0</v>
      </c>
      <c r="HE102" s="1675">
        <f t="shared" si="189"/>
        <v>0</v>
      </c>
      <c r="HF102" s="775">
        <f t="shared" si="190"/>
        <v>0</v>
      </c>
      <c r="HG102" s="548">
        <f t="shared" si="191"/>
        <v>0</v>
      </c>
      <c r="HH102" s="773">
        <f t="shared" si="192"/>
        <v>0</v>
      </c>
      <c r="HI102" s="773">
        <f t="shared" si="193"/>
        <v>0</v>
      </c>
      <c r="HJ102" s="773">
        <f t="shared" si="194"/>
        <v>0</v>
      </c>
      <c r="HK102" s="773">
        <f t="shared" si="195"/>
        <v>0</v>
      </c>
      <c r="HL102" s="773">
        <f t="shared" si="196"/>
        <v>0</v>
      </c>
      <c r="HM102" s="626">
        <f t="shared" si="254"/>
        <v>0</v>
      </c>
      <c r="HN102" s="1145">
        <f t="shared" si="197"/>
        <v>0</v>
      </c>
      <c r="HO102" s="1146">
        <f t="shared" si="198"/>
        <v>0</v>
      </c>
      <c r="HP102" s="1146">
        <f t="shared" si="199"/>
        <v>0</v>
      </c>
      <c r="HQ102" s="1146">
        <f t="shared" si="200"/>
        <v>0</v>
      </c>
      <c r="HR102" s="1146">
        <f t="shared" si="201"/>
        <v>0</v>
      </c>
      <c r="HS102" s="1146">
        <f t="shared" si="202"/>
        <v>0</v>
      </c>
      <c r="HT102" s="1256">
        <f t="shared" si="255"/>
        <v>0</v>
      </c>
      <c r="HU102" s="1157">
        <f t="shared" si="256"/>
        <v>0</v>
      </c>
    </row>
    <row r="103" spans="1:229" ht="13.5" customHeight="1" outlineLevel="1" x14ac:dyDescent="0.2">
      <c r="A103" s="474"/>
      <c r="B103" s="1412"/>
      <c r="C103" s="511">
        <v>94</v>
      </c>
      <c r="D103" s="560" t="s">
        <v>120</v>
      </c>
      <c r="E103" s="1721">
        <v>36</v>
      </c>
      <c r="F103" s="558">
        <v>3189.5</v>
      </c>
      <c r="G103" s="543">
        <f t="shared" si="132"/>
        <v>88.597222222222229</v>
      </c>
      <c r="H103" s="559">
        <v>9</v>
      </c>
      <c r="I103" s="558">
        <v>111.6</v>
      </c>
      <c r="J103" s="542">
        <f t="shared" si="257"/>
        <v>12.399999999999999</v>
      </c>
      <c r="K103" s="559">
        <v>6</v>
      </c>
      <c r="L103" s="558">
        <v>287.45</v>
      </c>
      <c r="M103" s="542">
        <f t="shared" si="258"/>
        <v>47.908333333333331</v>
      </c>
      <c r="N103" s="545">
        <f t="shared" si="133"/>
        <v>3588.5499999999997</v>
      </c>
      <c r="O103" s="518">
        <v>0</v>
      </c>
      <c r="P103" s="542">
        <v>18296879.620000001</v>
      </c>
      <c r="Q103" s="576">
        <v>5104144.08</v>
      </c>
      <c r="R103" s="519">
        <f t="shared" si="134"/>
        <v>23401023.700000003</v>
      </c>
      <c r="S103" s="546">
        <f t="shared" si="203"/>
        <v>23401023.700000003</v>
      </c>
      <c r="T103" s="521">
        <v>4287581.7300000004</v>
      </c>
      <c r="U103" s="547">
        <v>0</v>
      </c>
      <c r="V103" s="547">
        <v>0</v>
      </c>
      <c r="W103" s="548">
        <v>0</v>
      </c>
      <c r="X103" s="549">
        <v>0</v>
      </c>
      <c r="Y103" s="549">
        <v>0</v>
      </c>
      <c r="Z103" s="549">
        <v>0</v>
      </c>
      <c r="AA103" s="525">
        <f t="shared" si="204"/>
        <v>0</v>
      </c>
      <c r="AB103" s="524">
        <f t="shared" si="205"/>
        <v>0</v>
      </c>
      <c r="AC103" s="526">
        <f t="shared" si="206"/>
        <v>0</v>
      </c>
      <c r="AD103" s="547">
        <v>0</v>
      </c>
      <c r="AE103" s="547">
        <v>0</v>
      </c>
      <c r="AF103" s="547">
        <v>0</v>
      </c>
      <c r="AG103" s="547">
        <v>0</v>
      </c>
      <c r="AH103" s="363">
        <f t="shared" si="207"/>
        <v>0</v>
      </c>
      <c r="AI103" s="547">
        <f t="shared" si="208"/>
        <v>0</v>
      </c>
      <c r="AJ103" s="550">
        <f t="shared" si="209"/>
        <v>0</v>
      </c>
      <c r="AK103" s="551">
        <f t="shared" si="210"/>
        <v>0</v>
      </c>
      <c r="AL103" s="529"/>
      <c r="AM103" s="502"/>
      <c r="AN103" s="530"/>
      <c r="AO103" s="498"/>
      <c r="AP103" s="499"/>
      <c r="AQ103" s="499"/>
      <c r="AR103" s="499"/>
      <c r="AS103" s="531">
        <f t="shared" si="135"/>
        <v>0</v>
      </c>
      <c r="AT103" s="532">
        <f t="shared" si="136"/>
        <v>0</v>
      </c>
      <c r="AU103" s="529">
        <v>0</v>
      </c>
      <c r="AV103" s="533">
        <v>0</v>
      </c>
      <c r="AW103" s="533">
        <v>0</v>
      </c>
      <c r="AX103" s="533">
        <v>0</v>
      </c>
      <c r="AY103" s="533">
        <f t="shared" si="137"/>
        <v>0</v>
      </c>
      <c r="AZ103" s="534">
        <f t="shared" si="138"/>
        <v>0</v>
      </c>
      <c r="BA103" s="535">
        <f t="shared" si="211"/>
        <v>0</v>
      </c>
      <c r="BB103" s="536">
        <f t="shared" si="212"/>
        <v>0</v>
      </c>
      <c r="BC103" s="523">
        <f t="shared" si="213"/>
        <v>0</v>
      </c>
      <c r="BD103" s="525">
        <f t="shared" si="214"/>
        <v>0</v>
      </c>
      <c r="BE103" s="525">
        <f t="shared" si="215"/>
        <v>0</v>
      </c>
      <c r="BF103" s="525">
        <f t="shared" si="216"/>
        <v>0</v>
      </c>
      <c r="BG103" s="525">
        <f t="shared" si="217"/>
        <v>0</v>
      </c>
      <c r="BH103" s="525">
        <f t="shared" si="218"/>
        <v>0</v>
      </c>
      <c r="BI103" s="526">
        <f t="shared" si="219"/>
        <v>0</v>
      </c>
      <c r="BJ103" s="537">
        <f t="shared" si="220"/>
        <v>0</v>
      </c>
      <c r="BK103" s="538">
        <f t="shared" si="221"/>
        <v>0</v>
      </c>
      <c r="BL103" s="538">
        <f t="shared" si="222"/>
        <v>0</v>
      </c>
      <c r="BM103" s="538">
        <f t="shared" si="223"/>
        <v>0</v>
      </c>
      <c r="BN103" s="538">
        <f t="shared" si="224"/>
        <v>0</v>
      </c>
      <c r="BO103" s="538">
        <f t="shared" si="225"/>
        <v>0</v>
      </c>
      <c r="BP103" s="539">
        <f t="shared" si="226"/>
        <v>0</v>
      </c>
      <c r="BQ103" s="540">
        <f t="shared" si="227"/>
        <v>0</v>
      </c>
      <c r="BR103" s="529"/>
      <c r="BS103" s="502"/>
      <c r="BT103" s="530"/>
      <c r="BU103" s="498"/>
      <c r="BV103" s="499"/>
      <c r="BW103" s="499"/>
      <c r="BX103" s="499"/>
      <c r="BY103" s="531">
        <f t="shared" si="139"/>
        <v>0</v>
      </c>
      <c r="BZ103" s="532">
        <f t="shared" si="140"/>
        <v>0</v>
      </c>
      <c r="CA103" s="529"/>
      <c r="CB103" s="533"/>
      <c r="CC103" s="533"/>
      <c r="CD103" s="533"/>
      <c r="CE103" s="533">
        <f t="shared" si="141"/>
        <v>0</v>
      </c>
      <c r="CF103" s="534">
        <f t="shared" si="142"/>
        <v>0</v>
      </c>
      <c r="CG103" s="774">
        <f t="shared" si="228"/>
        <v>0</v>
      </c>
      <c r="CH103" s="775">
        <f t="shared" si="229"/>
        <v>0</v>
      </c>
      <c r="CI103" s="548">
        <f t="shared" si="230"/>
        <v>0</v>
      </c>
      <c r="CJ103" s="773">
        <f t="shared" si="231"/>
        <v>0</v>
      </c>
      <c r="CK103" s="773">
        <f t="shared" si="232"/>
        <v>0</v>
      </c>
      <c r="CL103" s="773">
        <f t="shared" si="233"/>
        <v>0</v>
      </c>
      <c r="CM103" s="773">
        <f t="shared" si="234"/>
        <v>0</v>
      </c>
      <c r="CN103" s="773">
        <f t="shared" si="235"/>
        <v>0</v>
      </c>
      <c r="CO103" s="626">
        <f t="shared" si="236"/>
        <v>0</v>
      </c>
      <c r="CP103" s="1145">
        <f t="shared" si="237"/>
        <v>0</v>
      </c>
      <c r="CQ103" s="1146">
        <f t="shared" si="238"/>
        <v>0</v>
      </c>
      <c r="CR103" s="1146">
        <f t="shared" si="239"/>
        <v>0</v>
      </c>
      <c r="CS103" s="1146">
        <f t="shared" si="240"/>
        <v>0</v>
      </c>
      <c r="CT103" s="1146">
        <f t="shared" si="241"/>
        <v>0</v>
      </c>
      <c r="CU103" s="1146">
        <f t="shared" si="242"/>
        <v>0</v>
      </c>
      <c r="CV103" s="1256">
        <f t="shared" si="243"/>
        <v>0</v>
      </c>
      <c r="CW103" s="1157">
        <f t="shared" si="244"/>
        <v>0</v>
      </c>
      <c r="CX103" s="529"/>
      <c r="CY103" s="502"/>
      <c r="CZ103" s="530"/>
      <c r="DA103" s="498"/>
      <c r="DB103" s="499"/>
      <c r="DC103" s="499"/>
      <c r="DD103" s="499"/>
      <c r="DE103" s="531">
        <f t="shared" si="143"/>
        <v>0</v>
      </c>
      <c r="DF103" s="532">
        <f t="shared" si="144"/>
        <v>0</v>
      </c>
      <c r="DG103" s="529"/>
      <c r="DH103" s="533"/>
      <c r="DI103" s="533"/>
      <c r="DJ103" s="533"/>
      <c r="DK103" s="533">
        <f t="shared" si="145"/>
        <v>0</v>
      </c>
      <c r="DL103" s="534">
        <f t="shared" si="146"/>
        <v>0</v>
      </c>
      <c r="DM103" s="1258">
        <f t="shared" si="147"/>
        <v>0</v>
      </c>
      <c r="DN103" s="775">
        <f t="shared" si="148"/>
        <v>0</v>
      </c>
      <c r="DO103" s="548">
        <f t="shared" si="149"/>
        <v>0</v>
      </c>
      <c r="DP103" s="773">
        <f t="shared" si="150"/>
        <v>0</v>
      </c>
      <c r="DQ103" s="773">
        <f t="shared" si="151"/>
        <v>0</v>
      </c>
      <c r="DR103" s="773">
        <f t="shared" si="152"/>
        <v>0</v>
      </c>
      <c r="DS103" s="773">
        <f t="shared" si="153"/>
        <v>0</v>
      </c>
      <c r="DT103" s="773">
        <f t="shared" si="154"/>
        <v>0</v>
      </c>
      <c r="DU103" s="526">
        <f t="shared" si="245"/>
        <v>0</v>
      </c>
      <c r="DV103" s="1145">
        <f t="shared" si="155"/>
        <v>0</v>
      </c>
      <c r="DW103" s="1146">
        <f t="shared" si="156"/>
        <v>0</v>
      </c>
      <c r="DX103" s="1146">
        <f t="shared" si="157"/>
        <v>0</v>
      </c>
      <c r="DY103" s="1146">
        <f t="shared" si="158"/>
        <v>0</v>
      </c>
      <c r="DZ103" s="1146">
        <f t="shared" si="159"/>
        <v>0</v>
      </c>
      <c r="EA103" s="1146">
        <f t="shared" si="160"/>
        <v>0</v>
      </c>
      <c r="EB103" s="539">
        <f t="shared" si="246"/>
        <v>0</v>
      </c>
      <c r="EC103" s="540">
        <f t="shared" si="247"/>
        <v>0</v>
      </c>
      <c r="ES103" s="1258">
        <f t="shared" si="161"/>
        <v>0</v>
      </c>
      <c r="ET103" s="775">
        <f t="shared" si="162"/>
        <v>0</v>
      </c>
      <c r="EU103" s="548">
        <f t="shared" si="163"/>
        <v>0</v>
      </c>
      <c r="EV103" s="773">
        <f t="shared" si="164"/>
        <v>0</v>
      </c>
      <c r="EW103" s="773">
        <f t="shared" si="165"/>
        <v>0</v>
      </c>
      <c r="EX103" s="773">
        <f t="shared" si="166"/>
        <v>0</v>
      </c>
      <c r="EY103" s="773">
        <f t="shared" si="167"/>
        <v>0</v>
      </c>
      <c r="EZ103" s="773">
        <f t="shared" si="168"/>
        <v>0</v>
      </c>
      <c r="FA103" s="626">
        <f t="shared" si="248"/>
        <v>0</v>
      </c>
      <c r="FB103" s="1145">
        <f t="shared" si="169"/>
        <v>0</v>
      </c>
      <c r="FC103" s="1146">
        <f t="shared" si="170"/>
        <v>0</v>
      </c>
      <c r="FD103" s="1146">
        <f t="shared" si="171"/>
        <v>0</v>
      </c>
      <c r="FE103" s="1146">
        <f t="shared" si="172"/>
        <v>0</v>
      </c>
      <c r="FF103" s="1146">
        <f t="shared" si="173"/>
        <v>0</v>
      </c>
      <c r="FG103" s="1146">
        <f t="shared" si="174"/>
        <v>0</v>
      </c>
      <c r="FH103" s="1256">
        <f t="shared" si="249"/>
        <v>0</v>
      </c>
      <c r="FI103" s="1157">
        <f t="shared" si="250"/>
        <v>0</v>
      </c>
      <c r="FY103" s="1258">
        <f t="shared" si="175"/>
        <v>0</v>
      </c>
      <c r="FZ103" s="775">
        <f t="shared" si="176"/>
        <v>0</v>
      </c>
      <c r="GA103" s="548">
        <f t="shared" si="177"/>
        <v>0</v>
      </c>
      <c r="GB103" s="773">
        <f t="shared" si="178"/>
        <v>0</v>
      </c>
      <c r="GC103" s="773">
        <f t="shared" si="179"/>
        <v>0</v>
      </c>
      <c r="GD103" s="773">
        <f t="shared" si="180"/>
        <v>0</v>
      </c>
      <c r="GE103" s="773">
        <f t="shared" si="181"/>
        <v>0</v>
      </c>
      <c r="GF103" s="773">
        <f t="shared" si="182"/>
        <v>0</v>
      </c>
      <c r="GG103" s="626">
        <f t="shared" si="251"/>
        <v>0</v>
      </c>
      <c r="GH103" s="1145">
        <f t="shared" si="183"/>
        <v>0</v>
      </c>
      <c r="GI103" s="1146">
        <f t="shared" si="184"/>
        <v>0</v>
      </c>
      <c r="GJ103" s="1146">
        <f t="shared" si="185"/>
        <v>0</v>
      </c>
      <c r="GK103" s="1146">
        <f t="shared" si="186"/>
        <v>0</v>
      </c>
      <c r="GL103" s="1146">
        <f t="shared" si="187"/>
        <v>0</v>
      </c>
      <c r="GM103" s="1146">
        <f t="shared" si="188"/>
        <v>0</v>
      </c>
      <c r="GN103" s="1256">
        <f t="shared" si="252"/>
        <v>0</v>
      </c>
      <c r="GO103" s="1157">
        <f t="shared" si="253"/>
        <v>0</v>
      </c>
      <c r="HE103" s="1675">
        <f t="shared" si="189"/>
        <v>0</v>
      </c>
      <c r="HF103" s="775">
        <f t="shared" si="190"/>
        <v>0</v>
      </c>
      <c r="HG103" s="548">
        <f t="shared" si="191"/>
        <v>0</v>
      </c>
      <c r="HH103" s="773">
        <f t="shared" si="192"/>
        <v>0</v>
      </c>
      <c r="HI103" s="773">
        <f t="shared" si="193"/>
        <v>0</v>
      </c>
      <c r="HJ103" s="773">
        <f t="shared" si="194"/>
        <v>0</v>
      </c>
      <c r="HK103" s="773">
        <f t="shared" si="195"/>
        <v>0</v>
      </c>
      <c r="HL103" s="773">
        <f t="shared" si="196"/>
        <v>0</v>
      </c>
      <c r="HM103" s="626">
        <f t="shared" si="254"/>
        <v>0</v>
      </c>
      <c r="HN103" s="1145">
        <f t="shared" si="197"/>
        <v>0</v>
      </c>
      <c r="HO103" s="1146">
        <f t="shared" si="198"/>
        <v>0</v>
      </c>
      <c r="HP103" s="1146">
        <f t="shared" si="199"/>
        <v>0</v>
      </c>
      <c r="HQ103" s="1146">
        <f t="shared" si="200"/>
        <v>0</v>
      </c>
      <c r="HR103" s="1146">
        <f t="shared" si="201"/>
        <v>0</v>
      </c>
      <c r="HS103" s="1146">
        <f t="shared" si="202"/>
        <v>0</v>
      </c>
      <c r="HT103" s="1256">
        <f t="shared" si="255"/>
        <v>0</v>
      </c>
      <c r="HU103" s="1157">
        <f t="shared" si="256"/>
        <v>0</v>
      </c>
    </row>
    <row r="104" spans="1:229" ht="13.5" customHeight="1" outlineLevel="1" x14ac:dyDescent="0.2">
      <c r="A104" s="474"/>
      <c r="B104" s="1412"/>
      <c r="C104" s="511">
        <v>95</v>
      </c>
      <c r="D104" s="560" t="s">
        <v>121</v>
      </c>
      <c r="E104" s="1721">
        <v>33</v>
      </c>
      <c r="F104" s="558">
        <v>2616.87</v>
      </c>
      <c r="G104" s="543">
        <f t="shared" si="132"/>
        <v>79.299090909090907</v>
      </c>
      <c r="H104" s="559">
        <v>0</v>
      </c>
      <c r="I104" s="558">
        <v>0</v>
      </c>
      <c r="J104" s="542">
        <v>0</v>
      </c>
      <c r="K104" s="559">
        <v>7</v>
      </c>
      <c r="L104" s="558">
        <v>263</v>
      </c>
      <c r="M104" s="542">
        <f t="shared" si="258"/>
        <v>37.571428571428569</v>
      </c>
      <c r="N104" s="545">
        <f t="shared" si="133"/>
        <v>2879.87</v>
      </c>
      <c r="O104" s="518">
        <v>0</v>
      </c>
      <c r="P104" s="542">
        <v>15279849.48</v>
      </c>
      <c r="Q104" s="576">
        <v>4066895.7</v>
      </c>
      <c r="R104" s="519">
        <f t="shared" si="134"/>
        <v>19346745.18</v>
      </c>
      <c r="S104" s="546">
        <f t="shared" si="203"/>
        <v>19346745.18</v>
      </c>
      <c r="T104" s="521">
        <v>3261538.16</v>
      </c>
      <c r="U104" s="547">
        <v>0</v>
      </c>
      <c r="V104" s="547">
        <v>0</v>
      </c>
      <c r="W104" s="548">
        <v>0</v>
      </c>
      <c r="X104" s="549">
        <v>0</v>
      </c>
      <c r="Y104" s="549">
        <v>0</v>
      </c>
      <c r="Z104" s="549">
        <v>0</v>
      </c>
      <c r="AA104" s="525">
        <f t="shared" si="204"/>
        <v>0</v>
      </c>
      <c r="AB104" s="524">
        <f t="shared" si="205"/>
        <v>0</v>
      </c>
      <c r="AC104" s="526">
        <f t="shared" si="206"/>
        <v>0</v>
      </c>
      <c r="AD104" s="547">
        <v>0</v>
      </c>
      <c r="AE104" s="547">
        <v>0</v>
      </c>
      <c r="AF104" s="547">
        <v>0</v>
      </c>
      <c r="AG104" s="547">
        <v>0</v>
      </c>
      <c r="AH104" s="363">
        <f t="shared" si="207"/>
        <v>0</v>
      </c>
      <c r="AI104" s="547">
        <f t="shared" si="208"/>
        <v>0</v>
      </c>
      <c r="AJ104" s="550">
        <f t="shared" si="209"/>
        <v>0</v>
      </c>
      <c r="AK104" s="551">
        <f t="shared" si="210"/>
        <v>0</v>
      </c>
      <c r="AL104" s="529"/>
      <c r="AM104" s="502"/>
      <c r="AN104" s="530"/>
      <c r="AO104" s="498"/>
      <c r="AP104" s="499"/>
      <c r="AQ104" s="499"/>
      <c r="AR104" s="499"/>
      <c r="AS104" s="531">
        <f t="shared" si="135"/>
        <v>0</v>
      </c>
      <c r="AT104" s="532">
        <f t="shared" si="136"/>
        <v>0</v>
      </c>
      <c r="AU104" s="529">
        <v>0</v>
      </c>
      <c r="AV104" s="533">
        <v>0</v>
      </c>
      <c r="AW104" s="533">
        <v>0</v>
      </c>
      <c r="AX104" s="533">
        <v>0</v>
      </c>
      <c r="AY104" s="533">
        <f t="shared" si="137"/>
        <v>0</v>
      </c>
      <c r="AZ104" s="534">
        <f t="shared" si="138"/>
        <v>0</v>
      </c>
      <c r="BA104" s="535">
        <f t="shared" si="211"/>
        <v>0</v>
      </c>
      <c r="BB104" s="536">
        <f t="shared" si="212"/>
        <v>0</v>
      </c>
      <c r="BC104" s="523">
        <f t="shared" si="213"/>
        <v>0</v>
      </c>
      <c r="BD104" s="525">
        <f t="shared" si="214"/>
        <v>0</v>
      </c>
      <c r="BE104" s="525">
        <f t="shared" si="215"/>
        <v>0</v>
      </c>
      <c r="BF104" s="525">
        <f t="shared" si="216"/>
        <v>0</v>
      </c>
      <c r="BG104" s="525">
        <f t="shared" si="217"/>
        <v>0</v>
      </c>
      <c r="BH104" s="525">
        <f t="shared" si="218"/>
        <v>0</v>
      </c>
      <c r="BI104" s="526">
        <f t="shared" si="219"/>
        <v>0</v>
      </c>
      <c r="BJ104" s="537">
        <f t="shared" si="220"/>
        <v>0</v>
      </c>
      <c r="BK104" s="538">
        <f t="shared" si="221"/>
        <v>0</v>
      </c>
      <c r="BL104" s="538">
        <f t="shared" si="222"/>
        <v>0</v>
      </c>
      <c r="BM104" s="538">
        <f t="shared" si="223"/>
        <v>0</v>
      </c>
      <c r="BN104" s="538">
        <f t="shared" si="224"/>
        <v>0</v>
      </c>
      <c r="BO104" s="538">
        <f t="shared" si="225"/>
        <v>0</v>
      </c>
      <c r="BP104" s="539">
        <f t="shared" si="226"/>
        <v>0</v>
      </c>
      <c r="BQ104" s="540">
        <f t="shared" si="227"/>
        <v>0</v>
      </c>
      <c r="BR104" s="529"/>
      <c r="BS104" s="502"/>
      <c r="BT104" s="530"/>
      <c r="BU104" s="498"/>
      <c r="BV104" s="499"/>
      <c r="BW104" s="499"/>
      <c r="BX104" s="499"/>
      <c r="BY104" s="531">
        <f t="shared" si="139"/>
        <v>0</v>
      </c>
      <c r="BZ104" s="532">
        <f t="shared" si="140"/>
        <v>0</v>
      </c>
      <c r="CA104" s="529"/>
      <c r="CB104" s="533"/>
      <c r="CC104" s="533"/>
      <c r="CD104" s="533"/>
      <c r="CE104" s="533">
        <f t="shared" si="141"/>
        <v>0</v>
      </c>
      <c r="CF104" s="534">
        <f t="shared" si="142"/>
        <v>0</v>
      </c>
      <c r="CG104" s="774">
        <f t="shared" si="228"/>
        <v>0</v>
      </c>
      <c r="CH104" s="775">
        <f t="shared" si="229"/>
        <v>0</v>
      </c>
      <c r="CI104" s="548">
        <f t="shared" si="230"/>
        <v>0</v>
      </c>
      <c r="CJ104" s="773">
        <f t="shared" si="231"/>
        <v>0</v>
      </c>
      <c r="CK104" s="773">
        <f t="shared" si="232"/>
        <v>0</v>
      </c>
      <c r="CL104" s="773">
        <f t="shared" si="233"/>
        <v>0</v>
      </c>
      <c r="CM104" s="773">
        <f t="shared" si="234"/>
        <v>0</v>
      </c>
      <c r="CN104" s="773">
        <f t="shared" si="235"/>
        <v>0</v>
      </c>
      <c r="CO104" s="626">
        <f t="shared" si="236"/>
        <v>0</v>
      </c>
      <c r="CP104" s="1145">
        <f t="shared" si="237"/>
        <v>0</v>
      </c>
      <c r="CQ104" s="1146">
        <f t="shared" si="238"/>
        <v>0</v>
      </c>
      <c r="CR104" s="1146">
        <f t="shared" si="239"/>
        <v>0</v>
      </c>
      <c r="CS104" s="1146">
        <f t="shared" si="240"/>
        <v>0</v>
      </c>
      <c r="CT104" s="1146">
        <f t="shared" si="241"/>
        <v>0</v>
      </c>
      <c r="CU104" s="1146">
        <f t="shared" si="242"/>
        <v>0</v>
      </c>
      <c r="CV104" s="1256">
        <f t="shared" si="243"/>
        <v>0</v>
      </c>
      <c r="CW104" s="1157">
        <f t="shared" si="244"/>
        <v>0</v>
      </c>
      <c r="CX104" s="529"/>
      <c r="CY104" s="502"/>
      <c r="CZ104" s="530"/>
      <c r="DA104" s="498"/>
      <c r="DB104" s="499"/>
      <c r="DC104" s="499"/>
      <c r="DD104" s="499"/>
      <c r="DE104" s="531">
        <f t="shared" si="143"/>
        <v>0</v>
      </c>
      <c r="DF104" s="532">
        <f t="shared" si="144"/>
        <v>0</v>
      </c>
      <c r="DG104" s="529"/>
      <c r="DH104" s="533"/>
      <c r="DI104" s="533"/>
      <c r="DJ104" s="533"/>
      <c r="DK104" s="533">
        <f t="shared" si="145"/>
        <v>0</v>
      </c>
      <c r="DL104" s="534">
        <f t="shared" si="146"/>
        <v>0</v>
      </c>
      <c r="DM104" s="1258">
        <f t="shared" si="147"/>
        <v>0</v>
      </c>
      <c r="DN104" s="775">
        <f t="shared" si="148"/>
        <v>0</v>
      </c>
      <c r="DO104" s="548">
        <f t="shared" si="149"/>
        <v>0</v>
      </c>
      <c r="DP104" s="773">
        <f t="shared" si="150"/>
        <v>0</v>
      </c>
      <c r="DQ104" s="773">
        <f t="shared" si="151"/>
        <v>0</v>
      </c>
      <c r="DR104" s="773">
        <f t="shared" si="152"/>
        <v>0</v>
      </c>
      <c r="DS104" s="773">
        <f t="shared" si="153"/>
        <v>0</v>
      </c>
      <c r="DT104" s="773">
        <f t="shared" si="154"/>
        <v>0</v>
      </c>
      <c r="DU104" s="526">
        <f t="shared" si="245"/>
        <v>0</v>
      </c>
      <c r="DV104" s="1145">
        <f t="shared" si="155"/>
        <v>0</v>
      </c>
      <c r="DW104" s="1146">
        <f t="shared" si="156"/>
        <v>0</v>
      </c>
      <c r="DX104" s="1146">
        <f t="shared" si="157"/>
        <v>0</v>
      </c>
      <c r="DY104" s="1146">
        <f t="shared" si="158"/>
        <v>0</v>
      </c>
      <c r="DZ104" s="1146">
        <f t="shared" si="159"/>
        <v>0</v>
      </c>
      <c r="EA104" s="1146">
        <f t="shared" si="160"/>
        <v>0</v>
      </c>
      <c r="EB104" s="539">
        <f t="shared" si="246"/>
        <v>0</v>
      </c>
      <c r="EC104" s="540">
        <f t="shared" si="247"/>
        <v>0</v>
      </c>
      <c r="ES104" s="1258">
        <f t="shared" si="161"/>
        <v>0</v>
      </c>
      <c r="ET104" s="775">
        <f t="shared" si="162"/>
        <v>0</v>
      </c>
      <c r="EU104" s="548">
        <f t="shared" si="163"/>
        <v>0</v>
      </c>
      <c r="EV104" s="773">
        <f t="shared" si="164"/>
        <v>0</v>
      </c>
      <c r="EW104" s="773">
        <f t="shared" si="165"/>
        <v>0</v>
      </c>
      <c r="EX104" s="773">
        <f t="shared" si="166"/>
        <v>0</v>
      </c>
      <c r="EY104" s="773">
        <f t="shared" si="167"/>
        <v>0</v>
      </c>
      <c r="EZ104" s="773">
        <f t="shared" si="168"/>
        <v>0</v>
      </c>
      <c r="FA104" s="626">
        <f t="shared" si="248"/>
        <v>0</v>
      </c>
      <c r="FB104" s="1145">
        <f t="shared" si="169"/>
        <v>0</v>
      </c>
      <c r="FC104" s="1146">
        <f t="shared" si="170"/>
        <v>0</v>
      </c>
      <c r="FD104" s="1146">
        <f t="shared" si="171"/>
        <v>0</v>
      </c>
      <c r="FE104" s="1146">
        <f t="shared" si="172"/>
        <v>0</v>
      </c>
      <c r="FF104" s="1146">
        <f t="shared" si="173"/>
        <v>0</v>
      </c>
      <c r="FG104" s="1146">
        <f t="shared" si="174"/>
        <v>0</v>
      </c>
      <c r="FH104" s="1256">
        <f t="shared" si="249"/>
        <v>0</v>
      </c>
      <c r="FI104" s="1157">
        <f t="shared" si="250"/>
        <v>0</v>
      </c>
      <c r="FY104" s="1258">
        <f t="shared" si="175"/>
        <v>0</v>
      </c>
      <c r="FZ104" s="775">
        <f t="shared" si="176"/>
        <v>0</v>
      </c>
      <c r="GA104" s="548">
        <f t="shared" si="177"/>
        <v>0</v>
      </c>
      <c r="GB104" s="773">
        <f t="shared" si="178"/>
        <v>0</v>
      </c>
      <c r="GC104" s="773">
        <f t="shared" si="179"/>
        <v>0</v>
      </c>
      <c r="GD104" s="773">
        <f t="shared" si="180"/>
        <v>0</v>
      </c>
      <c r="GE104" s="773">
        <f t="shared" si="181"/>
        <v>0</v>
      </c>
      <c r="GF104" s="773">
        <f t="shared" si="182"/>
        <v>0</v>
      </c>
      <c r="GG104" s="626">
        <f t="shared" si="251"/>
        <v>0</v>
      </c>
      <c r="GH104" s="1145">
        <f t="shared" si="183"/>
        <v>0</v>
      </c>
      <c r="GI104" s="1146">
        <f t="shared" si="184"/>
        <v>0</v>
      </c>
      <c r="GJ104" s="1146">
        <f t="shared" si="185"/>
        <v>0</v>
      </c>
      <c r="GK104" s="1146">
        <f t="shared" si="186"/>
        <v>0</v>
      </c>
      <c r="GL104" s="1146">
        <f t="shared" si="187"/>
        <v>0</v>
      </c>
      <c r="GM104" s="1146">
        <f t="shared" si="188"/>
        <v>0</v>
      </c>
      <c r="GN104" s="1256">
        <f t="shared" si="252"/>
        <v>0</v>
      </c>
      <c r="GO104" s="1157">
        <f t="shared" si="253"/>
        <v>0</v>
      </c>
      <c r="HE104" s="1675">
        <f t="shared" si="189"/>
        <v>0</v>
      </c>
      <c r="HF104" s="775">
        <f t="shared" si="190"/>
        <v>0</v>
      </c>
      <c r="HG104" s="548">
        <f t="shared" si="191"/>
        <v>0</v>
      </c>
      <c r="HH104" s="773">
        <f t="shared" si="192"/>
        <v>0</v>
      </c>
      <c r="HI104" s="773">
        <f t="shared" si="193"/>
        <v>0</v>
      </c>
      <c r="HJ104" s="773">
        <f t="shared" si="194"/>
        <v>0</v>
      </c>
      <c r="HK104" s="773">
        <f t="shared" si="195"/>
        <v>0</v>
      </c>
      <c r="HL104" s="773">
        <f t="shared" si="196"/>
        <v>0</v>
      </c>
      <c r="HM104" s="626">
        <f t="shared" si="254"/>
        <v>0</v>
      </c>
      <c r="HN104" s="1145">
        <f t="shared" si="197"/>
        <v>0</v>
      </c>
      <c r="HO104" s="1146">
        <f t="shared" si="198"/>
        <v>0</v>
      </c>
      <c r="HP104" s="1146">
        <f t="shared" si="199"/>
        <v>0</v>
      </c>
      <c r="HQ104" s="1146">
        <f t="shared" si="200"/>
        <v>0</v>
      </c>
      <c r="HR104" s="1146">
        <f t="shared" si="201"/>
        <v>0</v>
      </c>
      <c r="HS104" s="1146">
        <f t="shared" si="202"/>
        <v>0</v>
      </c>
      <c r="HT104" s="1256">
        <f t="shared" si="255"/>
        <v>0</v>
      </c>
      <c r="HU104" s="1157">
        <f t="shared" si="256"/>
        <v>0</v>
      </c>
    </row>
    <row r="105" spans="1:229" ht="13.5" customHeight="1" outlineLevel="1" x14ac:dyDescent="0.2">
      <c r="A105" s="474"/>
      <c r="B105" s="1412"/>
      <c r="C105" s="511">
        <v>96</v>
      </c>
      <c r="D105" s="560" t="s">
        <v>122</v>
      </c>
      <c r="E105" s="1721">
        <v>33</v>
      </c>
      <c r="F105" s="558">
        <v>2631.52</v>
      </c>
      <c r="G105" s="543">
        <f t="shared" si="132"/>
        <v>79.743030303030309</v>
      </c>
      <c r="H105" s="559">
        <f>25-4</f>
        <v>21</v>
      </c>
      <c r="I105" s="558">
        <f>293.2-46.91</f>
        <v>246.29</v>
      </c>
      <c r="J105" s="542">
        <f>I105/H105</f>
        <v>11.728095238095237</v>
      </c>
      <c r="K105" s="559">
        <v>10</v>
      </c>
      <c r="L105" s="558">
        <v>457.54</v>
      </c>
      <c r="M105" s="542">
        <f t="shared" si="258"/>
        <v>45.754000000000005</v>
      </c>
      <c r="N105" s="545">
        <f t="shared" si="133"/>
        <v>3335.35</v>
      </c>
      <c r="O105" s="518">
        <v>0</v>
      </c>
      <c r="P105" s="542">
        <f>16766008.83+1047.91-neprodano!EC31</f>
        <v>16505167.027059281</v>
      </c>
      <c r="Q105" s="576">
        <f>4492510.55-neprodano!ED31</f>
        <v>4430200.811888</v>
      </c>
      <c r="R105" s="519">
        <f t="shared" si="134"/>
        <v>20935367.838947281</v>
      </c>
      <c r="S105" s="546">
        <f t="shared" si="203"/>
        <v>20935367.838947281</v>
      </c>
      <c r="T105" s="521">
        <f>3968077.06-182.49*7.434585*46.91</f>
        <v>3904432.5077849487</v>
      </c>
      <c r="U105" s="547">
        <v>0</v>
      </c>
      <c r="V105" s="547">
        <v>0</v>
      </c>
      <c r="W105" s="548">
        <v>0</v>
      </c>
      <c r="X105" s="549">
        <v>0</v>
      </c>
      <c r="Y105" s="549">
        <v>0</v>
      </c>
      <c r="Z105" s="549">
        <v>0</v>
      </c>
      <c r="AA105" s="525">
        <f t="shared" si="204"/>
        <v>0</v>
      </c>
      <c r="AB105" s="524">
        <f t="shared" si="205"/>
        <v>0</v>
      </c>
      <c r="AC105" s="526">
        <f t="shared" si="206"/>
        <v>0</v>
      </c>
      <c r="AD105" s="547">
        <v>0</v>
      </c>
      <c r="AE105" s="547">
        <v>0</v>
      </c>
      <c r="AF105" s="547">
        <v>0</v>
      </c>
      <c r="AG105" s="547">
        <v>0</v>
      </c>
      <c r="AH105" s="363">
        <f t="shared" si="207"/>
        <v>0</v>
      </c>
      <c r="AI105" s="547">
        <f t="shared" si="208"/>
        <v>0</v>
      </c>
      <c r="AJ105" s="550">
        <f t="shared" si="209"/>
        <v>0</v>
      </c>
      <c r="AK105" s="551">
        <f t="shared" si="210"/>
        <v>0</v>
      </c>
      <c r="AL105" s="529"/>
      <c r="AM105" s="502"/>
      <c r="AN105" s="530"/>
      <c r="AO105" s="498"/>
      <c r="AP105" s="499"/>
      <c r="AQ105" s="499"/>
      <c r="AR105" s="499"/>
      <c r="AS105" s="531">
        <f t="shared" si="135"/>
        <v>0</v>
      </c>
      <c r="AT105" s="532">
        <f t="shared" si="136"/>
        <v>0</v>
      </c>
      <c r="AU105" s="529">
        <v>0</v>
      </c>
      <c r="AV105" s="533">
        <v>0</v>
      </c>
      <c r="AW105" s="533">
        <v>0</v>
      </c>
      <c r="AX105" s="533">
        <v>0</v>
      </c>
      <c r="AY105" s="533">
        <f t="shared" si="137"/>
        <v>0</v>
      </c>
      <c r="AZ105" s="534">
        <f t="shared" si="138"/>
        <v>0</v>
      </c>
      <c r="BA105" s="535">
        <f t="shared" si="211"/>
        <v>0</v>
      </c>
      <c r="BB105" s="536">
        <f t="shared" si="212"/>
        <v>0</v>
      </c>
      <c r="BC105" s="523">
        <f t="shared" si="213"/>
        <v>0</v>
      </c>
      <c r="BD105" s="525">
        <f t="shared" si="214"/>
        <v>0</v>
      </c>
      <c r="BE105" s="525">
        <f t="shared" si="215"/>
        <v>0</v>
      </c>
      <c r="BF105" s="525">
        <f t="shared" si="216"/>
        <v>0</v>
      </c>
      <c r="BG105" s="525">
        <f t="shared" si="217"/>
        <v>0</v>
      </c>
      <c r="BH105" s="525">
        <f t="shared" si="218"/>
        <v>0</v>
      </c>
      <c r="BI105" s="526">
        <f t="shared" si="219"/>
        <v>0</v>
      </c>
      <c r="BJ105" s="537">
        <f t="shared" si="220"/>
        <v>0</v>
      </c>
      <c r="BK105" s="538">
        <f t="shared" si="221"/>
        <v>0</v>
      </c>
      <c r="BL105" s="538">
        <f t="shared" si="222"/>
        <v>0</v>
      </c>
      <c r="BM105" s="538">
        <f t="shared" si="223"/>
        <v>0</v>
      </c>
      <c r="BN105" s="538">
        <f t="shared" si="224"/>
        <v>0</v>
      </c>
      <c r="BO105" s="538">
        <f t="shared" si="225"/>
        <v>0</v>
      </c>
      <c r="BP105" s="539">
        <f t="shared" si="226"/>
        <v>0</v>
      </c>
      <c r="BQ105" s="540">
        <f t="shared" si="227"/>
        <v>0</v>
      </c>
      <c r="BR105" s="529"/>
      <c r="BS105" s="502"/>
      <c r="BT105" s="530"/>
      <c r="BU105" s="498"/>
      <c r="BV105" s="499"/>
      <c r="BW105" s="499"/>
      <c r="BX105" s="499"/>
      <c r="BY105" s="531">
        <f t="shared" si="139"/>
        <v>0</v>
      </c>
      <c r="BZ105" s="532">
        <f t="shared" si="140"/>
        <v>0</v>
      </c>
      <c r="CA105" s="529"/>
      <c r="CB105" s="533"/>
      <c r="CC105" s="533"/>
      <c r="CD105" s="533"/>
      <c r="CE105" s="533">
        <f t="shared" si="141"/>
        <v>0</v>
      </c>
      <c r="CF105" s="534">
        <f t="shared" si="142"/>
        <v>0</v>
      </c>
      <c r="CG105" s="774">
        <f t="shared" si="228"/>
        <v>0</v>
      </c>
      <c r="CH105" s="775">
        <f t="shared" si="229"/>
        <v>0</v>
      </c>
      <c r="CI105" s="548">
        <f t="shared" si="230"/>
        <v>0</v>
      </c>
      <c r="CJ105" s="773">
        <f t="shared" si="231"/>
        <v>0</v>
      </c>
      <c r="CK105" s="773">
        <f t="shared" si="232"/>
        <v>0</v>
      </c>
      <c r="CL105" s="773">
        <f t="shared" si="233"/>
        <v>0</v>
      </c>
      <c r="CM105" s="773">
        <f t="shared" si="234"/>
        <v>0</v>
      </c>
      <c r="CN105" s="773">
        <f t="shared" si="235"/>
        <v>0</v>
      </c>
      <c r="CO105" s="626">
        <f t="shared" si="236"/>
        <v>0</v>
      </c>
      <c r="CP105" s="1145">
        <f t="shared" si="237"/>
        <v>0</v>
      </c>
      <c r="CQ105" s="1146">
        <f t="shared" si="238"/>
        <v>0</v>
      </c>
      <c r="CR105" s="1146">
        <f t="shared" si="239"/>
        <v>0</v>
      </c>
      <c r="CS105" s="1146">
        <f t="shared" si="240"/>
        <v>0</v>
      </c>
      <c r="CT105" s="1146">
        <f t="shared" si="241"/>
        <v>0</v>
      </c>
      <c r="CU105" s="1146">
        <f t="shared" si="242"/>
        <v>0</v>
      </c>
      <c r="CV105" s="1256">
        <f t="shared" si="243"/>
        <v>0</v>
      </c>
      <c r="CW105" s="1157">
        <f t="shared" si="244"/>
        <v>0</v>
      </c>
      <c r="CX105" s="529"/>
      <c r="CY105" s="502"/>
      <c r="CZ105" s="530"/>
      <c r="DA105" s="498"/>
      <c r="DB105" s="499"/>
      <c r="DC105" s="499"/>
      <c r="DD105" s="499"/>
      <c r="DE105" s="531">
        <f t="shared" si="143"/>
        <v>0</v>
      </c>
      <c r="DF105" s="532">
        <f t="shared" si="144"/>
        <v>0</v>
      </c>
      <c r="DG105" s="529"/>
      <c r="DH105" s="533"/>
      <c r="DI105" s="533"/>
      <c r="DJ105" s="533"/>
      <c r="DK105" s="533">
        <f t="shared" si="145"/>
        <v>0</v>
      </c>
      <c r="DL105" s="534">
        <f t="shared" si="146"/>
        <v>0</v>
      </c>
      <c r="DM105" s="1258">
        <f t="shared" si="147"/>
        <v>0</v>
      </c>
      <c r="DN105" s="775">
        <f t="shared" si="148"/>
        <v>0</v>
      </c>
      <c r="DO105" s="548">
        <f t="shared" si="149"/>
        <v>0</v>
      </c>
      <c r="DP105" s="773">
        <f t="shared" si="150"/>
        <v>0</v>
      </c>
      <c r="DQ105" s="773">
        <f t="shared" si="151"/>
        <v>0</v>
      </c>
      <c r="DR105" s="773">
        <f t="shared" si="152"/>
        <v>0</v>
      </c>
      <c r="DS105" s="773">
        <f t="shared" si="153"/>
        <v>0</v>
      </c>
      <c r="DT105" s="773">
        <f t="shared" si="154"/>
        <v>0</v>
      </c>
      <c r="DU105" s="526">
        <f t="shared" si="245"/>
        <v>0</v>
      </c>
      <c r="DV105" s="1145">
        <f t="shared" si="155"/>
        <v>0</v>
      </c>
      <c r="DW105" s="1146">
        <f t="shared" si="156"/>
        <v>0</v>
      </c>
      <c r="DX105" s="1146">
        <f t="shared" si="157"/>
        <v>0</v>
      </c>
      <c r="DY105" s="1146">
        <f t="shared" si="158"/>
        <v>0</v>
      </c>
      <c r="DZ105" s="1146">
        <f t="shared" si="159"/>
        <v>0</v>
      </c>
      <c r="EA105" s="1146">
        <f t="shared" si="160"/>
        <v>0</v>
      </c>
      <c r="EB105" s="539">
        <f t="shared" si="246"/>
        <v>0</v>
      </c>
      <c r="EC105" s="540">
        <f t="shared" si="247"/>
        <v>0</v>
      </c>
      <c r="ES105" s="1258">
        <f t="shared" si="161"/>
        <v>0</v>
      </c>
      <c r="ET105" s="775">
        <f t="shared" si="162"/>
        <v>0</v>
      </c>
      <c r="EU105" s="548">
        <f t="shared" si="163"/>
        <v>0</v>
      </c>
      <c r="EV105" s="773">
        <f t="shared" si="164"/>
        <v>0</v>
      </c>
      <c r="EW105" s="773">
        <f t="shared" si="165"/>
        <v>0</v>
      </c>
      <c r="EX105" s="773">
        <f t="shared" si="166"/>
        <v>0</v>
      </c>
      <c r="EY105" s="773">
        <f t="shared" si="167"/>
        <v>0</v>
      </c>
      <c r="EZ105" s="773">
        <f t="shared" si="168"/>
        <v>0</v>
      </c>
      <c r="FA105" s="626">
        <f t="shared" si="248"/>
        <v>0</v>
      </c>
      <c r="FB105" s="1145">
        <f t="shared" si="169"/>
        <v>0</v>
      </c>
      <c r="FC105" s="1146">
        <f t="shared" si="170"/>
        <v>0</v>
      </c>
      <c r="FD105" s="1146">
        <f t="shared" si="171"/>
        <v>0</v>
      </c>
      <c r="FE105" s="1146">
        <f t="shared" si="172"/>
        <v>0</v>
      </c>
      <c r="FF105" s="1146">
        <f t="shared" si="173"/>
        <v>0</v>
      </c>
      <c r="FG105" s="1146">
        <f t="shared" si="174"/>
        <v>0</v>
      </c>
      <c r="FH105" s="1256">
        <f t="shared" si="249"/>
        <v>0</v>
      </c>
      <c r="FI105" s="1157">
        <f t="shared" si="250"/>
        <v>0</v>
      </c>
      <c r="FY105" s="1258">
        <f t="shared" si="175"/>
        <v>0</v>
      </c>
      <c r="FZ105" s="775">
        <f t="shared" si="176"/>
        <v>0</v>
      </c>
      <c r="GA105" s="548">
        <f t="shared" si="177"/>
        <v>0</v>
      </c>
      <c r="GB105" s="773">
        <f t="shared" si="178"/>
        <v>0</v>
      </c>
      <c r="GC105" s="773">
        <f t="shared" si="179"/>
        <v>0</v>
      </c>
      <c r="GD105" s="773">
        <f t="shared" si="180"/>
        <v>0</v>
      </c>
      <c r="GE105" s="773">
        <f t="shared" si="181"/>
        <v>0</v>
      </c>
      <c r="GF105" s="773">
        <f t="shared" si="182"/>
        <v>0</v>
      </c>
      <c r="GG105" s="626">
        <f t="shared" si="251"/>
        <v>0</v>
      </c>
      <c r="GH105" s="1145">
        <f t="shared" si="183"/>
        <v>0</v>
      </c>
      <c r="GI105" s="1146">
        <f t="shared" si="184"/>
        <v>0</v>
      </c>
      <c r="GJ105" s="1146">
        <f t="shared" si="185"/>
        <v>0</v>
      </c>
      <c r="GK105" s="1146">
        <f t="shared" si="186"/>
        <v>0</v>
      </c>
      <c r="GL105" s="1146">
        <f t="shared" si="187"/>
        <v>0</v>
      </c>
      <c r="GM105" s="1146">
        <f t="shared" si="188"/>
        <v>0</v>
      </c>
      <c r="GN105" s="1256">
        <f t="shared" si="252"/>
        <v>0</v>
      </c>
      <c r="GO105" s="1157">
        <f t="shared" si="253"/>
        <v>0</v>
      </c>
      <c r="HE105" s="1675">
        <f t="shared" si="189"/>
        <v>0</v>
      </c>
      <c r="HF105" s="775">
        <f t="shared" si="190"/>
        <v>0</v>
      </c>
      <c r="HG105" s="548">
        <f t="shared" si="191"/>
        <v>0</v>
      </c>
      <c r="HH105" s="773">
        <f t="shared" si="192"/>
        <v>0</v>
      </c>
      <c r="HI105" s="773">
        <f t="shared" si="193"/>
        <v>0</v>
      </c>
      <c r="HJ105" s="773">
        <f t="shared" si="194"/>
        <v>0</v>
      </c>
      <c r="HK105" s="773">
        <f t="shared" si="195"/>
        <v>0</v>
      </c>
      <c r="HL105" s="773">
        <f t="shared" si="196"/>
        <v>0</v>
      </c>
      <c r="HM105" s="626">
        <f t="shared" si="254"/>
        <v>0</v>
      </c>
      <c r="HN105" s="1145">
        <f t="shared" si="197"/>
        <v>0</v>
      </c>
      <c r="HO105" s="1146">
        <f t="shared" si="198"/>
        <v>0</v>
      </c>
      <c r="HP105" s="1146">
        <f t="shared" si="199"/>
        <v>0</v>
      </c>
      <c r="HQ105" s="1146">
        <f t="shared" si="200"/>
        <v>0</v>
      </c>
      <c r="HR105" s="1146">
        <f t="shared" si="201"/>
        <v>0</v>
      </c>
      <c r="HS105" s="1146">
        <f t="shared" si="202"/>
        <v>0</v>
      </c>
      <c r="HT105" s="1256">
        <f t="shared" si="255"/>
        <v>0</v>
      </c>
      <c r="HU105" s="1157">
        <f t="shared" si="256"/>
        <v>0</v>
      </c>
    </row>
    <row r="106" spans="1:229" ht="13.5" customHeight="1" outlineLevel="1" x14ac:dyDescent="0.2">
      <c r="A106" s="474"/>
      <c r="B106" s="1412"/>
      <c r="C106" s="511">
        <v>97</v>
      </c>
      <c r="D106" s="573" t="s">
        <v>123</v>
      </c>
      <c r="E106" s="1721">
        <v>38</v>
      </c>
      <c r="F106" s="558">
        <v>3214.64</v>
      </c>
      <c r="G106" s="555">
        <f t="shared" ref="G106:G121" si="259">F106/E106</f>
        <v>84.595789473684206</v>
      </c>
      <c r="H106" s="559">
        <v>0</v>
      </c>
      <c r="I106" s="558">
        <v>0</v>
      </c>
      <c r="J106" s="558">
        <v>0</v>
      </c>
      <c r="K106" s="559">
        <v>10</v>
      </c>
      <c r="L106" s="558">
        <v>546.5</v>
      </c>
      <c r="M106" s="558">
        <f t="shared" si="258"/>
        <v>54.65</v>
      </c>
      <c r="N106" s="563">
        <f t="shared" ref="N106:N122" si="260">F106+I106+L106</f>
        <v>3761.14</v>
      </c>
      <c r="O106" s="518">
        <v>0</v>
      </c>
      <c r="P106" s="558">
        <v>19220653.899999999</v>
      </c>
      <c r="Q106" s="583">
        <v>4995550.5599999996</v>
      </c>
      <c r="R106" s="519">
        <f t="shared" ref="R106:R121" si="261">SUM(O106:Q106)</f>
        <v>24216204.459999997</v>
      </c>
      <c r="S106" s="546">
        <f t="shared" si="203"/>
        <v>24216204.459999997</v>
      </c>
      <c r="T106" s="521">
        <v>3962485.48</v>
      </c>
      <c r="U106" s="547">
        <v>0</v>
      </c>
      <c r="V106" s="547">
        <v>0</v>
      </c>
      <c r="W106" s="548">
        <v>0</v>
      </c>
      <c r="X106" s="549">
        <v>0</v>
      </c>
      <c r="Y106" s="549">
        <v>0</v>
      </c>
      <c r="Z106" s="549">
        <v>0</v>
      </c>
      <c r="AA106" s="525">
        <f t="shared" si="204"/>
        <v>0</v>
      </c>
      <c r="AB106" s="524">
        <f t="shared" si="205"/>
        <v>0</v>
      </c>
      <c r="AC106" s="526">
        <f t="shared" si="206"/>
        <v>0</v>
      </c>
      <c r="AD106" s="547">
        <v>0</v>
      </c>
      <c r="AE106" s="547">
        <v>0</v>
      </c>
      <c r="AF106" s="547">
        <v>0</v>
      </c>
      <c r="AG106" s="547">
        <v>0</v>
      </c>
      <c r="AH106" s="363">
        <f t="shared" si="207"/>
        <v>0</v>
      </c>
      <c r="AI106" s="547">
        <f t="shared" si="208"/>
        <v>0</v>
      </c>
      <c r="AJ106" s="550">
        <f t="shared" si="209"/>
        <v>0</v>
      </c>
      <c r="AK106" s="551">
        <f t="shared" si="210"/>
        <v>0</v>
      </c>
      <c r="AL106" s="529"/>
      <c r="AM106" s="502"/>
      <c r="AN106" s="530"/>
      <c r="AO106" s="498"/>
      <c r="AP106" s="499"/>
      <c r="AQ106" s="499"/>
      <c r="AR106" s="499"/>
      <c r="AS106" s="531">
        <f t="shared" si="135"/>
        <v>0</v>
      </c>
      <c r="AT106" s="532">
        <f t="shared" si="136"/>
        <v>0</v>
      </c>
      <c r="AU106" s="529">
        <v>0</v>
      </c>
      <c r="AV106" s="533">
        <v>0</v>
      </c>
      <c r="AW106" s="533">
        <v>0</v>
      </c>
      <c r="AX106" s="533">
        <v>0</v>
      </c>
      <c r="AY106" s="533">
        <f t="shared" si="137"/>
        <v>0</v>
      </c>
      <c r="AZ106" s="534">
        <f t="shared" si="138"/>
        <v>0</v>
      </c>
      <c r="BA106" s="535">
        <f t="shared" si="211"/>
        <v>0</v>
      </c>
      <c r="BB106" s="536">
        <f t="shared" si="212"/>
        <v>0</v>
      </c>
      <c r="BC106" s="523">
        <f t="shared" si="213"/>
        <v>0</v>
      </c>
      <c r="BD106" s="525">
        <f t="shared" si="214"/>
        <v>0</v>
      </c>
      <c r="BE106" s="525">
        <f t="shared" si="215"/>
        <v>0</v>
      </c>
      <c r="BF106" s="525">
        <f t="shared" si="216"/>
        <v>0</v>
      </c>
      <c r="BG106" s="525">
        <f t="shared" si="217"/>
        <v>0</v>
      </c>
      <c r="BH106" s="525">
        <f t="shared" si="218"/>
        <v>0</v>
      </c>
      <c r="BI106" s="526">
        <f t="shared" si="219"/>
        <v>0</v>
      </c>
      <c r="BJ106" s="537">
        <f t="shared" si="220"/>
        <v>0</v>
      </c>
      <c r="BK106" s="538">
        <f t="shared" si="221"/>
        <v>0</v>
      </c>
      <c r="BL106" s="538">
        <f t="shared" si="222"/>
        <v>0</v>
      </c>
      <c r="BM106" s="538">
        <f t="shared" si="223"/>
        <v>0</v>
      </c>
      <c r="BN106" s="538">
        <f t="shared" si="224"/>
        <v>0</v>
      </c>
      <c r="BO106" s="538">
        <f t="shared" si="225"/>
        <v>0</v>
      </c>
      <c r="BP106" s="539">
        <f t="shared" si="226"/>
        <v>0</v>
      </c>
      <c r="BQ106" s="540">
        <f t="shared" si="227"/>
        <v>0</v>
      </c>
      <c r="BR106" s="529"/>
      <c r="BS106" s="502"/>
      <c r="BT106" s="530"/>
      <c r="BU106" s="498"/>
      <c r="BV106" s="499"/>
      <c r="BW106" s="499"/>
      <c r="BX106" s="499"/>
      <c r="BY106" s="531">
        <f t="shared" si="139"/>
        <v>0</v>
      </c>
      <c r="BZ106" s="532">
        <f t="shared" si="140"/>
        <v>0</v>
      </c>
      <c r="CA106" s="529"/>
      <c r="CB106" s="533"/>
      <c r="CC106" s="533"/>
      <c r="CD106" s="533"/>
      <c r="CE106" s="533">
        <f t="shared" si="141"/>
        <v>0</v>
      </c>
      <c r="CF106" s="534">
        <f t="shared" si="142"/>
        <v>0</v>
      </c>
      <c r="CG106" s="774">
        <f t="shared" si="228"/>
        <v>0</v>
      </c>
      <c r="CH106" s="775">
        <f t="shared" si="229"/>
        <v>0</v>
      </c>
      <c r="CI106" s="548">
        <f t="shared" si="230"/>
        <v>0</v>
      </c>
      <c r="CJ106" s="773">
        <f t="shared" si="231"/>
        <v>0</v>
      </c>
      <c r="CK106" s="773">
        <f t="shared" si="232"/>
        <v>0</v>
      </c>
      <c r="CL106" s="773">
        <f t="shared" si="233"/>
        <v>0</v>
      </c>
      <c r="CM106" s="773">
        <f t="shared" si="234"/>
        <v>0</v>
      </c>
      <c r="CN106" s="773">
        <f t="shared" si="235"/>
        <v>0</v>
      </c>
      <c r="CO106" s="626">
        <f t="shared" si="236"/>
        <v>0</v>
      </c>
      <c r="CP106" s="1145">
        <f t="shared" si="237"/>
        <v>0</v>
      </c>
      <c r="CQ106" s="1146">
        <f t="shared" si="238"/>
        <v>0</v>
      </c>
      <c r="CR106" s="1146">
        <f t="shared" si="239"/>
        <v>0</v>
      </c>
      <c r="CS106" s="1146">
        <f t="shared" si="240"/>
        <v>0</v>
      </c>
      <c r="CT106" s="1146">
        <f t="shared" si="241"/>
        <v>0</v>
      </c>
      <c r="CU106" s="1146">
        <f t="shared" si="242"/>
        <v>0</v>
      </c>
      <c r="CV106" s="1256">
        <f t="shared" si="243"/>
        <v>0</v>
      </c>
      <c r="CW106" s="1157">
        <f t="shared" si="244"/>
        <v>0</v>
      </c>
      <c r="CX106" s="529"/>
      <c r="CY106" s="502"/>
      <c r="CZ106" s="530"/>
      <c r="DA106" s="498"/>
      <c r="DB106" s="499"/>
      <c r="DC106" s="499"/>
      <c r="DD106" s="499"/>
      <c r="DE106" s="531">
        <f t="shared" si="143"/>
        <v>0</v>
      </c>
      <c r="DF106" s="532">
        <f t="shared" si="144"/>
        <v>0</v>
      </c>
      <c r="DG106" s="529"/>
      <c r="DH106" s="533"/>
      <c r="DI106" s="533"/>
      <c r="DJ106" s="533"/>
      <c r="DK106" s="533">
        <f t="shared" si="145"/>
        <v>0</v>
      </c>
      <c r="DL106" s="534">
        <f t="shared" si="146"/>
        <v>0</v>
      </c>
      <c r="DM106" s="1258">
        <f t="shared" si="147"/>
        <v>0</v>
      </c>
      <c r="DN106" s="775">
        <f t="shared" si="148"/>
        <v>0</v>
      </c>
      <c r="DO106" s="548">
        <f t="shared" si="149"/>
        <v>0</v>
      </c>
      <c r="DP106" s="773">
        <f t="shared" si="150"/>
        <v>0</v>
      </c>
      <c r="DQ106" s="773">
        <f t="shared" si="151"/>
        <v>0</v>
      </c>
      <c r="DR106" s="773">
        <f t="shared" si="152"/>
        <v>0</v>
      </c>
      <c r="DS106" s="773">
        <f t="shared" si="153"/>
        <v>0</v>
      </c>
      <c r="DT106" s="773">
        <f t="shared" si="154"/>
        <v>0</v>
      </c>
      <c r="DU106" s="526">
        <f t="shared" si="245"/>
        <v>0</v>
      </c>
      <c r="DV106" s="1145">
        <f t="shared" si="155"/>
        <v>0</v>
      </c>
      <c r="DW106" s="1146">
        <f t="shared" si="156"/>
        <v>0</v>
      </c>
      <c r="DX106" s="1146">
        <f t="shared" si="157"/>
        <v>0</v>
      </c>
      <c r="DY106" s="1146">
        <f t="shared" si="158"/>
        <v>0</v>
      </c>
      <c r="DZ106" s="1146">
        <f t="shared" si="159"/>
        <v>0</v>
      </c>
      <c r="EA106" s="1146">
        <f t="shared" si="160"/>
        <v>0</v>
      </c>
      <c r="EB106" s="539">
        <f t="shared" si="246"/>
        <v>0</v>
      </c>
      <c r="EC106" s="540">
        <f t="shared" si="247"/>
        <v>0</v>
      </c>
      <c r="ES106" s="1258">
        <f t="shared" si="161"/>
        <v>0</v>
      </c>
      <c r="ET106" s="775">
        <f t="shared" si="162"/>
        <v>0</v>
      </c>
      <c r="EU106" s="548">
        <f t="shared" si="163"/>
        <v>0</v>
      </c>
      <c r="EV106" s="773">
        <f t="shared" si="164"/>
        <v>0</v>
      </c>
      <c r="EW106" s="773">
        <f t="shared" si="165"/>
        <v>0</v>
      </c>
      <c r="EX106" s="773">
        <f t="shared" si="166"/>
        <v>0</v>
      </c>
      <c r="EY106" s="773">
        <f t="shared" si="167"/>
        <v>0</v>
      </c>
      <c r="EZ106" s="773">
        <f t="shared" si="168"/>
        <v>0</v>
      </c>
      <c r="FA106" s="626">
        <f t="shared" si="248"/>
        <v>0</v>
      </c>
      <c r="FB106" s="1145">
        <f t="shared" si="169"/>
        <v>0</v>
      </c>
      <c r="FC106" s="1146">
        <f t="shared" si="170"/>
        <v>0</v>
      </c>
      <c r="FD106" s="1146">
        <f t="shared" si="171"/>
        <v>0</v>
      </c>
      <c r="FE106" s="1146">
        <f t="shared" si="172"/>
        <v>0</v>
      </c>
      <c r="FF106" s="1146">
        <f t="shared" si="173"/>
        <v>0</v>
      </c>
      <c r="FG106" s="1146">
        <f t="shared" si="174"/>
        <v>0</v>
      </c>
      <c r="FH106" s="1256">
        <f t="shared" si="249"/>
        <v>0</v>
      </c>
      <c r="FI106" s="1157">
        <f t="shared" si="250"/>
        <v>0</v>
      </c>
      <c r="FY106" s="1258">
        <f t="shared" si="175"/>
        <v>0</v>
      </c>
      <c r="FZ106" s="775">
        <f t="shared" si="176"/>
        <v>0</v>
      </c>
      <c r="GA106" s="548">
        <f t="shared" si="177"/>
        <v>0</v>
      </c>
      <c r="GB106" s="773">
        <f t="shared" si="178"/>
        <v>0</v>
      </c>
      <c r="GC106" s="773">
        <f t="shared" si="179"/>
        <v>0</v>
      </c>
      <c r="GD106" s="773">
        <f t="shared" si="180"/>
        <v>0</v>
      </c>
      <c r="GE106" s="773">
        <f t="shared" si="181"/>
        <v>0</v>
      </c>
      <c r="GF106" s="773">
        <f t="shared" si="182"/>
        <v>0</v>
      </c>
      <c r="GG106" s="626">
        <f t="shared" si="251"/>
        <v>0</v>
      </c>
      <c r="GH106" s="1145">
        <f t="shared" si="183"/>
        <v>0</v>
      </c>
      <c r="GI106" s="1146">
        <f t="shared" si="184"/>
        <v>0</v>
      </c>
      <c r="GJ106" s="1146">
        <f t="shared" si="185"/>
        <v>0</v>
      </c>
      <c r="GK106" s="1146">
        <f t="shared" si="186"/>
        <v>0</v>
      </c>
      <c r="GL106" s="1146">
        <f t="shared" si="187"/>
        <v>0</v>
      </c>
      <c r="GM106" s="1146">
        <f t="shared" si="188"/>
        <v>0</v>
      </c>
      <c r="GN106" s="1256">
        <f t="shared" si="252"/>
        <v>0</v>
      </c>
      <c r="GO106" s="1157">
        <f t="shared" si="253"/>
        <v>0</v>
      </c>
      <c r="HE106" s="1675">
        <f t="shared" si="189"/>
        <v>0</v>
      </c>
      <c r="HF106" s="775">
        <f t="shared" si="190"/>
        <v>0</v>
      </c>
      <c r="HG106" s="548">
        <f t="shared" si="191"/>
        <v>0</v>
      </c>
      <c r="HH106" s="773">
        <f t="shared" si="192"/>
        <v>0</v>
      </c>
      <c r="HI106" s="773">
        <f t="shared" si="193"/>
        <v>0</v>
      </c>
      <c r="HJ106" s="773">
        <f t="shared" si="194"/>
        <v>0</v>
      </c>
      <c r="HK106" s="773">
        <f t="shared" si="195"/>
        <v>0</v>
      </c>
      <c r="HL106" s="773">
        <f t="shared" si="196"/>
        <v>0</v>
      </c>
      <c r="HM106" s="626">
        <f t="shared" si="254"/>
        <v>0</v>
      </c>
      <c r="HN106" s="1145">
        <f t="shared" si="197"/>
        <v>0</v>
      </c>
      <c r="HO106" s="1146">
        <f t="shared" si="198"/>
        <v>0</v>
      </c>
      <c r="HP106" s="1146">
        <f t="shared" si="199"/>
        <v>0</v>
      </c>
      <c r="HQ106" s="1146">
        <f t="shared" si="200"/>
        <v>0</v>
      </c>
      <c r="HR106" s="1146">
        <f t="shared" si="201"/>
        <v>0</v>
      </c>
      <c r="HS106" s="1146">
        <f t="shared" si="202"/>
        <v>0</v>
      </c>
      <c r="HT106" s="1256">
        <f t="shared" si="255"/>
        <v>0</v>
      </c>
      <c r="HU106" s="1157">
        <f t="shared" si="256"/>
        <v>0</v>
      </c>
    </row>
    <row r="107" spans="1:229" ht="12" customHeight="1" outlineLevel="1" x14ac:dyDescent="0.2">
      <c r="A107" s="474"/>
      <c r="B107" s="1412"/>
      <c r="C107" s="511">
        <v>98</v>
      </c>
      <c r="D107" s="584" t="s">
        <v>138</v>
      </c>
      <c r="E107" s="1724">
        <f>36-4</f>
        <v>32</v>
      </c>
      <c r="F107" s="578">
        <f>2504.66-76.09-78.1-76.01-78.1</f>
        <v>2196.3599999999997</v>
      </c>
      <c r="G107" s="515">
        <f t="shared" si="259"/>
        <v>68.63624999999999</v>
      </c>
      <c r="H107" s="579">
        <f>24-6</f>
        <v>18</v>
      </c>
      <c r="I107" s="578">
        <f>288.14-72.04</f>
        <v>216.09999999999997</v>
      </c>
      <c r="J107" s="519">
        <f>I107/H107</f>
        <v>12.005555555555553</v>
      </c>
      <c r="K107" s="579">
        <v>6</v>
      </c>
      <c r="L107" s="578">
        <v>385.1</v>
      </c>
      <c r="M107" s="519">
        <f t="shared" si="258"/>
        <v>64.183333333333337</v>
      </c>
      <c r="N107" s="585">
        <f t="shared" si="260"/>
        <v>2797.5599999999995</v>
      </c>
      <c r="O107" s="586">
        <v>0</v>
      </c>
      <c r="P107" s="519">
        <f>15558072.19+1571.86-neprodano!EC32-neprodano!EC11</f>
        <v>13733590.002128089</v>
      </c>
      <c r="Q107" s="519">
        <f>4299245.56-neprodano!ED32-neprodano!ED11</f>
        <v>3721391.4484699997</v>
      </c>
      <c r="R107" s="519">
        <f t="shared" si="261"/>
        <v>17454981.450598087</v>
      </c>
      <c r="S107" s="546">
        <f t="shared" si="203"/>
        <v>17454981.450598087</v>
      </c>
      <c r="T107" s="521">
        <v>2937975.88</v>
      </c>
      <c r="U107" s="547">
        <v>0</v>
      </c>
      <c r="V107" s="547">
        <v>0</v>
      </c>
      <c r="W107" s="548">
        <v>0</v>
      </c>
      <c r="X107" s="549">
        <f>114805.92+1710.63+28289.37</f>
        <v>144805.92000000001</v>
      </c>
      <c r="Y107" s="549">
        <v>0</v>
      </c>
      <c r="Z107" s="549">
        <v>0</v>
      </c>
      <c r="AA107" s="525">
        <f t="shared" si="204"/>
        <v>0</v>
      </c>
      <c r="AB107" s="524">
        <f t="shared" si="205"/>
        <v>144805.92000000001</v>
      </c>
      <c r="AC107" s="526">
        <f t="shared" si="206"/>
        <v>8.295965275576864E-3</v>
      </c>
      <c r="AD107" s="547">
        <v>0</v>
      </c>
      <c r="AE107" s="547">
        <v>28289.37</v>
      </c>
      <c r="AF107" s="547">
        <v>0</v>
      </c>
      <c r="AG107" s="547">
        <v>0</v>
      </c>
      <c r="AH107" s="363">
        <f t="shared" si="207"/>
        <v>0</v>
      </c>
      <c r="AI107" s="547">
        <f t="shared" si="208"/>
        <v>28289.37</v>
      </c>
      <c r="AJ107" s="550">
        <f t="shared" si="209"/>
        <v>1.6207046727643858E-3</v>
      </c>
      <c r="AK107" s="551">
        <f t="shared" si="210"/>
        <v>0</v>
      </c>
      <c r="AL107" s="529"/>
      <c r="AM107" s="502"/>
      <c r="AN107" s="530"/>
      <c r="AO107" s="498"/>
      <c r="AP107" s="499"/>
      <c r="AQ107" s="499"/>
      <c r="AR107" s="499"/>
      <c r="AS107" s="531">
        <f t="shared" si="135"/>
        <v>0</v>
      </c>
      <c r="AT107" s="532">
        <f t="shared" si="136"/>
        <v>0</v>
      </c>
      <c r="AU107" s="529">
        <v>0</v>
      </c>
      <c r="AV107" s="533">
        <v>0</v>
      </c>
      <c r="AW107" s="533">
        <v>0</v>
      </c>
      <c r="AX107" s="533">
        <v>0</v>
      </c>
      <c r="AY107" s="533">
        <f t="shared" si="137"/>
        <v>0</v>
      </c>
      <c r="AZ107" s="534">
        <f t="shared" si="138"/>
        <v>0</v>
      </c>
      <c r="BA107" s="535">
        <f t="shared" si="211"/>
        <v>0</v>
      </c>
      <c r="BB107" s="536">
        <f t="shared" si="212"/>
        <v>0</v>
      </c>
      <c r="BC107" s="523">
        <f t="shared" si="213"/>
        <v>0</v>
      </c>
      <c r="BD107" s="525">
        <f t="shared" si="214"/>
        <v>144805.92000000001</v>
      </c>
      <c r="BE107" s="525">
        <f t="shared" si="215"/>
        <v>0</v>
      </c>
      <c r="BF107" s="525">
        <f t="shared" si="216"/>
        <v>0</v>
      </c>
      <c r="BG107" s="525">
        <f t="shared" si="217"/>
        <v>0</v>
      </c>
      <c r="BH107" s="525">
        <f t="shared" si="218"/>
        <v>144805.92000000001</v>
      </c>
      <c r="BI107" s="526">
        <f t="shared" si="219"/>
        <v>8.295965275576864E-3</v>
      </c>
      <c r="BJ107" s="537">
        <f t="shared" si="220"/>
        <v>0</v>
      </c>
      <c r="BK107" s="538">
        <f t="shared" si="221"/>
        <v>28289.37</v>
      </c>
      <c r="BL107" s="538">
        <f t="shared" si="222"/>
        <v>0</v>
      </c>
      <c r="BM107" s="538">
        <f t="shared" si="223"/>
        <v>0</v>
      </c>
      <c r="BN107" s="538">
        <f t="shared" si="224"/>
        <v>0</v>
      </c>
      <c r="BO107" s="538">
        <f t="shared" si="225"/>
        <v>28289.37</v>
      </c>
      <c r="BP107" s="539">
        <f t="shared" si="226"/>
        <v>1.6207046727643858E-3</v>
      </c>
      <c r="BQ107" s="540">
        <f t="shared" si="227"/>
        <v>0</v>
      </c>
      <c r="BR107" s="529"/>
      <c r="BS107" s="502"/>
      <c r="BT107" s="530"/>
      <c r="BU107" s="498"/>
      <c r="BV107" s="499"/>
      <c r="BW107" s="499"/>
      <c r="BX107" s="499"/>
      <c r="BY107" s="531">
        <f t="shared" si="139"/>
        <v>0</v>
      </c>
      <c r="BZ107" s="532">
        <f t="shared" si="140"/>
        <v>0</v>
      </c>
      <c r="CA107" s="529"/>
      <c r="CB107" s="533"/>
      <c r="CC107" s="533"/>
      <c r="CD107" s="533"/>
      <c r="CE107" s="533">
        <f t="shared" si="141"/>
        <v>0</v>
      </c>
      <c r="CF107" s="534">
        <f t="shared" si="142"/>
        <v>0</v>
      </c>
      <c r="CG107" s="774">
        <f t="shared" si="228"/>
        <v>0</v>
      </c>
      <c r="CH107" s="775">
        <f t="shared" si="229"/>
        <v>0</v>
      </c>
      <c r="CI107" s="548">
        <f t="shared" si="230"/>
        <v>0</v>
      </c>
      <c r="CJ107" s="773">
        <f t="shared" si="231"/>
        <v>144805.92000000001</v>
      </c>
      <c r="CK107" s="773">
        <f t="shared" si="232"/>
        <v>0</v>
      </c>
      <c r="CL107" s="773">
        <f t="shared" si="233"/>
        <v>0</v>
      </c>
      <c r="CM107" s="773">
        <f t="shared" si="234"/>
        <v>0</v>
      </c>
      <c r="CN107" s="773">
        <f t="shared" si="235"/>
        <v>144805.92000000001</v>
      </c>
      <c r="CO107" s="626">
        <f t="shared" si="236"/>
        <v>8.295965275576864E-3</v>
      </c>
      <c r="CP107" s="1145">
        <f t="shared" si="237"/>
        <v>0</v>
      </c>
      <c r="CQ107" s="1146">
        <f t="shared" si="238"/>
        <v>28289.37</v>
      </c>
      <c r="CR107" s="1146">
        <f t="shared" si="239"/>
        <v>0</v>
      </c>
      <c r="CS107" s="1146">
        <f t="shared" si="240"/>
        <v>0</v>
      </c>
      <c r="CT107" s="1146">
        <f t="shared" si="241"/>
        <v>0</v>
      </c>
      <c r="CU107" s="1146">
        <f t="shared" si="242"/>
        <v>28289.37</v>
      </c>
      <c r="CV107" s="1256">
        <f t="shared" si="243"/>
        <v>1.6207046727643858E-3</v>
      </c>
      <c r="CW107" s="1157">
        <f t="shared" si="244"/>
        <v>0</v>
      </c>
      <c r="CX107" s="529"/>
      <c r="CY107" s="502"/>
      <c r="CZ107" s="530"/>
      <c r="DA107" s="498"/>
      <c r="DB107" s="499"/>
      <c r="DC107" s="499"/>
      <c r="DD107" s="499"/>
      <c r="DE107" s="531">
        <f t="shared" si="143"/>
        <v>0</v>
      </c>
      <c r="DF107" s="532">
        <f t="shared" si="144"/>
        <v>0</v>
      </c>
      <c r="DG107" s="529"/>
      <c r="DH107" s="533"/>
      <c r="DI107" s="533"/>
      <c r="DJ107" s="533"/>
      <c r="DK107" s="533">
        <f t="shared" si="145"/>
        <v>0</v>
      </c>
      <c r="DL107" s="534">
        <f t="shared" si="146"/>
        <v>0</v>
      </c>
      <c r="DM107" s="1258">
        <f t="shared" si="147"/>
        <v>0</v>
      </c>
      <c r="DN107" s="775">
        <f t="shared" si="148"/>
        <v>0</v>
      </c>
      <c r="DO107" s="548">
        <f t="shared" si="149"/>
        <v>0</v>
      </c>
      <c r="DP107" s="773">
        <f t="shared" si="150"/>
        <v>144805.92000000001</v>
      </c>
      <c r="DQ107" s="773">
        <f t="shared" si="151"/>
        <v>0</v>
      </c>
      <c r="DR107" s="773">
        <f t="shared" si="152"/>
        <v>0</v>
      </c>
      <c r="DS107" s="773">
        <f t="shared" si="153"/>
        <v>0</v>
      </c>
      <c r="DT107" s="773">
        <f t="shared" si="154"/>
        <v>144805.92000000001</v>
      </c>
      <c r="DU107" s="526">
        <f t="shared" si="245"/>
        <v>8.295965275576864E-3</v>
      </c>
      <c r="DV107" s="1145">
        <f t="shared" si="155"/>
        <v>0</v>
      </c>
      <c r="DW107" s="1146">
        <f t="shared" si="156"/>
        <v>28289.37</v>
      </c>
      <c r="DX107" s="1146">
        <f t="shared" si="157"/>
        <v>0</v>
      </c>
      <c r="DY107" s="1146">
        <f t="shared" si="158"/>
        <v>0</v>
      </c>
      <c r="DZ107" s="1146">
        <f t="shared" si="159"/>
        <v>0</v>
      </c>
      <c r="EA107" s="1146">
        <f t="shared" si="160"/>
        <v>28289.37</v>
      </c>
      <c r="EB107" s="539">
        <f t="shared" si="246"/>
        <v>1.6207046727643858E-3</v>
      </c>
      <c r="EC107" s="540">
        <f t="shared" si="247"/>
        <v>0</v>
      </c>
      <c r="ES107" s="1258">
        <f t="shared" si="161"/>
        <v>0</v>
      </c>
      <c r="ET107" s="775">
        <f t="shared" si="162"/>
        <v>0</v>
      </c>
      <c r="EU107" s="548">
        <f t="shared" si="163"/>
        <v>0</v>
      </c>
      <c r="EV107" s="773">
        <f t="shared" si="164"/>
        <v>144805.92000000001</v>
      </c>
      <c r="EW107" s="773">
        <f t="shared" si="165"/>
        <v>0</v>
      </c>
      <c r="EX107" s="773">
        <f t="shared" si="166"/>
        <v>0</v>
      </c>
      <c r="EY107" s="773">
        <f t="shared" si="167"/>
        <v>0</v>
      </c>
      <c r="EZ107" s="773">
        <f t="shared" si="168"/>
        <v>144805.92000000001</v>
      </c>
      <c r="FA107" s="626">
        <f t="shared" si="248"/>
        <v>8.295965275576864E-3</v>
      </c>
      <c r="FB107" s="1145">
        <f t="shared" si="169"/>
        <v>0</v>
      </c>
      <c r="FC107" s="1146">
        <f t="shared" si="170"/>
        <v>28289.37</v>
      </c>
      <c r="FD107" s="1146">
        <f t="shared" si="171"/>
        <v>0</v>
      </c>
      <c r="FE107" s="1146">
        <f t="shared" si="172"/>
        <v>0</v>
      </c>
      <c r="FF107" s="1146">
        <f t="shared" si="173"/>
        <v>0</v>
      </c>
      <c r="FG107" s="1146">
        <f t="shared" si="174"/>
        <v>28289.37</v>
      </c>
      <c r="FH107" s="1256">
        <f t="shared" si="249"/>
        <v>1.6207046727643858E-3</v>
      </c>
      <c r="FI107" s="1157">
        <f t="shared" si="250"/>
        <v>0</v>
      </c>
      <c r="FY107" s="1258">
        <f t="shared" si="175"/>
        <v>0</v>
      </c>
      <c r="FZ107" s="775">
        <f t="shared" si="176"/>
        <v>0</v>
      </c>
      <c r="GA107" s="548">
        <f t="shared" si="177"/>
        <v>0</v>
      </c>
      <c r="GB107" s="773">
        <f t="shared" si="178"/>
        <v>144805.92000000001</v>
      </c>
      <c r="GC107" s="773">
        <f t="shared" si="179"/>
        <v>0</v>
      </c>
      <c r="GD107" s="773">
        <f t="shared" si="180"/>
        <v>0</v>
      </c>
      <c r="GE107" s="773">
        <f t="shared" si="181"/>
        <v>0</v>
      </c>
      <c r="GF107" s="773">
        <f t="shared" si="182"/>
        <v>144805.92000000001</v>
      </c>
      <c r="GG107" s="626">
        <f t="shared" si="251"/>
        <v>8.295965275576864E-3</v>
      </c>
      <c r="GH107" s="1145">
        <f t="shared" si="183"/>
        <v>0</v>
      </c>
      <c r="GI107" s="1146">
        <f t="shared" si="184"/>
        <v>28289.37</v>
      </c>
      <c r="GJ107" s="1146">
        <f t="shared" si="185"/>
        <v>0</v>
      </c>
      <c r="GK107" s="1146">
        <f t="shared" si="186"/>
        <v>0</v>
      </c>
      <c r="GL107" s="1146">
        <f t="shared" si="187"/>
        <v>0</v>
      </c>
      <c r="GM107" s="1146">
        <f t="shared" si="188"/>
        <v>28289.37</v>
      </c>
      <c r="GN107" s="1256">
        <f t="shared" si="252"/>
        <v>1.6207046727643858E-3</v>
      </c>
      <c r="GO107" s="1157">
        <f t="shared" si="253"/>
        <v>0</v>
      </c>
      <c r="HE107" s="1675">
        <f t="shared" si="189"/>
        <v>0</v>
      </c>
      <c r="HF107" s="775">
        <f t="shared" si="190"/>
        <v>0</v>
      </c>
      <c r="HG107" s="548">
        <f t="shared" si="191"/>
        <v>0</v>
      </c>
      <c r="HH107" s="773">
        <f t="shared" si="192"/>
        <v>144805.92000000001</v>
      </c>
      <c r="HI107" s="773">
        <f t="shared" si="193"/>
        <v>0</v>
      </c>
      <c r="HJ107" s="773">
        <f t="shared" si="194"/>
        <v>0</v>
      </c>
      <c r="HK107" s="773">
        <f t="shared" si="195"/>
        <v>0</v>
      </c>
      <c r="HL107" s="773">
        <f t="shared" si="196"/>
        <v>144805.92000000001</v>
      </c>
      <c r="HM107" s="626">
        <f t="shared" si="254"/>
        <v>8.295965275576864E-3</v>
      </c>
      <c r="HN107" s="1145">
        <f t="shared" si="197"/>
        <v>0</v>
      </c>
      <c r="HO107" s="1146">
        <f t="shared" si="198"/>
        <v>28289.37</v>
      </c>
      <c r="HP107" s="1146">
        <f t="shared" si="199"/>
        <v>0</v>
      </c>
      <c r="HQ107" s="1146">
        <f t="shared" si="200"/>
        <v>0</v>
      </c>
      <c r="HR107" s="1146">
        <f t="shared" si="201"/>
        <v>0</v>
      </c>
      <c r="HS107" s="1146">
        <f t="shared" si="202"/>
        <v>28289.37</v>
      </c>
      <c r="HT107" s="1256">
        <f t="shared" si="255"/>
        <v>1.6207046727643858E-3</v>
      </c>
      <c r="HU107" s="1157">
        <f t="shared" si="256"/>
        <v>0</v>
      </c>
    </row>
    <row r="108" spans="1:229" ht="13.5" customHeight="1" outlineLevel="1" x14ac:dyDescent="0.2">
      <c r="A108" s="474"/>
      <c r="B108" s="1412"/>
      <c r="C108" s="511">
        <v>99</v>
      </c>
      <c r="D108" s="587" t="s">
        <v>113</v>
      </c>
      <c r="E108" s="1719">
        <v>35</v>
      </c>
      <c r="F108" s="542">
        <v>2548.9</v>
      </c>
      <c r="G108" s="543">
        <f t="shared" si="259"/>
        <v>72.825714285714284</v>
      </c>
      <c r="H108" s="544">
        <f>19-9</f>
        <v>10</v>
      </c>
      <c r="I108" s="542">
        <f>209.59-99.36</f>
        <v>110.23</v>
      </c>
      <c r="J108" s="542">
        <f>I108/H108</f>
        <v>11.023</v>
      </c>
      <c r="K108" s="544">
        <v>0</v>
      </c>
      <c r="L108" s="542">
        <v>0</v>
      </c>
      <c r="M108" s="542">
        <v>0</v>
      </c>
      <c r="N108" s="545">
        <f t="shared" si="260"/>
        <v>2659.13</v>
      </c>
      <c r="O108" s="484">
        <v>0</v>
      </c>
      <c r="P108" s="542">
        <f>14400131.18+2357.79-neprodano!EC33</f>
        <v>13817078.607699189</v>
      </c>
      <c r="Q108" s="576">
        <f>4199961.09-neprodano!ED33</f>
        <v>4048680.5219999999</v>
      </c>
      <c r="R108" s="519">
        <f t="shared" si="261"/>
        <v>17865759.129699189</v>
      </c>
      <c r="S108" s="546">
        <f t="shared" si="203"/>
        <v>17865759.129699189</v>
      </c>
      <c r="T108" s="521">
        <f>3737764.42-184.25*7.354159*99.36</f>
        <v>3603131.2428542799</v>
      </c>
      <c r="U108" s="547">
        <v>0</v>
      </c>
      <c r="V108" s="547">
        <v>0</v>
      </c>
      <c r="W108" s="548">
        <v>0</v>
      </c>
      <c r="X108" s="549">
        <v>0</v>
      </c>
      <c r="Y108" s="549">
        <v>0</v>
      </c>
      <c r="Z108" s="549">
        <v>0</v>
      </c>
      <c r="AA108" s="525">
        <f t="shared" si="204"/>
        <v>0</v>
      </c>
      <c r="AB108" s="524">
        <f t="shared" si="205"/>
        <v>0</v>
      </c>
      <c r="AC108" s="526">
        <f t="shared" si="206"/>
        <v>0</v>
      </c>
      <c r="AD108" s="547">
        <v>0</v>
      </c>
      <c r="AE108" s="547">
        <v>0</v>
      </c>
      <c r="AF108" s="547">
        <v>0</v>
      </c>
      <c r="AG108" s="547">
        <v>0</v>
      </c>
      <c r="AH108" s="363">
        <f t="shared" si="207"/>
        <v>0</v>
      </c>
      <c r="AI108" s="547">
        <f t="shared" si="208"/>
        <v>0</v>
      </c>
      <c r="AJ108" s="550">
        <f t="shared" si="209"/>
        <v>0</v>
      </c>
      <c r="AK108" s="551">
        <f t="shared" si="210"/>
        <v>0</v>
      </c>
      <c r="AL108" s="529"/>
      <c r="AM108" s="502"/>
      <c r="AN108" s="530"/>
      <c r="AO108" s="498"/>
      <c r="AP108" s="499"/>
      <c r="AQ108" s="499"/>
      <c r="AR108" s="499"/>
      <c r="AS108" s="531">
        <f t="shared" si="135"/>
        <v>0</v>
      </c>
      <c r="AT108" s="532">
        <f t="shared" si="136"/>
        <v>0</v>
      </c>
      <c r="AU108" s="529">
        <v>0</v>
      </c>
      <c r="AV108" s="533">
        <v>0</v>
      </c>
      <c r="AW108" s="533">
        <v>0</v>
      </c>
      <c r="AX108" s="533">
        <v>0</v>
      </c>
      <c r="AY108" s="533">
        <f t="shared" si="137"/>
        <v>0</v>
      </c>
      <c r="AZ108" s="534">
        <f t="shared" si="138"/>
        <v>0</v>
      </c>
      <c r="BA108" s="535">
        <f t="shared" si="211"/>
        <v>0</v>
      </c>
      <c r="BB108" s="536">
        <f t="shared" si="212"/>
        <v>0</v>
      </c>
      <c r="BC108" s="523">
        <f t="shared" si="213"/>
        <v>0</v>
      </c>
      <c r="BD108" s="525">
        <f t="shared" si="214"/>
        <v>0</v>
      </c>
      <c r="BE108" s="525">
        <f t="shared" si="215"/>
        <v>0</v>
      </c>
      <c r="BF108" s="525">
        <f t="shared" si="216"/>
        <v>0</v>
      </c>
      <c r="BG108" s="525">
        <f t="shared" si="217"/>
        <v>0</v>
      </c>
      <c r="BH108" s="525">
        <f t="shared" si="218"/>
        <v>0</v>
      </c>
      <c r="BI108" s="526">
        <f t="shared" si="219"/>
        <v>0</v>
      </c>
      <c r="BJ108" s="537">
        <f t="shared" si="220"/>
        <v>0</v>
      </c>
      <c r="BK108" s="538">
        <f t="shared" si="221"/>
        <v>0</v>
      </c>
      <c r="BL108" s="538">
        <f t="shared" si="222"/>
        <v>0</v>
      </c>
      <c r="BM108" s="538">
        <f t="shared" si="223"/>
        <v>0</v>
      </c>
      <c r="BN108" s="538">
        <f t="shared" si="224"/>
        <v>0</v>
      </c>
      <c r="BO108" s="538">
        <f t="shared" si="225"/>
        <v>0</v>
      </c>
      <c r="BP108" s="539">
        <f t="shared" si="226"/>
        <v>0</v>
      </c>
      <c r="BQ108" s="540">
        <f t="shared" si="227"/>
        <v>0</v>
      </c>
      <c r="BR108" s="529"/>
      <c r="BS108" s="502"/>
      <c r="BT108" s="530"/>
      <c r="BU108" s="498"/>
      <c r="BV108" s="499"/>
      <c r="BW108" s="499"/>
      <c r="BX108" s="499"/>
      <c r="BY108" s="531">
        <f t="shared" si="139"/>
        <v>0</v>
      </c>
      <c r="BZ108" s="532">
        <f t="shared" si="140"/>
        <v>0</v>
      </c>
      <c r="CA108" s="529"/>
      <c r="CB108" s="533"/>
      <c r="CC108" s="533"/>
      <c r="CD108" s="533"/>
      <c r="CE108" s="533">
        <f t="shared" si="141"/>
        <v>0</v>
      </c>
      <c r="CF108" s="534">
        <f t="shared" si="142"/>
        <v>0</v>
      </c>
      <c r="CG108" s="774">
        <f t="shared" si="228"/>
        <v>0</v>
      </c>
      <c r="CH108" s="775">
        <f t="shared" si="229"/>
        <v>0</v>
      </c>
      <c r="CI108" s="548">
        <f t="shared" si="230"/>
        <v>0</v>
      </c>
      <c r="CJ108" s="773">
        <f t="shared" si="231"/>
        <v>0</v>
      </c>
      <c r="CK108" s="773">
        <f t="shared" si="232"/>
        <v>0</v>
      </c>
      <c r="CL108" s="773">
        <f t="shared" si="233"/>
        <v>0</v>
      </c>
      <c r="CM108" s="773">
        <f t="shared" si="234"/>
        <v>0</v>
      </c>
      <c r="CN108" s="773">
        <f t="shared" si="235"/>
        <v>0</v>
      </c>
      <c r="CO108" s="626">
        <f t="shared" si="236"/>
        <v>0</v>
      </c>
      <c r="CP108" s="1145">
        <f t="shared" si="237"/>
        <v>0</v>
      </c>
      <c r="CQ108" s="1146">
        <f t="shared" si="238"/>
        <v>0</v>
      </c>
      <c r="CR108" s="1146">
        <f t="shared" si="239"/>
        <v>0</v>
      </c>
      <c r="CS108" s="1146">
        <f t="shared" si="240"/>
        <v>0</v>
      </c>
      <c r="CT108" s="1146">
        <f t="shared" si="241"/>
        <v>0</v>
      </c>
      <c r="CU108" s="1146">
        <f t="shared" si="242"/>
        <v>0</v>
      </c>
      <c r="CV108" s="1256">
        <f t="shared" si="243"/>
        <v>0</v>
      </c>
      <c r="CW108" s="1157">
        <f t="shared" si="244"/>
        <v>0</v>
      </c>
      <c r="CX108" s="529"/>
      <c r="CY108" s="502"/>
      <c r="CZ108" s="530"/>
      <c r="DA108" s="498"/>
      <c r="DB108" s="499"/>
      <c r="DC108" s="499"/>
      <c r="DD108" s="499"/>
      <c r="DE108" s="531">
        <f t="shared" si="143"/>
        <v>0</v>
      </c>
      <c r="DF108" s="532">
        <f t="shared" si="144"/>
        <v>0</v>
      </c>
      <c r="DG108" s="529"/>
      <c r="DH108" s="533"/>
      <c r="DI108" s="533"/>
      <c r="DJ108" s="533"/>
      <c r="DK108" s="533">
        <f t="shared" si="145"/>
        <v>0</v>
      </c>
      <c r="DL108" s="534">
        <f t="shared" si="146"/>
        <v>0</v>
      </c>
      <c r="DM108" s="1258">
        <f t="shared" si="147"/>
        <v>0</v>
      </c>
      <c r="DN108" s="775">
        <f t="shared" si="148"/>
        <v>0</v>
      </c>
      <c r="DO108" s="548">
        <f t="shared" si="149"/>
        <v>0</v>
      </c>
      <c r="DP108" s="773">
        <f t="shared" si="150"/>
        <v>0</v>
      </c>
      <c r="DQ108" s="773">
        <f t="shared" si="151"/>
        <v>0</v>
      </c>
      <c r="DR108" s="773">
        <f t="shared" si="152"/>
        <v>0</v>
      </c>
      <c r="DS108" s="773">
        <f t="shared" si="153"/>
        <v>0</v>
      </c>
      <c r="DT108" s="773">
        <f t="shared" si="154"/>
        <v>0</v>
      </c>
      <c r="DU108" s="526">
        <f t="shared" si="245"/>
        <v>0</v>
      </c>
      <c r="DV108" s="1145">
        <f t="shared" si="155"/>
        <v>0</v>
      </c>
      <c r="DW108" s="1146">
        <f t="shared" si="156"/>
        <v>0</v>
      </c>
      <c r="DX108" s="1146">
        <f t="shared" si="157"/>
        <v>0</v>
      </c>
      <c r="DY108" s="1146">
        <f t="shared" si="158"/>
        <v>0</v>
      </c>
      <c r="DZ108" s="1146">
        <f t="shared" si="159"/>
        <v>0</v>
      </c>
      <c r="EA108" s="1146">
        <f t="shared" si="160"/>
        <v>0</v>
      </c>
      <c r="EB108" s="539">
        <f t="shared" si="246"/>
        <v>0</v>
      </c>
      <c r="EC108" s="540">
        <f t="shared" si="247"/>
        <v>0</v>
      </c>
      <c r="ES108" s="1258">
        <f t="shared" si="161"/>
        <v>0</v>
      </c>
      <c r="ET108" s="775">
        <f t="shared" si="162"/>
        <v>0</v>
      </c>
      <c r="EU108" s="548">
        <f t="shared" si="163"/>
        <v>0</v>
      </c>
      <c r="EV108" s="773">
        <f t="shared" si="164"/>
        <v>0</v>
      </c>
      <c r="EW108" s="773">
        <f t="shared" si="165"/>
        <v>0</v>
      </c>
      <c r="EX108" s="773">
        <f t="shared" si="166"/>
        <v>0</v>
      </c>
      <c r="EY108" s="773">
        <f t="shared" si="167"/>
        <v>0</v>
      </c>
      <c r="EZ108" s="773">
        <f t="shared" si="168"/>
        <v>0</v>
      </c>
      <c r="FA108" s="626">
        <f t="shared" si="248"/>
        <v>0</v>
      </c>
      <c r="FB108" s="1145">
        <f t="shared" si="169"/>
        <v>0</v>
      </c>
      <c r="FC108" s="1146">
        <f t="shared" si="170"/>
        <v>0</v>
      </c>
      <c r="FD108" s="1146">
        <f t="shared" si="171"/>
        <v>0</v>
      </c>
      <c r="FE108" s="1146">
        <f t="shared" si="172"/>
        <v>0</v>
      </c>
      <c r="FF108" s="1146">
        <f t="shared" si="173"/>
        <v>0</v>
      </c>
      <c r="FG108" s="1146">
        <f t="shared" si="174"/>
        <v>0</v>
      </c>
      <c r="FH108" s="1256">
        <f t="shared" si="249"/>
        <v>0</v>
      </c>
      <c r="FI108" s="1157">
        <f t="shared" si="250"/>
        <v>0</v>
      </c>
      <c r="FY108" s="1258">
        <f t="shared" si="175"/>
        <v>0</v>
      </c>
      <c r="FZ108" s="775">
        <f t="shared" si="176"/>
        <v>0</v>
      </c>
      <c r="GA108" s="548">
        <f t="shared" si="177"/>
        <v>0</v>
      </c>
      <c r="GB108" s="773">
        <f t="shared" si="178"/>
        <v>0</v>
      </c>
      <c r="GC108" s="773">
        <f t="shared" si="179"/>
        <v>0</v>
      </c>
      <c r="GD108" s="773">
        <f t="shared" si="180"/>
        <v>0</v>
      </c>
      <c r="GE108" s="773">
        <f t="shared" si="181"/>
        <v>0</v>
      </c>
      <c r="GF108" s="773">
        <f t="shared" si="182"/>
        <v>0</v>
      </c>
      <c r="GG108" s="626">
        <f t="shared" si="251"/>
        <v>0</v>
      </c>
      <c r="GH108" s="1145">
        <f t="shared" si="183"/>
        <v>0</v>
      </c>
      <c r="GI108" s="1146">
        <f t="shared" si="184"/>
        <v>0</v>
      </c>
      <c r="GJ108" s="1146">
        <f t="shared" si="185"/>
        <v>0</v>
      </c>
      <c r="GK108" s="1146">
        <f t="shared" si="186"/>
        <v>0</v>
      </c>
      <c r="GL108" s="1146">
        <f t="shared" si="187"/>
        <v>0</v>
      </c>
      <c r="GM108" s="1146">
        <f t="shared" si="188"/>
        <v>0</v>
      </c>
      <c r="GN108" s="1256">
        <f t="shared" si="252"/>
        <v>0</v>
      </c>
      <c r="GO108" s="1157">
        <f t="shared" si="253"/>
        <v>0</v>
      </c>
      <c r="HE108" s="1675">
        <f t="shared" si="189"/>
        <v>0</v>
      </c>
      <c r="HF108" s="775">
        <f t="shared" si="190"/>
        <v>0</v>
      </c>
      <c r="HG108" s="548">
        <f t="shared" si="191"/>
        <v>0</v>
      </c>
      <c r="HH108" s="773">
        <f t="shared" si="192"/>
        <v>0</v>
      </c>
      <c r="HI108" s="773">
        <f t="shared" si="193"/>
        <v>0</v>
      </c>
      <c r="HJ108" s="773">
        <f t="shared" si="194"/>
        <v>0</v>
      </c>
      <c r="HK108" s="773">
        <f t="shared" si="195"/>
        <v>0</v>
      </c>
      <c r="HL108" s="773">
        <f t="shared" si="196"/>
        <v>0</v>
      </c>
      <c r="HM108" s="626">
        <f t="shared" si="254"/>
        <v>0</v>
      </c>
      <c r="HN108" s="1145">
        <f t="shared" si="197"/>
        <v>0</v>
      </c>
      <c r="HO108" s="1146">
        <f t="shared" si="198"/>
        <v>0</v>
      </c>
      <c r="HP108" s="1146">
        <f t="shared" si="199"/>
        <v>0</v>
      </c>
      <c r="HQ108" s="1146">
        <f t="shared" si="200"/>
        <v>0</v>
      </c>
      <c r="HR108" s="1146">
        <f t="shared" si="201"/>
        <v>0</v>
      </c>
      <c r="HS108" s="1146">
        <f t="shared" si="202"/>
        <v>0</v>
      </c>
      <c r="HT108" s="1256">
        <f t="shared" si="255"/>
        <v>0</v>
      </c>
      <c r="HU108" s="1157">
        <f t="shared" si="256"/>
        <v>0</v>
      </c>
    </row>
    <row r="109" spans="1:229" ht="13.5" customHeight="1" outlineLevel="1" x14ac:dyDescent="0.2">
      <c r="A109" s="474"/>
      <c r="B109" s="1412"/>
      <c r="C109" s="511">
        <v>100</v>
      </c>
      <c r="D109" s="560" t="s">
        <v>114</v>
      </c>
      <c r="E109" s="1721">
        <v>40</v>
      </c>
      <c r="F109" s="558">
        <v>2877.2</v>
      </c>
      <c r="G109" s="543">
        <f t="shared" si="259"/>
        <v>71.929999999999993</v>
      </c>
      <c r="H109" s="559">
        <v>9</v>
      </c>
      <c r="I109" s="558">
        <v>127.7</v>
      </c>
      <c r="J109" s="542">
        <f>I109/H109</f>
        <v>14.18888888888889</v>
      </c>
      <c r="K109" s="559">
        <v>3</v>
      </c>
      <c r="L109" s="558">
        <v>225.15</v>
      </c>
      <c r="M109" s="542">
        <f>L109/K109</f>
        <v>75.05</v>
      </c>
      <c r="N109" s="545">
        <f t="shared" si="260"/>
        <v>3230.0499999999997</v>
      </c>
      <c r="O109" s="518">
        <v>0</v>
      </c>
      <c r="P109" s="542">
        <v>15864696.039999999</v>
      </c>
      <c r="Q109" s="576">
        <v>4632732.04</v>
      </c>
      <c r="R109" s="519">
        <f t="shared" si="261"/>
        <v>20497428.079999998</v>
      </c>
      <c r="S109" s="546">
        <f t="shared" si="203"/>
        <v>20497428.079999998</v>
      </c>
      <c r="T109" s="521">
        <v>4896462.92</v>
      </c>
      <c r="U109" s="547">
        <v>0</v>
      </c>
      <c r="V109" s="547">
        <v>0</v>
      </c>
      <c r="W109" s="548">
        <v>0</v>
      </c>
      <c r="X109" s="549">
        <v>0</v>
      </c>
      <c r="Y109" s="549">
        <v>0</v>
      </c>
      <c r="Z109" s="549">
        <v>0</v>
      </c>
      <c r="AA109" s="525">
        <f t="shared" si="204"/>
        <v>0</v>
      </c>
      <c r="AB109" s="524">
        <f t="shared" si="205"/>
        <v>0</v>
      </c>
      <c r="AC109" s="526">
        <f t="shared" si="206"/>
        <v>0</v>
      </c>
      <c r="AD109" s="547">
        <v>0</v>
      </c>
      <c r="AE109" s="547">
        <v>0</v>
      </c>
      <c r="AF109" s="547">
        <v>0</v>
      </c>
      <c r="AG109" s="547">
        <v>0</v>
      </c>
      <c r="AH109" s="363">
        <f t="shared" si="207"/>
        <v>0</v>
      </c>
      <c r="AI109" s="547">
        <f t="shared" si="208"/>
        <v>0</v>
      </c>
      <c r="AJ109" s="550">
        <f t="shared" si="209"/>
        <v>0</v>
      </c>
      <c r="AK109" s="551">
        <f t="shared" si="210"/>
        <v>0</v>
      </c>
      <c r="AL109" s="529"/>
      <c r="AM109" s="502"/>
      <c r="AN109" s="530"/>
      <c r="AO109" s="498"/>
      <c r="AP109" s="499"/>
      <c r="AQ109" s="499"/>
      <c r="AR109" s="499"/>
      <c r="AS109" s="531">
        <f t="shared" si="135"/>
        <v>0</v>
      </c>
      <c r="AT109" s="532">
        <f t="shared" si="136"/>
        <v>0</v>
      </c>
      <c r="AU109" s="529">
        <v>0</v>
      </c>
      <c r="AV109" s="533">
        <v>0</v>
      </c>
      <c r="AW109" s="533">
        <v>0</v>
      </c>
      <c r="AX109" s="533">
        <v>0</v>
      </c>
      <c r="AY109" s="533">
        <f t="shared" si="137"/>
        <v>0</v>
      </c>
      <c r="AZ109" s="534">
        <f t="shared" si="138"/>
        <v>0</v>
      </c>
      <c r="BA109" s="535">
        <f t="shared" si="211"/>
        <v>0</v>
      </c>
      <c r="BB109" s="536">
        <f t="shared" si="212"/>
        <v>0</v>
      </c>
      <c r="BC109" s="523">
        <f t="shared" si="213"/>
        <v>0</v>
      </c>
      <c r="BD109" s="525">
        <f t="shared" si="214"/>
        <v>0</v>
      </c>
      <c r="BE109" s="525">
        <f t="shared" si="215"/>
        <v>0</v>
      </c>
      <c r="BF109" s="525">
        <f t="shared" si="216"/>
        <v>0</v>
      </c>
      <c r="BG109" s="525">
        <f t="shared" si="217"/>
        <v>0</v>
      </c>
      <c r="BH109" s="525">
        <f t="shared" si="218"/>
        <v>0</v>
      </c>
      <c r="BI109" s="526">
        <f t="shared" si="219"/>
        <v>0</v>
      </c>
      <c r="BJ109" s="537">
        <f t="shared" si="220"/>
        <v>0</v>
      </c>
      <c r="BK109" s="538">
        <f t="shared" si="221"/>
        <v>0</v>
      </c>
      <c r="BL109" s="538">
        <f t="shared" si="222"/>
        <v>0</v>
      </c>
      <c r="BM109" s="538">
        <f t="shared" si="223"/>
        <v>0</v>
      </c>
      <c r="BN109" s="538">
        <f t="shared" si="224"/>
        <v>0</v>
      </c>
      <c r="BO109" s="538">
        <f t="shared" si="225"/>
        <v>0</v>
      </c>
      <c r="BP109" s="539">
        <f t="shared" si="226"/>
        <v>0</v>
      </c>
      <c r="BQ109" s="540">
        <f t="shared" si="227"/>
        <v>0</v>
      </c>
      <c r="BR109" s="529"/>
      <c r="BS109" s="502"/>
      <c r="BT109" s="530"/>
      <c r="BU109" s="498"/>
      <c r="BV109" s="499"/>
      <c r="BW109" s="499"/>
      <c r="BX109" s="499"/>
      <c r="BY109" s="531">
        <f t="shared" si="139"/>
        <v>0</v>
      </c>
      <c r="BZ109" s="532">
        <f t="shared" si="140"/>
        <v>0</v>
      </c>
      <c r="CA109" s="529"/>
      <c r="CB109" s="533"/>
      <c r="CC109" s="533"/>
      <c r="CD109" s="533"/>
      <c r="CE109" s="533">
        <f t="shared" si="141"/>
        <v>0</v>
      </c>
      <c r="CF109" s="534">
        <f t="shared" si="142"/>
        <v>0</v>
      </c>
      <c r="CG109" s="774">
        <f t="shared" si="228"/>
        <v>0</v>
      </c>
      <c r="CH109" s="775">
        <f t="shared" si="229"/>
        <v>0</v>
      </c>
      <c r="CI109" s="548">
        <f t="shared" si="230"/>
        <v>0</v>
      </c>
      <c r="CJ109" s="773">
        <f t="shared" si="231"/>
        <v>0</v>
      </c>
      <c r="CK109" s="773">
        <f t="shared" si="232"/>
        <v>0</v>
      </c>
      <c r="CL109" s="773">
        <f t="shared" si="233"/>
        <v>0</v>
      </c>
      <c r="CM109" s="773">
        <f t="shared" si="234"/>
        <v>0</v>
      </c>
      <c r="CN109" s="773">
        <f t="shared" si="235"/>
        <v>0</v>
      </c>
      <c r="CO109" s="626">
        <f t="shared" si="236"/>
        <v>0</v>
      </c>
      <c r="CP109" s="1145">
        <f t="shared" si="237"/>
        <v>0</v>
      </c>
      <c r="CQ109" s="1146">
        <f t="shared" si="238"/>
        <v>0</v>
      </c>
      <c r="CR109" s="1146">
        <f t="shared" si="239"/>
        <v>0</v>
      </c>
      <c r="CS109" s="1146">
        <f t="shared" si="240"/>
        <v>0</v>
      </c>
      <c r="CT109" s="1146">
        <f t="shared" si="241"/>
        <v>0</v>
      </c>
      <c r="CU109" s="1146">
        <f t="shared" si="242"/>
        <v>0</v>
      </c>
      <c r="CV109" s="1256">
        <f t="shared" si="243"/>
        <v>0</v>
      </c>
      <c r="CW109" s="1157">
        <f t="shared" si="244"/>
        <v>0</v>
      </c>
      <c r="CX109" s="529"/>
      <c r="CY109" s="502"/>
      <c r="CZ109" s="530"/>
      <c r="DA109" s="498"/>
      <c r="DB109" s="499"/>
      <c r="DC109" s="499"/>
      <c r="DD109" s="499"/>
      <c r="DE109" s="531">
        <f t="shared" si="143"/>
        <v>0</v>
      </c>
      <c r="DF109" s="532">
        <f t="shared" si="144"/>
        <v>0</v>
      </c>
      <c r="DG109" s="529"/>
      <c r="DH109" s="533"/>
      <c r="DI109" s="533"/>
      <c r="DJ109" s="533"/>
      <c r="DK109" s="533">
        <f t="shared" si="145"/>
        <v>0</v>
      </c>
      <c r="DL109" s="534">
        <f t="shared" si="146"/>
        <v>0</v>
      </c>
      <c r="DM109" s="1258">
        <f t="shared" si="147"/>
        <v>0</v>
      </c>
      <c r="DN109" s="775">
        <f t="shared" si="148"/>
        <v>0</v>
      </c>
      <c r="DO109" s="548">
        <f t="shared" si="149"/>
        <v>0</v>
      </c>
      <c r="DP109" s="773">
        <f t="shared" si="150"/>
        <v>0</v>
      </c>
      <c r="DQ109" s="773">
        <f t="shared" si="151"/>
        <v>0</v>
      </c>
      <c r="DR109" s="773">
        <f t="shared" si="152"/>
        <v>0</v>
      </c>
      <c r="DS109" s="773">
        <f t="shared" si="153"/>
        <v>0</v>
      </c>
      <c r="DT109" s="773">
        <f t="shared" si="154"/>
        <v>0</v>
      </c>
      <c r="DU109" s="526">
        <f t="shared" si="245"/>
        <v>0</v>
      </c>
      <c r="DV109" s="1145">
        <f t="shared" si="155"/>
        <v>0</v>
      </c>
      <c r="DW109" s="1146">
        <f t="shared" si="156"/>
        <v>0</v>
      </c>
      <c r="DX109" s="1146">
        <f t="shared" si="157"/>
        <v>0</v>
      </c>
      <c r="DY109" s="1146">
        <f t="shared" si="158"/>
        <v>0</v>
      </c>
      <c r="DZ109" s="1146">
        <f t="shared" si="159"/>
        <v>0</v>
      </c>
      <c r="EA109" s="1146">
        <f t="shared" si="160"/>
        <v>0</v>
      </c>
      <c r="EB109" s="539">
        <f t="shared" si="246"/>
        <v>0</v>
      </c>
      <c r="EC109" s="540">
        <f t="shared" si="247"/>
        <v>0</v>
      </c>
      <c r="ES109" s="1258">
        <f t="shared" si="161"/>
        <v>0</v>
      </c>
      <c r="ET109" s="775">
        <f t="shared" si="162"/>
        <v>0</v>
      </c>
      <c r="EU109" s="548">
        <f t="shared" si="163"/>
        <v>0</v>
      </c>
      <c r="EV109" s="773">
        <f t="shared" si="164"/>
        <v>0</v>
      </c>
      <c r="EW109" s="773">
        <f t="shared" si="165"/>
        <v>0</v>
      </c>
      <c r="EX109" s="773">
        <f t="shared" si="166"/>
        <v>0</v>
      </c>
      <c r="EY109" s="773">
        <f t="shared" si="167"/>
        <v>0</v>
      </c>
      <c r="EZ109" s="773">
        <f t="shared" si="168"/>
        <v>0</v>
      </c>
      <c r="FA109" s="626">
        <f t="shared" si="248"/>
        <v>0</v>
      </c>
      <c r="FB109" s="1145">
        <f t="shared" si="169"/>
        <v>0</v>
      </c>
      <c r="FC109" s="1146">
        <f t="shared" si="170"/>
        <v>0</v>
      </c>
      <c r="FD109" s="1146">
        <f t="shared" si="171"/>
        <v>0</v>
      </c>
      <c r="FE109" s="1146">
        <f t="shared" si="172"/>
        <v>0</v>
      </c>
      <c r="FF109" s="1146">
        <f t="shared" si="173"/>
        <v>0</v>
      </c>
      <c r="FG109" s="1146">
        <f t="shared" si="174"/>
        <v>0</v>
      </c>
      <c r="FH109" s="1256">
        <f t="shared" si="249"/>
        <v>0</v>
      </c>
      <c r="FI109" s="1157">
        <f t="shared" si="250"/>
        <v>0</v>
      </c>
      <c r="FY109" s="1258">
        <f t="shared" si="175"/>
        <v>0</v>
      </c>
      <c r="FZ109" s="775">
        <f t="shared" si="176"/>
        <v>0</v>
      </c>
      <c r="GA109" s="548">
        <f t="shared" si="177"/>
        <v>0</v>
      </c>
      <c r="GB109" s="773">
        <f t="shared" si="178"/>
        <v>0</v>
      </c>
      <c r="GC109" s="773">
        <f t="shared" si="179"/>
        <v>0</v>
      </c>
      <c r="GD109" s="773">
        <f t="shared" si="180"/>
        <v>0</v>
      </c>
      <c r="GE109" s="773">
        <f t="shared" si="181"/>
        <v>0</v>
      </c>
      <c r="GF109" s="773">
        <f t="shared" si="182"/>
        <v>0</v>
      </c>
      <c r="GG109" s="626">
        <f t="shared" si="251"/>
        <v>0</v>
      </c>
      <c r="GH109" s="1145">
        <f t="shared" si="183"/>
        <v>0</v>
      </c>
      <c r="GI109" s="1146">
        <f t="shared" si="184"/>
        <v>0</v>
      </c>
      <c r="GJ109" s="1146">
        <f t="shared" si="185"/>
        <v>0</v>
      </c>
      <c r="GK109" s="1146">
        <f t="shared" si="186"/>
        <v>0</v>
      </c>
      <c r="GL109" s="1146">
        <f t="shared" si="187"/>
        <v>0</v>
      </c>
      <c r="GM109" s="1146">
        <f t="shared" si="188"/>
        <v>0</v>
      </c>
      <c r="GN109" s="1256">
        <f t="shared" si="252"/>
        <v>0</v>
      </c>
      <c r="GO109" s="1157">
        <f t="shared" si="253"/>
        <v>0</v>
      </c>
      <c r="HE109" s="1675">
        <f t="shared" si="189"/>
        <v>0</v>
      </c>
      <c r="HF109" s="775">
        <f t="shared" si="190"/>
        <v>0</v>
      </c>
      <c r="HG109" s="548">
        <f t="shared" si="191"/>
        <v>0</v>
      </c>
      <c r="HH109" s="773">
        <f t="shared" si="192"/>
        <v>0</v>
      </c>
      <c r="HI109" s="773">
        <f t="shared" si="193"/>
        <v>0</v>
      </c>
      <c r="HJ109" s="773">
        <f t="shared" si="194"/>
        <v>0</v>
      </c>
      <c r="HK109" s="773">
        <f t="shared" si="195"/>
        <v>0</v>
      </c>
      <c r="HL109" s="773">
        <f t="shared" si="196"/>
        <v>0</v>
      </c>
      <c r="HM109" s="626">
        <f t="shared" si="254"/>
        <v>0</v>
      </c>
      <c r="HN109" s="1145">
        <f t="shared" si="197"/>
        <v>0</v>
      </c>
      <c r="HO109" s="1146">
        <f t="shared" si="198"/>
        <v>0</v>
      </c>
      <c r="HP109" s="1146">
        <f t="shared" si="199"/>
        <v>0</v>
      </c>
      <c r="HQ109" s="1146">
        <f t="shared" si="200"/>
        <v>0</v>
      </c>
      <c r="HR109" s="1146">
        <f t="shared" si="201"/>
        <v>0</v>
      </c>
      <c r="HS109" s="1146">
        <f t="shared" si="202"/>
        <v>0</v>
      </c>
      <c r="HT109" s="1256">
        <f t="shared" si="255"/>
        <v>0</v>
      </c>
      <c r="HU109" s="1157">
        <f t="shared" si="256"/>
        <v>0</v>
      </c>
    </row>
    <row r="110" spans="1:229" ht="13.5" customHeight="1" outlineLevel="1" x14ac:dyDescent="0.2">
      <c r="A110" s="474"/>
      <c r="B110" s="1412"/>
      <c r="C110" s="511">
        <v>101</v>
      </c>
      <c r="D110" s="560" t="s">
        <v>124</v>
      </c>
      <c r="E110" s="1721">
        <v>28</v>
      </c>
      <c r="F110" s="558">
        <v>2168.9499999999998</v>
      </c>
      <c r="G110" s="543">
        <f t="shared" si="259"/>
        <v>77.462499999999991</v>
      </c>
      <c r="H110" s="559">
        <v>20</v>
      </c>
      <c r="I110" s="558">
        <v>227.65</v>
      </c>
      <c r="J110" s="542">
        <f>I110/H110</f>
        <v>11.3825</v>
      </c>
      <c r="K110" s="559">
        <v>1</v>
      </c>
      <c r="L110" s="558">
        <v>29.3</v>
      </c>
      <c r="M110" s="542">
        <f>L110/K110</f>
        <v>29.3</v>
      </c>
      <c r="N110" s="545">
        <f t="shared" si="260"/>
        <v>2425.9</v>
      </c>
      <c r="O110" s="518">
        <v>0</v>
      </c>
      <c r="P110" s="542">
        <v>12728390.869999999</v>
      </c>
      <c r="Q110" s="576">
        <v>3631915.56</v>
      </c>
      <c r="R110" s="519">
        <f t="shared" si="261"/>
        <v>16360306.43</v>
      </c>
      <c r="S110" s="546">
        <f t="shared" si="203"/>
        <v>16360306.43</v>
      </c>
      <c r="T110" s="521">
        <v>3378355.68</v>
      </c>
      <c r="U110" s="547">
        <v>0</v>
      </c>
      <c r="V110" s="547">
        <v>0</v>
      </c>
      <c r="W110" s="548">
        <v>0</v>
      </c>
      <c r="X110" s="549">
        <v>0</v>
      </c>
      <c r="Y110" s="549">
        <v>0</v>
      </c>
      <c r="Z110" s="549">
        <v>0</v>
      </c>
      <c r="AA110" s="525">
        <f t="shared" si="204"/>
        <v>0</v>
      </c>
      <c r="AB110" s="524">
        <f t="shared" si="205"/>
        <v>0</v>
      </c>
      <c r="AC110" s="526">
        <f t="shared" si="206"/>
        <v>0</v>
      </c>
      <c r="AD110" s="547">
        <v>0</v>
      </c>
      <c r="AE110" s="547">
        <v>0</v>
      </c>
      <c r="AF110" s="547">
        <v>0</v>
      </c>
      <c r="AG110" s="547">
        <v>0</v>
      </c>
      <c r="AH110" s="363">
        <f t="shared" si="207"/>
        <v>0</v>
      </c>
      <c r="AI110" s="547">
        <f t="shared" si="208"/>
        <v>0</v>
      </c>
      <c r="AJ110" s="550">
        <f t="shared" si="209"/>
        <v>0</v>
      </c>
      <c r="AK110" s="551">
        <f t="shared" si="210"/>
        <v>0</v>
      </c>
      <c r="AL110" s="529"/>
      <c r="AM110" s="502"/>
      <c r="AN110" s="530"/>
      <c r="AO110" s="498"/>
      <c r="AP110" s="499"/>
      <c r="AQ110" s="499"/>
      <c r="AR110" s="499"/>
      <c r="AS110" s="531">
        <f t="shared" si="135"/>
        <v>0</v>
      </c>
      <c r="AT110" s="532">
        <f t="shared" si="136"/>
        <v>0</v>
      </c>
      <c r="AU110" s="529">
        <v>0</v>
      </c>
      <c r="AV110" s="533">
        <v>0</v>
      </c>
      <c r="AW110" s="533">
        <v>0</v>
      </c>
      <c r="AX110" s="533">
        <v>0</v>
      </c>
      <c r="AY110" s="533">
        <f t="shared" si="137"/>
        <v>0</v>
      </c>
      <c r="AZ110" s="534">
        <f t="shared" si="138"/>
        <v>0</v>
      </c>
      <c r="BA110" s="535">
        <f t="shared" si="211"/>
        <v>0</v>
      </c>
      <c r="BB110" s="536">
        <f t="shared" si="212"/>
        <v>0</v>
      </c>
      <c r="BC110" s="523">
        <f t="shared" si="213"/>
        <v>0</v>
      </c>
      <c r="BD110" s="525">
        <f t="shared" si="214"/>
        <v>0</v>
      </c>
      <c r="BE110" s="525">
        <f t="shared" si="215"/>
        <v>0</v>
      </c>
      <c r="BF110" s="525">
        <f t="shared" si="216"/>
        <v>0</v>
      </c>
      <c r="BG110" s="525">
        <f t="shared" si="217"/>
        <v>0</v>
      </c>
      <c r="BH110" s="525">
        <f t="shared" si="218"/>
        <v>0</v>
      </c>
      <c r="BI110" s="526">
        <f t="shared" si="219"/>
        <v>0</v>
      </c>
      <c r="BJ110" s="537">
        <f t="shared" si="220"/>
        <v>0</v>
      </c>
      <c r="BK110" s="538">
        <f t="shared" si="221"/>
        <v>0</v>
      </c>
      <c r="BL110" s="538">
        <f t="shared" si="222"/>
        <v>0</v>
      </c>
      <c r="BM110" s="538">
        <f t="shared" si="223"/>
        <v>0</v>
      </c>
      <c r="BN110" s="538">
        <f t="shared" si="224"/>
        <v>0</v>
      </c>
      <c r="BO110" s="538">
        <f t="shared" si="225"/>
        <v>0</v>
      </c>
      <c r="BP110" s="539">
        <f t="shared" si="226"/>
        <v>0</v>
      </c>
      <c r="BQ110" s="540">
        <f t="shared" si="227"/>
        <v>0</v>
      </c>
      <c r="BR110" s="529"/>
      <c r="BS110" s="502"/>
      <c r="BT110" s="530"/>
      <c r="BU110" s="498"/>
      <c r="BV110" s="499"/>
      <c r="BW110" s="499"/>
      <c r="BX110" s="499"/>
      <c r="BY110" s="531">
        <f t="shared" si="139"/>
        <v>0</v>
      </c>
      <c r="BZ110" s="532">
        <f t="shared" si="140"/>
        <v>0</v>
      </c>
      <c r="CA110" s="529"/>
      <c r="CB110" s="533"/>
      <c r="CC110" s="533"/>
      <c r="CD110" s="533"/>
      <c r="CE110" s="533">
        <f t="shared" si="141"/>
        <v>0</v>
      </c>
      <c r="CF110" s="534">
        <f t="shared" si="142"/>
        <v>0</v>
      </c>
      <c r="CG110" s="774">
        <f t="shared" si="228"/>
        <v>0</v>
      </c>
      <c r="CH110" s="775">
        <f t="shared" si="229"/>
        <v>0</v>
      </c>
      <c r="CI110" s="548">
        <f t="shared" si="230"/>
        <v>0</v>
      </c>
      <c r="CJ110" s="773">
        <f t="shared" si="231"/>
        <v>0</v>
      </c>
      <c r="CK110" s="773">
        <f t="shared" si="232"/>
        <v>0</v>
      </c>
      <c r="CL110" s="773">
        <f t="shared" si="233"/>
        <v>0</v>
      </c>
      <c r="CM110" s="773">
        <f t="shared" si="234"/>
        <v>0</v>
      </c>
      <c r="CN110" s="773">
        <f t="shared" si="235"/>
        <v>0</v>
      </c>
      <c r="CO110" s="626">
        <f t="shared" si="236"/>
        <v>0</v>
      </c>
      <c r="CP110" s="1145">
        <f t="shared" si="237"/>
        <v>0</v>
      </c>
      <c r="CQ110" s="1146">
        <f t="shared" si="238"/>
        <v>0</v>
      </c>
      <c r="CR110" s="1146">
        <f t="shared" si="239"/>
        <v>0</v>
      </c>
      <c r="CS110" s="1146">
        <f t="shared" si="240"/>
        <v>0</v>
      </c>
      <c r="CT110" s="1146">
        <f t="shared" si="241"/>
        <v>0</v>
      </c>
      <c r="CU110" s="1146">
        <f t="shared" si="242"/>
        <v>0</v>
      </c>
      <c r="CV110" s="1256">
        <f t="shared" si="243"/>
        <v>0</v>
      </c>
      <c r="CW110" s="1157">
        <f t="shared" si="244"/>
        <v>0</v>
      </c>
      <c r="CX110" s="529"/>
      <c r="CY110" s="502"/>
      <c r="CZ110" s="530"/>
      <c r="DA110" s="498"/>
      <c r="DB110" s="499"/>
      <c r="DC110" s="499"/>
      <c r="DD110" s="499"/>
      <c r="DE110" s="531">
        <f t="shared" si="143"/>
        <v>0</v>
      </c>
      <c r="DF110" s="532">
        <f t="shared" si="144"/>
        <v>0</v>
      </c>
      <c r="DG110" s="529"/>
      <c r="DH110" s="533"/>
      <c r="DI110" s="533"/>
      <c r="DJ110" s="533"/>
      <c r="DK110" s="533">
        <f t="shared" si="145"/>
        <v>0</v>
      </c>
      <c r="DL110" s="534">
        <f t="shared" si="146"/>
        <v>0</v>
      </c>
      <c r="DM110" s="1258">
        <f t="shared" si="147"/>
        <v>0</v>
      </c>
      <c r="DN110" s="775">
        <f t="shared" si="148"/>
        <v>0</v>
      </c>
      <c r="DO110" s="548">
        <f t="shared" si="149"/>
        <v>0</v>
      </c>
      <c r="DP110" s="773">
        <f t="shared" si="150"/>
        <v>0</v>
      </c>
      <c r="DQ110" s="773">
        <f t="shared" si="151"/>
        <v>0</v>
      </c>
      <c r="DR110" s="773">
        <f t="shared" si="152"/>
        <v>0</v>
      </c>
      <c r="DS110" s="773">
        <f t="shared" si="153"/>
        <v>0</v>
      </c>
      <c r="DT110" s="773">
        <f t="shared" si="154"/>
        <v>0</v>
      </c>
      <c r="DU110" s="526">
        <f t="shared" si="245"/>
        <v>0</v>
      </c>
      <c r="DV110" s="1145">
        <f t="shared" si="155"/>
        <v>0</v>
      </c>
      <c r="DW110" s="1146">
        <f t="shared" si="156"/>
        <v>0</v>
      </c>
      <c r="DX110" s="1146">
        <f t="shared" si="157"/>
        <v>0</v>
      </c>
      <c r="DY110" s="1146">
        <f t="shared" si="158"/>
        <v>0</v>
      </c>
      <c r="DZ110" s="1146">
        <f t="shared" si="159"/>
        <v>0</v>
      </c>
      <c r="EA110" s="1146">
        <f t="shared" si="160"/>
        <v>0</v>
      </c>
      <c r="EB110" s="539">
        <f t="shared" si="246"/>
        <v>0</v>
      </c>
      <c r="EC110" s="540">
        <f t="shared" si="247"/>
        <v>0</v>
      </c>
      <c r="ES110" s="1258">
        <f t="shared" si="161"/>
        <v>0</v>
      </c>
      <c r="ET110" s="775">
        <f t="shared" si="162"/>
        <v>0</v>
      </c>
      <c r="EU110" s="548">
        <f t="shared" si="163"/>
        <v>0</v>
      </c>
      <c r="EV110" s="773">
        <f t="shared" si="164"/>
        <v>0</v>
      </c>
      <c r="EW110" s="773">
        <f t="shared" si="165"/>
        <v>0</v>
      </c>
      <c r="EX110" s="773">
        <f t="shared" si="166"/>
        <v>0</v>
      </c>
      <c r="EY110" s="773">
        <f t="shared" si="167"/>
        <v>0</v>
      </c>
      <c r="EZ110" s="773">
        <f t="shared" si="168"/>
        <v>0</v>
      </c>
      <c r="FA110" s="626">
        <f t="shared" si="248"/>
        <v>0</v>
      </c>
      <c r="FB110" s="1145">
        <f t="shared" si="169"/>
        <v>0</v>
      </c>
      <c r="FC110" s="1146">
        <f t="shared" si="170"/>
        <v>0</v>
      </c>
      <c r="FD110" s="1146">
        <f t="shared" si="171"/>
        <v>0</v>
      </c>
      <c r="FE110" s="1146">
        <f t="shared" si="172"/>
        <v>0</v>
      </c>
      <c r="FF110" s="1146">
        <f t="shared" si="173"/>
        <v>0</v>
      </c>
      <c r="FG110" s="1146">
        <f t="shared" si="174"/>
        <v>0</v>
      </c>
      <c r="FH110" s="1256">
        <f t="shared" si="249"/>
        <v>0</v>
      </c>
      <c r="FI110" s="1157">
        <f t="shared" si="250"/>
        <v>0</v>
      </c>
      <c r="FY110" s="1258">
        <f t="shared" si="175"/>
        <v>0</v>
      </c>
      <c r="FZ110" s="775">
        <f t="shared" si="176"/>
        <v>0</v>
      </c>
      <c r="GA110" s="548">
        <f t="shared" si="177"/>
        <v>0</v>
      </c>
      <c r="GB110" s="773">
        <f t="shared" si="178"/>
        <v>0</v>
      </c>
      <c r="GC110" s="773">
        <f t="shared" si="179"/>
        <v>0</v>
      </c>
      <c r="GD110" s="773">
        <f t="shared" si="180"/>
        <v>0</v>
      </c>
      <c r="GE110" s="773">
        <f t="shared" si="181"/>
        <v>0</v>
      </c>
      <c r="GF110" s="773">
        <f t="shared" si="182"/>
        <v>0</v>
      </c>
      <c r="GG110" s="626">
        <f t="shared" si="251"/>
        <v>0</v>
      </c>
      <c r="GH110" s="1145">
        <f t="shared" si="183"/>
        <v>0</v>
      </c>
      <c r="GI110" s="1146">
        <f t="shared" si="184"/>
        <v>0</v>
      </c>
      <c r="GJ110" s="1146">
        <f t="shared" si="185"/>
        <v>0</v>
      </c>
      <c r="GK110" s="1146">
        <f t="shared" si="186"/>
        <v>0</v>
      </c>
      <c r="GL110" s="1146">
        <f t="shared" si="187"/>
        <v>0</v>
      </c>
      <c r="GM110" s="1146">
        <f t="shared" si="188"/>
        <v>0</v>
      </c>
      <c r="GN110" s="1256">
        <f t="shared" si="252"/>
        <v>0</v>
      </c>
      <c r="GO110" s="1157">
        <f t="shared" si="253"/>
        <v>0</v>
      </c>
      <c r="HE110" s="1675">
        <f t="shared" si="189"/>
        <v>0</v>
      </c>
      <c r="HF110" s="775">
        <f t="shared" si="190"/>
        <v>0</v>
      </c>
      <c r="HG110" s="548">
        <f t="shared" si="191"/>
        <v>0</v>
      </c>
      <c r="HH110" s="773">
        <f t="shared" si="192"/>
        <v>0</v>
      </c>
      <c r="HI110" s="773">
        <f t="shared" si="193"/>
        <v>0</v>
      </c>
      <c r="HJ110" s="773">
        <f t="shared" si="194"/>
        <v>0</v>
      </c>
      <c r="HK110" s="773">
        <f t="shared" si="195"/>
        <v>0</v>
      </c>
      <c r="HL110" s="773">
        <f t="shared" si="196"/>
        <v>0</v>
      </c>
      <c r="HM110" s="626">
        <f t="shared" si="254"/>
        <v>0</v>
      </c>
      <c r="HN110" s="1145">
        <f t="shared" si="197"/>
        <v>0</v>
      </c>
      <c r="HO110" s="1146">
        <f t="shared" si="198"/>
        <v>0</v>
      </c>
      <c r="HP110" s="1146">
        <f t="shared" si="199"/>
        <v>0</v>
      </c>
      <c r="HQ110" s="1146">
        <f t="shared" si="200"/>
        <v>0</v>
      </c>
      <c r="HR110" s="1146">
        <f t="shared" si="201"/>
        <v>0</v>
      </c>
      <c r="HS110" s="1146">
        <f t="shared" si="202"/>
        <v>0</v>
      </c>
      <c r="HT110" s="1256">
        <f t="shared" si="255"/>
        <v>0</v>
      </c>
      <c r="HU110" s="1157">
        <f t="shared" si="256"/>
        <v>0</v>
      </c>
    </row>
    <row r="111" spans="1:229" ht="13.5" customHeight="1" outlineLevel="1" x14ac:dyDescent="0.2">
      <c r="A111" s="474"/>
      <c r="B111" s="1412"/>
      <c r="C111" s="511">
        <v>102</v>
      </c>
      <c r="D111" s="560" t="s">
        <v>125</v>
      </c>
      <c r="E111" s="1721">
        <v>28</v>
      </c>
      <c r="F111" s="558">
        <v>2238.29</v>
      </c>
      <c r="G111" s="543">
        <f t="shared" si="259"/>
        <v>79.938928571428576</v>
      </c>
      <c r="H111" s="559">
        <v>11</v>
      </c>
      <c r="I111" s="558">
        <v>125.41</v>
      </c>
      <c r="J111" s="542">
        <f>I111/H111</f>
        <v>11.40090909090909</v>
      </c>
      <c r="K111" s="559">
        <v>0</v>
      </c>
      <c r="L111" s="558">
        <v>0</v>
      </c>
      <c r="M111" s="542">
        <v>0</v>
      </c>
      <c r="N111" s="545">
        <f t="shared" si="260"/>
        <v>2363.6999999999998</v>
      </c>
      <c r="O111" s="518">
        <v>0</v>
      </c>
      <c r="P111" s="542">
        <v>12359397.829999998</v>
      </c>
      <c r="Q111" s="576">
        <v>3632170.71</v>
      </c>
      <c r="R111" s="519">
        <f t="shared" si="261"/>
        <v>15991568.539999999</v>
      </c>
      <c r="S111" s="546">
        <f t="shared" si="203"/>
        <v>15991568.539999999</v>
      </c>
      <c r="T111" s="521">
        <v>3183822.82</v>
      </c>
      <c r="U111" s="547">
        <v>0</v>
      </c>
      <c r="V111" s="547">
        <v>0</v>
      </c>
      <c r="W111" s="548">
        <v>0</v>
      </c>
      <c r="X111" s="549">
        <v>0</v>
      </c>
      <c r="Y111" s="549">
        <v>0</v>
      </c>
      <c r="Z111" s="549">
        <v>0</v>
      </c>
      <c r="AA111" s="525">
        <f t="shared" si="204"/>
        <v>0</v>
      </c>
      <c r="AB111" s="524">
        <f t="shared" si="205"/>
        <v>0</v>
      </c>
      <c r="AC111" s="526">
        <f t="shared" si="206"/>
        <v>0</v>
      </c>
      <c r="AD111" s="547">
        <v>0</v>
      </c>
      <c r="AE111" s="547">
        <v>0</v>
      </c>
      <c r="AF111" s="547">
        <v>0</v>
      </c>
      <c r="AG111" s="547">
        <v>0</v>
      </c>
      <c r="AH111" s="363">
        <f t="shared" si="207"/>
        <v>0</v>
      </c>
      <c r="AI111" s="547">
        <f t="shared" si="208"/>
        <v>0</v>
      </c>
      <c r="AJ111" s="550">
        <f t="shared" si="209"/>
        <v>0</v>
      </c>
      <c r="AK111" s="551">
        <f t="shared" si="210"/>
        <v>0</v>
      </c>
      <c r="AL111" s="529"/>
      <c r="AM111" s="502"/>
      <c r="AN111" s="530"/>
      <c r="AO111" s="498"/>
      <c r="AP111" s="499"/>
      <c r="AQ111" s="499"/>
      <c r="AR111" s="499"/>
      <c r="AS111" s="531">
        <f t="shared" si="135"/>
        <v>0</v>
      </c>
      <c r="AT111" s="532">
        <f t="shared" si="136"/>
        <v>0</v>
      </c>
      <c r="AU111" s="529">
        <v>0</v>
      </c>
      <c r="AV111" s="533">
        <v>0</v>
      </c>
      <c r="AW111" s="533">
        <v>0</v>
      </c>
      <c r="AX111" s="533">
        <v>0</v>
      </c>
      <c r="AY111" s="533">
        <f t="shared" si="137"/>
        <v>0</v>
      </c>
      <c r="AZ111" s="534">
        <f t="shared" si="138"/>
        <v>0</v>
      </c>
      <c r="BA111" s="535">
        <f t="shared" si="211"/>
        <v>0</v>
      </c>
      <c r="BB111" s="536">
        <f t="shared" si="212"/>
        <v>0</v>
      </c>
      <c r="BC111" s="523">
        <f t="shared" si="213"/>
        <v>0</v>
      </c>
      <c r="BD111" s="525">
        <f t="shared" si="214"/>
        <v>0</v>
      </c>
      <c r="BE111" s="525">
        <f t="shared" si="215"/>
        <v>0</v>
      </c>
      <c r="BF111" s="525">
        <f t="shared" si="216"/>
        <v>0</v>
      </c>
      <c r="BG111" s="525">
        <f t="shared" si="217"/>
        <v>0</v>
      </c>
      <c r="BH111" s="525">
        <f t="shared" si="218"/>
        <v>0</v>
      </c>
      <c r="BI111" s="526">
        <f t="shared" si="219"/>
        <v>0</v>
      </c>
      <c r="BJ111" s="537">
        <f t="shared" si="220"/>
        <v>0</v>
      </c>
      <c r="BK111" s="538">
        <f t="shared" si="221"/>
        <v>0</v>
      </c>
      <c r="BL111" s="538">
        <f t="shared" si="222"/>
        <v>0</v>
      </c>
      <c r="BM111" s="538">
        <f t="shared" si="223"/>
        <v>0</v>
      </c>
      <c r="BN111" s="538">
        <f t="shared" si="224"/>
        <v>0</v>
      </c>
      <c r="BO111" s="538">
        <f t="shared" si="225"/>
        <v>0</v>
      </c>
      <c r="BP111" s="539">
        <f t="shared" si="226"/>
        <v>0</v>
      </c>
      <c r="BQ111" s="540">
        <f t="shared" si="227"/>
        <v>0</v>
      </c>
      <c r="BR111" s="529"/>
      <c r="BS111" s="502"/>
      <c r="BT111" s="530"/>
      <c r="BU111" s="498"/>
      <c r="BV111" s="499"/>
      <c r="BW111" s="499"/>
      <c r="BX111" s="499"/>
      <c r="BY111" s="531">
        <f t="shared" si="139"/>
        <v>0</v>
      </c>
      <c r="BZ111" s="532">
        <f t="shared" si="140"/>
        <v>0</v>
      </c>
      <c r="CA111" s="529"/>
      <c r="CB111" s="533"/>
      <c r="CC111" s="533"/>
      <c r="CD111" s="533"/>
      <c r="CE111" s="533">
        <f t="shared" si="141"/>
        <v>0</v>
      </c>
      <c r="CF111" s="534">
        <f t="shared" si="142"/>
        <v>0</v>
      </c>
      <c r="CG111" s="774">
        <f t="shared" si="228"/>
        <v>0</v>
      </c>
      <c r="CH111" s="775">
        <f t="shared" si="229"/>
        <v>0</v>
      </c>
      <c r="CI111" s="548">
        <f t="shared" si="230"/>
        <v>0</v>
      </c>
      <c r="CJ111" s="773">
        <f t="shared" si="231"/>
        <v>0</v>
      </c>
      <c r="CK111" s="773">
        <f t="shared" si="232"/>
        <v>0</v>
      </c>
      <c r="CL111" s="773">
        <f t="shared" si="233"/>
        <v>0</v>
      </c>
      <c r="CM111" s="773">
        <f t="shared" si="234"/>
        <v>0</v>
      </c>
      <c r="CN111" s="773">
        <f t="shared" si="235"/>
        <v>0</v>
      </c>
      <c r="CO111" s="626">
        <f t="shared" si="236"/>
        <v>0</v>
      </c>
      <c r="CP111" s="1145">
        <f t="shared" si="237"/>
        <v>0</v>
      </c>
      <c r="CQ111" s="1146">
        <f t="shared" si="238"/>
        <v>0</v>
      </c>
      <c r="CR111" s="1146">
        <f t="shared" si="239"/>
        <v>0</v>
      </c>
      <c r="CS111" s="1146">
        <f t="shared" si="240"/>
        <v>0</v>
      </c>
      <c r="CT111" s="1146">
        <f t="shared" si="241"/>
        <v>0</v>
      </c>
      <c r="CU111" s="1146">
        <f t="shared" si="242"/>
        <v>0</v>
      </c>
      <c r="CV111" s="1256">
        <f t="shared" si="243"/>
        <v>0</v>
      </c>
      <c r="CW111" s="1157">
        <f t="shared" si="244"/>
        <v>0</v>
      </c>
      <c r="CX111" s="529"/>
      <c r="CY111" s="502"/>
      <c r="CZ111" s="530"/>
      <c r="DA111" s="498"/>
      <c r="DB111" s="499"/>
      <c r="DC111" s="499"/>
      <c r="DD111" s="499"/>
      <c r="DE111" s="531">
        <f t="shared" si="143"/>
        <v>0</v>
      </c>
      <c r="DF111" s="532">
        <f t="shared" si="144"/>
        <v>0</v>
      </c>
      <c r="DG111" s="529"/>
      <c r="DH111" s="533"/>
      <c r="DI111" s="533"/>
      <c r="DJ111" s="533"/>
      <c r="DK111" s="533">
        <f t="shared" si="145"/>
        <v>0</v>
      </c>
      <c r="DL111" s="534">
        <f t="shared" si="146"/>
        <v>0</v>
      </c>
      <c r="DM111" s="1258">
        <f t="shared" si="147"/>
        <v>0</v>
      </c>
      <c r="DN111" s="775">
        <f t="shared" si="148"/>
        <v>0</v>
      </c>
      <c r="DO111" s="548">
        <f t="shared" si="149"/>
        <v>0</v>
      </c>
      <c r="DP111" s="773">
        <f t="shared" si="150"/>
        <v>0</v>
      </c>
      <c r="DQ111" s="773">
        <f t="shared" si="151"/>
        <v>0</v>
      </c>
      <c r="DR111" s="773">
        <f t="shared" si="152"/>
        <v>0</v>
      </c>
      <c r="DS111" s="773">
        <f t="shared" si="153"/>
        <v>0</v>
      </c>
      <c r="DT111" s="773">
        <f t="shared" si="154"/>
        <v>0</v>
      </c>
      <c r="DU111" s="526">
        <f t="shared" si="245"/>
        <v>0</v>
      </c>
      <c r="DV111" s="1145">
        <f t="shared" si="155"/>
        <v>0</v>
      </c>
      <c r="DW111" s="1146">
        <f t="shared" si="156"/>
        <v>0</v>
      </c>
      <c r="DX111" s="1146">
        <f t="shared" si="157"/>
        <v>0</v>
      </c>
      <c r="DY111" s="1146">
        <f t="shared" si="158"/>
        <v>0</v>
      </c>
      <c r="DZ111" s="1146">
        <f t="shared" si="159"/>
        <v>0</v>
      </c>
      <c r="EA111" s="1146">
        <f t="shared" si="160"/>
        <v>0</v>
      </c>
      <c r="EB111" s="539">
        <f t="shared" si="246"/>
        <v>0</v>
      </c>
      <c r="EC111" s="540">
        <f t="shared" si="247"/>
        <v>0</v>
      </c>
      <c r="ES111" s="1258">
        <f t="shared" si="161"/>
        <v>0</v>
      </c>
      <c r="ET111" s="775">
        <f t="shared" si="162"/>
        <v>0</v>
      </c>
      <c r="EU111" s="548">
        <f t="shared" si="163"/>
        <v>0</v>
      </c>
      <c r="EV111" s="773">
        <f t="shared" si="164"/>
        <v>0</v>
      </c>
      <c r="EW111" s="773">
        <f t="shared" si="165"/>
        <v>0</v>
      </c>
      <c r="EX111" s="773">
        <f t="shared" si="166"/>
        <v>0</v>
      </c>
      <c r="EY111" s="773">
        <f t="shared" si="167"/>
        <v>0</v>
      </c>
      <c r="EZ111" s="773">
        <f t="shared" si="168"/>
        <v>0</v>
      </c>
      <c r="FA111" s="626">
        <f t="shared" si="248"/>
        <v>0</v>
      </c>
      <c r="FB111" s="1145">
        <f t="shared" si="169"/>
        <v>0</v>
      </c>
      <c r="FC111" s="1146">
        <f t="shared" si="170"/>
        <v>0</v>
      </c>
      <c r="FD111" s="1146">
        <f t="shared" si="171"/>
        <v>0</v>
      </c>
      <c r="FE111" s="1146">
        <f t="shared" si="172"/>
        <v>0</v>
      </c>
      <c r="FF111" s="1146">
        <f t="shared" si="173"/>
        <v>0</v>
      </c>
      <c r="FG111" s="1146">
        <f t="shared" si="174"/>
        <v>0</v>
      </c>
      <c r="FH111" s="1256">
        <f t="shared" si="249"/>
        <v>0</v>
      </c>
      <c r="FI111" s="1157">
        <f t="shared" si="250"/>
        <v>0</v>
      </c>
      <c r="FY111" s="1258">
        <f t="shared" si="175"/>
        <v>0</v>
      </c>
      <c r="FZ111" s="775">
        <f t="shared" si="176"/>
        <v>0</v>
      </c>
      <c r="GA111" s="548">
        <f t="shared" si="177"/>
        <v>0</v>
      </c>
      <c r="GB111" s="773">
        <f t="shared" si="178"/>
        <v>0</v>
      </c>
      <c r="GC111" s="773">
        <f t="shared" si="179"/>
        <v>0</v>
      </c>
      <c r="GD111" s="773">
        <f t="shared" si="180"/>
        <v>0</v>
      </c>
      <c r="GE111" s="773">
        <f t="shared" si="181"/>
        <v>0</v>
      </c>
      <c r="GF111" s="773">
        <f t="shared" si="182"/>
        <v>0</v>
      </c>
      <c r="GG111" s="626">
        <f t="shared" si="251"/>
        <v>0</v>
      </c>
      <c r="GH111" s="1145">
        <f t="shared" si="183"/>
        <v>0</v>
      </c>
      <c r="GI111" s="1146">
        <f t="shared" si="184"/>
        <v>0</v>
      </c>
      <c r="GJ111" s="1146">
        <f t="shared" si="185"/>
        <v>0</v>
      </c>
      <c r="GK111" s="1146">
        <f t="shared" si="186"/>
        <v>0</v>
      </c>
      <c r="GL111" s="1146">
        <f t="shared" si="187"/>
        <v>0</v>
      </c>
      <c r="GM111" s="1146">
        <f t="shared" si="188"/>
        <v>0</v>
      </c>
      <c r="GN111" s="1256">
        <f t="shared" si="252"/>
        <v>0</v>
      </c>
      <c r="GO111" s="1157">
        <f t="shared" si="253"/>
        <v>0</v>
      </c>
      <c r="HE111" s="1675">
        <f t="shared" si="189"/>
        <v>0</v>
      </c>
      <c r="HF111" s="775">
        <f t="shared" si="190"/>
        <v>0</v>
      </c>
      <c r="HG111" s="548">
        <f t="shared" si="191"/>
        <v>0</v>
      </c>
      <c r="HH111" s="773">
        <f t="shared" si="192"/>
        <v>0</v>
      </c>
      <c r="HI111" s="773">
        <f t="shared" si="193"/>
        <v>0</v>
      </c>
      <c r="HJ111" s="773">
        <f t="shared" si="194"/>
        <v>0</v>
      </c>
      <c r="HK111" s="773">
        <f t="shared" si="195"/>
        <v>0</v>
      </c>
      <c r="HL111" s="773">
        <f t="shared" si="196"/>
        <v>0</v>
      </c>
      <c r="HM111" s="626">
        <f t="shared" si="254"/>
        <v>0</v>
      </c>
      <c r="HN111" s="1145">
        <f t="shared" si="197"/>
        <v>0</v>
      </c>
      <c r="HO111" s="1146">
        <f t="shared" si="198"/>
        <v>0</v>
      </c>
      <c r="HP111" s="1146">
        <f t="shared" si="199"/>
        <v>0</v>
      </c>
      <c r="HQ111" s="1146">
        <f t="shared" si="200"/>
        <v>0</v>
      </c>
      <c r="HR111" s="1146">
        <f t="shared" si="201"/>
        <v>0</v>
      </c>
      <c r="HS111" s="1146">
        <f t="shared" si="202"/>
        <v>0</v>
      </c>
      <c r="HT111" s="1256">
        <f t="shared" si="255"/>
        <v>0</v>
      </c>
      <c r="HU111" s="1157">
        <f t="shared" si="256"/>
        <v>0</v>
      </c>
    </row>
    <row r="112" spans="1:229" ht="13.5" customHeight="1" outlineLevel="1" x14ac:dyDescent="0.2">
      <c r="A112" s="474"/>
      <c r="B112" s="1412"/>
      <c r="C112" s="511">
        <v>103</v>
      </c>
      <c r="D112" s="560" t="s">
        <v>126</v>
      </c>
      <c r="E112" s="1721">
        <v>12</v>
      </c>
      <c r="F112" s="558">
        <v>947.05</v>
      </c>
      <c r="G112" s="543">
        <f t="shared" si="259"/>
        <v>78.920833333333334</v>
      </c>
      <c r="H112" s="559">
        <v>0</v>
      </c>
      <c r="I112" s="558">
        <v>0</v>
      </c>
      <c r="J112" s="542">
        <v>0</v>
      </c>
      <c r="K112" s="559">
        <v>0</v>
      </c>
      <c r="L112" s="558">
        <v>0</v>
      </c>
      <c r="M112" s="542">
        <v>0</v>
      </c>
      <c r="N112" s="545">
        <f t="shared" si="260"/>
        <v>947.05</v>
      </c>
      <c r="O112" s="518">
        <v>0</v>
      </c>
      <c r="P112" s="542">
        <v>4734943.99</v>
      </c>
      <c r="Q112" s="576">
        <v>1460884.32</v>
      </c>
      <c r="R112" s="519">
        <f t="shared" si="261"/>
        <v>6195828.3100000005</v>
      </c>
      <c r="S112" s="546">
        <f t="shared" si="203"/>
        <v>6195828.3100000005</v>
      </c>
      <c r="T112" s="521">
        <v>1256014.78</v>
      </c>
      <c r="U112" s="547">
        <v>0</v>
      </c>
      <c r="V112" s="547">
        <v>0</v>
      </c>
      <c r="W112" s="548">
        <v>0</v>
      </c>
      <c r="X112" s="549">
        <v>0</v>
      </c>
      <c r="Y112" s="549">
        <v>0</v>
      </c>
      <c r="Z112" s="549">
        <v>0</v>
      </c>
      <c r="AA112" s="525">
        <f t="shared" si="204"/>
        <v>0</v>
      </c>
      <c r="AB112" s="524">
        <f t="shared" si="205"/>
        <v>0</v>
      </c>
      <c r="AC112" s="526">
        <f t="shared" si="206"/>
        <v>0</v>
      </c>
      <c r="AD112" s="547">
        <v>0</v>
      </c>
      <c r="AE112" s="547">
        <v>0</v>
      </c>
      <c r="AF112" s="547">
        <v>0</v>
      </c>
      <c r="AG112" s="547">
        <v>0</v>
      </c>
      <c r="AH112" s="363">
        <f t="shared" si="207"/>
        <v>0</v>
      </c>
      <c r="AI112" s="547">
        <f t="shared" si="208"/>
        <v>0</v>
      </c>
      <c r="AJ112" s="550">
        <f t="shared" si="209"/>
        <v>0</v>
      </c>
      <c r="AK112" s="551">
        <f t="shared" si="210"/>
        <v>0</v>
      </c>
      <c r="AL112" s="529"/>
      <c r="AM112" s="502"/>
      <c r="AN112" s="530"/>
      <c r="AO112" s="498"/>
      <c r="AP112" s="499"/>
      <c r="AQ112" s="499"/>
      <c r="AR112" s="499"/>
      <c r="AS112" s="531">
        <f t="shared" si="135"/>
        <v>0</v>
      </c>
      <c r="AT112" s="532">
        <f t="shared" si="136"/>
        <v>0</v>
      </c>
      <c r="AU112" s="529">
        <v>0</v>
      </c>
      <c r="AV112" s="533">
        <v>0</v>
      </c>
      <c r="AW112" s="533">
        <v>0</v>
      </c>
      <c r="AX112" s="533">
        <v>0</v>
      </c>
      <c r="AY112" s="533">
        <f t="shared" si="137"/>
        <v>0</v>
      </c>
      <c r="AZ112" s="534">
        <f t="shared" si="138"/>
        <v>0</v>
      </c>
      <c r="BA112" s="535">
        <f t="shared" si="211"/>
        <v>0</v>
      </c>
      <c r="BB112" s="536">
        <f t="shared" si="212"/>
        <v>0</v>
      </c>
      <c r="BC112" s="523">
        <f t="shared" si="213"/>
        <v>0</v>
      </c>
      <c r="BD112" s="525">
        <f t="shared" si="214"/>
        <v>0</v>
      </c>
      <c r="BE112" s="525">
        <f t="shared" si="215"/>
        <v>0</v>
      </c>
      <c r="BF112" s="525">
        <f t="shared" si="216"/>
        <v>0</v>
      </c>
      <c r="BG112" s="525">
        <f t="shared" si="217"/>
        <v>0</v>
      </c>
      <c r="BH112" s="525">
        <f t="shared" si="218"/>
        <v>0</v>
      </c>
      <c r="BI112" s="526">
        <f t="shared" si="219"/>
        <v>0</v>
      </c>
      <c r="BJ112" s="537">
        <f t="shared" si="220"/>
        <v>0</v>
      </c>
      <c r="BK112" s="538">
        <f t="shared" si="221"/>
        <v>0</v>
      </c>
      <c r="BL112" s="538">
        <f t="shared" si="222"/>
        <v>0</v>
      </c>
      <c r="BM112" s="538">
        <f t="shared" si="223"/>
        <v>0</v>
      </c>
      <c r="BN112" s="538">
        <f t="shared" si="224"/>
        <v>0</v>
      </c>
      <c r="BO112" s="538">
        <f t="shared" si="225"/>
        <v>0</v>
      </c>
      <c r="BP112" s="539">
        <f t="shared" si="226"/>
        <v>0</v>
      </c>
      <c r="BQ112" s="540">
        <f t="shared" si="227"/>
        <v>0</v>
      </c>
      <c r="BR112" s="529"/>
      <c r="BS112" s="502"/>
      <c r="BT112" s="530"/>
      <c r="BU112" s="498"/>
      <c r="BV112" s="499"/>
      <c r="BW112" s="499"/>
      <c r="BX112" s="499"/>
      <c r="BY112" s="531">
        <f t="shared" si="139"/>
        <v>0</v>
      </c>
      <c r="BZ112" s="532">
        <f t="shared" si="140"/>
        <v>0</v>
      </c>
      <c r="CA112" s="529"/>
      <c r="CB112" s="533"/>
      <c r="CC112" s="533"/>
      <c r="CD112" s="533"/>
      <c r="CE112" s="533">
        <f t="shared" si="141"/>
        <v>0</v>
      </c>
      <c r="CF112" s="534">
        <f t="shared" si="142"/>
        <v>0</v>
      </c>
      <c r="CG112" s="774">
        <f t="shared" si="228"/>
        <v>0</v>
      </c>
      <c r="CH112" s="775">
        <f t="shared" si="229"/>
        <v>0</v>
      </c>
      <c r="CI112" s="548">
        <f t="shared" si="230"/>
        <v>0</v>
      </c>
      <c r="CJ112" s="773">
        <f t="shared" si="231"/>
        <v>0</v>
      </c>
      <c r="CK112" s="773">
        <f t="shared" si="232"/>
        <v>0</v>
      </c>
      <c r="CL112" s="773">
        <f t="shared" si="233"/>
        <v>0</v>
      </c>
      <c r="CM112" s="773">
        <f t="shared" si="234"/>
        <v>0</v>
      </c>
      <c r="CN112" s="773">
        <f t="shared" si="235"/>
        <v>0</v>
      </c>
      <c r="CO112" s="626">
        <f t="shared" si="236"/>
        <v>0</v>
      </c>
      <c r="CP112" s="1145">
        <f t="shared" si="237"/>
        <v>0</v>
      </c>
      <c r="CQ112" s="1146">
        <f t="shared" si="238"/>
        <v>0</v>
      </c>
      <c r="CR112" s="1146">
        <f t="shared" si="239"/>
        <v>0</v>
      </c>
      <c r="CS112" s="1146">
        <f t="shared" si="240"/>
        <v>0</v>
      </c>
      <c r="CT112" s="1146">
        <f t="shared" si="241"/>
        <v>0</v>
      </c>
      <c r="CU112" s="1146">
        <f t="shared" si="242"/>
        <v>0</v>
      </c>
      <c r="CV112" s="1256">
        <f t="shared" si="243"/>
        <v>0</v>
      </c>
      <c r="CW112" s="1157">
        <f t="shared" si="244"/>
        <v>0</v>
      </c>
      <c r="CX112" s="529"/>
      <c r="CY112" s="502"/>
      <c r="CZ112" s="530"/>
      <c r="DA112" s="498"/>
      <c r="DB112" s="499"/>
      <c r="DC112" s="499"/>
      <c r="DD112" s="499"/>
      <c r="DE112" s="531">
        <f t="shared" si="143"/>
        <v>0</v>
      </c>
      <c r="DF112" s="532">
        <f t="shared" si="144"/>
        <v>0</v>
      </c>
      <c r="DG112" s="529"/>
      <c r="DH112" s="533"/>
      <c r="DI112" s="533"/>
      <c r="DJ112" s="533"/>
      <c r="DK112" s="533">
        <f t="shared" si="145"/>
        <v>0</v>
      </c>
      <c r="DL112" s="534">
        <f t="shared" si="146"/>
        <v>0</v>
      </c>
      <c r="DM112" s="1258">
        <f t="shared" si="147"/>
        <v>0</v>
      </c>
      <c r="DN112" s="775">
        <f t="shared" si="148"/>
        <v>0</v>
      </c>
      <c r="DO112" s="548">
        <f t="shared" si="149"/>
        <v>0</v>
      </c>
      <c r="DP112" s="773">
        <f t="shared" si="150"/>
        <v>0</v>
      </c>
      <c r="DQ112" s="773">
        <f t="shared" si="151"/>
        <v>0</v>
      </c>
      <c r="DR112" s="773">
        <f t="shared" si="152"/>
        <v>0</v>
      </c>
      <c r="DS112" s="773">
        <f t="shared" si="153"/>
        <v>0</v>
      </c>
      <c r="DT112" s="773">
        <f t="shared" si="154"/>
        <v>0</v>
      </c>
      <c r="DU112" s="526">
        <f t="shared" si="245"/>
        <v>0</v>
      </c>
      <c r="DV112" s="1145">
        <f t="shared" si="155"/>
        <v>0</v>
      </c>
      <c r="DW112" s="1146">
        <f t="shared" si="156"/>
        <v>0</v>
      </c>
      <c r="DX112" s="1146">
        <f t="shared" si="157"/>
        <v>0</v>
      </c>
      <c r="DY112" s="1146">
        <f t="shared" si="158"/>
        <v>0</v>
      </c>
      <c r="DZ112" s="1146">
        <f t="shared" si="159"/>
        <v>0</v>
      </c>
      <c r="EA112" s="1146">
        <f t="shared" si="160"/>
        <v>0</v>
      </c>
      <c r="EB112" s="539">
        <f t="shared" si="246"/>
        <v>0</v>
      </c>
      <c r="EC112" s="540">
        <f t="shared" si="247"/>
        <v>0</v>
      </c>
      <c r="ES112" s="1258">
        <f t="shared" si="161"/>
        <v>0</v>
      </c>
      <c r="ET112" s="775">
        <f t="shared" si="162"/>
        <v>0</v>
      </c>
      <c r="EU112" s="548">
        <f t="shared" si="163"/>
        <v>0</v>
      </c>
      <c r="EV112" s="773">
        <f t="shared" si="164"/>
        <v>0</v>
      </c>
      <c r="EW112" s="773">
        <f t="shared" si="165"/>
        <v>0</v>
      </c>
      <c r="EX112" s="773">
        <f t="shared" si="166"/>
        <v>0</v>
      </c>
      <c r="EY112" s="773">
        <f t="shared" si="167"/>
        <v>0</v>
      </c>
      <c r="EZ112" s="773">
        <f t="shared" si="168"/>
        <v>0</v>
      </c>
      <c r="FA112" s="626">
        <f t="shared" si="248"/>
        <v>0</v>
      </c>
      <c r="FB112" s="1145">
        <f t="shared" si="169"/>
        <v>0</v>
      </c>
      <c r="FC112" s="1146">
        <f t="shared" si="170"/>
        <v>0</v>
      </c>
      <c r="FD112" s="1146">
        <f t="shared" si="171"/>
        <v>0</v>
      </c>
      <c r="FE112" s="1146">
        <f t="shared" si="172"/>
        <v>0</v>
      </c>
      <c r="FF112" s="1146">
        <f t="shared" si="173"/>
        <v>0</v>
      </c>
      <c r="FG112" s="1146">
        <f t="shared" si="174"/>
        <v>0</v>
      </c>
      <c r="FH112" s="1256">
        <f t="shared" si="249"/>
        <v>0</v>
      </c>
      <c r="FI112" s="1157">
        <f t="shared" si="250"/>
        <v>0</v>
      </c>
      <c r="FY112" s="1258">
        <f t="shared" si="175"/>
        <v>0</v>
      </c>
      <c r="FZ112" s="775">
        <f t="shared" si="176"/>
        <v>0</v>
      </c>
      <c r="GA112" s="548">
        <f t="shared" si="177"/>
        <v>0</v>
      </c>
      <c r="GB112" s="773">
        <f t="shared" si="178"/>
        <v>0</v>
      </c>
      <c r="GC112" s="773">
        <f t="shared" si="179"/>
        <v>0</v>
      </c>
      <c r="GD112" s="773">
        <f t="shared" si="180"/>
        <v>0</v>
      </c>
      <c r="GE112" s="773">
        <f t="shared" si="181"/>
        <v>0</v>
      </c>
      <c r="GF112" s="773">
        <f t="shared" si="182"/>
        <v>0</v>
      </c>
      <c r="GG112" s="626">
        <f t="shared" si="251"/>
        <v>0</v>
      </c>
      <c r="GH112" s="1145">
        <f t="shared" si="183"/>
        <v>0</v>
      </c>
      <c r="GI112" s="1146">
        <f t="shared" si="184"/>
        <v>0</v>
      </c>
      <c r="GJ112" s="1146">
        <f t="shared" si="185"/>
        <v>0</v>
      </c>
      <c r="GK112" s="1146">
        <f t="shared" si="186"/>
        <v>0</v>
      </c>
      <c r="GL112" s="1146">
        <f t="shared" si="187"/>
        <v>0</v>
      </c>
      <c r="GM112" s="1146">
        <f t="shared" si="188"/>
        <v>0</v>
      </c>
      <c r="GN112" s="1256">
        <f t="shared" si="252"/>
        <v>0</v>
      </c>
      <c r="GO112" s="1157">
        <f t="shared" si="253"/>
        <v>0</v>
      </c>
      <c r="HE112" s="1675">
        <f t="shared" si="189"/>
        <v>0</v>
      </c>
      <c r="HF112" s="775">
        <f t="shared" si="190"/>
        <v>0</v>
      </c>
      <c r="HG112" s="548">
        <f t="shared" si="191"/>
        <v>0</v>
      </c>
      <c r="HH112" s="773">
        <f t="shared" si="192"/>
        <v>0</v>
      </c>
      <c r="HI112" s="773">
        <f t="shared" si="193"/>
        <v>0</v>
      </c>
      <c r="HJ112" s="773">
        <f t="shared" si="194"/>
        <v>0</v>
      </c>
      <c r="HK112" s="773">
        <f t="shared" si="195"/>
        <v>0</v>
      </c>
      <c r="HL112" s="773">
        <f t="shared" si="196"/>
        <v>0</v>
      </c>
      <c r="HM112" s="626">
        <f t="shared" si="254"/>
        <v>0</v>
      </c>
      <c r="HN112" s="1145">
        <f t="shared" si="197"/>
        <v>0</v>
      </c>
      <c r="HO112" s="1146">
        <f t="shared" si="198"/>
        <v>0</v>
      </c>
      <c r="HP112" s="1146">
        <f t="shared" si="199"/>
        <v>0</v>
      </c>
      <c r="HQ112" s="1146">
        <f t="shared" si="200"/>
        <v>0</v>
      </c>
      <c r="HR112" s="1146">
        <f t="shared" si="201"/>
        <v>0</v>
      </c>
      <c r="HS112" s="1146">
        <f t="shared" si="202"/>
        <v>0</v>
      </c>
      <c r="HT112" s="1256">
        <f t="shared" si="255"/>
        <v>0</v>
      </c>
      <c r="HU112" s="1157">
        <f t="shared" si="256"/>
        <v>0</v>
      </c>
    </row>
    <row r="113" spans="1:229" ht="13.5" customHeight="1" outlineLevel="1" x14ac:dyDescent="0.2">
      <c r="A113" s="474"/>
      <c r="B113" s="1412"/>
      <c r="C113" s="511">
        <v>104</v>
      </c>
      <c r="D113" s="560" t="s">
        <v>127</v>
      </c>
      <c r="E113" s="1721">
        <v>12</v>
      </c>
      <c r="F113" s="558">
        <v>1256.6400000000001</v>
      </c>
      <c r="G113" s="543">
        <f t="shared" si="259"/>
        <v>104.72000000000001</v>
      </c>
      <c r="H113" s="559">
        <v>0</v>
      </c>
      <c r="I113" s="558">
        <v>0</v>
      </c>
      <c r="J113" s="542">
        <v>0</v>
      </c>
      <c r="K113" s="559">
        <v>0</v>
      </c>
      <c r="L113" s="558">
        <v>0</v>
      </c>
      <c r="M113" s="542">
        <v>0</v>
      </c>
      <c r="N113" s="545">
        <f t="shared" si="260"/>
        <v>1256.6400000000001</v>
      </c>
      <c r="O113" s="518">
        <v>0</v>
      </c>
      <c r="P113" s="542">
        <v>6169231.5800000001</v>
      </c>
      <c r="Q113" s="576">
        <v>1952818.56</v>
      </c>
      <c r="R113" s="519">
        <f t="shared" si="261"/>
        <v>8122050.1400000006</v>
      </c>
      <c r="S113" s="546">
        <f t="shared" si="203"/>
        <v>8122050.1400000006</v>
      </c>
      <c r="T113" s="521">
        <v>2033233.15</v>
      </c>
      <c r="U113" s="547">
        <v>0</v>
      </c>
      <c r="V113" s="547">
        <v>0</v>
      </c>
      <c r="W113" s="548">
        <v>0</v>
      </c>
      <c r="X113" s="549">
        <v>0</v>
      </c>
      <c r="Y113" s="549">
        <v>0</v>
      </c>
      <c r="Z113" s="549">
        <v>0</v>
      </c>
      <c r="AA113" s="525">
        <f t="shared" si="204"/>
        <v>0</v>
      </c>
      <c r="AB113" s="524">
        <f t="shared" si="205"/>
        <v>0</v>
      </c>
      <c r="AC113" s="526">
        <f t="shared" si="206"/>
        <v>0</v>
      </c>
      <c r="AD113" s="547">
        <v>0</v>
      </c>
      <c r="AE113" s="547">
        <v>0</v>
      </c>
      <c r="AF113" s="547">
        <v>0</v>
      </c>
      <c r="AG113" s="547">
        <v>0</v>
      </c>
      <c r="AH113" s="363">
        <f t="shared" si="207"/>
        <v>0</v>
      </c>
      <c r="AI113" s="547">
        <f t="shared" si="208"/>
        <v>0</v>
      </c>
      <c r="AJ113" s="550">
        <f t="shared" si="209"/>
        <v>0</v>
      </c>
      <c r="AK113" s="551">
        <f t="shared" si="210"/>
        <v>0</v>
      </c>
      <c r="AL113" s="529"/>
      <c r="AM113" s="502"/>
      <c r="AN113" s="530"/>
      <c r="AO113" s="498"/>
      <c r="AP113" s="499"/>
      <c r="AQ113" s="499"/>
      <c r="AR113" s="499"/>
      <c r="AS113" s="531">
        <f t="shared" si="135"/>
        <v>0</v>
      </c>
      <c r="AT113" s="532">
        <f t="shared" si="136"/>
        <v>0</v>
      </c>
      <c r="AU113" s="529">
        <v>0</v>
      </c>
      <c r="AV113" s="533">
        <v>0</v>
      </c>
      <c r="AW113" s="533">
        <v>0</v>
      </c>
      <c r="AX113" s="533">
        <v>0</v>
      </c>
      <c r="AY113" s="533">
        <f t="shared" si="137"/>
        <v>0</v>
      </c>
      <c r="AZ113" s="534">
        <f t="shared" si="138"/>
        <v>0</v>
      </c>
      <c r="BA113" s="535">
        <f t="shared" si="211"/>
        <v>0</v>
      </c>
      <c r="BB113" s="536">
        <f t="shared" si="212"/>
        <v>0</v>
      </c>
      <c r="BC113" s="523">
        <f t="shared" si="213"/>
        <v>0</v>
      </c>
      <c r="BD113" s="525">
        <f t="shared" si="214"/>
        <v>0</v>
      </c>
      <c r="BE113" s="525">
        <f t="shared" si="215"/>
        <v>0</v>
      </c>
      <c r="BF113" s="525">
        <f t="shared" si="216"/>
        <v>0</v>
      </c>
      <c r="BG113" s="525">
        <f t="shared" si="217"/>
        <v>0</v>
      </c>
      <c r="BH113" s="525">
        <f t="shared" si="218"/>
        <v>0</v>
      </c>
      <c r="BI113" s="526">
        <f t="shared" si="219"/>
        <v>0</v>
      </c>
      <c r="BJ113" s="537">
        <f t="shared" si="220"/>
        <v>0</v>
      </c>
      <c r="BK113" s="538">
        <f t="shared" si="221"/>
        <v>0</v>
      </c>
      <c r="BL113" s="538">
        <f t="shared" si="222"/>
        <v>0</v>
      </c>
      <c r="BM113" s="538">
        <f t="shared" si="223"/>
        <v>0</v>
      </c>
      <c r="BN113" s="538">
        <f t="shared" si="224"/>
        <v>0</v>
      </c>
      <c r="BO113" s="538">
        <f t="shared" si="225"/>
        <v>0</v>
      </c>
      <c r="BP113" s="539">
        <f t="shared" si="226"/>
        <v>0</v>
      </c>
      <c r="BQ113" s="540">
        <f t="shared" si="227"/>
        <v>0</v>
      </c>
      <c r="BR113" s="529"/>
      <c r="BS113" s="502"/>
      <c r="BT113" s="530"/>
      <c r="BU113" s="498"/>
      <c r="BV113" s="499"/>
      <c r="BW113" s="499"/>
      <c r="BX113" s="499"/>
      <c r="BY113" s="531">
        <f t="shared" si="139"/>
        <v>0</v>
      </c>
      <c r="BZ113" s="532">
        <f t="shared" si="140"/>
        <v>0</v>
      </c>
      <c r="CA113" s="529"/>
      <c r="CB113" s="533"/>
      <c r="CC113" s="533"/>
      <c r="CD113" s="533"/>
      <c r="CE113" s="533">
        <f t="shared" si="141"/>
        <v>0</v>
      </c>
      <c r="CF113" s="534">
        <f t="shared" si="142"/>
        <v>0</v>
      </c>
      <c r="CG113" s="774">
        <f t="shared" si="228"/>
        <v>0</v>
      </c>
      <c r="CH113" s="775">
        <f t="shared" si="229"/>
        <v>0</v>
      </c>
      <c r="CI113" s="548">
        <f t="shared" si="230"/>
        <v>0</v>
      </c>
      <c r="CJ113" s="773">
        <f t="shared" si="231"/>
        <v>0</v>
      </c>
      <c r="CK113" s="773">
        <f t="shared" si="232"/>
        <v>0</v>
      </c>
      <c r="CL113" s="773">
        <f t="shared" si="233"/>
        <v>0</v>
      </c>
      <c r="CM113" s="773">
        <f t="shared" si="234"/>
        <v>0</v>
      </c>
      <c r="CN113" s="773">
        <f t="shared" si="235"/>
        <v>0</v>
      </c>
      <c r="CO113" s="626">
        <f t="shared" si="236"/>
        <v>0</v>
      </c>
      <c r="CP113" s="1145">
        <f t="shared" si="237"/>
        <v>0</v>
      </c>
      <c r="CQ113" s="1146">
        <f t="shared" si="238"/>
        <v>0</v>
      </c>
      <c r="CR113" s="1146">
        <f t="shared" si="239"/>
        <v>0</v>
      </c>
      <c r="CS113" s="1146">
        <f t="shared" si="240"/>
        <v>0</v>
      </c>
      <c r="CT113" s="1146">
        <f t="shared" si="241"/>
        <v>0</v>
      </c>
      <c r="CU113" s="1146">
        <f t="shared" si="242"/>
        <v>0</v>
      </c>
      <c r="CV113" s="1256">
        <f t="shared" si="243"/>
        <v>0</v>
      </c>
      <c r="CW113" s="1157">
        <f t="shared" si="244"/>
        <v>0</v>
      </c>
      <c r="CX113" s="529"/>
      <c r="CY113" s="502"/>
      <c r="CZ113" s="530"/>
      <c r="DA113" s="498"/>
      <c r="DB113" s="499"/>
      <c r="DC113" s="499"/>
      <c r="DD113" s="499"/>
      <c r="DE113" s="531">
        <f t="shared" si="143"/>
        <v>0</v>
      </c>
      <c r="DF113" s="532">
        <f t="shared" si="144"/>
        <v>0</v>
      </c>
      <c r="DG113" s="529"/>
      <c r="DH113" s="533"/>
      <c r="DI113" s="533"/>
      <c r="DJ113" s="533"/>
      <c r="DK113" s="533">
        <f t="shared" si="145"/>
        <v>0</v>
      </c>
      <c r="DL113" s="534">
        <f t="shared" si="146"/>
        <v>0</v>
      </c>
      <c r="DM113" s="1258">
        <f t="shared" si="147"/>
        <v>0</v>
      </c>
      <c r="DN113" s="775">
        <f t="shared" si="148"/>
        <v>0</v>
      </c>
      <c r="DO113" s="548">
        <f t="shared" si="149"/>
        <v>0</v>
      </c>
      <c r="DP113" s="773">
        <f t="shared" si="150"/>
        <v>0</v>
      </c>
      <c r="DQ113" s="773">
        <f t="shared" si="151"/>
        <v>0</v>
      </c>
      <c r="DR113" s="773">
        <f t="shared" si="152"/>
        <v>0</v>
      </c>
      <c r="DS113" s="773">
        <f t="shared" si="153"/>
        <v>0</v>
      </c>
      <c r="DT113" s="773">
        <f t="shared" si="154"/>
        <v>0</v>
      </c>
      <c r="DU113" s="526">
        <f t="shared" si="245"/>
        <v>0</v>
      </c>
      <c r="DV113" s="1145">
        <f t="shared" si="155"/>
        <v>0</v>
      </c>
      <c r="DW113" s="1146">
        <f t="shared" si="156"/>
        <v>0</v>
      </c>
      <c r="DX113" s="1146">
        <f t="shared" si="157"/>
        <v>0</v>
      </c>
      <c r="DY113" s="1146">
        <f t="shared" si="158"/>
        <v>0</v>
      </c>
      <c r="DZ113" s="1146">
        <f t="shared" si="159"/>
        <v>0</v>
      </c>
      <c r="EA113" s="1146">
        <f t="shared" si="160"/>
        <v>0</v>
      </c>
      <c r="EB113" s="539">
        <f t="shared" si="246"/>
        <v>0</v>
      </c>
      <c r="EC113" s="540">
        <f t="shared" si="247"/>
        <v>0</v>
      </c>
      <c r="ES113" s="1258">
        <f t="shared" si="161"/>
        <v>0</v>
      </c>
      <c r="ET113" s="775">
        <f t="shared" si="162"/>
        <v>0</v>
      </c>
      <c r="EU113" s="548">
        <f t="shared" si="163"/>
        <v>0</v>
      </c>
      <c r="EV113" s="773">
        <f t="shared" si="164"/>
        <v>0</v>
      </c>
      <c r="EW113" s="773">
        <f t="shared" si="165"/>
        <v>0</v>
      </c>
      <c r="EX113" s="773">
        <f t="shared" si="166"/>
        <v>0</v>
      </c>
      <c r="EY113" s="773">
        <f t="shared" si="167"/>
        <v>0</v>
      </c>
      <c r="EZ113" s="773">
        <f t="shared" si="168"/>
        <v>0</v>
      </c>
      <c r="FA113" s="626">
        <f t="shared" si="248"/>
        <v>0</v>
      </c>
      <c r="FB113" s="1145">
        <f t="shared" si="169"/>
        <v>0</v>
      </c>
      <c r="FC113" s="1146">
        <f t="shared" si="170"/>
        <v>0</v>
      </c>
      <c r="FD113" s="1146">
        <f t="shared" si="171"/>
        <v>0</v>
      </c>
      <c r="FE113" s="1146">
        <f t="shared" si="172"/>
        <v>0</v>
      </c>
      <c r="FF113" s="1146">
        <f t="shared" si="173"/>
        <v>0</v>
      </c>
      <c r="FG113" s="1146">
        <f t="shared" si="174"/>
        <v>0</v>
      </c>
      <c r="FH113" s="1256">
        <f t="shared" si="249"/>
        <v>0</v>
      </c>
      <c r="FI113" s="1157">
        <f t="shared" si="250"/>
        <v>0</v>
      </c>
      <c r="FY113" s="1258">
        <f t="shared" si="175"/>
        <v>0</v>
      </c>
      <c r="FZ113" s="775">
        <f t="shared" si="176"/>
        <v>0</v>
      </c>
      <c r="GA113" s="548">
        <f t="shared" si="177"/>
        <v>0</v>
      </c>
      <c r="GB113" s="773">
        <f t="shared" si="178"/>
        <v>0</v>
      </c>
      <c r="GC113" s="773">
        <f t="shared" si="179"/>
        <v>0</v>
      </c>
      <c r="GD113" s="773">
        <f t="shared" si="180"/>
        <v>0</v>
      </c>
      <c r="GE113" s="773">
        <f t="shared" si="181"/>
        <v>0</v>
      </c>
      <c r="GF113" s="773">
        <f t="shared" si="182"/>
        <v>0</v>
      </c>
      <c r="GG113" s="626">
        <f t="shared" si="251"/>
        <v>0</v>
      </c>
      <c r="GH113" s="1145">
        <f t="shared" si="183"/>
        <v>0</v>
      </c>
      <c r="GI113" s="1146">
        <f t="shared" si="184"/>
        <v>0</v>
      </c>
      <c r="GJ113" s="1146">
        <f t="shared" si="185"/>
        <v>0</v>
      </c>
      <c r="GK113" s="1146">
        <f t="shared" si="186"/>
        <v>0</v>
      </c>
      <c r="GL113" s="1146">
        <f t="shared" si="187"/>
        <v>0</v>
      </c>
      <c r="GM113" s="1146">
        <f t="shared" si="188"/>
        <v>0</v>
      </c>
      <c r="GN113" s="1256">
        <f t="shared" si="252"/>
        <v>0</v>
      </c>
      <c r="GO113" s="1157">
        <f t="shared" si="253"/>
        <v>0</v>
      </c>
      <c r="HE113" s="1675">
        <f t="shared" si="189"/>
        <v>0</v>
      </c>
      <c r="HF113" s="775">
        <f t="shared" si="190"/>
        <v>0</v>
      </c>
      <c r="HG113" s="548">
        <f t="shared" si="191"/>
        <v>0</v>
      </c>
      <c r="HH113" s="773">
        <f t="shared" si="192"/>
        <v>0</v>
      </c>
      <c r="HI113" s="773">
        <f t="shared" si="193"/>
        <v>0</v>
      </c>
      <c r="HJ113" s="773">
        <f t="shared" si="194"/>
        <v>0</v>
      </c>
      <c r="HK113" s="773">
        <f t="shared" si="195"/>
        <v>0</v>
      </c>
      <c r="HL113" s="773">
        <f t="shared" si="196"/>
        <v>0</v>
      </c>
      <c r="HM113" s="626">
        <f t="shared" si="254"/>
        <v>0</v>
      </c>
      <c r="HN113" s="1145">
        <f t="shared" si="197"/>
        <v>0</v>
      </c>
      <c r="HO113" s="1146">
        <f t="shared" si="198"/>
        <v>0</v>
      </c>
      <c r="HP113" s="1146">
        <f t="shared" si="199"/>
        <v>0</v>
      </c>
      <c r="HQ113" s="1146">
        <f t="shared" si="200"/>
        <v>0</v>
      </c>
      <c r="HR113" s="1146">
        <f t="shared" si="201"/>
        <v>0</v>
      </c>
      <c r="HS113" s="1146">
        <f t="shared" si="202"/>
        <v>0</v>
      </c>
      <c r="HT113" s="1256">
        <f t="shared" si="255"/>
        <v>0</v>
      </c>
      <c r="HU113" s="1157">
        <f t="shared" si="256"/>
        <v>0</v>
      </c>
    </row>
    <row r="114" spans="1:229" ht="13.5" customHeight="1" outlineLevel="1" x14ac:dyDescent="0.2">
      <c r="A114" s="474"/>
      <c r="B114" s="1412"/>
      <c r="C114" s="511">
        <v>105</v>
      </c>
      <c r="D114" s="560" t="s">
        <v>69</v>
      </c>
      <c r="E114" s="513">
        <v>30</v>
      </c>
      <c r="F114" s="514">
        <v>1952.02</v>
      </c>
      <c r="G114" s="543">
        <f t="shared" si="259"/>
        <v>65.067333333333337</v>
      </c>
      <c r="H114" s="516">
        <v>0</v>
      </c>
      <c r="I114" s="258">
        <v>0</v>
      </c>
      <c r="J114" s="542">
        <v>0</v>
      </c>
      <c r="K114" s="516">
        <v>0</v>
      </c>
      <c r="L114" s="258">
        <v>0</v>
      </c>
      <c r="M114" s="542">
        <v>0</v>
      </c>
      <c r="N114" s="545">
        <f t="shared" si="260"/>
        <v>1952.02</v>
      </c>
      <c r="O114" s="518">
        <v>0</v>
      </c>
      <c r="P114" s="485">
        <v>10508186.370000001</v>
      </c>
      <c r="Q114" s="518">
        <v>3033345.84</v>
      </c>
      <c r="R114" s="519">
        <f t="shared" si="261"/>
        <v>13541532.210000001</v>
      </c>
      <c r="S114" s="546">
        <f t="shared" si="203"/>
        <v>13541532.210000001</v>
      </c>
      <c r="T114" s="521">
        <v>2842884.58</v>
      </c>
      <c r="U114" s="547">
        <v>0</v>
      </c>
      <c r="V114" s="547">
        <v>0</v>
      </c>
      <c r="W114" s="548">
        <v>0</v>
      </c>
      <c r="X114" s="549">
        <v>0</v>
      </c>
      <c r="Y114" s="549">
        <v>0</v>
      </c>
      <c r="Z114" s="549">
        <v>0</v>
      </c>
      <c r="AA114" s="525">
        <f t="shared" si="204"/>
        <v>0</v>
      </c>
      <c r="AB114" s="524">
        <f t="shared" si="205"/>
        <v>0</v>
      </c>
      <c r="AC114" s="526">
        <f t="shared" si="206"/>
        <v>0</v>
      </c>
      <c r="AD114" s="547">
        <v>0</v>
      </c>
      <c r="AE114" s="547">
        <v>0</v>
      </c>
      <c r="AF114" s="547">
        <v>0</v>
      </c>
      <c r="AG114" s="547">
        <v>0</v>
      </c>
      <c r="AH114" s="363">
        <f t="shared" si="207"/>
        <v>0</v>
      </c>
      <c r="AI114" s="547">
        <f t="shared" si="208"/>
        <v>0</v>
      </c>
      <c r="AJ114" s="550">
        <f t="shared" si="209"/>
        <v>0</v>
      </c>
      <c r="AK114" s="551">
        <f t="shared" si="210"/>
        <v>0</v>
      </c>
      <c r="AL114" s="529"/>
      <c r="AM114" s="502"/>
      <c r="AN114" s="530"/>
      <c r="AO114" s="498"/>
      <c r="AP114" s="499"/>
      <c r="AQ114" s="499"/>
      <c r="AR114" s="499"/>
      <c r="AS114" s="531">
        <f t="shared" si="135"/>
        <v>0</v>
      </c>
      <c r="AT114" s="532">
        <f t="shared" si="136"/>
        <v>0</v>
      </c>
      <c r="AU114" s="529">
        <v>0</v>
      </c>
      <c r="AV114" s="533">
        <v>0</v>
      </c>
      <c r="AW114" s="533">
        <v>0</v>
      </c>
      <c r="AX114" s="533">
        <v>0</v>
      </c>
      <c r="AY114" s="533">
        <f t="shared" si="137"/>
        <v>0</v>
      </c>
      <c r="AZ114" s="534">
        <f t="shared" si="138"/>
        <v>0</v>
      </c>
      <c r="BA114" s="535">
        <f t="shared" si="211"/>
        <v>0</v>
      </c>
      <c r="BB114" s="536">
        <f t="shared" si="212"/>
        <v>0</v>
      </c>
      <c r="BC114" s="523">
        <f t="shared" si="213"/>
        <v>0</v>
      </c>
      <c r="BD114" s="525">
        <f t="shared" si="214"/>
        <v>0</v>
      </c>
      <c r="BE114" s="525">
        <f t="shared" si="215"/>
        <v>0</v>
      </c>
      <c r="BF114" s="525">
        <f t="shared" si="216"/>
        <v>0</v>
      </c>
      <c r="BG114" s="525">
        <f t="shared" si="217"/>
        <v>0</v>
      </c>
      <c r="BH114" s="525">
        <f t="shared" si="218"/>
        <v>0</v>
      </c>
      <c r="BI114" s="526">
        <f t="shared" si="219"/>
        <v>0</v>
      </c>
      <c r="BJ114" s="537">
        <f t="shared" si="220"/>
        <v>0</v>
      </c>
      <c r="BK114" s="538">
        <f t="shared" si="221"/>
        <v>0</v>
      </c>
      <c r="BL114" s="538">
        <f t="shared" si="222"/>
        <v>0</v>
      </c>
      <c r="BM114" s="538">
        <f t="shared" si="223"/>
        <v>0</v>
      </c>
      <c r="BN114" s="538">
        <f t="shared" si="224"/>
        <v>0</v>
      </c>
      <c r="BO114" s="538">
        <f t="shared" si="225"/>
        <v>0</v>
      </c>
      <c r="BP114" s="539">
        <f t="shared" si="226"/>
        <v>0</v>
      </c>
      <c r="BQ114" s="540">
        <f t="shared" si="227"/>
        <v>0</v>
      </c>
      <c r="BR114" s="529"/>
      <c r="BS114" s="502"/>
      <c r="BT114" s="530"/>
      <c r="BU114" s="498"/>
      <c r="BV114" s="499"/>
      <c r="BW114" s="499"/>
      <c r="BX114" s="499"/>
      <c r="BY114" s="531">
        <f t="shared" si="139"/>
        <v>0</v>
      </c>
      <c r="BZ114" s="532">
        <f t="shared" si="140"/>
        <v>0</v>
      </c>
      <c r="CA114" s="529"/>
      <c r="CB114" s="533"/>
      <c r="CC114" s="533"/>
      <c r="CD114" s="533"/>
      <c r="CE114" s="533">
        <f t="shared" si="141"/>
        <v>0</v>
      </c>
      <c r="CF114" s="534">
        <f t="shared" si="142"/>
        <v>0</v>
      </c>
      <c r="CG114" s="774">
        <f t="shared" si="228"/>
        <v>0</v>
      </c>
      <c r="CH114" s="775">
        <f t="shared" si="229"/>
        <v>0</v>
      </c>
      <c r="CI114" s="548">
        <f t="shared" si="230"/>
        <v>0</v>
      </c>
      <c r="CJ114" s="773">
        <f t="shared" si="231"/>
        <v>0</v>
      </c>
      <c r="CK114" s="773">
        <f t="shared" si="232"/>
        <v>0</v>
      </c>
      <c r="CL114" s="773">
        <f t="shared" si="233"/>
        <v>0</v>
      </c>
      <c r="CM114" s="773">
        <f t="shared" si="234"/>
        <v>0</v>
      </c>
      <c r="CN114" s="773">
        <f t="shared" si="235"/>
        <v>0</v>
      </c>
      <c r="CO114" s="626">
        <f t="shared" si="236"/>
        <v>0</v>
      </c>
      <c r="CP114" s="1145">
        <f t="shared" si="237"/>
        <v>0</v>
      </c>
      <c r="CQ114" s="1146">
        <f t="shared" si="238"/>
        <v>0</v>
      </c>
      <c r="CR114" s="1146">
        <f t="shared" si="239"/>
        <v>0</v>
      </c>
      <c r="CS114" s="1146">
        <f t="shared" si="240"/>
        <v>0</v>
      </c>
      <c r="CT114" s="1146">
        <f t="shared" si="241"/>
        <v>0</v>
      </c>
      <c r="CU114" s="1146">
        <f t="shared" si="242"/>
        <v>0</v>
      </c>
      <c r="CV114" s="1256">
        <f t="shared" si="243"/>
        <v>0</v>
      </c>
      <c r="CW114" s="1157">
        <f t="shared" si="244"/>
        <v>0</v>
      </c>
      <c r="CX114" s="529"/>
      <c r="CY114" s="502"/>
      <c r="CZ114" s="530"/>
      <c r="DA114" s="498"/>
      <c r="DB114" s="499"/>
      <c r="DC114" s="499"/>
      <c r="DD114" s="499"/>
      <c r="DE114" s="531">
        <f t="shared" si="143"/>
        <v>0</v>
      </c>
      <c r="DF114" s="532">
        <f t="shared" si="144"/>
        <v>0</v>
      </c>
      <c r="DG114" s="529"/>
      <c r="DH114" s="533"/>
      <c r="DI114" s="533"/>
      <c r="DJ114" s="533"/>
      <c r="DK114" s="533">
        <f t="shared" si="145"/>
        <v>0</v>
      </c>
      <c r="DL114" s="534">
        <f t="shared" si="146"/>
        <v>0</v>
      </c>
      <c r="DM114" s="1258">
        <f t="shared" si="147"/>
        <v>0</v>
      </c>
      <c r="DN114" s="775">
        <f t="shared" si="148"/>
        <v>0</v>
      </c>
      <c r="DO114" s="548">
        <f t="shared" si="149"/>
        <v>0</v>
      </c>
      <c r="DP114" s="773">
        <f t="shared" si="150"/>
        <v>0</v>
      </c>
      <c r="DQ114" s="773">
        <f t="shared" si="151"/>
        <v>0</v>
      </c>
      <c r="DR114" s="773">
        <f t="shared" si="152"/>
        <v>0</v>
      </c>
      <c r="DS114" s="773">
        <f t="shared" si="153"/>
        <v>0</v>
      </c>
      <c r="DT114" s="773">
        <f t="shared" si="154"/>
        <v>0</v>
      </c>
      <c r="DU114" s="526">
        <f t="shared" si="245"/>
        <v>0</v>
      </c>
      <c r="DV114" s="1145">
        <f t="shared" si="155"/>
        <v>0</v>
      </c>
      <c r="DW114" s="1146">
        <f t="shared" si="156"/>
        <v>0</v>
      </c>
      <c r="DX114" s="1146">
        <f t="shared" si="157"/>
        <v>0</v>
      </c>
      <c r="DY114" s="1146">
        <f t="shared" si="158"/>
        <v>0</v>
      </c>
      <c r="DZ114" s="1146">
        <f t="shared" si="159"/>
        <v>0</v>
      </c>
      <c r="EA114" s="1146">
        <f t="shared" si="160"/>
        <v>0</v>
      </c>
      <c r="EB114" s="539">
        <f t="shared" si="246"/>
        <v>0</v>
      </c>
      <c r="EC114" s="540">
        <f t="shared" si="247"/>
        <v>0</v>
      </c>
      <c r="ES114" s="1258">
        <f t="shared" si="161"/>
        <v>0</v>
      </c>
      <c r="ET114" s="775">
        <f t="shared" si="162"/>
        <v>0</v>
      </c>
      <c r="EU114" s="548">
        <f t="shared" si="163"/>
        <v>0</v>
      </c>
      <c r="EV114" s="773">
        <f t="shared" si="164"/>
        <v>0</v>
      </c>
      <c r="EW114" s="773">
        <f t="shared" si="165"/>
        <v>0</v>
      </c>
      <c r="EX114" s="773">
        <f t="shared" si="166"/>
        <v>0</v>
      </c>
      <c r="EY114" s="773">
        <f t="shared" si="167"/>
        <v>0</v>
      </c>
      <c r="EZ114" s="773">
        <f t="shared" si="168"/>
        <v>0</v>
      </c>
      <c r="FA114" s="626">
        <f t="shared" si="248"/>
        <v>0</v>
      </c>
      <c r="FB114" s="1145">
        <f t="shared" si="169"/>
        <v>0</v>
      </c>
      <c r="FC114" s="1146">
        <f t="shared" si="170"/>
        <v>0</v>
      </c>
      <c r="FD114" s="1146">
        <f t="shared" si="171"/>
        <v>0</v>
      </c>
      <c r="FE114" s="1146">
        <f t="shared" si="172"/>
        <v>0</v>
      </c>
      <c r="FF114" s="1146">
        <f t="shared" si="173"/>
        <v>0</v>
      </c>
      <c r="FG114" s="1146">
        <f t="shared" si="174"/>
        <v>0</v>
      </c>
      <c r="FH114" s="1256">
        <f t="shared" si="249"/>
        <v>0</v>
      </c>
      <c r="FI114" s="1157">
        <f t="shared" si="250"/>
        <v>0</v>
      </c>
      <c r="FY114" s="1258">
        <f t="shared" si="175"/>
        <v>0</v>
      </c>
      <c r="FZ114" s="775">
        <f t="shared" si="176"/>
        <v>0</v>
      </c>
      <c r="GA114" s="548">
        <f t="shared" si="177"/>
        <v>0</v>
      </c>
      <c r="GB114" s="773">
        <f t="shared" si="178"/>
        <v>0</v>
      </c>
      <c r="GC114" s="773">
        <f t="shared" si="179"/>
        <v>0</v>
      </c>
      <c r="GD114" s="773">
        <f t="shared" si="180"/>
        <v>0</v>
      </c>
      <c r="GE114" s="773">
        <f t="shared" si="181"/>
        <v>0</v>
      </c>
      <c r="GF114" s="773">
        <f t="shared" si="182"/>
        <v>0</v>
      </c>
      <c r="GG114" s="626">
        <f t="shared" si="251"/>
        <v>0</v>
      </c>
      <c r="GH114" s="1145">
        <f t="shared" si="183"/>
        <v>0</v>
      </c>
      <c r="GI114" s="1146">
        <f t="shared" si="184"/>
        <v>0</v>
      </c>
      <c r="GJ114" s="1146">
        <f t="shared" si="185"/>
        <v>0</v>
      </c>
      <c r="GK114" s="1146">
        <f t="shared" si="186"/>
        <v>0</v>
      </c>
      <c r="GL114" s="1146">
        <f t="shared" si="187"/>
        <v>0</v>
      </c>
      <c r="GM114" s="1146">
        <f t="shared" si="188"/>
        <v>0</v>
      </c>
      <c r="GN114" s="1256">
        <f t="shared" si="252"/>
        <v>0</v>
      </c>
      <c r="GO114" s="1157">
        <f t="shared" si="253"/>
        <v>0</v>
      </c>
      <c r="HE114" s="1675">
        <f t="shared" si="189"/>
        <v>0</v>
      </c>
      <c r="HF114" s="775">
        <f t="shared" si="190"/>
        <v>0</v>
      </c>
      <c r="HG114" s="548">
        <f t="shared" si="191"/>
        <v>0</v>
      </c>
      <c r="HH114" s="773">
        <f t="shared" si="192"/>
        <v>0</v>
      </c>
      <c r="HI114" s="773">
        <f t="shared" si="193"/>
        <v>0</v>
      </c>
      <c r="HJ114" s="773">
        <f t="shared" si="194"/>
        <v>0</v>
      </c>
      <c r="HK114" s="773">
        <f t="shared" si="195"/>
        <v>0</v>
      </c>
      <c r="HL114" s="773">
        <f t="shared" si="196"/>
        <v>0</v>
      </c>
      <c r="HM114" s="626">
        <f t="shared" si="254"/>
        <v>0</v>
      </c>
      <c r="HN114" s="1145">
        <f t="shared" si="197"/>
        <v>0</v>
      </c>
      <c r="HO114" s="1146">
        <f t="shared" si="198"/>
        <v>0</v>
      </c>
      <c r="HP114" s="1146">
        <f t="shared" si="199"/>
        <v>0</v>
      </c>
      <c r="HQ114" s="1146">
        <f t="shared" si="200"/>
        <v>0</v>
      </c>
      <c r="HR114" s="1146">
        <f t="shared" si="201"/>
        <v>0</v>
      </c>
      <c r="HS114" s="1146">
        <f t="shared" si="202"/>
        <v>0</v>
      </c>
      <c r="HT114" s="1256">
        <f t="shared" si="255"/>
        <v>0</v>
      </c>
      <c r="HU114" s="1157">
        <f t="shared" si="256"/>
        <v>0</v>
      </c>
    </row>
    <row r="115" spans="1:229" ht="13.5" customHeight="1" outlineLevel="1" x14ac:dyDescent="0.2">
      <c r="A115" s="474"/>
      <c r="B115" s="1412"/>
      <c r="C115" s="511">
        <v>106</v>
      </c>
      <c r="D115" s="587" t="s">
        <v>70</v>
      </c>
      <c r="E115" s="513">
        <v>29</v>
      </c>
      <c r="F115" s="514">
        <v>1874.46</v>
      </c>
      <c r="G115" s="543">
        <f t="shared" si="259"/>
        <v>64.636551724137931</v>
      </c>
      <c r="H115" s="516">
        <v>0</v>
      </c>
      <c r="I115" s="258">
        <v>0</v>
      </c>
      <c r="J115" s="542">
        <v>0</v>
      </c>
      <c r="K115" s="516">
        <v>0</v>
      </c>
      <c r="L115" s="258">
        <v>0</v>
      </c>
      <c r="M115" s="542">
        <v>0</v>
      </c>
      <c r="N115" s="545">
        <f t="shared" si="260"/>
        <v>1874.46</v>
      </c>
      <c r="O115" s="518">
        <v>0</v>
      </c>
      <c r="P115" s="485">
        <v>9171906.5800000001</v>
      </c>
      <c r="Q115" s="518">
        <v>2912910.84</v>
      </c>
      <c r="R115" s="519">
        <f t="shared" si="261"/>
        <v>12084817.42</v>
      </c>
      <c r="S115" s="546">
        <f t="shared" si="203"/>
        <v>12084817.42</v>
      </c>
      <c r="T115" s="521">
        <v>2726374.19</v>
      </c>
      <c r="U115" s="547">
        <v>0</v>
      </c>
      <c r="V115" s="547">
        <v>0</v>
      </c>
      <c r="W115" s="548">
        <v>0</v>
      </c>
      <c r="X115" s="549">
        <v>0</v>
      </c>
      <c r="Y115" s="549">
        <v>0</v>
      </c>
      <c r="Z115" s="549">
        <v>0</v>
      </c>
      <c r="AA115" s="525">
        <f t="shared" si="204"/>
        <v>0</v>
      </c>
      <c r="AB115" s="524">
        <f t="shared" si="205"/>
        <v>0</v>
      </c>
      <c r="AC115" s="526">
        <f t="shared" si="206"/>
        <v>0</v>
      </c>
      <c r="AD115" s="547">
        <v>0</v>
      </c>
      <c r="AE115" s="547">
        <v>0</v>
      </c>
      <c r="AF115" s="547">
        <v>0</v>
      </c>
      <c r="AG115" s="547">
        <v>0</v>
      </c>
      <c r="AH115" s="363">
        <f t="shared" si="207"/>
        <v>0</v>
      </c>
      <c r="AI115" s="547">
        <f t="shared" si="208"/>
        <v>0</v>
      </c>
      <c r="AJ115" s="550">
        <f t="shared" si="209"/>
        <v>0</v>
      </c>
      <c r="AK115" s="551">
        <f t="shared" si="210"/>
        <v>0</v>
      </c>
      <c r="AL115" s="529"/>
      <c r="AM115" s="502"/>
      <c r="AN115" s="530"/>
      <c r="AO115" s="498"/>
      <c r="AP115" s="499"/>
      <c r="AQ115" s="499"/>
      <c r="AR115" s="499"/>
      <c r="AS115" s="531">
        <f t="shared" si="135"/>
        <v>0</v>
      </c>
      <c r="AT115" s="532">
        <f t="shared" si="136"/>
        <v>0</v>
      </c>
      <c r="AU115" s="529">
        <v>0</v>
      </c>
      <c r="AV115" s="533">
        <v>0</v>
      </c>
      <c r="AW115" s="533">
        <v>0</v>
      </c>
      <c r="AX115" s="533">
        <v>0</v>
      </c>
      <c r="AY115" s="533">
        <f t="shared" si="137"/>
        <v>0</v>
      </c>
      <c r="AZ115" s="534">
        <f t="shared" si="138"/>
        <v>0</v>
      </c>
      <c r="BA115" s="535">
        <f t="shared" si="211"/>
        <v>0</v>
      </c>
      <c r="BB115" s="536">
        <f t="shared" si="212"/>
        <v>0</v>
      </c>
      <c r="BC115" s="523">
        <f t="shared" si="213"/>
        <v>0</v>
      </c>
      <c r="BD115" s="525">
        <f t="shared" si="214"/>
        <v>0</v>
      </c>
      <c r="BE115" s="525">
        <f t="shared" si="215"/>
        <v>0</v>
      </c>
      <c r="BF115" s="525">
        <f t="shared" si="216"/>
        <v>0</v>
      </c>
      <c r="BG115" s="525">
        <f t="shared" si="217"/>
        <v>0</v>
      </c>
      <c r="BH115" s="525">
        <f t="shared" si="218"/>
        <v>0</v>
      </c>
      <c r="BI115" s="526">
        <f t="shared" si="219"/>
        <v>0</v>
      </c>
      <c r="BJ115" s="537">
        <f t="shared" si="220"/>
        <v>0</v>
      </c>
      <c r="BK115" s="538">
        <f t="shared" si="221"/>
        <v>0</v>
      </c>
      <c r="BL115" s="538">
        <f t="shared" si="222"/>
        <v>0</v>
      </c>
      <c r="BM115" s="538">
        <f t="shared" si="223"/>
        <v>0</v>
      </c>
      <c r="BN115" s="538">
        <f t="shared" si="224"/>
        <v>0</v>
      </c>
      <c r="BO115" s="538">
        <f t="shared" si="225"/>
        <v>0</v>
      </c>
      <c r="BP115" s="539">
        <f t="shared" si="226"/>
        <v>0</v>
      </c>
      <c r="BQ115" s="540">
        <f t="shared" si="227"/>
        <v>0</v>
      </c>
      <c r="BR115" s="529"/>
      <c r="BS115" s="502"/>
      <c r="BT115" s="530"/>
      <c r="BU115" s="498"/>
      <c r="BV115" s="499"/>
      <c r="BW115" s="499"/>
      <c r="BX115" s="499"/>
      <c r="BY115" s="531">
        <f t="shared" si="139"/>
        <v>0</v>
      </c>
      <c r="BZ115" s="532">
        <f t="shared" si="140"/>
        <v>0</v>
      </c>
      <c r="CA115" s="529"/>
      <c r="CB115" s="533"/>
      <c r="CC115" s="533"/>
      <c r="CD115" s="533"/>
      <c r="CE115" s="533">
        <f t="shared" si="141"/>
        <v>0</v>
      </c>
      <c r="CF115" s="534">
        <f t="shared" si="142"/>
        <v>0</v>
      </c>
      <c r="CG115" s="774">
        <f t="shared" si="228"/>
        <v>0</v>
      </c>
      <c r="CH115" s="775">
        <f t="shared" si="229"/>
        <v>0</v>
      </c>
      <c r="CI115" s="548">
        <f t="shared" si="230"/>
        <v>0</v>
      </c>
      <c r="CJ115" s="773">
        <f t="shared" si="231"/>
        <v>0</v>
      </c>
      <c r="CK115" s="773">
        <f t="shared" si="232"/>
        <v>0</v>
      </c>
      <c r="CL115" s="773">
        <f t="shared" si="233"/>
        <v>0</v>
      </c>
      <c r="CM115" s="773">
        <f t="shared" si="234"/>
        <v>0</v>
      </c>
      <c r="CN115" s="773">
        <f t="shared" si="235"/>
        <v>0</v>
      </c>
      <c r="CO115" s="626">
        <f t="shared" si="236"/>
        <v>0</v>
      </c>
      <c r="CP115" s="1145">
        <f t="shared" si="237"/>
        <v>0</v>
      </c>
      <c r="CQ115" s="1146">
        <f t="shared" si="238"/>
        <v>0</v>
      </c>
      <c r="CR115" s="1146">
        <f t="shared" si="239"/>
        <v>0</v>
      </c>
      <c r="CS115" s="1146">
        <f t="shared" si="240"/>
        <v>0</v>
      </c>
      <c r="CT115" s="1146">
        <f t="shared" si="241"/>
        <v>0</v>
      </c>
      <c r="CU115" s="1146">
        <f t="shared" si="242"/>
        <v>0</v>
      </c>
      <c r="CV115" s="1256">
        <f t="shared" si="243"/>
        <v>0</v>
      </c>
      <c r="CW115" s="1157">
        <f t="shared" si="244"/>
        <v>0</v>
      </c>
      <c r="CX115" s="529"/>
      <c r="CY115" s="502"/>
      <c r="CZ115" s="530"/>
      <c r="DA115" s="498"/>
      <c r="DB115" s="499"/>
      <c r="DC115" s="499"/>
      <c r="DD115" s="499"/>
      <c r="DE115" s="531">
        <f t="shared" si="143"/>
        <v>0</v>
      </c>
      <c r="DF115" s="532">
        <f t="shared" si="144"/>
        <v>0</v>
      </c>
      <c r="DG115" s="529"/>
      <c r="DH115" s="533"/>
      <c r="DI115" s="533"/>
      <c r="DJ115" s="533"/>
      <c r="DK115" s="533">
        <f t="shared" si="145"/>
        <v>0</v>
      </c>
      <c r="DL115" s="534">
        <f t="shared" si="146"/>
        <v>0</v>
      </c>
      <c r="DM115" s="1258">
        <f t="shared" si="147"/>
        <v>0</v>
      </c>
      <c r="DN115" s="775">
        <f t="shared" si="148"/>
        <v>0</v>
      </c>
      <c r="DO115" s="548">
        <f t="shared" si="149"/>
        <v>0</v>
      </c>
      <c r="DP115" s="773">
        <f t="shared" si="150"/>
        <v>0</v>
      </c>
      <c r="DQ115" s="773">
        <f t="shared" si="151"/>
        <v>0</v>
      </c>
      <c r="DR115" s="773">
        <f t="shared" si="152"/>
        <v>0</v>
      </c>
      <c r="DS115" s="773">
        <f t="shared" si="153"/>
        <v>0</v>
      </c>
      <c r="DT115" s="773">
        <f t="shared" si="154"/>
        <v>0</v>
      </c>
      <c r="DU115" s="526">
        <f t="shared" si="245"/>
        <v>0</v>
      </c>
      <c r="DV115" s="1145">
        <f t="shared" si="155"/>
        <v>0</v>
      </c>
      <c r="DW115" s="1146">
        <f t="shared" si="156"/>
        <v>0</v>
      </c>
      <c r="DX115" s="1146">
        <f t="shared" si="157"/>
        <v>0</v>
      </c>
      <c r="DY115" s="1146">
        <f t="shared" si="158"/>
        <v>0</v>
      </c>
      <c r="DZ115" s="1146">
        <f t="shared" si="159"/>
        <v>0</v>
      </c>
      <c r="EA115" s="1146">
        <f t="shared" si="160"/>
        <v>0</v>
      </c>
      <c r="EB115" s="539">
        <f t="shared" si="246"/>
        <v>0</v>
      </c>
      <c r="EC115" s="540">
        <f t="shared" si="247"/>
        <v>0</v>
      </c>
      <c r="ES115" s="1258">
        <f t="shared" si="161"/>
        <v>0</v>
      </c>
      <c r="ET115" s="775">
        <f t="shared" si="162"/>
        <v>0</v>
      </c>
      <c r="EU115" s="548">
        <f t="shared" si="163"/>
        <v>0</v>
      </c>
      <c r="EV115" s="773">
        <f t="shared" si="164"/>
        <v>0</v>
      </c>
      <c r="EW115" s="773">
        <f t="shared" si="165"/>
        <v>0</v>
      </c>
      <c r="EX115" s="773">
        <f t="shared" si="166"/>
        <v>0</v>
      </c>
      <c r="EY115" s="773">
        <f t="shared" si="167"/>
        <v>0</v>
      </c>
      <c r="EZ115" s="773">
        <f t="shared" si="168"/>
        <v>0</v>
      </c>
      <c r="FA115" s="626">
        <f t="shared" si="248"/>
        <v>0</v>
      </c>
      <c r="FB115" s="1145">
        <f t="shared" si="169"/>
        <v>0</v>
      </c>
      <c r="FC115" s="1146">
        <f t="shared" si="170"/>
        <v>0</v>
      </c>
      <c r="FD115" s="1146">
        <f t="shared" si="171"/>
        <v>0</v>
      </c>
      <c r="FE115" s="1146">
        <f t="shared" si="172"/>
        <v>0</v>
      </c>
      <c r="FF115" s="1146">
        <f t="shared" si="173"/>
        <v>0</v>
      </c>
      <c r="FG115" s="1146">
        <f t="shared" si="174"/>
        <v>0</v>
      </c>
      <c r="FH115" s="1256">
        <f t="shared" si="249"/>
        <v>0</v>
      </c>
      <c r="FI115" s="1157">
        <f t="shared" si="250"/>
        <v>0</v>
      </c>
      <c r="FY115" s="1258">
        <f t="shared" si="175"/>
        <v>0</v>
      </c>
      <c r="FZ115" s="775">
        <f t="shared" si="176"/>
        <v>0</v>
      </c>
      <c r="GA115" s="548">
        <f t="shared" si="177"/>
        <v>0</v>
      </c>
      <c r="GB115" s="773">
        <f t="shared" si="178"/>
        <v>0</v>
      </c>
      <c r="GC115" s="773">
        <f t="shared" si="179"/>
        <v>0</v>
      </c>
      <c r="GD115" s="773">
        <f t="shared" si="180"/>
        <v>0</v>
      </c>
      <c r="GE115" s="773">
        <f t="shared" si="181"/>
        <v>0</v>
      </c>
      <c r="GF115" s="773">
        <f t="shared" si="182"/>
        <v>0</v>
      </c>
      <c r="GG115" s="626">
        <f t="shared" si="251"/>
        <v>0</v>
      </c>
      <c r="GH115" s="1145">
        <f t="shared" si="183"/>
        <v>0</v>
      </c>
      <c r="GI115" s="1146">
        <f t="shared" si="184"/>
        <v>0</v>
      </c>
      <c r="GJ115" s="1146">
        <f t="shared" si="185"/>
        <v>0</v>
      </c>
      <c r="GK115" s="1146">
        <f t="shared" si="186"/>
        <v>0</v>
      </c>
      <c r="GL115" s="1146">
        <f t="shared" si="187"/>
        <v>0</v>
      </c>
      <c r="GM115" s="1146">
        <f t="shared" si="188"/>
        <v>0</v>
      </c>
      <c r="GN115" s="1256">
        <f t="shared" si="252"/>
        <v>0</v>
      </c>
      <c r="GO115" s="1157">
        <f t="shared" si="253"/>
        <v>0</v>
      </c>
      <c r="HE115" s="1675">
        <f t="shared" si="189"/>
        <v>0</v>
      </c>
      <c r="HF115" s="775">
        <f t="shared" si="190"/>
        <v>0</v>
      </c>
      <c r="HG115" s="548">
        <f t="shared" si="191"/>
        <v>0</v>
      </c>
      <c r="HH115" s="773">
        <f t="shared" si="192"/>
        <v>0</v>
      </c>
      <c r="HI115" s="773">
        <f t="shared" si="193"/>
        <v>0</v>
      </c>
      <c r="HJ115" s="773">
        <f t="shared" si="194"/>
        <v>0</v>
      </c>
      <c r="HK115" s="773">
        <f t="shared" si="195"/>
        <v>0</v>
      </c>
      <c r="HL115" s="773">
        <f t="shared" si="196"/>
        <v>0</v>
      </c>
      <c r="HM115" s="626">
        <f t="shared" si="254"/>
        <v>0</v>
      </c>
      <c r="HN115" s="1145">
        <f t="shared" si="197"/>
        <v>0</v>
      </c>
      <c r="HO115" s="1146">
        <f t="shared" si="198"/>
        <v>0</v>
      </c>
      <c r="HP115" s="1146">
        <f t="shared" si="199"/>
        <v>0</v>
      </c>
      <c r="HQ115" s="1146">
        <f t="shared" si="200"/>
        <v>0</v>
      </c>
      <c r="HR115" s="1146">
        <f t="shared" si="201"/>
        <v>0</v>
      </c>
      <c r="HS115" s="1146">
        <f t="shared" si="202"/>
        <v>0</v>
      </c>
      <c r="HT115" s="1256">
        <f t="shared" si="255"/>
        <v>0</v>
      </c>
      <c r="HU115" s="1157">
        <f t="shared" si="256"/>
        <v>0</v>
      </c>
    </row>
    <row r="116" spans="1:229" ht="13.5" customHeight="1" outlineLevel="1" x14ac:dyDescent="0.2">
      <c r="A116" s="474"/>
      <c r="B116" s="1412"/>
      <c r="C116" s="511">
        <v>107</v>
      </c>
      <c r="D116" s="560" t="s">
        <v>71</v>
      </c>
      <c r="E116" s="513">
        <v>28</v>
      </c>
      <c r="F116" s="514">
        <v>1738.5</v>
      </c>
      <c r="G116" s="543">
        <f t="shared" si="259"/>
        <v>62.089285714285715</v>
      </c>
      <c r="H116" s="516">
        <v>0</v>
      </c>
      <c r="I116" s="258">
        <v>0</v>
      </c>
      <c r="J116" s="542">
        <v>0</v>
      </c>
      <c r="K116" s="516">
        <v>0</v>
      </c>
      <c r="L116" s="258">
        <v>0</v>
      </c>
      <c r="M116" s="542">
        <v>0</v>
      </c>
      <c r="N116" s="545">
        <f t="shared" si="260"/>
        <v>1738.5</v>
      </c>
      <c r="O116" s="518">
        <v>0</v>
      </c>
      <c r="P116" s="485">
        <v>8902533.2599999998</v>
      </c>
      <c r="Q116" s="518">
        <v>2701629</v>
      </c>
      <c r="R116" s="519">
        <f t="shared" si="261"/>
        <v>11604162.26</v>
      </c>
      <c r="S116" s="546">
        <f t="shared" si="203"/>
        <v>11604162.26</v>
      </c>
      <c r="T116" s="521">
        <v>2533812.5</v>
      </c>
      <c r="U116" s="547">
        <v>0</v>
      </c>
      <c r="V116" s="547">
        <v>0</v>
      </c>
      <c r="W116" s="548">
        <v>0</v>
      </c>
      <c r="X116" s="549">
        <v>0</v>
      </c>
      <c r="Y116" s="549">
        <v>0</v>
      </c>
      <c r="Z116" s="549">
        <v>0</v>
      </c>
      <c r="AA116" s="525">
        <f t="shared" si="204"/>
        <v>0</v>
      </c>
      <c r="AB116" s="524">
        <f t="shared" si="205"/>
        <v>0</v>
      </c>
      <c r="AC116" s="526">
        <f t="shared" si="206"/>
        <v>0</v>
      </c>
      <c r="AD116" s="547">
        <v>0</v>
      </c>
      <c r="AE116" s="547">
        <v>0</v>
      </c>
      <c r="AF116" s="547">
        <v>0</v>
      </c>
      <c r="AG116" s="547">
        <v>0</v>
      </c>
      <c r="AH116" s="363">
        <f t="shared" si="207"/>
        <v>0</v>
      </c>
      <c r="AI116" s="547">
        <f t="shared" si="208"/>
        <v>0</v>
      </c>
      <c r="AJ116" s="550">
        <f t="shared" si="209"/>
        <v>0</v>
      </c>
      <c r="AK116" s="551">
        <f t="shared" si="210"/>
        <v>0</v>
      </c>
      <c r="AL116" s="529"/>
      <c r="AM116" s="502"/>
      <c r="AN116" s="530"/>
      <c r="AO116" s="498"/>
      <c r="AP116" s="499"/>
      <c r="AQ116" s="499"/>
      <c r="AR116" s="499"/>
      <c r="AS116" s="531">
        <f t="shared" si="135"/>
        <v>0</v>
      </c>
      <c r="AT116" s="532">
        <f t="shared" si="136"/>
        <v>0</v>
      </c>
      <c r="AU116" s="529">
        <v>0</v>
      </c>
      <c r="AV116" s="533">
        <v>0</v>
      </c>
      <c r="AW116" s="533">
        <v>0</v>
      </c>
      <c r="AX116" s="533">
        <v>0</v>
      </c>
      <c r="AY116" s="533">
        <f t="shared" si="137"/>
        <v>0</v>
      </c>
      <c r="AZ116" s="534">
        <f t="shared" si="138"/>
        <v>0</v>
      </c>
      <c r="BA116" s="535">
        <f t="shared" si="211"/>
        <v>0</v>
      </c>
      <c r="BB116" s="536">
        <f t="shared" si="212"/>
        <v>0</v>
      </c>
      <c r="BC116" s="523">
        <f t="shared" si="213"/>
        <v>0</v>
      </c>
      <c r="BD116" s="525">
        <f t="shared" si="214"/>
        <v>0</v>
      </c>
      <c r="BE116" s="525">
        <f t="shared" si="215"/>
        <v>0</v>
      </c>
      <c r="BF116" s="525">
        <f t="shared" si="216"/>
        <v>0</v>
      </c>
      <c r="BG116" s="525">
        <f t="shared" si="217"/>
        <v>0</v>
      </c>
      <c r="BH116" s="525">
        <f t="shared" si="218"/>
        <v>0</v>
      </c>
      <c r="BI116" s="526">
        <f t="shared" si="219"/>
        <v>0</v>
      </c>
      <c r="BJ116" s="537">
        <f t="shared" si="220"/>
        <v>0</v>
      </c>
      <c r="BK116" s="538">
        <f t="shared" si="221"/>
        <v>0</v>
      </c>
      <c r="BL116" s="538">
        <f t="shared" si="222"/>
        <v>0</v>
      </c>
      <c r="BM116" s="538">
        <f t="shared" si="223"/>
        <v>0</v>
      </c>
      <c r="BN116" s="538">
        <f t="shared" si="224"/>
        <v>0</v>
      </c>
      <c r="BO116" s="538">
        <f t="shared" si="225"/>
        <v>0</v>
      </c>
      <c r="BP116" s="539">
        <f t="shared" si="226"/>
        <v>0</v>
      </c>
      <c r="BQ116" s="540">
        <f t="shared" si="227"/>
        <v>0</v>
      </c>
      <c r="BR116" s="529"/>
      <c r="BS116" s="502"/>
      <c r="BT116" s="530"/>
      <c r="BU116" s="498"/>
      <c r="BV116" s="499"/>
      <c r="BW116" s="499"/>
      <c r="BX116" s="499"/>
      <c r="BY116" s="531">
        <f t="shared" si="139"/>
        <v>0</v>
      </c>
      <c r="BZ116" s="532">
        <f t="shared" si="140"/>
        <v>0</v>
      </c>
      <c r="CA116" s="529"/>
      <c r="CB116" s="533"/>
      <c r="CC116" s="533"/>
      <c r="CD116" s="533"/>
      <c r="CE116" s="533">
        <f t="shared" si="141"/>
        <v>0</v>
      </c>
      <c r="CF116" s="534">
        <f t="shared" si="142"/>
        <v>0</v>
      </c>
      <c r="CG116" s="774">
        <f t="shared" si="228"/>
        <v>0</v>
      </c>
      <c r="CH116" s="775">
        <f t="shared" si="229"/>
        <v>0</v>
      </c>
      <c r="CI116" s="548">
        <f t="shared" si="230"/>
        <v>0</v>
      </c>
      <c r="CJ116" s="773">
        <f t="shared" si="231"/>
        <v>0</v>
      </c>
      <c r="CK116" s="773">
        <f t="shared" si="232"/>
        <v>0</v>
      </c>
      <c r="CL116" s="773">
        <f t="shared" si="233"/>
        <v>0</v>
      </c>
      <c r="CM116" s="773">
        <f t="shared" si="234"/>
        <v>0</v>
      </c>
      <c r="CN116" s="773">
        <f t="shared" si="235"/>
        <v>0</v>
      </c>
      <c r="CO116" s="626">
        <f t="shared" si="236"/>
        <v>0</v>
      </c>
      <c r="CP116" s="1145">
        <f t="shared" si="237"/>
        <v>0</v>
      </c>
      <c r="CQ116" s="1146">
        <f t="shared" si="238"/>
        <v>0</v>
      </c>
      <c r="CR116" s="1146">
        <f t="shared" si="239"/>
        <v>0</v>
      </c>
      <c r="CS116" s="1146">
        <f t="shared" si="240"/>
        <v>0</v>
      </c>
      <c r="CT116" s="1146">
        <f t="shared" si="241"/>
        <v>0</v>
      </c>
      <c r="CU116" s="1146">
        <f t="shared" si="242"/>
        <v>0</v>
      </c>
      <c r="CV116" s="1256">
        <f t="shared" si="243"/>
        <v>0</v>
      </c>
      <c r="CW116" s="1157">
        <f t="shared" si="244"/>
        <v>0</v>
      </c>
      <c r="CX116" s="529"/>
      <c r="CY116" s="502"/>
      <c r="CZ116" s="530"/>
      <c r="DA116" s="498"/>
      <c r="DB116" s="499"/>
      <c r="DC116" s="499"/>
      <c r="DD116" s="499"/>
      <c r="DE116" s="531">
        <f t="shared" si="143"/>
        <v>0</v>
      </c>
      <c r="DF116" s="532">
        <f t="shared" si="144"/>
        <v>0</v>
      </c>
      <c r="DG116" s="529"/>
      <c r="DH116" s="533"/>
      <c r="DI116" s="533"/>
      <c r="DJ116" s="533"/>
      <c r="DK116" s="533">
        <f t="shared" si="145"/>
        <v>0</v>
      </c>
      <c r="DL116" s="534">
        <f t="shared" si="146"/>
        <v>0</v>
      </c>
      <c r="DM116" s="1258">
        <f t="shared" si="147"/>
        <v>0</v>
      </c>
      <c r="DN116" s="775">
        <f t="shared" si="148"/>
        <v>0</v>
      </c>
      <c r="DO116" s="548">
        <f t="shared" si="149"/>
        <v>0</v>
      </c>
      <c r="DP116" s="773">
        <f t="shared" si="150"/>
        <v>0</v>
      </c>
      <c r="DQ116" s="773">
        <f t="shared" si="151"/>
        <v>0</v>
      </c>
      <c r="DR116" s="773">
        <f t="shared" si="152"/>
        <v>0</v>
      </c>
      <c r="DS116" s="773">
        <f t="shared" si="153"/>
        <v>0</v>
      </c>
      <c r="DT116" s="773">
        <f t="shared" si="154"/>
        <v>0</v>
      </c>
      <c r="DU116" s="526">
        <f t="shared" si="245"/>
        <v>0</v>
      </c>
      <c r="DV116" s="1145">
        <f t="shared" si="155"/>
        <v>0</v>
      </c>
      <c r="DW116" s="1146">
        <f t="shared" si="156"/>
        <v>0</v>
      </c>
      <c r="DX116" s="1146">
        <f t="shared" si="157"/>
        <v>0</v>
      </c>
      <c r="DY116" s="1146">
        <f t="shared" si="158"/>
        <v>0</v>
      </c>
      <c r="DZ116" s="1146">
        <f t="shared" si="159"/>
        <v>0</v>
      </c>
      <c r="EA116" s="1146">
        <f t="shared" si="160"/>
        <v>0</v>
      </c>
      <c r="EB116" s="539">
        <f t="shared" si="246"/>
        <v>0</v>
      </c>
      <c r="EC116" s="540">
        <f t="shared" si="247"/>
        <v>0</v>
      </c>
      <c r="ES116" s="1258">
        <f t="shared" si="161"/>
        <v>0</v>
      </c>
      <c r="ET116" s="775">
        <f t="shared" si="162"/>
        <v>0</v>
      </c>
      <c r="EU116" s="548">
        <f t="shared" si="163"/>
        <v>0</v>
      </c>
      <c r="EV116" s="773">
        <f t="shared" si="164"/>
        <v>0</v>
      </c>
      <c r="EW116" s="773">
        <f t="shared" si="165"/>
        <v>0</v>
      </c>
      <c r="EX116" s="773">
        <f t="shared" si="166"/>
        <v>0</v>
      </c>
      <c r="EY116" s="773">
        <f t="shared" si="167"/>
        <v>0</v>
      </c>
      <c r="EZ116" s="773">
        <f t="shared" si="168"/>
        <v>0</v>
      </c>
      <c r="FA116" s="626">
        <f t="shared" si="248"/>
        <v>0</v>
      </c>
      <c r="FB116" s="1145">
        <f t="shared" si="169"/>
        <v>0</v>
      </c>
      <c r="FC116" s="1146">
        <f t="shared" si="170"/>
        <v>0</v>
      </c>
      <c r="FD116" s="1146">
        <f t="shared" si="171"/>
        <v>0</v>
      </c>
      <c r="FE116" s="1146">
        <f t="shared" si="172"/>
        <v>0</v>
      </c>
      <c r="FF116" s="1146">
        <f t="shared" si="173"/>
        <v>0</v>
      </c>
      <c r="FG116" s="1146">
        <f t="shared" si="174"/>
        <v>0</v>
      </c>
      <c r="FH116" s="1256">
        <f t="shared" si="249"/>
        <v>0</v>
      </c>
      <c r="FI116" s="1157">
        <f t="shared" si="250"/>
        <v>0</v>
      </c>
      <c r="FY116" s="1258">
        <f t="shared" si="175"/>
        <v>0</v>
      </c>
      <c r="FZ116" s="775">
        <f t="shared" si="176"/>
        <v>0</v>
      </c>
      <c r="GA116" s="548">
        <f t="shared" si="177"/>
        <v>0</v>
      </c>
      <c r="GB116" s="773">
        <f t="shared" si="178"/>
        <v>0</v>
      </c>
      <c r="GC116" s="773">
        <f t="shared" si="179"/>
        <v>0</v>
      </c>
      <c r="GD116" s="773">
        <f t="shared" si="180"/>
        <v>0</v>
      </c>
      <c r="GE116" s="773">
        <f t="shared" si="181"/>
        <v>0</v>
      </c>
      <c r="GF116" s="773">
        <f t="shared" si="182"/>
        <v>0</v>
      </c>
      <c r="GG116" s="626">
        <f t="shared" si="251"/>
        <v>0</v>
      </c>
      <c r="GH116" s="1145">
        <f t="shared" si="183"/>
        <v>0</v>
      </c>
      <c r="GI116" s="1146">
        <f t="shared" si="184"/>
        <v>0</v>
      </c>
      <c r="GJ116" s="1146">
        <f t="shared" si="185"/>
        <v>0</v>
      </c>
      <c r="GK116" s="1146">
        <f t="shared" si="186"/>
        <v>0</v>
      </c>
      <c r="GL116" s="1146">
        <f t="shared" si="187"/>
        <v>0</v>
      </c>
      <c r="GM116" s="1146">
        <f t="shared" si="188"/>
        <v>0</v>
      </c>
      <c r="GN116" s="1256">
        <f t="shared" si="252"/>
        <v>0</v>
      </c>
      <c r="GO116" s="1157">
        <f t="shared" si="253"/>
        <v>0</v>
      </c>
      <c r="HE116" s="1675">
        <f t="shared" si="189"/>
        <v>0</v>
      </c>
      <c r="HF116" s="775">
        <f t="shared" si="190"/>
        <v>0</v>
      </c>
      <c r="HG116" s="548">
        <f t="shared" si="191"/>
        <v>0</v>
      </c>
      <c r="HH116" s="773">
        <f t="shared" si="192"/>
        <v>0</v>
      </c>
      <c r="HI116" s="773">
        <f t="shared" si="193"/>
        <v>0</v>
      </c>
      <c r="HJ116" s="773">
        <f t="shared" si="194"/>
        <v>0</v>
      </c>
      <c r="HK116" s="773">
        <f t="shared" si="195"/>
        <v>0</v>
      </c>
      <c r="HL116" s="773">
        <f t="shared" si="196"/>
        <v>0</v>
      </c>
      <c r="HM116" s="626">
        <f t="shared" si="254"/>
        <v>0</v>
      </c>
      <c r="HN116" s="1145">
        <f t="shared" si="197"/>
        <v>0</v>
      </c>
      <c r="HO116" s="1146">
        <f t="shared" si="198"/>
        <v>0</v>
      </c>
      <c r="HP116" s="1146">
        <f t="shared" si="199"/>
        <v>0</v>
      </c>
      <c r="HQ116" s="1146">
        <f t="shared" si="200"/>
        <v>0</v>
      </c>
      <c r="HR116" s="1146">
        <f t="shared" si="201"/>
        <v>0</v>
      </c>
      <c r="HS116" s="1146">
        <f t="shared" si="202"/>
        <v>0</v>
      </c>
      <c r="HT116" s="1256">
        <f t="shared" si="255"/>
        <v>0</v>
      </c>
      <c r="HU116" s="1157">
        <f t="shared" si="256"/>
        <v>0</v>
      </c>
    </row>
    <row r="117" spans="1:229" ht="13.5" customHeight="1" outlineLevel="1" x14ac:dyDescent="0.2">
      <c r="A117" s="474"/>
      <c r="B117" s="1412"/>
      <c r="C117" s="511">
        <v>108</v>
      </c>
      <c r="D117" s="561" t="s">
        <v>72</v>
      </c>
      <c r="E117" s="565">
        <f>42-1</f>
        <v>41</v>
      </c>
      <c r="F117" s="566">
        <f>2696.95-54.9</f>
        <v>2642.0499999999997</v>
      </c>
      <c r="G117" s="543">
        <f t="shared" si="259"/>
        <v>64.440243902439022</v>
      </c>
      <c r="H117" s="516">
        <v>0</v>
      </c>
      <c r="I117" s="258">
        <v>0</v>
      </c>
      <c r="J117" s="542">
        <v>0</v>
      </c>
      <c r="K117" s="516">
        <v>0</v>
      </c>
      <c r="L117" s="258">
        <v>0</v>
      </c>
      <c r="M117" s="542">
        <v>0</v>
      </c>
      <c r="N117" s="545">
        <f t="shared" si="260"/>
        <v>2642.0499999999997</v>
      </c>
      <c r="O117" s="518">
        <v>0</v>
      </c>
      <c r="P117" s="485">
        <f>13487773.135-neprodano!EC40</f>
        <v>13228232.324999999</v>
      </c>
      <c r="Q117" s="518">
        <f>4191060.3-neprodano!ED40</f>
        <v>4105745.6999999997</v>
      </c>
      <c r="R117" s="519">
        <f t="shared" si="261"/>
        <v>17333978.024999999</v>
      </c>
      <c r="S117" s="546">
        <f t="shared" si="203"/>
        <v>17333978.024999999</v>
      </c>
      <c r="T117" s="521">
        <v>4309919.7314021783</v>
      </c>
      <c r="U117" s="547">
        <v>0</v>
      </c>
      <c r="V117" s="547">
        <v>0</v>
      </c>
      <c r="W117" s="548">
        <v>0</v>
      </c>
      <c r="X117" s="549">
        <v>0</v>
      </c>
      <c r="Y117" s="549">
        <v>0</v>
      </c>
      <c r="Z117" s="549">
        <v>0</v>
      </c>
      <c r="AA117" s="525">
        <f t="shared" si="204"/>
        <v>0</v>
      </c>
      <c r="AB117" s="524">
        <f t="shared" si="205"/>
        <v>0</v>
      </c>
      <c r="AC117" s="526">
        <f t="shared" si="206"/>
        <v>0</v>
      </c>
      <c r="AD117" s="547">
        <v>0</v>
      </c>
      <c r="AE117" s="547">
        <v>0</v>
      </c>
      <c r="AF117" s="547">
        <v>0</v>
      </c>
      <c r="AG117" s="547">
        <v>0</v>
      </c>
      <c r="AH117" s="363">
        <f t="shared" si="207"/>
        <v>0</v>
      </c>
      <c r="AI117" s="547">
        <f t="shared" si="208"/>
        <v>0</v>
      </c>
      <c r="AJ117" s="550">
        <f t="shared" si="209"/>
        <v>0</v>
      </c>
      <c r="AK117" s="551">
        <f t="shared" si="210"/>
        <v>0</v>
      </c>
      <c r="AL117" s="529"/>
      <c r="AM117" s="502"/>
      <c r="AN117" s="530"/>
      <c r="AO117" s="498"/>
      <c r="AP117" s="499"/>
      <c r="AQ117" s="499"/>
      <c r="AR117" s="499"/>
      <c r="AS117" s="531">
        <f t="shared" si="135"/>
        <v>0</v>
      </c>
      <c r="AT117" s="532">
        <f t="shared" si="136"/>
        <v>0</v>
      </c>
      <c r="AU117" s="529">
        <v>0</v>
      </c>
      <c r="AV117" s="533">
        <v>0</v>
      </c>
      <c r="AW117" s="533">
        <v>0</v>
      </c>
      <c r="AX117" s="533">
        <v>0</v>
      </c>
      <c r="AY117" s="533">
        <f t="shared" si="137"/>
        <v>0</v>
      </c>
      <c r="AZ117" s="534">
        <f t="shared" si="138"/>
        <v>0</v>
      </c>
      <c r="BA117" s="535">
        <f t="shared" si="211"/>
        <v>0</v>
      </c>
      <c r="BB117" s="536">
        <f t="shared" si="212"/>
        <v>0</v>
      </c>
      <c r="BC117" s="523">
        <f t="shared" si="213"/>
        <v>0</v>
      </c>
      <c r="BD117" s="525">
        <f t="shared" si="214"/>
        <v>0</v>
      </c>
      <c r="BE117" s="525">
        <f t="shared" si="215"/>
        <v>0</v>
      </c>
      <c r="BF117" s="525">
        <f t="shared" si="216"/>
        <v>0</v>
      </c>
      <c r="BG117" s="525">
        <f t="shared" si="217"/>
        <v>0</v>
      </c>
      <c r="BH117" s="525">
        <f t="shared" si="218"/>
        <v>0</v>
      </c>
      <c r="BI117" s="526">
        <f t="shared" si="219"/>
        <v>0</v>
      </c>
      <c r="BJ117" s="537">
        <f t="shared" si="220"/>
        <v>0</v>
      </c>
      <c r="BK117" s="538">
        <f t="shared" si="221"/>
        <v>0</v>
      </c>
      <c r="BL117" s="538">
        <f t="shared" si="222"/>
        <v>0</v>
      </c>
      <c r="BM117" s="538">
        <f t="shared" si="223"/>
        <v>0</v>
      </c>
      <c r="BN117" s="538">
        <f t="shared" si="224"/>
        <v>0</v>
      </c>
      <c r="BO117" s="538">
        <f t="shared" si="225"/>
        <v>0</v>
      </c>
      <c r="BP117" s="539">
        <f t="shared" si="226"/>
        <v>0</v>
      </c>
      <c r="BQ117" s="540">
        <f t="shared" si="227"/>
        <v>0</v>
      </c>
      <c r="BR117" s="529"/>
      <c r="BS117" s="502"/>
      <c r="BT117" s="530"/>
      <c r="BU117" s="498"/>
      <c r="BV117" s="499"/>
      <c r="BW117" s="499"/>
      <c r="BX117" s="499"/>
      <c r="BY117" s="531">
        <f t="shared" si="139"/>
        <v>0</v>
      </c>
      <c r="BZ117" s="532">
        <f t="shared" si="140"/>
        <v>0</v>
      </c>
      <c r="CA117" s="529"/>
      <c r="CB117" s="533"/>
      <c r="CC117" s="533"/>
      <c r="CD117" s="533"/>
      <c r="CE117" s="533">
        <f t="shared" si="141"/>
        <v>0</v>
      </c>
      <c r="CF117" s="534">
        <f t="shared" si="142"/>
        <v>0</v>
      </c>
      <c r="CG117" s="774">
        <f t="shared" si="228"/>
        <v>0</v>
      </c>
      <c r="CH117" s="775">
        <f t="shared" si="229"/>
        <v>0</v>
      </c>
      <c r="CI117" s="548">
        <f t="shared" si="230"/>
        <v>0</v>
      </c>
      <c r="CJ117" s="773">
        <f t="shared" si="231"/>
        <v>0</v>
      </c>
      <c r="CK117" s="773">
        <f t="shared" si="232"/>
        <v>0</v>
      </c>
      <c r="CL117" s="773">
        <f t="shared" si="233"/>
        <v>0</v>
      </c>
      <c r="CM117" s="773">
        <f t="shared" si="234"/>
        <v>0</v>
      </c>
      <c r="CN117" s="773">
        <f t="shared" si="235"/>
        <v>0</v>
      </c>
      <c r="CO117" s="626">
        <f t="shared" si="236"/>
        <v>0</v>
      </c>
      <c r="CP117" s="1145">
        <f t="shared" si="237"/>
        <v>0</v>
      </c>
      <c r="CQ117" s="1146">
        <f t="shared" si="238"/>
        <v>0</v>
      </c>
      <c r="CR117" s="1146">
        <f t="shared" si="239"/>
        <v>0</v>
      </c>
      <c r="CS117" s="1146">
        <f t="shared" si="240"/>
        <v>0</v>
      </c>
      <c r="CT117" s="1146">
        <f t="shared" si="241"/>
        <v>0</v>
      </c>
      <c r="CU117" s="1146">
        <f t="shared" si="242"/>
        <v>0</v>
      </c>
      <c r="CV117" s="1256">
        <f t="shared" si="243"/>
        <v>0</v>
      </c>
      <c r="CW117" s="1157">
        <f t="shared" si="244"/>
        <v>0</v>
      </c>
      <c r="CX117" s="529"/>
      <c r="CY117" s="502"/>
      <c r="CZ117" s="530"/>
      <c r="DA117" s="498"/>
      <c r="DB117" s="499"/>
      <c r="DC117" s="499"/>
      <c r="DD117" s="499"/>
      <c r="DE117" s="531">
        <f t="shared" si="143"/>
        <v>0</v>
      </c>
      <c r="DF117" s="532">
        <f t="shared" si="144"/>
        <v>0</v>
      </c>
      <c r="DG117" s="529"/>
      <c r="DH117" s="533"/>
      <c r="DI117" s="533"/>
      <c r="DJ117" s="533"/>
      <c r="DK117" s="533">
        <f t="shared" si="145"/>
        <v>0</v>
      </c>
      <c r="DL117" s="534">
        <f t="shared" si="146"/>
        <v>0</v>
      </c>
      <c r="DM117" s="1258">
        <f t="shared" si="147"/>
        <v>0</v>
      </c>
      <c r="DN117" s="775">
        <f t="shared" si="148"/>
        <v>0</v>
      </c>
      <c r="DO117" s="548">
        <f t="shared" si="149"/>
        <v>0</v>
      </c>
      <c r="DP117" s="773">
        <f t="shared" si="150"/>
        <v>0</v>
      </c>
      <c r="DQ117" s="773">
        <f t="shared" si="151"/>
        <v>0</v>
      </c>
      <c r="DR117" s="773">
        <f t="shared" si="152"/>
        <v>0</v>
      </c>
      <c r="DS117" s="773">
        <f t="shared" si="153"/>
        <v>0</v>
      </c>
      <c r="DT117" s="773">
        <f t="shared" si="154"/>
        <v>0</v>
      </c>
      <c r="DU117" s="526">
        <f t="shared" si="245"/>
        <v>0</v>
      </c>
      <c r="DV117" s="1145">
        <f t="shared" si="155"/>
        <v>0</v>
      </c>
      <c r="DW117" s="1146">
        <f t="shared" si="156"/>
        <v>0</v>
      </c>
      <c r="DX117" s="1146">
        <f t="shared" si="157"/>
        <v>0</v>
      </c>
      <c r="DY117" s="1146">
        <f t="shared" si="158"/>
        <v>0</v>
      </c>
      <c r="DZ117" s="1146">
        <f t="shared" si="159"/>
        <v>0</v>
      </c>
      <c r="EA117" s="1146">
        <f t="shared" si="160"/>
        <v>0</v>
      </c>
      <c r="EB117" s="539">
        <f t="shared" si="246"/>
        <v>0</v>
      </c>
      <c r="EC117" s="540">
        <f t="shared" si="247"/>
        <v>0</v>
      </c>
      <c r="ES117" s="1258">
        <f t="shared" si="161"/>
        <v>0</v>
      </c>
      <c r="ET117" s="775">
        <f t="shared" si="162"/>
        <v>0</v>
      </c>
      <c r="EU117" s="548">
        <f t="shared" si="163"/>
        <v>0</v>
      </c>
      <c r="EV117" s="773">
        <f t="shared" si="164"/>
        <v>0</v>
      </c>
      <c r="EW117" s="773">
        <f t="shared" si="165"/>
        <v>0</v>
      </c>
      <c r="EX117" s="773">
        <f t="shared" si="166"/>
        <v>0</v>
      </c>
      <c r="EY117" s="773">
        <f t="shared" si="167"/>
        <v>0</v>
      </c>
      <c r="EZ117" s="773">
        <f t="shared" si="168"/>
        <v>0</v>
      </c>
      <c r="FA117" s="626">
        <f t="shared" si="248"/>
        <v>0</v>
      </c>
      <c r="FB117" s="1145">
        <f t="shared" si="169"/>
        <v>0</v>
      </c>
      <c r="FC117" s="1146">
        <f t="shared" si="170"/>
        <v>0</v>
      </c>
      <c r="FD117" s="1146">
        <f t="shared" si="171"/>
        <v>0</v>
      </c>
      <c r="FE117" s="1146">
        <f t="shared" si="172"/>
        <v>0</v>
      </c>
      <c r="FF117" s="1146">
        <f t="shared" si="173"/>
        <v>0</v>
      </c>
      <c r="FG117" s="1146">
        <f t="shared" si="174"/>
        <v>0</v>
      </c>
      <c r="FH117" s="1256">
        <f t="shared" si="249"/>
        <v>0</v>
      </c>
      <c r="FI117" s="1157">
        <f t="shared" si="250"/>
        <v>0</v>
      </c>
      <c r="FY117" s="1258">
        <f t="shared" si="175"/>
        <v>0</v>
      </c>
      <c r="FZ117" s="775">
        <f t="shared" si="176"/>
        <v>0</v>
      </c>
      <c r="GA117" s="548">
        <f t="shared" si="177"/>
        <v>0</v>
      </c>
      <c r="GB117" s="773">
        <f t="shared" si="178"/>
        <v>0</v>
      </c>
      <c r="GC117" s="773">
        <f t="shared" si="179"/>
        <v>0</v>
      </c>
      <c r="GD117" s="773">
        <f t="shared" si="180"/>
        <v>0</v>
      </c>
      <c r="GE117" s="773">
        <f t="shared" si="181"/>
        <v>0</v>
      </c>
      <c r="GF117" s="773">
        <f t="shared" si="182"/>
        <v>0</v>
      </c>
      <c r="GG117" s="626">
        <f t="shared" si="251"/>
        <v>0</v>
      </c>
      <c r="GH117" s="1145">
        <f t="shared" si="183"/>
        <v>0</v>
      </c>
      <c r="GI117" s="1146">
        <f t="shared" si="184"/>
        <v>0</v>
      </c>
      <c r="GJ117" s="1146">
        <f t="shared" si="185"/>
        <v>0</v>
      </c>
      <c r="GK117" s="1146">
        <f t="shared" si="186"/>
        <v>0</v>
      </c>
      <c r="GL117" s="1146">
        <f t="shared" si="187"/>
        <v>0</v>
      </c>
      <c r="GM117" s="1146">
        <f t="shared" si="188"/>
        <v>0</v>
      </c>
      <c r="GN117" s="1256">
        <f t="shared" si="252"/>
        <v>0</v>
      </c>
      <c r="GO117" s="1157">
        <f t="shared" si="253"/>
        <v>0</v>
      </c>
      <c r="HE117" s="1675">
        <f t="shared" si="189"/>
        <v>0</v>
      </c>
      <c r="HF117" s="775">
        <f t="shared" si="190"/>
        <v>0</v>
      </c>
      <c r="HG117" s="548">
        <f t="shared" si="191"/>
        <v>0</v>
      </c>
      <c r="HH117" s="773">
        <f t="shared" si="192"/>
        <v>0</v>
      </c>
      <c r="HI117" s="773">
        <f t="shared" si="193"/>
        <v>0</v>
      </c>
      <c r="HJ117" s="773">
        <f t="shared" si="194"/>
        <v>0</v>
      </c>
      <c r="HK117" s="773">
        <f t="shared" si="195"/>
        <v>0</v>
      </c>
      <c r="HL117" s="773">
        <f t="shared" si="196"/>
        <v>0</v>
      </c>
      <c r="HM117" s="626">
        <f t="shared" si="254"/>
        <v>0</v>
      </c>
      <c r="HN117" s="1145">
        <f t="shared" si="197"/>
        <v>0</v>
      </c>
      <c r="HO117" s="1146">
        <f t="shared" si="198"/>
        <v>0</v>
      </c>
      <c r="HP117" s="1146">
        <f t="shared" si="199"/>
        <v>0</v>
      </c>
      <c r="HQ117" s="1146">
        <f t="shared" si="200"/>
        <v>0</v>
      </c>
      <c r="HR117" s="1146">
        <f t="shared" si="201"/>
        <v>0</v>
      </c>
      <c r="HS117" s="1146">
        <f t="shared" si="202"/>
        <v>0</v>
      </c>
      <c r="HT117" s="1256">
        <f t="shared" si="255"/>
        <v>0</v>
      </c>
      <c r="HU117" s="1157">
        <f t="shared" si="256"/>
        <v>0</v>
      </c>
    </row>
    <row r="118" spans="1:229" ht="13.5" customHeight="1" outlineLevel="1" x14ac:dyDescent="0.2">
      <c r="A118" s="474"/>
      <c r="B118" s="1412"/>
      <c r="C118" s="511">
        <v>109</v>
      </c>
      <c r="D118" s="561" t="s">
        <v>73</v>
      </c>
      <c r="E118" s="565">
        <v>42</v>
      </c>
      <c r="F118" s="566">
        <v>2696.95</v>
      </c>
      <c r="G118" s="543">
        <f t="shared" si="259"/>
        <v>64.213095238095235</v>
      </c>
      <c r="H118" s="516">
        <v>0</v>
      </c>
      <c r="I118" s="258">
        <v>0</v>
      </c>
      <c r="J118" s="542">
        <v>0</v>
      </c>
      <c r="K118" s="516">
        <v>0</v>
      </c>
      <c r="L118" s="258">
        <v>0</v>
      </c>
      <c r="M118" s="542">
        <v>0</v>
      </c>
      <c r="N118" s="545">
        <f t="shared" si="260"/>
        <v>2696.95</v>
      </c>
      <c r="O118" s="518">
        <v>0</v>
      </c>
      <c r="P118" s="485">
        <v>13471613.174999999</v>
      </c>
      <c r="Q118" s="518">
        <v>4191060.3</v>
      </c>
      <c r="R118" s="519">
        <f t="shared" si="261"/>
        <v>17662673.474999998</v>
      </c>
      <c r="S118" s="546">
        <f t="shared" si="203"/>
        <v>17662673.474999998</v>
      </c>
      <c r="T118" s="521">
        <v>4420538.88</v>
      </c>
      <c r="U118" s="547">
        <v>0</v>
      </c>
      <c r="V118" s="547">
        <v>0</v>
      </c>
      <c r="W118" s="548">
        <v>0</v>
      </c>
      <c r="X118" s="549">
        <v>0</v>
      </c>
      <c r="Y118" s="549">
        <v>0</v>
      </c>
      <c r="Z118" s="549">
        <v>0</v>
      </c>
      <c r="AA118" s="525">
        <f t="shared" si="204"/>
        <v>0</v>
      </c>
      <c r="AB118" s="524">
        <f t="shared" si="205"/>
        <v>0</v>
      </c>
      <c r="AC118" s="526">
        <f t="shared" si="206"/>
        <v>0</v>
      </c>
      <c r="AD118" s="547">
        <v>0</v>
      </c>
      <c r="AE118" s="547">
        <v>0</v>
      </c>
      <c r="AF118" s="547">
        <v>0</v>
      </c>
      <c r="AG118" s="547">
        <v>0</v>
      </c>
      <c r="AH118" s="363">
        <f t="shared" si="207"/>
        <v>0</v>
      </c>
      <c r="AI118" s="547">
        <f t="shared" si="208"/>
        <v>0</v>
      </c>
      <c r="AJ118" s="550">
        <f t="shared" si="209"/>
        <v>0</v>
      </c>
      <c r="AK118" s="551">
        <f t="shared" si="210"/>
        <v>0</v>
      </c>
      <c r="AL118" s="529"/>
      <c r="AM118" s="502"/>
      <c r="AN118" s="530"/>
      <c r="AO118" s="498"/>
      <c r="AP118" s="499"/>
      <c r="AQ118" s="499"/>
      <c r="AR118" s="499"/>
      <c r="AS118" s="531">
        <f t="shared" si="135"/>
        <v>0</v>
      </c>
      <c r="AT118" s="532">
        <f t="shared" si="136"/>
        <v>0</v>
      </c>
      <c r="AU118" s="529">
        <v>0</v>
      </c>
      <c r="AV118" s="533">
        <v>0</v>
      </c>
      <c r="AW118" s="533">
        <v>0</v>
      </c>
      <c r="AX118" s="533">
        <v>0</v>
      </c>
      <c r="AY118" s="533">
        <f t="shared" si="137"/>
        <v>0</v>
      </c>
      <c r="AZ118" s="534">
        <f t="shared" si="138"/>
        <v>0</v>
      </c>
      <c r="BA118" s="535">
        <f t="shared" si="211"/>
        <v>0</v>
      </c>
      <c r="BB118" s="536">
        <f t="shared" si="212"/>
        <v>0</v>
      </c>
      <c r="BC118" s="523">
        <f t="shared" si="213"/>
        <v>0</v>
      </c>
      <c r="BD118" s="525">
        <f t="shared" si="214"/>
        <v>0</v>
      </c>
      <c r="BE118" s="525">
        <f t="shared" si="215"/>
        <v>0</v>
      </c>
      <c r="BF118" s="525">
        <f t="shared" si="216"/>
        <v>0</v>
      </c>
      <c r="BG118" s="525">
        <f t="shared" si="217"/>
        <v>0</v>
      </c>
      <c r="BH118" s="525">
        <f t="shared" si="218"/>
        <v>0</v>
      </c>
      <c r="BI118" s="526">
        <f t="shared" si="219"/>
        <v>0</v>
      </c>
      <c r="BJ118" s="537">
        <f t="shared" si="220"/>
        <v>0</v>
      </c>
      <c r="BK118" s="538">
        <f t="shared" si="221"/>
        <v>0</v>
      </c>
      <c r="BL118" s="538">
        <f t="shared" si="222"/>
        <v>0</v>
      </c>
      <c r="BM118" s="538">
        <f t="shared" si="223"/>
        <v>0</v>
      </c>
      <c r="BN118" s="538">
        <f t="shared" si="224"/>
        <v>0</v>
      </c>
      <c r="BO118" s="538">
        <f t="shared" si="225"/>
        <v>0</v>
      </c>
      <c r="BP118" s="539">
        <f t="shared" si="226"/>
        <v>0</v>
      </c>
      <c r="BQ118" s="540">
        <f t="shared" si="227"/>
        <v>0</v>
      </c>
      <c r="BR118" s="529"/>
      <c r="BS118" s="502"/>
      <c r="BT118" s="530"/>
      <c r="BU118" s="498"/>
      <c r="BV118" s="499"/>
      <c r="BW118" s="499"/>
      <c r="BX118" s="499"/>
      <c r="BY118" s="531">
        <f t="shared" si="139"/>
        <v>0</v>
      </c>
      <c r="BZ118" s="532">
        <f t="shared" si="140"/>
        <v>0</v>
      </c>
      <c r="CA118" s="529"/>
      <c r="CB118" s="533"/>
      <c r="CC118" s="533"/>
      <c r="CD118" s="533"/>
      <c r="CE118" s="533">
        <f t="shared" si="141"/>
        <v>0</v>
      </c>
      <c r="CF118" s="534">
        <f t="shared" si="142"/>
        <v>0</v>
      </c>
      <c r="CG118" s="774">
        <f t="shared" si="228"/>
        <v>0</v>
      </c>
      <c r="CH118" s="775">
        <f t="shared" si="229"/>
        <v>0</v>
      </c>
      <c r="CI118" s="548">
        <f t="shared" si="230"/>
        <v>0</v>
      </c>
      <c r="CJ118" s="773">
        <f t="shared" si="231"/>
        <v>0</v>
      </c>
      <c r="CK118" s="773">
        <f t="shared" si="232"/>
        <v>0</v>
      </c>
      <c r="CL118" s="773">
        <f t="shared" si="233"/>
        <v>0</v>
      </c>
      <c r="CM118" s="773">
        <f t="shared" si="234"/>
        <v>0</v>
      </c>
      <c r="CN118" s="773">
        <f t="shared" si="235"/>
        <v>0</v>
      </c>
      <c r="CO118" s="626">
        <f t="shared" si="236"/>
        <v>0</v>
      </c>
      <c r="CP118" s="1145">
        <f t="shared" si="237"/>
        <v>0</v>
      </c>
      <c r="CQ118" s="1146">
        <f t="shared" si="238"/>
        <v>0</v>
      </c>
      <c r="CR118" s="1146">
        <f t="shared" si="239"/>
        <v>0</v>
      </c>
      <c r="CS118" s="1146">
        <f t="shared" si="240"/>
        <v>0</v>
      </c>
      <c r="CT118" s="1146">
        <f t="shared" si="241"/>
        <v>0</v>
      </c>
      <c r="CU118" s="1146">
        <f t="shared" si="242"/>
        <v>0</v>
      </c>
      <c r="CV118" s="1256">
        <f t="shared" si="243"/>
        <v>0</v>
      </c>
      <c r="CW118" s="1157">
        <f t="shared" si="244"/>
        <v>0</v>
      </c>
      <c r="CX118" s="529"/>
      <c r="CY118" s="502"/>
      <c r="CZ118" s="530"/>
      <c r="DA118" s="498"/>
      <c r="DB118" s="499"/>
      <c r="DC118" s="499"/>
      <c r="DD118" s="499"/>
      <c r="DE118" s="531">
        <f t="shared" si="143"/>
        <v>0</v>
      </c>
      <c r="DF118" s="532">
        <f t="shared" si="144"/>
        <v>0</v>
      </c>
      <c r="DG118" s="529"/>
      <c r="DH118" s="533"/>
      <c r="DI118" s="533"/>
      <c r="DJ118" s="533"/>
      <c r="DK118" s="533">
        <f t="shared" si="145"/>
        <v>0</v>
      </c>
      <c r="DL118" s="534">
        <f t="shared" si="146"/>
        <v>0</v>
      </c>
      <c r="DM118" s="1258">
        <f t="shared" si="147"/>
        <v>0</v>
      </c>
      <c r="DN118" s="775">
        <f t="shared" si="148"/>
        <v>0</v>
      </c>
      <c r="DO118" s="548">
        <f t="shared" si="149"/>
        <v>0</v>
      </c>
      <c r="DP118" s="773">
        <f t="shared" si="150"/>
        <v>0</v>
      </c>
      <c r="DQ118" s="773">
        <f t="shared" si="151"/>
        <v>0</v>
      </c>
      <c r="DR118" s="773">
        <f t="shared" si="152"/>
        <v>0</v>
      </c>
      <c r="DS118" s="773">
        <f t="shared" si="153"/>
        <v>0</v>
      </c>
      <c r="DT118" s="773">
        <f t="shared" si="154"/>
        <v>0</v>
      </c>
      <c r="DU118" s="526">
        <f t="shared" si="245"/>
        <v>0</v>
      </c>
      <c r="DV118" s="1145">
        <f t="shared" si="155"/>
        <v>0</v>
      </c>
      <c r="DW118" s="1146">
        <f t="shared" si="156"/>
        <v>0</v>
      </c>
      <c r="DX118" s="1146">
        <f t="shared" si="157"/>
        <v>0</v>
      </c>
      <c r="DY118" s="1146">
        <f t="shared" si="158"/>
        <v>0</v>
      </c>
      <c r="DZ118" s="1146">
        <f t="shared" si="159"/>
        <v>0</v>
      </c>
      <c r="EA118" s="1146">
        <f t="shared" si="160"/>
        <v>0</v>
      </c>
      <c r="EB118" s="539">
        <f t="shared" si="246"/>
        <v>0</v>
      </c>
      <c r="EC118" s="540">
        <f t="shared" si="247"/>
        <v>0</v>
      </c>
      <c r="ES118" s="1258">
        <f t="shared" si="161"/>
        <v>0</v>
      </c>
      <c r="ET118" s="775">
        <f t="shared" si="162"/>
        <v>0</v>
      </c>
      <c r="EU118" s="548">
        <f t="shared" si="163"/>
        <v>0</v>
      </c>
      <c r="EV118" s="773">
        <f t="shared" si="164"/>
        <v>0</v>
      </c>
      <c r="EW118" s="773">
        <f t="shared" si="165"/>
        <v>0</v>
      </c>
      <c r="EX118" s="773">
        <f t="shared" si="166"/>
        <v>0</v>
      </c>
      <c r="EY118" s="773">
        <f t="shared" si="167"/>
        <v>0</v>
      </c>
      <c r="EZ118" s="773">
        <f t="shared" si="168"/>
        <v>0</v>
      </c>
      <c r="FA118" s="626">
        <f t="shared" si="248"/>
        <v>0</v>
      </c>
      <c r="FB118" s="1145">
        <f t="shared" si="169"/>
        <v>0</v>
      </c>
      <c r="FC118" s="1146">
        <f t="shared" si="170"/>
        <v>0</v>
      </c>
      <c r="FD118" s="1146">
        <f t="shared" si="171"/>
        <v>0</v>
      </c>
      <c r="FE118" s="1146">
        <f t="shared" si="172"/>
        <v>0</v>
      </c>
      <c r="FF118" s="1146">
        <f t="shared" si="173"/>
        <v>0</v>
      </c>
      <c r="FG118" s="1146">
        <f t="shared" si="174"/>
        <v>0</v>
      </c>
      <c r="FH118" s="1256">
        <f t="shared" si="249"/>
        <v>0</v>
      </c>
      <c r="FI118" s="1157">
        <f t="shared" si="250"/>
        <v>0</v>
      </c>
      <c r="FY118" s="1258">
        <f t="shared" si="175"/>
        <v>0</v>
      </c>
      <c r="FZ118" s="775">
        <f t="shared" si="176"/>
        <v>0</v>
      </c>
      <c r="GA118" s="548">
        <f t="shared" si="177"/>
        <v>0</v>
      </c>
      <c r="GB118" s="773">
        <f t="shared" si="178"/>
        <v>0</v>
      </c>
      <c r="GC118" s="773">
        <f t="shared" si="179"/>
        <v>0</v>
      </c>
      <c r="GD118" s="773">
        <f t="shared" si="180"/>
        <v>0</v>
      </c>
      <c r="GE118" s="773">
        <f t="shared" si="181"/>
        <v>0</v>
      </c>
      <c r="GF118" s="773">
        <f t="shared" si="182"/>
        <v>0</v>
      </c>
      <c r="GG118" s="626">
        <f t="shared" si="251"/>
        <v>0</v>
      </c>
      <c r="GH118" s="1145">
        <f t="shared" si="183"/>
        <v>0</v>
      </c>
      <c r="GI118" s="1146">
        <f t="shared" si="184"/>
        <v>0</v>
      </c>
      <c r="GJ118" s="1146">
        <f t="shared" si="185"/>
        <v>0</v>
      </c>
      <c r="GK118" s="1146">
        <f t="shared" si="186"/>
        <v>0</v>
      </c>
      <c r="GL118" s="1146">
        <f t="shared" si="187"/>
        <v>0</v>
      </c>
      <c r="GM118" s="1146">
        <f t="shared" si="188"/>
        <v>0</v>
      </c>
      <c r="GN118" s="1256">
        <f t="shared" si="252"/>
        <v>0</v>
      </c>
      <c r="GO118" s="1157">
        <f t="shared" si="253"/>
        <v>0</v>
      </c>
      <c r="HE118" s="1675">
        <f t="shared" si="189"/>
        <v>0</v>
      </c>
      <c r="HF118" s="775">
        <f t="shared" si="190"/>
        <v>0</v>
      </c>
      <c r="HG118" s="548">
        <f t="shared" si="191"/>
        <v>0</v>
      </c>
      <c r="HH118" s="773">
        <f t="shared" si="192"/>
        <v>0</v>
      </c>
      <c r="HI118" s="773">
        <f t="shared" si="193"/>
        <v>0</v>
      </c>
      <c r="HJ118" s="773">
        <f t="shared" si="194"/>
        <v>0</v>
      </c>
      <c r="HK118" s="773">
        <f t="shared" si="195"/>
        <v>0</v>
      </c>
      <c r="HL118" s="773">
        <f t="shared" si="196"/>
        <v>0</v>
      </c>
      <c r="HM118" s="626">
        <f t="shared" si="254"/>
        <v>0</v>
      </c>
      <c r="HN118" s="1145">
        <f t="shared" si="197"/>
        <v>0</v>
      </c>
      <c r="HO118" s="1146">
        <f t="shared" si="198"/>
        <v>0</v>
      </c>
      <c r="HP118" s="1146">
        <f t="shared" si="199"/>
        <v>0</v>
      </c>
      <c r="HQ118" s="1146">
        <f t="shared" si="200"/>
        <v>0</v>
      </c>
      <c r="HR118" s="1146">
        <f t="shared" si="201"/>
        <v>0</v>
      </c>
      <c r="HS118" s="1146">
        <f t="shared" si="202"/>
        <v>0</v>
      </c>
      <c r="HT118" s="1256">
        <f t="shared" si="255"/>
        <v>0</v>
      </c>
      <c r="HU118" s="1157">
        <f t="shared" si="256"/>
        <v>0</v>
      </c>
    </row>
    <row r="119" spans="1:229" ht="13.5" customHeight="1" outlineLevel="1" x14ac:dyDescent="0.2">
      <c r="A119" s="474"/>
      <c r="B119" s="1412"/>
      <c r="C119" s="511">
        <v>110</v>
      </c>
      <c r="D119" s="561" t="s">
        <v>94</v>
      </c>
      <c r="E119" s="588">
        <f>58-1</f>
        <v>57</v>
      </c>
      <c r="F119" s="589">
        <f>4152-75.05</f>
        <v>4076.95</v>
      </c>
      <c r="G119" s="543">
        <f t="shared" si="259"/>
        <v>71.525438596491227</v>
      </c>
      <c r="H119" s="590">
        <v>0</v>
      </c>
      <c r="I119" s="591">
        <v>0</v>
      </c>
      <c r="J119" s="542">
        <v>0</v>
      </c>
      <c r="K119" s="590">
        <v>0</v>
      </c>
      <c r="L119" s="591">
        <v>0</v>
      </c>
      <c r="M119" s="542">
        <v>0</v>
      </c>
      <c r="N119" s="545">
        <f t="shared" si="260"/>
        <v>4076.95</v>
      </c>
      <c r="O119" s="518">
        <v>0</v>
      </c>
      <c r="P119" s="485">
        <f>21279891.09-neprodano!EC41</f>
        <v>20903704.140000001</v>
      </c>
      <c r="Q119" s="518">
        <f>6452208-neprodano!ED41</f>
        <v>6335580.2999999998</v>
      </c>
      <c r="R119" s="519">
        <f t="shared" si="261"/>
        <v>27239284.440000001</v>
      </c>
      <c r="S119" s="546">
        <f t="shared" si="203"/>
        <v>27239284.440000001</v>
      </c>
      <c r="T119" s="521">
        <v>6398715.7493954618</v>
      </c>
      <c r="U119" s="547">
        <v>0</v>
      </c>
      <c r="V119" s="668">
        <v>0</v>
      </c>
      <c r="W119" s="549">
        <v>0</v>
      </c>
      <c r="X119" s="549">
        <v>0</v>
      </c>
      <c r="Y119" s="549">
        <v>0</v>
      </c>
      <c r="Z119" s="549">
        <v>0</v>
      </c>
      <c r="AA119" s="525">
        <f t="shared" si="204"/>
        <v>0</v>
      </c>
      <c r="AB119" s="524">
        <f t="shared" si="205"/>
        <v>0</v>
      </c>
      <c r="AC119" s="526">
        <f t="shared" si="206"/>
        <v>0</v>
      </c>
      <c r="AD119" s="547">
        <v>0</v>
      </c>
      <c r="AE119" s="547">
        <v>0</v>
      </c>
      <c r="AF119" s="547">
        <v>0</v>
      </c>
      <c r="AG119" s="547">
        <v>0</v>
      </c>
      <c r="AH119" s="363">
        <f t="shared" si="207"/>
        <v>0</v>
      </c>
      <c r="AI119" s="547">
        <f t="shared" si="208"/>
        <v>0</v>
      </c>
      <c r="AJ119" s="550">
        <f t="shared" si="209"/>
        <v>0</v>
      </c>
      <c r="AK119" s="551">
        <f t="shared" si="210"/>
        <v>0</v>
      </c>
      <c r="AL119" s="529"/>
      <c r="AM119" s="502"/>
      <c r="AN119" s="530"/>
      <c r="AO119" s="498"/>
      <c r="AP119" s="499"/>
      <c r="AQ119" s="499"/>
      <c r="AR119" s="499"/>
      <c r="AS119" s="531">
        <f t="shared" si="135"/>
        <v>0</v>
      </c>
      <c r="AT119" s="532">
        <f t="shared" si="136"/>
        <v>0</v>
      </c>
      <c r="AU119" s="529">
        <v>0</v>
      </c>
      <c r="AV119" s="533">
        <v>0</v>
      </c>
      <c r="AW119" s="533">
        <v>0</v>
      </c>
      <c r="AX119" s="533">
        <v>0</v>
      </c>
      <c r="AY119" s="533">
        <f t="shared" si="137"/>
        <v>0</v>
      </c>
      <c r="AZ119" s="534">
        <f t="shared" si="138"/>
        <v>0</v>
      </c>
      <c r="BA119" s="535">
        <f t="shared" si="211"/>
        <v>0</v>
      </c>
      <c r="BB119" s="536">
        <f t="shared" si="212"/>
        <v>0</v>
      </c>
      <c r="BC119" s="523">
        <f t="shared" si="213"/>
        <v>0</v>
      </c>
      <c r="BD119" s="525">
        <f t="shared" si="214"/>
        <v>0</v>
      </c>
      <c r="BE119" s="525">
        <f t="shared" si="215"/>
        <v>0</v>
      </c>
      <c r="BF119" s="525">
        <f t="shared" si="216"/>
        <v>0</v>
      </c>
      <c r="BG119" s="525">
        <f t="shared" si="217"/>
        <v>0</v>
      </c>
      <c r="BH119" s="525">
        <f t="shared" si="218"/>
        <v>0</v>
      </c>
      <c r="BI119" s="526">
        <f t="shared" si="219"/>
        <v>0</v>
      </c>
      <c r="BJ119" s="537">
        <f t="shared" si="220"/>
        <v>0</v>
      </c>
      <c r="BK119" s="538">
        <f t="shared" si="221"/>
        <v>0</v>
      </c>
      <c r="BL119" s="538">
        <f t="shared" si="222"/>
        <v>0</v>
      </c>
      <c r="BM119" s="538">
        <f t="shared" si="223"/>
        <v>0</v>
      </c>
      <c r="BN119" s="538">
        <f t="shared" si="224"/>
        <v>0</v>
      </c>
      <c r="BO119" s="538">
        <f t="shared" si="225"/>
        <v>0</v>
      </c>
      <c r="BP119" s="539">
        <f t="shared" si="226"/>
        <v>0</v>
      </c>
      <c r="BQ119" s="540">
        <f t="shared" si="227"/>
        <v>0</v>
      </c>
      <c r="BR119" s="529"/>
      <c r="BS119" s="502"/>
      <c r="BT119" s="530"/>
      <c r="BU119" s="498"/>
      <c r="BV119" s="499"/>
      <c r="BW119" s="499"/>
      <c r="BX119" s="499"/>
      <c r="BY119" s="531">
        <f t="shared" si="139"/>
        <v>0</v>
      </c>
      <c r="BZ119" s="532">
        <f t="shared" si="140"/>
        <v>0</v>
      </c>
      <c r="CA119" s="529"/>
      <c r="CB119" s="533"/>
      <c r="CC119" s="533"/>
      <c r="CD119" s="533"/>
      <c r="CE119" s="533">
        <f t="shared" si="141"/>
        <v>0</v>
      </c>
      <c r="CF119" s="534">
        <f t="shared" si="142"/>
        <v>0</v>
      </c>
      <c r="CG119" s="774">
        <f t="shared" si="228"/>
        <v>0</v>
      </c>
      <c r="CH119" s="775">
        <f t="shared" si="229"/>
        <v>0</v>
      </c>
      <c r="CI119" s="548">
        <f t="shared" si="230"/>
        <v>0</v>
      </c>
      <c r="CJ119" s="773">
        <f t="shared" si="231"/>
        <v>0</v>
      </c>
      <c r="CK119" s="773">
        <f t="shared" si="232"/>
        <v>0</v>
      </c>
      <c r="CL119" s="773">
        <f t="shared" si="233"/>
        <v>0</v>
      </c>
      <c r="CM119" s="773">
        <f t="shared" si="234"/>
        <v>0</v>
      </c>
      <c r="CN119" s="773">
        <f t="shared" si="235"/>
        <v>0</v>
      </c>
      <c r="CO119" s="626">
        <f t="shared" si="236"/>
        <v>0</v>
      </c>
      <c r="CP119" s="1145">
        <f t="shared" si="237"/>
        <v>0</v>
      </c>
      <c r="CQ119" s="1146">
        <f t="shared" si="238"/>
        <v>0</v>
      </c>
      <c r="CR119" s="1146">
        <f t="shared" si="239"/>
        <v>0</v>
      </c>
      <c r="CS119" s="1146">
        <f t="shared" si="240"/>
        <v>0</v>
      </c>
      <c r="CT119" s="1146">
        <f t="shared" si="241"/>
        <v>0</v>
      </c>
      <c r="CU119" s="1146">
        <f t="shared" si="242"/>
        <v>0</v>
      </c>
      <c r="CV119" s="1256">
        <f t="shared" si="243"/>
        <v>0</v>
      </c>
      <c r="CW119" s="1157">
        <f t="shared" si="244"/>
        <v>0</v>
      </c>
      <c r="CX119" s="529"/>
      <c r="CY119" s="502"/>
      <c r="CZ119" s="530"/>
      <c r="DA119" s="498"/>
      <c r="DB119" s="499"/>
      <c r="DC119" s="499"/>
      <c r="DD119" s="499"/>
      <c r="DE119" s="531">
        <f t="shared" si="143"/>
        <v>0</v>
      </c>
      <c r="DF119" s="532">
        <f t="shared" si="144"/>
        <v>0</v>
      </c>
      <c r="DG119" s="529"/>
      <c r="DH119" s="533"/>
      <c r="DI119" s="533"/>
      <c r="DJ119" s="533"/>
      <c r="DK119" s="533">
        <f t="shared" si="145"/>
        <v>0</v>
      </c>
      <c r="DL119" s="534">
        <f t="shared" si="146"/>
        <v>0</v>
      </c>
      <c r="DM119" s="1258">
        <f t="shared" si="147"/>
        <v>0</v>
      </c>
      <c r="DN119" s="775">
        <f t="shared" si="148"/>
        <v>0</v>
      </c>
      <c r="DO119" s="548">
        <f t="shared" si="149"/>
        <v>0</v>
      </c>
      <c r="DP119" s="773">
        <f t="shared" si="150"/>
        <v>0</v>
      </c>
      <c r="DQ119" s="773">
        <f t="shared" si="151"/>
        <v>0</v>
      </c>
      <c r="DR119" s="773">
        <f t="shared" si="152"/>
        <v>0</v>
      </c>
      <c r="DS119" s="773">
        <f t="shared" si="153"/>
        <v>0</v>
      </c>
      <c r="DT119" s="773">
        <f t="shared" si="154"/>
        <v>0</v>
      </c>
      <c r="DU119" s="526">
        <f t="shared" si="245"/>
        <v>0</v>
      </c>
      <c r="DV119" s="1145">
        <f t="shared" si="155"/>
        <v>0</v>
      </c>
      <c r="DW119" s="1146">
        <f t="shared" si="156"/>
        <v>0</v>
      </c>
      <c r="DX119" s="1146">
        <f t="shared" si="157"/>
        <v>0</v>
      </c>
      <c r="DY119" s="1146">
        <f t="shared" si="158"/>
        <v>0</v>
      </c>
      <c r="DZ119" s="1146">
        <f t="shared" si="159"/>
        <v>0</v>
      </c>
      <c r="EA119" s="1146">
        <f t="shared" si="160"/>
        <v>0</v>
      </c>
      <c r="EB119" s="539">
        <f t="shared" si="246"/>
        <v>0</v>
      </c>
      <c r="EC119" s="540">
        <f t="shared" si="247"/>
        <v>0</v>
      </c>
      <c r="ES119" s="1258">
        <f t="shared" si="161"/>
        <v>0</v>
      </c>
      <c r="ET119" s="775">
        <f t="shared" si="162"/>
        <v>0</v>
      </c>
      <c r="EU119" s="548">
        <f t="shared" si="163"/>
        <v>0</v>
      </c>
      <c r="EV119" s="773">
        <f t="shared" si="164"/>
        <v>0</v>
      </c>
      <c r="EW119" s="773">
        <f t="shared" si="165"/>
        <v>0</v>
      </c>
      <c r="EX119" s="773">
        <f t="shared" si="166"/>
        <v>0</v>
      </c>
      <c r="EY119" s="773">
        <f t="shared" si="167"/>
        <v>0</v>
      </c>
      <c r="EZ119" s="773">
        <f t="shared" si="168"/>
        <v>0</v>
      </c>
      <c r="FA119" s="626">
        <f t="shared" si="248"/>
        <v>0</v>
      </c>
      <c r="FB119" s="1145">
        <f t="shared" si="169"/>
        <v>0</v>
      </c>
      <c r="FC119" s="1146">
        <f t="shared" si="170"/>
        <v>0</v>
      </c>
      <c r="FD119" s="1146">
        <f t="shared" si="171"/>
        <v>0</v>
      </c>
      <c r="FE119" s="1146">
        <f t="shared" si="172"/>
        <v>0</v>
      </c>
      <c r="FF119" s="1146">
        <f t="shared" si="173"/>
        <v>0</v>
      </c>
      <c r="FG119" s="1146">
        <f t="shared" si="174"/>
        <v>0</v>
      </c>
      <c r="FH119" s="1256">
        <f t="shared" si="249"/>
        <v>0</v>
      </c>
      <c r="FI119" s="1157">
        <f t="shared" si="250"/>
        <v>0</v>
      </c>
      <c r="FY119" s="1258">
        <f t="shared" si="175"/>
        <v>0</v>
      </c>
      <c r="FZ119" s="775">
        <f t="shared" si="176"/>
        <v>0</v>
      </c>
      <c r="GA119" s="548">
        <f t="shared" si="177"/>
        <v>0</v>
      </c>
      <c r="GB119" s="773">
        <f t="shared" si="178"/>
        <v>0</v>
      </c>
      <c r="GC119" s="773">
        <f t="shared" si="179"/>
        <v>0</v>
      </c>
      <c r="GD119" s="773">
        <f t="shared" si="180"/>
        <v>0</v>
      </c>
      <c r="GE119" s="773">
        <f t="shared" si="181"/>
        <v>0</v>
      </c>
      <c r="GF119" s="773">
        <f t="shared" si="182"/>
        <v>0</v>
      </c>
      <c r="GG119" s="626">
        <f t="shared" si="251"/>
        <v>0</v>
      </c>
      <c r="GH119" s="1145">
        <f t="shared" si="183"/>
        <v>0</v>
      </c>
      <c r="GI119" s="1146">
        <f t="shared" si="184"/>
        <v>0</v>
      </c>
      <c r="GJ119" s="1146">
        <f t="shared" si="185"/>
        <v>0</v>
      </c>
      <c r="GK119" s="1146">
        <f t="shared" si="186"/>
        <v>0</v>
      </c>
      <c r="GL119" s="1146">
        <f t="shared" si="187"/>
        <v>0</v>
      </c>
      <c r="GM119" s="1146">
        <f t="shared" si="188"/>
        <v>0</v>
      </c>
      <c r="GN119" s="1256">
        <f t="shared" si="252"/>
        <v>0</v>
      </c>
      <c r="GO119" s="1157">
        <f t="shared" si="253"/>
        <v>0</v>
      </c>
      <c r="HE119" s="1675">
        <f t="shared" si="189"/>
        <v>0</v>
      </c>
      <c r="HF119" s="775">
        <f t="shared" si="190"/>
        <v>0</v>
      </c>
      <c r="HG119" s="548">
        <f t="shared" si="191"/>
        <v>0</v>
      </c>
      <c r="HH119" s="773">
        <f t="shared" si="192"/>
        <v>0</v>
      </c>
      <c r="HI119" s="773">
        <f t="shared" si="193"/>
        <v>0</v>
      </c>
      <c r="HJ119" s="773">
        <f t="shared" si="194"/>
        <v>0</v>
      </c>
      <c r="HK119" s="773">
        <f t="shared" si="195"/>
        <v>0</v>
      </c>
      <c r="HL119" s="773">
        <f t="shared" si="196"/>
        <v>0</v>
      </c>
      <c r="HM119" s="626">
        <f t="shared" si="254"/>
        <v>0</v>
      </c>
      <c r="HN119" s="1145">
        <f t="shared" si="197"/>
        <v>0</v>
      </c>
      <c r="HO119" s="1146">
        <f t="shared" si="198"/>
        <v>0</v>
      </c>
      <c r="HP119" s="1146">
        <f t="shared" si="199"/>
        <v>0</v>
      </c>
      <c r="HQ119" s="1146">
        <f t="shared" si="200"/>
        <v>0</v>
      </c>
      <c r="HR119" s="1146">
        <f t="shared" si="201"/>
        <v>0</v>
      </c>
      <c r="HS119" s="1146">
        <f t="shared" si="202"/>
        <v>0</v>
      </c>
      <c r="HT119" s="1256">
        <f t="shared" si="255"/>
        <v>0</v>
      </c>
      <c r="HU119" s="1157">
        <f t="shared" si="256"/>
        <v>0</v>
      </c>
    </row>
    <row r="120" spans="1:229" ht="13.5" customHeight="1" outlineLevel="1" x14ac:dyDescent="0.2">
      <c r="A120" s="474"/>
      <c r="B120" s="1412"/>
      <c r="C120" s="511">
        <v>111</v>
      </c>
      <c r="D120" s="561" t="s">
        <v>95</v>
      </c>
      <c r="E120" s="588">
        <f>56-1</f>
        <v>55</v>
      </c>
      <c r="F120" s="589">
        <f>3916.4-65.49</f>
        <v>3850.9100000000003</v>
      </c>
      <c r="G120" s="543">
        <f t="shared" si="259"/>
        <v>70.016545454545465</v>
      </c>
      <c r="H120" s="590">
        <v>0</v>
      </c>
      <c r="I120" s="591">
        <v>0</v>
      </c>
      <c r="J120" s="542">
        <v>0</v>
      </c>
      <c r="K120" s="590">
        <v>0</v>
      </c>
      <c r="L120" s="591">
        <v>0</v>
      </c>
      <c r="M120" s="542">
        <v>0</v>
      </c>
      <c r="N120" s="545">
        <f t="shared" si="260"/>
        <v>3850.9100000000003</v>
      </c>
      <c r="O120" s="518">
        <v>0</v>
      </c>
      <c r="P120" s="485">
        <f>19751305.47-neprodano!EC42</f>
        <v>19434598.27</v>
      </c>
      <c r="Q120" s="518">
        <f>6086085.6-neprodano!ED42</f>
        <v>5984314.1399999997</v>
      </c>
      <c r="R120" s="519">
        <f t="shared" si="261"/>
        <v>25418912.41</v>
      </c>
      <c r="S120" s="520">
        <f t="shared" si="203"/>
        <v>25418912.41</v>
      </c>
      <c r="T120" s="1425">
        <v>6672726.0229277899</v>
      </c>
      <c r="U120" s="547">
        <v>0</v>
      </c>
      <c r="V120" s="673">
        <v>0</v>
      </c>
      <c r="W120" s="549">
        <v>0</v>
      </c>
      <c r="X120" s="549">
        <v>0</v>
      </c>
      <c r="Y120" s="549">
        <v>0</v>
      </c>
      <c r="Z120" s="549">
        <v>0</v>
      </c>
      <c r="AA120" s="525">
        <f t="shared" si="204"/>
        <v>0</v>
      </c>
      <c r="AB120" s="524">
        <f t="shared" si="205"/>
        <v>0</v>
      </c>
      <c r="AC120" s="526">
        <f t="shared" si="206"/>
        <v>0</v>
      </c>
      <c r="AD120" s="547">
        <v>0</v>
      </c>
      <c r="AE120" s="547">
        <v>0</v>
      </c>
      <c r="AF120" s="547">
        <v>0</v>
      </c>
      <c r="AG120" s="547">
        <v>0</v>
      </c>
      <c r="AH120" s="363">
        <f t="shared" si="207"/>
        <v>0</v>
      </c>
      <c r="AI120" s="547">
        <f t="shared" si="208"/>
        <v>0</v>
      </c>
      <c r="AJ120" s="550">
        <f t="shared" si="209"/>
        <v>0</v>
      </c>
      <c r="AK120" s="551">
        <f t="shared" si="210"/>
        <v>0</v>
      </c>
      <c r="AL120" s="529"/>
      <c r="AM120" s="502"/>
      <c r="AN120" s="530"/>
      <c r="AO120" s="498"/>
      <c r="AP120" s="499"/>
      <c r="AQ120" s="499"/>
      <c r="AR120" s="499"/>
      <c r="AS120" s="531">
        <f t="shared" si="135"/>
        <v>0</v>
      </c>
      <c r="AT120" s="532">
        <f t="shared" si="136"/>
        <v>0</v>
      </c>
      <c r="AU120" s="529">
        <v>0</v>
      </c>
      <c r="AV120" s="533">
        <v>0</v>
      </c>
      <c r="AW120" s="533">
        <v>0</v>
      </c>
      <c r="AX120" s="533">
        <v>0</v>
      </c>
      <c r="AY120" s="533">
        <f t="shared" si="137"/>
        <v>0</v>
      </c>
      <c r="AZ120" s="534">
        <f t="shared" si="138"/>
        <v>0</v>
      </c>
      <c r="BA120" s="535">
        <f t="shared" si="211"/>
        <v>0</v>
      </c>
      <c r="BB120" s="536">
        <f t="shared" si="212"/>
        <v>0</v>
      </c>
      <c r="BC120" s="523">
        <f t="shared" si="213"/>
        <v>0</v>
      </c>
      <c r="BD120" s="525">
        <f t="shared" si="214"/>
        <v>0</v>
      </c>
      <c r="BE120" s="525">
        <f t="shared" si="215"/>
        <v>0</v>
      </c>
      <c r="BF120" s="525">
        <f t="shared" si="216"/>
        <v>0</v>
      </c>
      <c r="BG120" s="525">
        <f t="shared" si="217"/>
        <v>0</v>
      </c>
      <c r="BH120" s="525">
        <f t="shared" si="218"/>
        <v>0</v>
      </c>
      <c r="BI120" s="526">
        <f t="shared" si="219"/>
        <v>0</v>
      </c>
      <c r="BJ120" s="537">
        <f t="shared" si="220"/>
        <v>0</v>
      </c>
      <c r="BK120" s="538">
        <f t="shared" si="221"/>
        <v>0</v>
      </c>
      <c r="BL120" s="538">
        <f t="shared" si="222"/>
        <v>0</v>
      </c>
      <c r="BM120" s="538">
        <f t="shared" si="223"/>
        <v>0</v>
      </c>
      <c r="BN120" s="538">
        <f t="shared" si="224"/>
        <v>0</v>
      </c>
      <c r="BO120" s="538">
        <f t="shared" si="225"/>
        <v>0</v>
      </c>
      <c r="BP120" s="539">
        <f t="shared" si="226"/>
        <v>0</v>
      </c>
      <c r="BQ120" s="540">
        <f t="shared" si="227"/>
        <v>0</v>
      </c>
      <c r="BR120" s="529"/>
      <c r="BS120" s="502"/>
      <c r="BT120" s="530"/>
      <c r="BU120" s="498"/>
      <c r="BV120" s="499"/>
      <c r="BW120" s="499"/>
      <c r="BX120" s="499"/>
      <c r="BY120" s="531">
        <f t="shared" si="139"/>
        <v>0</v>
      </c>
      <c r="BZ120" s="532">
        <f t="shared" si="140"/>
        <v>0</v>
      </c>
      <c r="CA120" s="529"/>
      <c r="CB120" s="533"/>
      <c r="CC120" s="533"/>
      <c r="CD120" s="533"/>
      <c r="CE120" s="533">
        <f t="shared" si="141"/>
        <v>0</v>
      </c>
      <c r="CF120" s="534">
        <f t="shared" si="142"/>
        <v>0</v>
      </c>
      <c r="CG120" s="774">
        <f t="shared" si="228"/>
        <v>0</v>
      </c>
      <c r="CH120" s="775">
        <f t="shared" si="229"/>
        <v>0</v>
      </c>
      <c r="CI120" s="548">
        <f t="shared" si="230"/>
        <v>0</v>
      </c>
      <c r="CJ120" s="773">
        <f t="shared" si="231"/>
        <v>0</v>
      </c>
      <c r="CK120" s="773">
        <f t="shared" si="232"/>
        <v>0</v>
      </c>
      <c r="CL120" s="773">
        <f t="shared" si="233"/>
        <v>0</v>
      </c>
      <c r="CM120" s="773">
        <f t="shared" si="234"/>
        <v>0</v>
      </c>
      <c r="CN120" s="773">
        <f t="shared" si="235"/>
        <v>0</v>
      </c>
      <c r="CO120" s="626">
        <f t="shared" si="236"/>
        <v>0</v>
      </c>
      <c r="CP120" s="1145">
        <f t="shared" si="237"/>
        <v>0</v>
      </c>
      <c r="CQ120" s="1146">
        <f t="shared" si="238"/>
        <v>0</v>
      </c>
      <c r="CR120" s="1146">
        <f t="shared" si="239"/>
        <v>0</v>
      </c>
      <c r="CS120" s="1146">
        <f t="shared" si="240"/>
        <v>0</v>
      </c>
      <c r="CT120" s="1146">
        <f t="shared" si="241"/>
        <v>0</v>
      </c>
      <c r="CU120" s="1146">
        <f t="shared" si="242"/>
        <v>0</v>
      </c>
      <c r="CV120" s="1256">
        <f t="shared" si="243"/>
        <v>0</v>
      </c>
      <c r="CW120" s="1157">
        <f t="shared" si="244"/>
        <v>0</v>
      </c>
      <c r="CX120" s="529"/>
      <c r="CY120" s="502"/>
      <c r="CZ120" s="530"/>
      <c r="DA120" s="498"/>
      <c r="DB120" s="499"/>
      <c r="DC120" s="499"/>
      <c r="DD120" s="499"/>
      <c r="DE120" s="531">
        <f t="shared" si="143"/>
        <v>0</v>
      </c>
      <c r="DF120" s="532">
        <f t="shared" si="144"/>
        <v>0</v>
      </c>
      <c r="DG120" s="529"/>
      <c r="DH120" s="533"/>
      <c r="DI120" s="533"/>
      <c r="DJ120" s="533"/>
      <c r="DK120" s="533">
        <f t="shared" si="145"/>
        <v>0</v>
      </c>
      <c r="DL120" s="534">
        <f t="shared" si="146"/>
        <v>0</v>
      </c>
      <c r="DM120" s="1258">
        <f t="shared" si="147"/>
        <v>0</v>
      </c>
      <c r="DN120" s="775">
        <f t="shared" si="148"/>
        <v>0</v>
      </c>
      <c r="DO120" s="548">
        <f t="shared" si="149"/>
        <v>0</v>
      </c>
      <c r="DP120" s="773">
        <f t="shared" si="150"/>
        <v>0</v>
      </c>
      <c r="DQ120" s="773">
        <f t="shared" si="151"/>
        <v>0</v>
      </c>
      <c r="DR120" s="773">
        <f t="shared" si="152"/>
        <v>0</v>
      </c>
      <c r="DS120" s="773">
        <f t="shared" si="153"/>
        <v>0</v>
      </c>
      <c r="DT120" s="773">
        <f t="shared" si="154"/>
        <v>0</v>
      </c>
      <c r="DU120" s="526">
        <f t="shared" si="245"/>
        <v>0</v>
      </c>
      <c r="DV120" s="1145">
        <f t="shared" si="155"/>
        <v>0</v>
      </c>
      <c r="DW120" s="1146">
        <f t="shared" si="156"/>
        <v>0</v>
      </c>
      <c r="DX120" s="1146">
        <f t="shared" si="157"/>
        <v>0</v>
      </c>
      <c r="DY120" s="1146">
        <f t="shared" si="158"/>
        <v>0</v>
      </c>
      <c r="DZ120" s="1146">
        <f t="shared" si="159"/>
        <v>0</v>
      </c>
      <c r="EA120" s="1146">
        <f t="shared" si="160"/>
        <v>0</v>
      </c>
      <c r="EB120" s="539">
        <f t="shared" si="246"/>
        <v>0</v>
      </c>
      <c r="EC120" s="540">
        <f t="shared" si="247"/>
        <v>0</v>
      </c>
      <c r="ES120" s="1258">
        <f t="shared" si="161"/>
        <v>0</v>
      </c>
      <c r="ET120" s="775">
        <f t="shared" si="162"/>
        <v>0</v>
      </c>
      <c r="EU120" s="548">
        <f t="shared" si="163"/>
        <v>0</v>
      </c>
      <c r="EV120" s="773">
        <f t="shared" si="164"/>
        <v>0</v>
      </c>
      <c r="EW120" s="773">
        <f t="shared" si="165"/>
        <v>0</v>
      </c>
      <c r="EX120" s="773">
        <f t="shared" si="166"/>
        <v>0</v>
      </c>
      <c r="EY120" s="773">
        <f t="shared" si="167"/>
        <v>0</v>
      </c>
      <c r="EZ120" s="773">
        <f t="shared" si="168"/>
        <v>0</v>
      </c>
      <c r="FA120" s="626">
        <f t="shared" si="248"/>
        <v>0</v>
      </c>
      <c r="FB120" s="1145">
        <f t="shared" si="169"/>
        <v>0</v>
      </c>
      <c r="FC120" s="1146">
        <f t="shared" si="170"/>
        <v>0</v>
      </c>
      <c r="FD120" s="1146">
        <f t="shared" si="171"/>
        <v>0</v>
      </c>
      <c r="FE120" s="1146">
        <f t="shared" si="172"/>
        <v>0</v>
      </c>
      <c r="FF120" s="1146">
        <f t="shared" si="173"/>
        <v>0</v>
      </c>
      <c r="FG120" s="1146">
        <f t="shared" si="174"/>
        <v>0</v>
      </c>
      <c r="FH120" s="1256">
        <f t="shared" si="249"/>
        <v>0</v>
      </c>
      <c r="FI120" s="1157">
        <f t="shared" si="250"/>
        <v>0</v>
      </c>
      <c r="FY120" s="1258">
        <f t="shared" si="175"/>
        <v>0</v>
      </c>
      <c r="FZ120" s="775">
        <f t="shared" si="176"/>
        <v>0</v>
      </c>
      <c r="GA120" s="548">
        <f t="shared" si="177"/>
        <v>0</v>
      </c>
      <c r="GB120" s="773">
        <f t="shared" si="178"/>
        <v>0</v>
      </c>
      <c r="GC120" s="773">
        <f t="shared" si="179"/>
        <v>0</v>
      </c>
      <c r="GD120" s="773">
        <f t="shared" si="180"/>
        <v>0</v>
      </c>
      <c r="GE120" s="773">
        <f t="shared" si="181"/>
        <v>0</v>
      </c>
      <c r="GF120" s="773">
        <f t="shared" si="182"/>
        <v>0</v>
      </c>
      <c r="GG120" s="626">
        <f t="shared" si="251"/>
        <v>0</v>
      </c>
      <c r="GH120" s="1145">
        <f t="shared" si="183"/>
        <v>0</v>
      </c>
      <c r="GI120" s="1146">
        <f t="shared" si="184"/>
        <v>0</v>
      </c>
      <c r="GJ120" s="1146">
        <f t="shared" si="185"/>
        <v>0</v>
      </c>
      <c r="GK120" s="1146">
        <f t="shared" si="186"/>
        <v>0</v>
      </c>
      <c r="GL120" s="1146">
        <f t="shared" si="187"/>
        <v>0</v>
      </c>
      <c r="GM120" s="1146">
        <f t="shared" si="188"/>
        <v>0</v>
      </c>
      <c r="GN120" s="1256">
        <f t="shared" si="252"/>
        <v>0</v>
      </c>
      <c r="GO120" s="1157">
        <f t="shared" si="253"/>
        <v>0</v>
      </c>
      <c r="HE120" s="1675">
        <f t="shared" si="189"/>
        <v>0</v>
      </c>
      <c r="HF120" s="775">
        <f t="shared" si="190"/>
        <v>0</v>
      </c>
      <c r="HG120" s="548">
        <f t="shared" si="191"/>
        <v>0</v>
      </c>
      <c r="HH120" s="773">
        <f t="shared" si="192"/>
        <v>0</v>
      </c>
      <c r="HI120" s="773">
        <f t="shared" si="193"/>
        <v>0</v>
      </c>
      <c r="HJ120" s="773">
        <f t="shared" si="194"/>
        <v>0</v>
      </c>
      <c r="HK120" s="773">
        <f t="shared" si="195"/>
        <v>0</v>
      </c>
      <c r="HL120" s="773">
        <f t="shared" si="196"/>
        <v>0</v>
      </c>
      <c r="HM120" s="626">
        <f t="shared" si="254"/>
        <v>0</v>
      </c>
      <c r="HN120" s="1145">
        <f t="shared" si="197"/>
        <v>0</v>
      </c>
      <c r="HO120" s="1146">
        <f t="shared" si="198"/>
        <v>0</v>
      </c>
      <c r="HP120" s="1146">
        <f t="shared" si="199"/>
        <v>0</v>
      </c>
      <c r="HQ120" s="1146">
        <f t="shared" si="200"/>
        <v>0</v>
      </c>
      <c r="HR120" s="1146">
        <f t="shared" si="201"/>
        <v>0</v>
      </c>
      <c r="HS120" s="1146">
        <f t="shared" si="202"/>
        <v>0</v>
      </c>
      <c r="HT120" s="1256">
        <f t="shared" si="255"/>
        <v>0</v>
      </c>
      <c r="HU120" s="1157">
        <f t="shared" si="256"/>
        <v>0</v>
      </c>
    </row>
    <row r="121" spans="1:229" ht="13.5" customHeight="1" outlineLevel="1" x14ac:dyDescent="0.2">
      <c r="A121" s="474"/>
      <c r="B121" s="1412"/>
      <c r="C121" s="511">
        <v>112</v>
      </c>
      <c r="D121" s="592" t="s">
        <v>92</v>
      </c>
      <c r="E121" s="588">
        <v>75</v>
      </c>
      <c r="F121" s="589">
        <v>5417.39</v>
      </c>
      <c r="G121" s="543">
        <f t="shared" si="259"/>
        <v>72.231866666666676</v>
      </c>
      <c r="H121" s="590">
        <v>5</v>
      </c>
      <c r="I121" s="591">
        <v>67.17</v>
      </c>
      <c r="J121" s="542">
        <f>I121/H121</f>
        <v>13.434000000000001</v>
      </c>
      <c r="K121" s="590">
        <v>0</v>
      </c>
      <c r="L121" s="591">
        <v>0</v>
      </c>
      <c r="M121" s="542">
        <v>0</v>
      </c>
      <c r="N121" s="545">
        <f t="shared" si="260"/>
        <v>5484.56</v>
      </c>
      <c r="O121" s="518">
        <v>0</v>
      </c>
      <c r="P121" s="485">
        <v>27272861.059999999</v>
      </c>
      <c r="Q121" s="518">
        <v>6399363.71</v>
      </c>
      <c r="R121" s="519">
        <f t="shared" si="261"/>
        <v>33672224.769999996</v>
      </c>
      <c r="S121" s="546">
        <f t="shared" si="203"/>
        <v>33672224.769999996</v>
      </c>
      <c r="T121" s="1425">
        <v>7531900.7699999996</v>
      </c>
      <c r="U121" s="547">
        <v>0</v>
      </c>
      <c r="V121" s="673">
        <v>0</v>
      </c>
      <c r="W121" s="549">
        <v>0</v>
      </c>
      <c r="X121" s="549">
        <v>0</v>
      </c>
      <c r="Y121" s="549">
        <v>0</v>
      </c>
      <c r="Z121" s="549">
        <v>0</v>
      </c>
      <c r="AA121" s="525">
        <f t="shared" si="204"/>
        <v>0</v>
      </c>
      <c r="AB121" s="524">
        <f t="shared" si="205"/>
        <v>0</v>
      </c>
      <c r="AC121" s="526">
        <f t="shared" si="206"/>
        <v>0</v>
      </c>
      <c r="AD121" s="547">
        <v>0</v>
      </c>
      <c r="AE121" s="547">
        <v>0</v>
      </c>
      <c r="AF121" s="547">
        <v>0</v>
      </c>
      <c r="AG121" s="547">
        <v>0</v>
      </c>
      <c r="AH121" s="363">
        <f t="shared" si="207"/>
        <v>0</v>
      </c>
      <c r="AI121" s="547">
        <f t="shared" si="208"/>
        <v>0</v>
      </c>
      <c r="AJ121" s="527">
        <f t="shared" si="209"/>
        <v>0</v>
      </c>
      <c r="AK121" s="1423">
        <f t="shared" si="210"/>
        <v>0</v>
      </c>
      <c r="AL121" s="529"/>
      <c r="AM121" s="502"/>
      <c r="AN121" s="725"/>
      <c r="AO121" s="498"/>
      <c r="AP121" s="499"/>
      <c r="AQ121" s="499"/>
      <c r="AR121" s="499"/>
      <c r="AS121" s="531">
        <f t="shared" si="135"/>
        <v>0</v>
      </c>
      <c r="AT121" s="532">
        <f t="shared" si="136"/>
        <v>0</v>
      </c>
      <c r="AU121" s="529">
        <v>0</v>
      </c>
      <c r="AV121" s="533">
        <v>0</v>
      </c>
      <c r="AW121" s="533">
        <v>0</v>
      </c>
      <c r="AX121" s="533">
        <v>0</v>
      </c>
      <c r="AY121" s="533">
        <f t="shared" si="137"/>
        <v>0</v>
      </c>
      <c r="AZ121" s="534">
        <f t="shared" si="138"/>
        <v>0</v>
      </c>
      <c r="BA121" s="535">
        <f t="shared" si="211"/>
        <v>0</v>
      </c>
      <c r="BB121" s="536">
        <f t="shared" si="212"/>
        <v>0</v>
      </c>
      <c r="BC121" s="524">
        <f t="shared" si="213"/>
        <v>0</v>
      </c>
      <c r="BD121" s="525">
        <f t="shared" si="214"/>
        <v>0</v>
      </c>
      <c r="BE121" s="525">
        <f t="shared" si="215"/>
        <v>0</v>
      </c>
      <c r="BF121" s="525">
        <f t="shared" si="216"/>
        <v>0</v>
      </c>
      <c r="BG121" s="525">
        <f t="shared" si="217"/>
        <v>0</v>
      </c>
      <c r="BH121" s="525">
        <f t="shared" si="218"/>
        <v>0</v>
      </c>
      <c r="BI121" s="526">
        <f t="shared" si="219"/>
        <v>0</v>
      </c>
      <c r="BJ121" s="535">
        <f t="shared" si="220"/>
        <v>0</v>
      </c>
      <c r="BK121" s="538">
        <f t="shared" si="221"/>
        <v>0</v>
      </c>
      <c r="BL121" s="538">
        <f t="shared" si="222"/>
        <v>0</v>
      </c>
      <c r="BM121" s="538">
        <f t="shared" si="223"/>
        <v>0</v>
      </c>
      <c r="BN121" s="538">
        <f t="shared" si="224"/>
        <v>0</v>
      </c>
      <c r="BO121" s="538">
        <f t="shared" si="225"/>
        <v>0</v>
      </c>
      <c r="BP121" s="539">
        <f t="shared" si="226"/>
        <v>0</v>
      </c>
      <c r="BQ121" s="540">
        <f t="shared" si="227"/>
        <v>0</v>
      </c>
      <c r="BR121" s="529"/>
      <c r="BS121" s="502"/>
      <c r="BT121" s="530"/>
      <c r="BU121" s="498"/>
      <c r="BV121" s="499"/>
      <c r="BW121" s="499"/>
      <c r="BX121" s="499"/>
      <c r="BY121" s="531">
        <f t="shared" si="139"/>
        <v>0</v>
      </c>
      <c r="BZ121" s="532">
        <f t="shared" si="140"/>
        <v>0</v>
      </c>
      <c r="CA121" s="529"/>
      <c r="CB121" s="533"/>
      <c r="CC121" s="533"/>
      <c r="CD121" s="533"/>
      <c r="CE121" s="533">
        <f t="shared" si="141"/>
        <v>0</v>
      </c>
      <c r="CF121" s="534">
        <f t="shared" si="142"/>
        <v>0</v>
      </c>
      <c r="CG121" s="774">
        <f t="shared" si="228"/>
        <v>0</v>
      </c>
      <c r="CH121" s="775">
        <f t="shared" si="229"/>
        <v>0</v>
      </c>
      <c r="CI121" s="548">
        <f t="shared" si="230"/>
        <v>0</v>
      </c>
      <c r="CJ121" s="773">
        <f t="shared" si="231"/>
        <v>0</v>
      </c>
      <c r="CK121" s="773">
        <f t="shared" si="232"/>
        <v>0</v>
      </c>
      <c r="CL121" s="773">
        <f t="shared" si="233"/>
        <v>0</v>
      </c>
      <c r="CM121" s="773">
        <f t="shared" si="234"/>
        <v>0</v>
      </c>
      <c r="CN121" s="773">
        <f t="shared" si="235"/>
        <v>0</v>
      </c>
      <c r="CO121" s="626">
        <f t="shared" si="236"/>
        <v>0</v>
      </c>
      <c r="CP121" s="1145">
        <f t="shared" si="237"/>
        <v>0</v>
      </c>
      <c r="CQ121" s="1146">
        <f t="shared" si="238"/>
        <v>0</v>
      </c>
      <c r="CR121" s="1146">
        <f t="shared" si="239"/>
        <v>0</v>
      </c>
      <c r="CS121" s="1146">
        <f t="shared" si="240"/>
        <v>0</v>
      </c>
      <c r="CT121" s="1146">
        <f t="shared" si="241"/>
        <v>0</v>
      </c>
      <c r="CU121" s="1146">
        <f t="shared" si="242"/>
        <v>0</v>
      </c>
      <c r="CV121" s="1256">
        <f t="shared" si="243"/>
        <v>0</v>
      </c>
      <c r="CW121" s="1157">
        <f t="shared" si="244"/>
        <v>0</v>
      </c>
      <c r="CX121" s="529"/>
      <c r="CY121" s="502"/>
      <c r="CZ121" s="530"/>
      <c r="DA121" s="498"/>
      <c r="DB121" s="499"/>
      <c r="DC121" s="499"/>
      <c r="DD121" s="499"/>
      <c r="DE121" s="531">
        <f t="shared" si="143"/>
        <v>0</v>
      </c>
      <c r="DF121" s="532">
        <f t="shared" si="144"/>
        <v>0</v>
      </c>
      <c r="DG121" s="529"/>
      <c r="DH121" s="533"/>
      <c r="DI121" s="533"/>
      <c r="DJ121" s="533"/>
      <c r="DK121" s="533">
        <f t="shared" si="145"/>
        <v>0</v>
      </c>
      <c r="DL121" s="534">
        <f t="shared" si="146"/>
        <v>0</v>
      </c>
      <c r="DM121" s="1258">
        <f t="shared" si="147"/>
        <v>0</v>
      </c>
      <c r="DN121" s="775">
        <f t="shared" si="148"/>
        <v>0</v>
      </c>
      <c r="DO121" s="548">
        <f t="shared" si="149"/>
        <v>0</v>
      </c>
      <c r="DP121" s="773">
        <f t="shared" si="150"/>
        <v>0</v>
      </c>
      <c r="DQ121" s="773">
        <f t="shared" si="151"/>
        <v>0</v>
      </c>
      <c r="DR121" s="773">
        <f t="shared" si="152"/>
        <v>0</v>
      </c>
      <c r="DS121" s="773">
        <f t="shared" si="153"/>
        <v>0</v>
      </c>
      <c r="DT121" s="773">
        <f t="shared" si="154"/>
        <v>0</v>
      </c>
      <c r="DU121" s="526">
        <f t="shared" si="245"/>
        <v>0</v>
      </c>
      <c r="DV121" s="1145">
        <f t="shared" si="155"/>
        <v>0</v>
      </c>
      <c r="DW121" s="1146">
        <f t="shared" si="156"/>
        <v>0</v>
      </c>
      <c r="DX121" s="1146">
        <f t="shared" si="157"/>
        <v>0</v>
      </c>
      <c r="DY121" s="1146">
        <f t="shared" si="158"/>
        <v>0</v>
      </c>
      <c r="DZ121" s="1146">
        <f t="shared" si="159"/>
        <v>0</v>
      </c>
      <c r="EA121" s="1146">
        <f t="shared" si="160"/>
        <v>0</v>
      </c>
      <c r="EB121" s="539">
        <f t="shared" si="246"/>
        <v>0</v>
      </c>
      <c r="EC121" s="540">
        <f t="shared" si="247"/>
        <v>0</v>
      </c>
      <c r="ES121" s="1258">
        <f t="shared" si="161"/>
        <v>0</v>
      </c>
      <c r="ET121" s="775">
        <f t="shared" si="162"/>
        <v>0</v>
      </c>
      <c r="EU121" s="548">
        <f t="shared" si="163"/>
        <v>0</v>
      </c>
      <c r="EV121" s="773">
        <f t="shared" si="164"/>
        <v>0</v>
      </c>
      <c r="EW121" s="773">
        <f t="shared" si="165"/>
        <v>0</v>
      </c>
      <c r="EX121" s="773">
        <f t="shared" si="166"/>
        <v>0</v>
      </c>
      <c r="EY121" s="773">
        <f t="shared" si="167"/>
        <v>0</v>
      </c>
      <c r="EZ121" s="773">
        <f t="shared" si="168"/>
        <v>0</v>
      </c>
      <c r="FA121" s="626">
        <f t="shared" si="248"/>
        <v>0</v>
      </c>
      <c r="FB121" s="1145">
        <f t="shared" si="169"/>
        <v>0</v>
      </c>
      <c r="FC121" s="1146">
        <f t="shared" si="170"/>
        <v>0</v>
      </c>
      <c r="FD121" s="1146">
        <f t="shared" si="171"/>
        <v>0</v>
      </c>
      <c r="FE121" s="1146">
        <f t="shared" si="172"/>
        <v>0</v>
      </c>
      <c r="FF121" s="1146">
        <f t="shared" si="173"/>
        <v>0</v>
      </c>
      <c r="FG121" s="1146">
        <f t="shared" si="174"/>
        <v>0</v>
      </c>
      <c r="FH121" s="1256">
        <f t="shared" si="249"/>
        <v>0</v>
      </c>
      <c r="FI121" s="1157">
        <f t="shared" si="250"/>
        <v>0</v>
      </c>
      <c r="FY121" s="1258">
        <f t="shared" si="175"/>
        <v>0</v>
      </c>
      <c r="FZ121" s="775">
        <f t="shared" si="176"/>
        <v>0</v>
      </c>
      <c r="GA121" s="548">
        <f t="shared" si="177"/>
        <v>0</v>
      </c>
      <c r="GB121" s="773">
        <f t="shared" si="178"/>
        <v>0</v>
      </c>
      <c r="GC121" s="773">
        <f t="shared" si="179"/>
        <v>0</v>
      </c>
      <c r="GD121" s="773">
        <f t="shared" si="180"/>
        <v>0</v>
      </c>
      <c r="GE121" s="773">
        <f t="shared" si="181"/>
        <v>0</v>
      </c>
      <c r="GF121" s="773">
        <f t="shared" si="182"/>
        <v>0</v>
      </c>
      <c r="GG121" s="626">
        <f t="shared" si="251"/>
        <v>0</v>
      </c>
      <c r="GH121" s="1145">
        <f t="shared" si="183"/>
        <v>0</v>
      </c>
      <c r="GI121" s="1146">
        <f t="shared" si="184"/>
        <v>0</v>
      </c>
      <c r="GJ121" s="1146">
        <f t="shared" si="185"/>
        <v>0</v>
      </c>
      <c r="GK121" s="1146">
        <f t="shared" si="186"/>
        <v>0</v>
      </c>
      <c r="GL121" s="1146">
        <f t="shared" si="187"/>
        <v>0</v>
      </c>
      <c r="GM121" s="1146">
        <f t="shared" si="188"/>
        <v>0</v>
      </c>
      <c r="GN121" s="1256">
        <f t="shared" si="252"/>
        <v>0</v>
      </c>
      <c r="GO121" s="1157">
        <f t="shared" si="253"/>
        <v>0</v>
      </c>
      <c r="HE121" s="1675">
        <f t="shared" si="189"/>
        <v>0</v>
      </c>
      <c r="HF121" s="775">
        <f t="shared" si="190"/>
        <v>0</v>
      </c>
      <c r="HG121" s="548">
        <f t="shared" si="191"/>
        <v>0</v>
      </c>
      <c r="HH121" s="773">
        <f t="shared" si="192"/>
        <v>0</v>
      </c>
      <c r="HI121" s="773">
        <f t="shared" si="193"/>
        <v>0</v>
      </c>
      <c r="HJ121" s="773">
        <f t="shared" si="194"/>
        <v>0</v>
      </c>
      <c r="HK121" s="773">
        <f t="shared" si="195"/>
        <v>0</v>
      </c>
      <c r="HL121" s="773">
        <f t="shared" si="196"/>
        <v>0</v>
      </c>
      <c r="HM121" s="626">
        <f t="shared" si="254"/>
        <v>0</v>
      </c>
      <c r="HN121" s="1145">
        <f t="shared" si="197"/>
        <v>0</v>
      </c>
      <c r="HO121" s="1146">
        <f t="shared" si="198"/>
        <v>0</v>
      </c>
      <c r="HP121" s="1146">
        <f t="shared" si="199"/>
        <v>0</v>
      </c>
      <c r="HQ121" s="1146">
        <f t="shared" si="200"/>
        <v>0</v>
      </c>
      <c r="HR121" s="1146">
        <f t="shared" si="201"/>
        <v>0</v>
      </c>
      <c r="HS121" s="1146">
        <f t="shared" si="202"/>
        <v>0</v>
      </c>
      <c r="HT121" s="1256">
        <f t="shared" si="255"/>
        <v>0</v>
      </c>
      <c r="HU121" s="1157">
        <f t="shared" si="256"/>
        <v>0</v>
      </c>
    </row>
    <row r="122" spans="1:229" ht="13.5" customHeight="1" outlineLevel="1" thickBot="1" x14ac:dyDescent="0.25">
      <c r="A122" s="474"/>
      <c r="B122" s="1413"/>
      <c r="C122" s="593">
        <v>113</v>
      </c>
      <c r="D122" s="594" t="s">
        <v>96</v>
      </c>
      <c r="E122" s="1725">
        <v>0</v>
      </c>
      <c r="F122" s="1401">
        <v>0</v>
      </c>
      <c r="G122" s="1402">
        <v>0</v>
      </c>
      <c r="H122" s="1403">
        <v>0</v>
      </c>
      <c r="I122" s="1401">
        <v>0</v>
      </c>
      <c r="J122" s="1401">
        <v>0</v>
      </c>
      <c r="K122" s="1403">
        <v>0</v>
      </c>
      <c r="L122" s="1401">
        <v>0</v>
      </c>
      <c r="M122" s="1401">
        <v>0</v>
      </c>
      <c r="N122" s="1140">
        <f t="shared" si="260"/>
        <v>0</v>
      </c>
      <c r="O122" s="1404">
        <v>0</v>
      </c>
      <c r="P122" s="1401">
        <v>0</v>
      </c>
      <c r="Q122" s="1401">
        <v>0</v>
      </c>
      <c r="R122" s="1405">
        <v>4049590.29</v>
      </c>
      <c r="S122" s="1409">
        <f t="shared" si="203"/>
        <v>4049590.29</v>
      </c>
      <c r="T122" s="1426">
        <v>4049590.29</v>
      </c>
      <c r="U122" s="637">
        <v>0</v>
      </c>
      <c r="V122" s="1437">
        <v>0</v>
      </c>
      <c r="W122" s="599">
        <v>0</v>
      </c>
      <c r="X122" s="599">
        <v>0</v>
      </c>
      <c r="Y122" s="599">
        <v>0</v>
      </c>
      <c r="Z122" s="599">
        <v>0</v>
      </c>
      <c r="AA122" s="598">
        <f t="shared" si="204"/>
        <v>0</v>
      </c>
      <c r="AB122" s="599">
        <f t="shared" si="205"/>
        <v>0</v>
      </c>
      <c r="AC122" s="600">
        <f t="shared" si="206"/>
        <v>0</v>
      </c>
      <c r="AD122" s="637">
        <v>0</v>
      </c>
      <c r="AE122" s="637">
        <v>0</v>
      </c>
      <c r="AF122" s="637">
        <v>0</v>
      </c>
      <c r="AG122" s="637">
        <v>0</v>
      </c>
      <c r="AH122" s="638">
        <f t="shared" si="207"/>
        <v>0</v>
      </c>
      <c r="AI122" s="637">
        <f t="shared" si="208"/>
        <v>0</v>
      </c>
      <c r="AJ122" s="1253">
        <f t="shared" si="209"/>
        <v>0</v>
      </c>
      <c r="AK122" s="1424">
        <f t="shared" si="210"/>
        <v>0</v>
      </c>
      <c r="AL122" s="606"/>
      <c r="AM122" s="607"/>
      <c r="AN122" s="640"/>
      <c r="AO122" s="736"/>
      <c r="AP122" s="604"/>
      <c r="AQ122" s="604"/>
      <c r="AR122" s="604"/>
      <c r="AS122" s="604">
        <f t="shared" si="135"/>
        <v>0</v>
      </c>
      <c r="AT122" s="605">
        <f t="shared" si="136"/>
        <v>0</v>
      </c>
      <c r="AU122" s="606">
        <v>0</v>
      </c>
      <c r="AV122" s="607">
        <v>0</v>
      </c>
      <c r="AW122" s="607">
        <v>0</v>
      </c>
      <c r="AX122" s="607">
        <v>0</v>
      </c>
      <c r="AY122" s="607">
        <f t="shared" si="137"/>
        <v>0</v>
      </c>
      <c r="AZ122" s="608">
        <f t="shared" si="138"/>
        <v>0</v>
      </c>
      <c r="BA122" s="609">
        <f t="shared" si="211"/>
        <v>0</v>
      </c>
      <c r="BB122" s="610">
        <f t="shared" si="212"/>
        <v>0</v>
      </c>
      <c r="BC122" s="599">
        <f t="shared" si="213"/>
        <v>0</v>
      </c>
      <c r="BD122" s="598">
        <f t="shared" si="214"/>
        <v>0</v>
      </c>
      <c r="BE122" s="598">
        <f t="shared" si="215"/>
        <v>0</v>
      </c>
      <c r="BF122" s="598">
        <f t="shared" si="216"/>
        <v>0</v>
      </c>
      <c r="BG122" s="598">
        <f t="shared" si="217"/>
        <v>0</v>
      </c>
      <c r="BH122" s="598">
        <f t="shared" si="218"/>
        <v>0</v>
      </c>
      <c r="BI122" s="600">
        <f t="shared" si="219"/>
        <v>0</v>
      </c>
      <c r="BJ122" s="609">
        <f t="shared" si="220"/>
        <v>0</v>
      </c>
      <c r="BK122" s="613">
        <f t="shared" si="221"/>
        <v>0</v>
      </c>
      <c r="BL122" s="613">
        <f t="shared" si="222"/>
        <v>0</v>
      </c>
      <c r="BM122" s="613">
        <f t="shared" si="223"/>
        <v>0</v>
      </c>
      <c r="BN122" s="613">
        <f t="shared" si="224"/>
        <v>0</v>
      </c>
      <c r="BO122" s="613">
        <f t="shared" si="225"/>
        <v>0</v>
      </c>
      <c r="BP122" s="614">
        <f t="shared" si="226"/>
        <v>0</v>
      </c>
      <c r="BQ122" s="1143">
        <f t="shared" si="227"/>
        <v>0</v>
      </c>
      <c r="BR122" s="606"/>
      <c r="BS122" s="607"/>
      <c r="BT122" s="640"/>
      <c r="BU122" s="736"/>
      <c r="BV122" s="604"/>
      <c r="BW122" s="604"/>
      <c r="BX122" s="604"/>
      <c r="BY122" s="604">
        <f t="shared" si="139"/>
        <v>0</v>
      </c>
      <c r="BZ122" s="605">
        <f t="shared" si="140"/>
        <v>0</v>
      </c>
      <c r="CA122" s="606"/>
      <c r="CB122" s="607"/>
      <c r="CC122" s="607"/>
      <c r="CD122" s="607"/>
      <c r="CE122" s="607">
        <f t="shared" si="141"/>
        <v>0</v>
      </c>
      <c r="CF122" s="608">
        <f t="shared" si="142"/>
        <v>0</v>
      </c>
      <c r="CG122" s="609">
        <f t="shared" si="228"/>
        <v>0</v>
      </c>
      <c r="CH122" s="610">
        <f t="shared" si="229"/>
        <v>0</v>
      </c>
      <c r="CI122" s="611">
        <f t="shared" si="230"/>
        <v>0</v>
      </c>
      <c r="CJ122" s="598">
        <f t="shared" si="231"/>
        <v>0</v>
      </c>
      <c r="CK122" s="598">
        <f t="shared" si="232"/>
        <v>0</v>
      </c>
      <c r="CL122" s="598">
        <f t="shared" si="233"/>
        <v>0</v>
      </c>
      <c r="CM122" s="598">
        <f t="shared" si="234"/>
        <v>0</v>
      </c>
      <c r="CN122" s="598">
        <f t="shared" si="235"/>
        <v>0</v>
      </c>
      <c r="CO122" s="600">
        <f t="shared" si="236"/>
        <v>0</v>
      </c>
      <c r="CP122" s="612">
        <f t="shared" si="237"/>
        <v>0</v>
      </c>
      <c r="CQ122" s="613">
        <f t="shared" si="238"/>
        <v>0</v>
      </c>
      <c r="CR122" s="613">
        <f t="shared" si="239"/>
        <v>0</v>
      </c>
      <c r="CS122" s="613">
        <f t="shared" si="240"/>
        <v>0</v>
      </c>
      <c r="CT122" s="613">
        <f t="shared" si="241"/>
        <v>0</v>
      </c>
      <c r="CU122" s="613">
        <f t="shared" si="242"/>
        <v>0</v>
      </c>
      <c r="CV122" s="614">
        <f t="shared" si="243"/>
        <v>0</v>
      </c>
      <c r="CW122" s="615">
        <f t="shared" si="244"/>
        <v>0</v>
      </c>
      <c r="CX122" s="606"/>
      <c r="CY122" s="607"/>
      <c r="CZ122" s="640"/>
      <c r="DA122" s="736"/>
      <c r="DB122" s="604"/>
      <c r="DC122" s="604"/>
      <c r="DD122" s="604"/>
      <c r="DE122" s="604">
        <f t="shared" si="143"/>
        <v>0</v>
      </c>
      <c r="DF122" s="605">
        <f t="shared" si="144"/>
        <v>0</v>
      </c>
      <c r="DG122" s="606"/>
      <c r="DH122" s="607"/>
      <c r="DI122" s="607"/>
      <c r="DJ122" s="607"/>
      <c r="DK122" s="607">
        <f t="shared" si="145"/>
        <v>0</v>
      </c>
      <c r="DL122" s="608">
        <f t="shared" si="146"/>
        <v>0</v>
      </c>
      <c r="DM122" s="1141">
        <f t="shared" si="147"/>
        <v>0</v>
      </c>
      <c r="DN122" s="610">
        <f t="shared" si="148"/>
        <v>0</v>
      </c>
      <c r="DO122" s="611">
        <f t="shared" si="149"/>
        <v>0</v>
      </c>
      <c r="DP122" s="598">
        <f t="shared" si="150"/>
        <v>0</v>
      </c>
      <c r="DQ122" s="598">
        <f t="shared" si="151"/>
        <v>0</v>
      </c>
      <c r="DR122" s="598">
        <f t="shared" si="152"/>
        <v>0</v>
      </c>
      <c r="DS122" s="598">
        <f t="shared" si="153"/>
        <v>0</v>
      </c>
      <c r="DT122" s="598">
        <f t="shared" si="154"/>
        <v>0</v>
      </c>
      <c r="DU122" s="600">
        <f t="shared" si="245"/>
        <v>0</v>
      </c>
      <c r="DV122" s="612">
        <f t="shared" si="155"/>
        <v>0</v>
      </c>
      <c r="DW122" s="613">
        <f t="shared" si="156"/>
        <v>0</v>
      </c>
      <c r="DX122" s="613">
        <f t="shared" si="157"/>
        <v>0</v>
      </c>
      <c r="DY122" s="613">
        <f t="shared" si="158"/>
        <v>0</v>
      </c>
      <c r="DZ122" s="613">
        <f t="shared" si="159"/>
        <v>0</v>
      </c>
      <c r="EA122" s="613">
        <f t="shared" si="160"/>
        <v>0</v>
      </c>
      <c r="EB122" s="614">
        <f>EA122/S122</f>
        <v>0</v>
      </c>
      <c r="EC122" s="615">
        <f>DM122/T122</f>
        <v>0</v>
      </c>
      <c r="ES122" s="1141">
        <f t="shared" si="161"/>
        <v>0</v>
      </c>
      <c r="ET122" s="610">
        <f t="shared" si="162"/>
        <v>0</v>
      </c>
      <c r="EU122" s="611">
        <f t="shared" si="163"/>
        <v>0</v>
      </c>
      <c r="EV122" s="598">
        <f t="shared" si="164"/>
        <v>0</v>
      </c>
      <c r="EW122" s="598">
        <f t="shared" si="165"/>
        <v>0</v>
      </c>
      <c r="EX122" s="598">
        <f t="shared" si="166"/>
        <v>0</v>
      </c>
      <c r="EY122" s="598">
        <f t="shared" si="167"/>
        <v>0</v>
      </c>
      <c r="EZ122" s="598">
        <f t="shared" si="168"/>
        <v>0</v>
      </c>
      <c r="FA122" s="626">
        <f t="shared" si="248"/>
        <v>0</v>
      </c>
      <c r="FB122" s="612">
        <f t="shared" si="169"/>
        <v>0</v>
      </c>
      <c r="FC122" s="613">
        <f t="shared" si="170"/>
        <v>0</v>
      </c>
      <c r="FD122" s="613">
        <f t="shared" si="171"/>
        <v>0</v>
      </c>
      <c r="FE122" s="613">
        <f t="shared" si="172"/>
        <v>0</v>
      </c>
      <c r="FF122" s="613">
        <f t="shared" si="173"/>
        <v>0</v>
      </c>
      <c r="FG122" s="613">
        <f t="shared" si="174"/>
        <v>0</v>
      </c>
      <c r="FH122" s="1256">
        <f t="shared" si="249"/>
        <v>0</v>
      </c>
      <c r="FI122" s="1157">
        <f t="shared" si="250"/>
        <v>0</v>
      </c>
      <c r="FY122" s="1141">
        <f t="shared" si="175"/>
        <v>0</v>
      </c>
      <c r="FZ122" s="610">
        <f t="shared" si="176"/>
        <v>0</v>
      </c>
      <c r="GA122" s="611">
        <f t="shared" si="177"/>
        <v>0</v>
      </c>
      <c r="GB122" s="598">
        <f t="shared" si="178"/>
        <v>0</v>
      </c>
      <c r="GC122" s="598">
        <f t="shared" si="179"/>
        <v>0</v>
      </c>
      <c r="GD122" s="598">
        <f t="shared" si="180"/>
        <v>0</v>
      </c>
      <c r="GE122" s="598">
        <f t="shared" si="181"/>
        <v>0</v>
      </c>
      <c r="GF122" s="598">
        <f t="shared" si="182"/>
        <v>0</v>
      </c>
      <c r="GG122" s="626">
        <f t="shared" si="251"/>
        <v>0</v>
      </c>
      <c r="GH122" s="612">
        <f t="shared" si="183"/>
        <v>0</v>
      </c>
      <c r="GI122" s="613">
        <f t="shared" si="184"/>
        <v>0</v>
      </c>
      <c r="GJ122" s="613">
        <f t="shared" si="185"/>
        <v>0</v>
      </c>
      <c r="GK122" s="613">
        <f t="shared" si="186"/>
        <v>0</v>
      </c>
      <c r="GL122" s="613">
        <f t="shared" si="187"/>
        <v>0</v>
      </c>
      <c r="GM122" s="613">
        <f t="shared" si="188"/>
        <v>0</v>
      </c>
      <c r="GN122" s="1256">
        <f t="shared" si="252"/>
        <v>0</v>
      </c>
      <c r="GO122" s="1157">
        <f t="shared" si="253"/>
        <v>0</v>
      </c>
      <c r="HE122" s="1676">
        <f t="shared" si="189"/>
        <v>0</v>
      </c>
      <c r="HF122" s="610">
        <f t="shared" si="190"/>
        <v>0</v>
      </c>
      <c r="HG122" s="611">
        <f t="shared" si="191"/>
        <v>0</v>
      </c>
      <c r="HH122" s="598">
        <f t="shared" si="192"/>
        <v>0</v>
      </c>
      <c r="HI122" s="598">
        <f t="shared" si="193"/>
        <v>0</v>
      </c>
      <c r="HJ122" s="598">
        <f t="shared" si="194"/>
        <v>0</v>
      </c>
      <c r="HK122" s="598">
        <f t="shared" si="195"/>
        <v>0</v>
      </c>
      <c r="HL122" s="598">
        <f t="shared" si="196"/>
        <v>0</v>
      </c>
      <c r="HM122" s="600">
        <f t="shared" si="254"/>
        <v>0</v>
      </c>
      <c r="HN122" s="612">
        <f t="shared" si="197"/>
        <v>0</v>
      </c>
      <c r="HO122" s="613">
        <f t="shared" si="198"/>
        <v>0</v>
      </c>
      <c r="HP122" s="613">
        <f t="shared" si="199"/>
        <v>0</v>
      </c>
      <c r="HQ122" s="613">
        <f t="shared" si="200"/>
        <v>0</v>
      </c>
      <c r="HR122" s="613">
        <f t="shared" si="201"/>
        <v>0</v>
      </c>
      <c r="HS122" s="613">
        <f t="shared" si="202"/>
        <v>0</v>
      </c>
      <c r="HT122" s="614">
        <f t="shared" si="255"/>
        <v>0</v>
      </c>
      <c r="HU122" s="615">
        <f t="shared" si="256"/>
        <v>0</v>
      </c>
    </row>
    <row r="123" spans="1:229" s="102" customFormat="1" ht="18" customHeight="1" x14ac:dyDescent="0.2">
      <c r="A123" s="3707" t="s">
        <v>396</v>
      </c>
      <c r="B123" s="3659" t="s">
        <v>483</v>
      </c>
      <c r="C123" s="1414">
        <v>1</v>
      </c>
      <c r="D123" s="1406" t="s">
        <v>482</v>
      </c>
      <c r="E123" s="1726">
        <f>SUM(E10:E122)</f>
        <v>4593</v>
      </c>
      <c r="F123" s="1441">
        <f>SUM(F10:F122)</f>
        <v>326472.35000000009</v>
      </c>
      <c r="G123" s="1443">
        <f>F123/E123</f>
        <v>71.080415850206862</v>
      </c>
      <c r="H123" s="1445">
        <f>SUM(H10:H122)</f>
        <v>1042</v>
      </c>
      <c r="I123" s="1441">
        <f>SUM(I10:I122)</f>
        <v>11893.560000000001</v>
      </c>
      <c r="J123" s="1443">
        <f>I123/H123</f>
        <v>11.414165067178503</v>
      </c>
      <c r="K123" s="1445">
        <f>SUM(K10:K122)</f>
        <v>252</v>
      </c>
      <c r="L123" s="1441">
        <f>SUM(L10:L122)</f>
        <v>14457.720000000003</v>
      </c>
      <c r="M123" s="1443">
        <f>L123/K123</f>
        <v>57.371904761904773</v>
      </c>
      <c r="N123" s="1447">
        <f t="shared" ref="N123:AB123" si="262">SUM(N10:N122)</f>
        <v>352823.63000000006</v>
      </c>
      <c r="O123" s="1782">
        <f t="shared" si="262"/>
        <v>36679825.939999998</v>
      </c>
      <c r="P123" s="1441">
        <f t="shared" si="262"/>
        <v>1783157674.1510775</v>
      </c>
      <c r="Q123" s="1441">
        <f t="shared" si="262"/>
        <v>347612248.36033732</v>
      </c>
      <c r="R123" s="1441">
        <f t="shared" si="262"/>
        <v>2171499338.7414165</v>
      </c>
      <c r="S123" s="1440">
        <f t="shared" si="262"/>
        <v>2171499338.7414165</v>
      </c>
      <c r="T123" s="1410">
        <f t="shared" si="262"/>
        <v>488499642.88708395</v>
      </c>
      <c r="U123" s="964">
        <f t="shared" si="262"/>
        <v>0</v>
      </c>
      <c r="V123" s="1438">
        <f t="shared" si="262"/>
        <v>0</v>
      </c>
      <c r="W123" s="835">
        <f t="shared" si="262"/>
        <v>0</v>
      </c>
      <c r="X123" s="835">
        <f t="shared" si="262"/>
        <v>458025.87</v>
      </c>
      <c r="Y123" s="835">
        <f t="shared" si="262"/>
        <v>0</v>
      </c>
      <c r="Z123" s="835">
        <f t="shared" si="262"/>
        <v>0</v>
      </c>
      <c r="AA123" s="835">
        <f t="shared" si="262"/>
        <v>0</v>
      </c>
      <c r="AB123" s="835">
        <f t="shared" si="262"/>
        <v>458025.87</v>
      </c>
      <c r="AC123" s="1428">
        <f>AB123/R123</f>
        <v>2.1092609232175412E-4</v>
      </c>
      <c r="AD123" s="964">
        <f t="shared" ref="AD123:AI123" si="263">SUM(AD10:AD122)</f>
        <v>0</v>
      </c>
      <c r="AE123" s="964">
        <f t="shared" si="263"/>
        <v>88045.2</v>
      </c>
      <c r="AF123" s="964">
        <f t="shared" si="263"/>
        <v>0</v>
      </c>
      <c r="AG123" s="964">
        <f t="shared" si="263"/>
        <v>0</v>
      </c>
      <c r="AH123" s="964">
        <f t="shared" si="263"/>
        <v>0</v>
      </c>
      <c r="AI123" s="964">
        <f t="shared" si="263"/>
        <v>88045.2</v>
      </c>
      <c r="AJ123" s="1435">
        <f t="shared" ref="AJ123:AJ131" si="264">AI123/S123</f>
        <v>4.0545810182484461E-5</v>
      </c>
      <c r="AK123" s="1415">
        <f>U123/T123</f>
        <v>0</v>
      </c>
      <c r="AL123" s="971">
        <f t="shared" ref="AL123:BH123" si="265">SUM(AL10:AL122)</f>
        <v>0</v>
      </c>
      <c r="AM123" s="971">
        <f t="shared" si="265"/>
        <v>0</v>
      </c>
      <c r="AN123" s="1433">
        <f t="shared" si="265"/>
        <v>0</v>
      </c>
      <c r="AO123" s="1063">
        <f t="shared" si="265"/>
        <v>0</v>
      </c>
      <c r="AP123" s="1063">
        <f t="shared" si="265"/>
        <v>0</v>
      </c>
      <c r="AQ123" s="1063">
        <f t="shared" si="265"/>
        <v>0</v>
      </c>
      <c r="AR123" s="1063">
        <f t="shared" si="265"/>
        <v>0</v>
      </c>
      <c r="AS123" s="1063">
        <f t="shared" si="265"/>
        <v>0</v>
      </c>
      <c r="AT123" s="1431">
        <f t="shared" si="265"/>
        <v>0</v>
      </c>
      <c r="AU123" s="971">
        <f t="shared" si="265"/>
        <v>0</v>
      </c>
      <c r="AV123" s="971">
        <f t="shared" si="265"/>
        <v>0</v>
      </c>
      <c r="AW123" s="971">
        <f t="shared" si="265"/>
        <v>0</v>
      </c>
      <c r="AX123" s="971">
        <f t="shared" si="265"/>
        <v>0</v>
      </c>
      <c r="AY123" s="971">
        <f t="shared" si="265"/>
        <v>0</v>
      </c>
      <c r="AZ123" s="1417">
        <f t="shared" si="265"/>
        <v>0</v>
      </c>
      <c r="BA123" s="851">
        <f t="shared" si="265"/>
        <v>0</v>
      </c>
      <c r="BB123" s="1430">
        <f t="shared" si="265"/>
        <v>0</v>
      </c>
      <c r="BC123" s="835">
        <f t="shared" si="265"/>
        <v>0</v>
      </c>
      <c r="BD123" s="835">
        <f t="shared" si="265"/>
        <v>458025.87</v>
      </c>
      <c r="BE123" s="835">
        <f t="shared" si="265"/>
        <v>0</v>
      </c>
      <c r="BF123" s="835">
        <f t="shared" si="265"/>
        <v>0</v>
      </c>
      <c r="BG123" s="835">
        <f t="shared" si="265"/>
        <v>0</v>
      </c>
      <c r="BH123" s="835">
        <f t="shared" si="265"/>
        <v>458025.87</v>
      </c>
      <c r="BI123" s="1428">
        <f t="shared" ref="BI123:BI131" si="266">BH123/R123</f>
        <v>2.1092609232175412E-4</v>
      </c>
      <c r="BJ123" s="851">
        <f t="shared" ref="BJ123:BO123" si="267">SUM(BJ10:BJ122)</f>
        <v>0</v>
      </c>
      <c r="BK123" s="851">
        <f t="shared" si="267"/>
        <v>88045.2</v>
      </c>
      <c r="BL123" s="851">
        <f t="shared" si="267"/>
        <v>0</v>
      </c>
      <c r="BM123" s="851">
        <f t="shared" si="267"/>
        <v>0</v>
      </c>
      <c r="BN123" s="851">
        <f t="shared" si="267"/>
        <v>0</v>
      </c>
      <c r="BO123" s="851">
        <f t="shared" si="267"/>
        <v>88045.2</v>
      </c>
      <c r="BP123" s="1427">
        <f t="shared" si="226"/>
        <v>4.0545810182484461E-5</v>
      </c>
      <c r="BQ123" s="1416">
        <f t="shared" ref="BQ123:BQ131" si="268">BA123/T123</f>
        <v>0</v>
      </c>
      <c r="BR123" s="971">
        <f t="shared" ref="BR123:CN123" si="269">SUM(BR10:BR122)</f>
        <v>0</v>
      </c>
      <c r="BS123" s="971">
        <f t="shared" si="269"/>
        <v>0</v>
      </c>
      <c r="BT123" s="1421">
        <f t="shared" si="269"/>
        <v>0</v>
      </c>
      <c r="BU123" s="1063">
        <f t="shared" si="269"/>
        <v>0</v>
      </c>
      <c r="BV123" s="1063">
        <f t="shared" si="269"/>
        <v>0</v>
      </c>
      <c r="BW123" s="1063">
        <f t="shared" si="269"/>
        <v>0</v>
      </c>
      <c r="BX123" s="1063">
        <f t="shared" si="269"/>
        <v>0</v>
      </c>
      <c r="BY123" s="1063">
        <f t="shared" si="269"/>
        <v>0</v>
      </c>
      <c r="BZ123" s="1036">
        <f t="shared" si="269"/>
        <v>0</v>
      </c>
      <c r="CA123" s="971">
        <f t="shared" si="269"/>
        <v>0</v>
      </c>
      <c r="CB123" s="971">
        <f t="shared" si="269"/>
        <v>0</v>
      </c>
      <c r="CC123" s="971">
        <f t="shared" si="269"/>
        <v>0</v>
      </c>
      <c r="CD123" s="971">
        <f t="shared" si="269"/>
        <v>0</v>
      </c>
      <c r="CE123" s="971">
        <f t="shared" si="269"/>
        <v>0</v>
      </c>
      <c r="CF123" s="1417">
        <f t="shared" si="269"/>
        <v>0</v>
      </c>
      <c r="CG123" s="851">
        <f t="shared" si="269"/>
        <v>0</v>
      </c>
      <c r="CH123" s="1420">
        <f t="shared" si="269"/>
        <v>0</v>
      </c>
      <c r="CI123" s="835">
        <f t="shared" si="269"/>
        <v>0</v>
      </c>
      <c r="CJ123" s="835">
        <f t="shared" si="269"/>
        <v>458025.87</v>
      </c>
      <c r="CK123" s="835">
        <f t="shared" si="269"/>
        <v>0</v>
      </c>
      <c r="CL123" s="835">
        <f t="shared" si="269"/>
        <v>0</v>
      </c>
      <c r="CM123" s="835">
        <f t="shared" si="269"/>
        <v>0</v>
      </c>
      <c r="CN123" s="835">
        <f t="shared" si="269"/>
        <v>458025.87</v>
      </c>
      <c r="CO123" s="837">
        <f>CN123/R123</f>
        <v>2.1092609232175412E-4</v>
      </c>
      <c r="CP123" s="851">
        <f t="shared" ref="CP123:CU123" si="270">SUM(CP10:CP122)</f>
        <v>0</v>
      </c>
      <c r="CQ123" s="851">
        <f t="shared" si="270"/>
        <v>88045.2</v>
      </c>
      <c r="CR123" s="851">
        <f t="shared" si="270"/>
        <v>0</v>
      </c>
      <c r="CS123" s="851">
        <f t="shared" si="270"/>
        <v>0</v>
      </c>
      <c r="CT123" s="851">
        <f t="shared" si="270"/>
        <v>0</v>
      </c>
      <c r="CU123" s="851">
        <f t="shared" si="270"/>
        <v>88045.2</v>
      </c>
      <c r="CV123" s="1161">
        <f t="shared" si="243"/>
        <v>4.0545810182484461E-5</v>
      </c>
      <c r="CW123" s="1416">
        <f>CG123/T123</f>
        <v>0</v>
      </c>
      <c r="CX123" s="971">
        <f t="shared" ref="CX123:DT123" si="271">SUM(CX10:CX122)</f>
        <v>0</v>
      </c>
      <c r="CY123" s="971">
        <f t="shared" si="271"/>
        <v>0</v>
      </c>
      <c r="CZ123" s="1421">
        <f t="shared" si="271"/>
        <v>0</v>
      </c>
      <c r="DA123" s="1063">
        <f t="shared" si="271"/>
        <v>0</v>
      </c>
      <c r="DB123" s="1063">
        <f t="shared" si="271"/>
        <v>0</v>
      </c>
      <c r="DC123" s="1063">
        <f t="shared" si="271"/>
        <v>0</v>
      </c>
      <c r="DD123" s="1063">
        <f t="shared" si="271"/>
        <v>0</v>
      </c>
      <c r="DE123" s="1063">
        <f t="shared" si="271"/>
        <v>0</v>
      </c>
      <c r="DF123" s="1036">
        <f t="shared" si="271"/>
        <v>0</v>
      </c>
      <c r="DG123" s="971">
        <f t="shared" si="271"/>
        <v>0</v>
      </c>
      <c r="DH123" s="971">
        <f t="shared" si="271"/>
        <v>0</v>
      </c>
      <c r="DI123" s="971">
        <f t="shared" si="271"/>
        <v>0</v>
      </c>
      <c r="DJ123" s="971">
        <f t="shared" si="271"/>
        <v>0</v>
      </c>
      <c r="DK123" s="971">
        <f t="shared" si="271"/>
        <v>0</v>
      </c>
      <c r="DL123" s="1417">
        <f t="shared" si="271"/>
        <v>0</v>
      </c>
      <c r="DM123" s="851">
        <f>SUM(DM10:DM122)</f>
        <v>0</v>
      </c>
      <c r="DN123" s="1420">
        <f t="shared" si="271"/>
        <v>0</v>
      </c>
      <c r="DO123" s="835">
        <f t="shared" si="271"/>
        <v>0</v>
      </c>
      <c r="DP123" s="835">
        <f t="shared" si="271"/>
        <v>458025.87</v>
      </c>
      <c r="DQ123" s="835">
        <f t="shared" si="271"/>
        <v>0</v>
      </c>
      <c r="DR123" s="835">
        <f t="shared" si="271"/>
        <v>0</v>
      </c>
      <c r="DS123" s="835">
        <f t="shared" si="271"/>
        <v>0</v>
      </c>
      <c r="DT123" s="835">
        <f t="shared" si="271"/>
        <v>458025.87</v>
      </c>
      <c r="DU123" s="626">
        <f t="shared" si="245"/>
        <v>2.1092609232175412E-4</v>
      </c>
      <c r="DV123" s="851">
        <f t="shared" ref="DV123:EA123" si="272">SUM(DV10:DV122)</f>
        <v>0</v>
      </c>
      <c r="DW123" s="851">
        <f t="shared" si="272"/>
        <v>88045.2</v>
      </c>
      <c r="DX123" s="851">
        <f t="shared" si="272"/>
        <v>0</v>
      </c>
      <c r="DY123" s="851">
        <f t="shared" si="272"/>
        <v>0</v>
      </c>
      <c r="DZ123" s="851">
        <f t="shared" si="272"/>
        <v>0</v>
      </c>
      <c r="EA123" s="851">
        <f t="shared" si="272"/>
        <v>88045.2</v>
      </c>
      <c r="EB123" s="1161">
        <f>EA123/S123</f>
        <v>4.0545810182484461E-5</v>
      </c>
      <c r="EC123" s="1416">
        <f>DM123/T123</f>
        <v>0</v>
      </c>
      <c r="ED123" s="971">
        <f t="shared" ref="ED123:ER123" si="273">SUM(ED10:ED122)</f>
        <v>0</v>
      </c>
      <c r="EE123" s="971">
        <f t="shared" si="273"/>
        <v>0</v>
      </c>
      <c r="EF123" s="1421">
        <f t="shared" si="273"/>
        <v>0</v>
      </c>
      <c r="EG123" s="1063">
        <f t="shared" si="273"/>
        <v>0</v>
      </c>
      <c r="EH123" s="1063">
        <f t="shared" si="273"/>
        <v>0</v>
      </c>
      <c r="EI123" s="1063">
        <f t="shared" si="273"/>
        <v>0</v>
      </c>
      <c r="EJ123" s="1063">
        <f t="shared" si="273"/>
        <v>0</v>
      </c>
      <c r="EK123" s="1063">
        <f t="shared" si="273"/>
        <v>0</v>
      </c>
      <c r="EL123" s="1036">
        <f t="shared" si="273"/>
        <v>0</v>
      </c>
      <c r="EM123" s="971">
        <f t="shared" si="273"/>
        <v>0</v>
      </c>
      <c r="EN123" s="971">
        <f t="shared" si="273"/>
        <v>0</v>
      </c>
      <c r="EO123" s="971">
        <f t="shared" si="273"/>
        <v>0</v>
      </c>
      <c r="EP123" s="971">
        <f t="shared" si="273"/>
        <v>0</v>
      </c>
      <c r="EQ123" s="971">
        <f t="shared" si="273"/>
        <v>0</v>
      </c>
      <c r="ER123" s="1417">
        <f t="shared" si="273"/>
        <v>0</v>
      </c>
      <c r="ES123" s="851">
        <f>DM123+EE123</f>
        <v>0</v>
      </c>
      <c r="ET123" s="1420">
        <f>DN123+EF123</f>
        <v>0</v>
      </c>
      <c r="EU123" s="834">
        <f>EG123+DO123</f>
        <v>0</v>
      </c>
      <c r="EV123" s="836">
        <f t="shared" ref="EV123:EX127" si="274">EH123+DP123</f>
        <v>458025.87</v>
      </c>
      <c r="EW123" s="836">
        <f t="shared" si="274"/>
        <v>0</v>
      </c>
      <c r="EX123" s="836">
        <f t="shared" si="274"/>
        <v>0</v>
      </c>
      <c r="EY123" s="836">
        <f t="shared" ref="EY123:EZ127" si="275">EK123+DS123</f>
        <v>0</v>
      </c>
      <c r="EZ123" s="836">
        <f t="shared" si="275"/>
        <v>458025.87</v>
      </c>
      <c r="FA123" s="492">
        <f>EZ123/R123</f>
        <v>2.1092609232175412E-4</v>
      </c>
      <c r="FB123" s="1160">
        <f>DV123+EM123</f>
        <v>0</v>
      </c>
      <c r="FC123" s="1069">
        <f t="shared" si="170"/>
        <v>88045.2</v>
      </c>
      <c r="FD123" s="1069">
        <f t="shared" si="171"/>
        <v>0</v>
      </c>
      <c r="FE123" s="1069">
        <f t="shared" si="172"/>
        <v>0</v>
      </c>
      <c r="FF123" s="1069">
        <f t="shared" si="173"/>
        <v>0</v>
      </c>
      <c r="FG123" s="1069">
        <f t="shared" si="174"/>
        <v>88045.2</v>
      </c>
      <c r="FH123" s="1161">
        <f>FG123/S123</f>
        <v>4.0545810182484461E-5</v>
      </c>
      <c r="FI123" s="1416">
        <f>ES123/T123</f>
        <v>0</v>
      </c>
      <c r="FJ123" s="971">
        <f t="shared" ref="FJ123:FX123" si="276">SUM(FJ10:FJ122)</f>
        <v>0</v>
      </c>
      <c r="FK123" s="971">
        <f t="shared" si="276"/>
        <v>0</v>
      </c>
      <c r="FL123" s="1421">
        <f t="shared" si="276"/>
        <v>0</v>
      </c>
      <c r="FM123" s="1063">
        <f t="shared" si="276"/>
        <v>0</v>
      </c>
      <c r="FN123" s="1063">
        <f t="shared" si="276"/>
        <v>0</v>
      </c>
      <c r="FO123" s="1063">
        <f t="shared" si="276"/>
        <v>0</v>
      </c>
      <c r="FP123" s="1063">
        <f t="shared" si="276"/>
        <v>0</v>
      </c>
      <c r="FQ123" s="1063">
        <f t="shared" si="276"/>
        <v>0</v>
      </c>
      <c r="FR123" s="1036">
        <f t="shared" si="276"/>
        <v>0</v>
      </c>
      <c r="FS123" s="971">
        <f t="shared" si="276"/>
        <v>0</v>
      </c>
      <c r="FT123" s="971">
        <f t="shared" si="276"/>
        <v>0</v>
      </c>
      <c r="FU123" s="971">
        <f t="shared" si="276"/>
        <v>0</v>
      </c>
      <c r="FV123" s="971">
        <f t="shared" si="276"/>
        <v>0</v>
      </c>
      <c r="FW123" s="971">
        <f t="shared" si="276"/>
        <v>0</v>
      </c>
      <c r="FX123" s="1417">
        <f t="shared" si="276"/>
        <v>0</v>
      </c>
      <c r="FY123" s="851">
        <f>ES123+FK123</f>
        <v>0</v>
      </c>
      <c r="FZ123" s="1420">
        <f>ET123+FL123</f>
        <v>0</v>
      </c>
      <c r="GA123" s="834">
        <f t="shared" ref="GA123:GF127" si="277">FM123+EU123</f>
        <v>0</v>
      </c>
      <c r="GB123" s="836">
        <f t="shared" si="277"/>
        <v>458025.87</v>
      </c>
      <c r="GC123" s="836">
        <f t="shared" si="277"/>
        <v>0</v>
      </c>
      <c r="GD123" s="836">
        <f t="shared" si="277"/>
        <v>0</v>
      </c>
      <c r="GE123" s="836">
        <f t="shared" si="277"/>
        <v>0</v>
      </c>
      <c r="GF123" s="836">
        <f t="shared" si="277"/>
        <v>458025.87</v>
      </c>
      <c r="GG123" s="492">
        <f>GF123/R123</f>
        <v>2.1092609232175412E-4</v>
      </c>
      <c r="GH123" s="1160">
        <f>FB123+FS123</f>
        <v>0</v>
      </c>
      <c r="GI123" s="1069">
        <f t="shared" si="184"/>
        <v>88045.2</v>
      </c>
      <c r="GJ123" s="1069">
        <f t="shared" si="185"/>
        <v>0</v>
      </c>
      <c r="GK123" s="1069">
        <f t="shared" si="186"/>
        <v>0</v>
      </c>
      <c r="GL123" s="1069">
        <f t="shared" si="187"/>
        <v>0</v>
      </c>
      <c r="GM123" s="1069">
        <f t="shared" si="188"/>
        <v>88045.2</v>
      </c>
      <c r="GN123" s="1161">
        <f>GM123/S123</f>
        <v>4.0545810182484461E-5</v>
      </c>
      <c r="GO123" s="1416">
        <f>FY123/T123</f>
        <v>0</v>
      </c>
      <c r="GP123" s="971">
        <f t="shared" ref="GP123:HD123" si="278">SUM(GP10:GP122)</f>
        <v>0</v>
      </c>
      <c r="GQ123" s="971">
        <f t="shared" si="278"/>
        <v>0</v>
      </c>
      <c r="GR123" s="1421">
        <f t="shared" si="278"/>
        <v>0</v>
      </c>
      <c r="GS123" s="1063">
        <f t="shared" si="278"/>
        <v>0</v>
      </c>
      <c r="GT123" s="1063">
        <f t="shared" si="278"/>
        <v>0</v>
      </c>
      <c r="GU123" s="1063">
        <f t="shared" si="278"/>
        <v>0</v>
      </c>
      <c r="GV123" s="1063">
        <f t="shared" si="278"/>
        <v>0</v>
      </c>
      <c r="GW123" s="1063">
        <f t="shared" si="278"/>
        <v>0</v>
      </c>
      <c r="GX123" s="1036">
        <f t="shared" si="278"/>
        <v>0</v>
      </c>
      <c r="GY123" s="971">
        <f t="shared" si="278"/>
        <v>0</v>
      </c>
      <c r="GZ123" s="971">
        <f t="shared" si="278"/>
        <v>0</v>
      </c>
      <c r="HA123" s="971">
        <f t="shared" si="278"/>
        <v>0</v>
      </c>
      <c r="HB123" s="971">
        <f t="shared" si="278"/>
        <v>0</v>
      </c>
      <c r="HC123" s="971">
        <f t="shared" si="278"/>
        <v>0</v>
      </c>
      <c r="HD123" s="1417">
        <f t="shared" si="278"/>
        <v>0</v>
      </c>
      <c r="HE123" s="1677">
        <f>FY123+GQ123</f>
        <v>0</v>
      </c>
      <c r="HF123" s="1420">
        <f>FZ123+GR123</f>
        <v>0</v>
      </c>
      <c r="HG123" s="834">
        <f t="shared" ref="HG123:HL127" si="279">GS123+GA123</f>
        <v>0</v>
      </c>
      <c r="HH123" s="836">
        <f t="shared" si="279"/>
        <v>458025.87</v>
      </c>
      <c r="HI123" s="836">
        <f t="shared" si="279"/>
        <v>0</v>
      </c>
      <c r="HJ123" s="836">
        <f t="shared" si="279"/>
        <v>0</v>
      </c>
      <c r="HK123" s="836">
        <f t="shared" si="279"/>
        <v>0</v>
      </c>
      <c r="HL123" s="836">
        <f t="shared" si="279"/>
        <v>458025.87</v>
      </c>
      <c r="HM123" s="626">
        <f t="shared" si="254"/>
        <v>2.1092609232175412E-4</v>
      </c>
      <c r="HN123" s="1160">
        <f>GH123+GY123</f>
        <v>0</v>
      </c>
      <c r="HO123" s="1069">
        <f t="shared" si="198"/>
        <v>88045.2</v>
      </c>
      <c r="HP123" s="1069">
        <f t="shared" si="199"/>
        <v>0</v>
      </c>
      <c r="HQ123" s="1069">
        <f t="shared" si="200"/>
        <v>0</v>
      </c>
      <c r="HR123" s="1069">
        <f t="shared" si="201"/>
        <v>0</v>
      </c>
      <c r="HS123" s="1069">
        <f t="shared" si="202"/>
        <v>88045.2</v>
      </c>
      <c r="HT123" s="1256">
        <f t="shared" si="255"/>
        <v>4.0545810182484461E-5</v>
      </c>
      <c r="HU123" s="1157">
        <f t="shared" si="256"/>
        <v>0</v>
      </c>
    </row>
    <row r="124" spans="1:229" s="1448" customFormat="1" ht="13.5" customHeight="1" x14ac:dyDescent="0.2">
      <c r="A124" s="3707"/>
      <c r="B124" s="3660"/>
      <c r="C124" s="1548" t="s">
        <v>474</v>
      </c>
      <c r="D124" s="1549" t="s">
        <v>484</v>
      </c>
      <c r="E124" s="1727"/>
      <c r="F124" s="1551"/>
      <c r="G124" s="1552"/>
      <c r="H124" s="1550"/>
      <c r="I124" s="1551"/>
      <c r="J124" s="1552"/>
      <c r="K124" s="1550"/>
      <c r="L124" s="1551"/>
      <c r="M124" s="1552"/>
      <c r="N124" s="1553"/>
      <c r="O124" s="1551"/>
      <c r="P124" s="1551"/>
      <c r="Q124" s="1551"/>
      <c r="R124" s="1551"/>
      <c r="S124" s="1554"/>
      <c r="T124" s="1555"/>
      <c r="U124" s="1556"/>
      <c r="V124" s="1557"/>
      <c r="W124" s="1558"/>
      <c r="X124" s="1558"/>
      <c r="Y124" s="1558"/>
      <c r="Z124" s="1558"/>
      <c r="AA124" s="1558"/>
      <c r="AB124" s="1558"/>
      <c r="AC124" s="1559"/>
      <c r="AD124" s="1556"/>
      <c r="AE124" s="1556"/>
      <c r="AF124" s="1556"/>
      <c r="AG124" s="1556"/>
      <c r="AH124" s="1556"/>
      <c r="AI124" s="1556"/>
      <c r="AJ124" s="1560"/>
      <c r="AK124" s="1561"/>
      <c r="AL124" s="1562"/>
      <c r="AM124" s="1562"/>
      <c r="AN124" s="1563"/>
      <c r="AO124" s="1564"/>
      <c r="AP124" s="1564"/>
      <c r="AQ124" s="1564"/>
      <c r="AR124" s="1564"/>
      <c r="AS124" s="1564"/>
      <c r="AT124" s="1565"/>
      <c r="AU124" s="1562"/>
      <c r="AV124" s="1562"/>
      <c r="AW124" s="1562"/>
      <c r="AX124" s="1562"/>
      <c r="AY124" s="1562"/>
      <c r="AZ124" s="1566"/>
      <c r="BA124" s="1567"/>
      <c r="BB124" s="1568"/>
      <c r="BC124" s="1558"/>
      <c r="BD124" s="1558"/>
      <c r="BE124" s="1558"/>
      <c r="BF124" s="1558"/>
      <c r="BG124" s="1558"/>
      <c r="BH124" s="1558"/>
      <c r="BI124" s="1559"/>
      <c r="BJ124" s="1567"/>
      <c r="BK124" s="1567"/>
      <c r="BL124" s="1567"/>
      <c r="BM124" s="1567"/>
      <c r="BN124" s="1567"/>
      <c r="BO124" s="1567"/>
      <c r="BP124" s="1569"/>
      <c r="BQ124" s="1570"/>
      <c r="BR124" s="1562"/>
      <c r="BS124" s="1562"/>
      <c r="BT124" s="1571"/>
      <c r="BU124" s="1564"/>
      <c r="BV124" s="1564"/>
      <c r="BW124" s="1564"/>
      <c r="BX124" s="1564"/>
      <c r="BY124" s="1564"/>
      <c r="BZ124" s="1572"/>
      <c r="CA124" s="1562"/>
      <c r="CB124" s="1562"/>
      <c r="CC124" s="1562"/>
      <c r="CD124" s="1562"/>
      <c r="CE124" s="1562"/>
      <c r="CF124" s="1566"/>
      <c r="CG124" s="1567"/>
      <c r="CH124" s="1573"/>
      <c r="CI124" s="1558"/>
      <c r="CJ124" s="1558"/>
      <c r="CK124" s="1558"/>
      <c r="CL124" s="1558"/>
      <c r="CM124" s="1558"/>
      <c r="CN124" s="1558"/>
      <c r="CO124" s="1574"/>
      <c r="CP124" s="1567"/>
      <c r="CQ124" s="1567"/>
      <c r="CR124" s="1567"/>
      <c r="CS124" s="1567"/>
      <c r="CT124" s="1567"/>
      <c r="CU124" s="1567"/>
      <c r="CV124" s="1472"/>
      <c r="CW124" s="1570"/>
      <c r="CX124" s="1562"/>
      <c r="CY124" s="1562"/>
      <c r="CZ124" s="1571"/>
      <c r="DA124" s="1564"/>
      <c r="DB124" s="1564"/>
      <c r="DC124" s="1564"/>
      <c r="DD124" s="1564"/>
      <c r="DE124" s="1564"/>
      <c r="DF124" s="1572"/>
      <c r="DG124" s="1562"/>
      <c r="DH124" s="1562"/>
      <c r="DI124" s="1562"/>
      <c r="DJ124" s="1562"/>
      <c r="DK124" s="1562"/>
      <c r="DL124" s="1566"/>
      <c r="DM124" s="1567"/>
      <c r="DN124" s="1573"/>
      <c r="DO124" s="1558"/>
      <c r="DP124" s="1558"/>
      <c r="DQ124" s="1558"/>
      <c r="DR124" s="1558"/>
      <c r="DS124" s="1558"/>
      <c r="DT124" s="1558"/>
      <c r="DU124" s="526">
        <v>0</v>
      </c>
      <c r="DV124" s="1567"/>
      <c r="DW124" s="1567"/>
      <c r="DX124" s="1567"/>
      <c r="DY124" s="1567"/>
      <c r="DZ124" s="1567"/>
      <c r="EA124" s="1567"/>
      <c r="EB124" s="1472"/>
      <c r="EC124" s="1570"/>
      <c r="ED124" s="1562"/>
      <c r="EE124" s="1562"/>
      <c r="EF124" s="1571"/>
      <c r="EG124" s="1564"/>
      <c r="EH124" s="1564"/>
      <c r="EI124" s="1564"/>
      <c r="EJ124" s="1564"/>
      <c r="EK124" s="1564"/>
      <c r="EL124" s="1572"/>
      <c r="EM124" s="1562"/>
      <c r="EN124" s="1562"/>
      <c r="EO124" s="1562"/>
      <c r="EP124" s="1562"/>
      <c r="EQ124" s="1562"/>
      <c r="ER124" s="1566"/>
      <c r="ES124" s="1567"/>
      <c r="ET124" s="1573"/>
      <c r="EU124" s="1154">
        <f>EG124+DO124</f>
        <v>0</v>
      </c>
      <c r="EV124" s="878">
        <f t="shared" si="274"/>
        <v>0</v>
      </c>
      <c r="EW124" s="878">
        <f t="shared" si="274"/>
        <v>0</v>
      </c>
      <c r="EX124" s="878">
        <f>EJ124+DR124</f>
        <v>0</v>
      </c>
      <c r="EY124" s="878">
        <f t="shared" si="275"/>
        <v>0</v>
      </c>
      <c r="EZ124" s="878">
        <f t="shared" si="275"/>
        <v>0</v>
      </c>
      <c r="FA124" s="526">
        <v>0</v>
      </c>
      <c r="FB124" s="1153">
        <f>DV124+EM124</f>
        <v>0</v>
      </c>
      <c r="FC124" s="924">
        <f t="shared" si="170"/>
        <v>0</v>
      </c>
      <c r="FD124" s="924">
        <f t="shared" si="171"/>
        <v>0</v>
      </c>
      <c r="FE124" s="924">
        <f t="shared" si="172"/>
        <v>0</v>
      </c>
      <c r="FF124" s="924">
        <f t="shared" si="173"/>
        <v>0</v>
      </c>
      <c r="FG124" s="924">
        <f t="shared" si="174"/>
        <v>0</v>
      </c>
      <c r="FH124" s="1472"/>
      <c r="FI124" s="1570"/>
      <c r="FJ124" s="1562"/>
      <c r="FK124" s="1562"/>
      <c r="FL124" s="1571"/>
      <c r="FM124" s="1564"/>
      <c r="FN124" s="1564"/>
      <c r="FO124" s="1564"/>
      <c r="FP124" s="1564"/>
      <c r="FQ124" s="1564"/>
      <c r="FR124" s="1572"/>
      <c r="FS124" s="1562"/>
      <c r="FT124" s="1562"/>
      <c r="FU124" s="1562"/>
      <c r="FV124" s="1562"/>
      <c r="FW124" s="1562"/>
      <c r="FX124" s="1566"/>
      <c r="FY124" s="1567"/>
      <c r="FZ124" s="1573"/>
      <c r="GA124" s="1154">
        <f t="shared" si="277"/>
        <v>0</v>
      </c>
      <c r="GB124" s="878">
        <f t="shared" si="277"/>
        <v>0</v>
      </c>
      <c r="GC124" s="878">
        <f t="shared" si="277"/>
        <v>0</v>
      </c>
      <c r="GD124" s="878">
        <f t="shared" si="277"/>
        <v>0</v>
      </c>
      <c r="GE124" s="878">
        <f t="shared" si="277"/>
        <v>0</v>
      </c>
      <c r="GF124" s="878">
        <f t="shared" si="277"/>
        <v>0</v>
      </c>
      <c r="GG124" s="526">
        <v>0</v>
      </c>
      <c r="GH124" s="1153">
        <f>FB124+FS124</f>
        <v>0</v>
      </c>
      <c r="GI124" s="924">
        <f t="shared" si="184"/>
        <v>0</v>
      </c>
      <c r="GJ124" s="924">
        <f t="shared" si="185"/>
        <v>0</v>
      </c>
      <c r="GK124" s="924">
        <f t="shared" si="186"/>
        <v>0</v>
      </c>
      <c r="GL124" s="924">
        <f t="shared" si="187"/>
        <v>0</v>
      </c>
      <c r="GM124" s="924">
        <f t="shared" si="188"/>
        <v>0</v>
      </c>
      <c r="GN124" s="1472"/>
      <c r="GO124" s="1570"/>
      <c r="GP124" s="1562"/>
      <c r="GQ124" s="1562"/>
      <c r="GR124" s="1571"/>
      <c r="GS124" s="1564"/>
      <c r="GT124" s="1564"/>
      <c r="GU124" s="1564"/>
      <c r="GV124" s="1564"/>
      <c r="GW124" s="1564"/>
      <c r="GX124" s="1572"/>
      <c r="GY124" s="1562"/>
      <c r="GZ124" s="1562"/>
      <c r="HA124" s="1562"/>
      <c r="HB124" s="1562"/>
      <c r="HC124" s="1562"/>
      <c r="HD124" s="1566"/>
      <c r="HE124" s="1678"/>
      <c r="HF124" s="1573"/>
      <c r="HG124" s="1154">
        <f t="shared" si="279"/>
        <v>0</v>
      </c>
      <c r="HH124" s="878">
        <f t="shared" si="279"/>
        <v>0</v>
      </c>
      <c r="HI124" s="878">
        <f t="shared" si="279"/>
        <v>0</v>
      </c>
      <c r="HJ124" s="878">
        <f t="shared" si="279"/>
        <v>0</v>
      </c>
      <c r="HK124" s="878">
        <f t="shared" si="279"/>
        <v>0</v>
      </c>
      <c r="HL124" s="878">
        <f t="shared" si="279"/>
        <v>0</v>
      </c>
      <c r="HM124" s="626"/>
      <c r="HN124" s="1153">
        <f>GH124+GY124</f>
        <v>0</v>
      </c>
      <c r="HO124" s="924">
        <f t="shared" si="198"/>
        <v>0</v>
      </c>
      <c r="HP124" s="924">
        <f t="shared" si="199"/>
        <v>0</v>
      </c>
      <c r="HQ124" s="924">
        <f t="shared" si="200"/>
        <v>0</v>
      </c>
      <c r="HR124" s="924">
        <f t="shared" si="201"/>
        <v>0</v>
      </c>
      <c r="HS124" s="924">
        <f t="shared" si="202"/>
        <v>0</v>
      </c>
      <c r="HT124" s="1256"/>
      <c r="HU124" s="1157"/>
    </row>
    <row r="125" spans="1:229" s="628" customFormat="1" ht="12.75" customHeight="1" outlineLevel="1" x14ac:dyDescent="0.2">
      <c r="A125" s="3707"/>
      <c r="B125" s="3660"/>
      <c r="C125" s="475"/>
      <c r="D125" s="580" t="s">
        <v>226</v>
      </c>
      <c r="E125" s="1252">
        <v>18</v>
      </c>
      <c r="F125" s="258">
        <v>1144.55</v>
      </c>
      <c r="G125" s="664">
        <f>F125/E125</f>
        <v>63.586111111111109</v>
      </c>
      <c r="H125" s="516">
        <v>0</v>
      </c>
      <c r="I125" s="258">
        <v>0</v>
      </c>
      <c r="J125" s="258">
        <v>0</v>
      </c>
      <c r="K125" s="516">
        <f>3-3</f>
        <v>0</v>
      </c>
      <c r="L125" s="258">
        <f>616.67-616.67</f>
        <v>0</v>
      </c>
      <c r="M125" s="258">
        <v>0</v>
      </c>
      <c r="N125" s="679">
        <f>F125+I125+L125</f>
        <v>1144.55</v>
      </c>
      <c r="O125" s="518">
        <f>578374.36-294695.98</f>
        <v>283678.38</v>
      </c>
      <c r="P125" s="340">
        <f>9209781.61-(208178.96+2293556.59+32317.73+148105.17)</f>
        <v>6527623.1600000001</v>
      </c>
      <c r="Q125" s="258">
        <f>1351589.95</f>
        <v>1351589.95</v>
      </c>
      <c r="R125" s="258">
        <f>SUM(O125:Q125)</f>
        <v>8162891.4900000002</v>
      </c>
      <c r="S125" s="778">
        <f>R125</f>
        <v>8162891.4900000002</v>
      </c>
      <c r="T125" s="726">
        <v>1896443.4</v>
      </c>
      <c r="U125" s="522">
        <v>0</v>
      </c>
      <c r="V125" s="522">
        <v>1908852.13</v>
      </c>
      <c r="W125" s="523">
        <v>1541345.91</v>
      </c>
      <c r="X125" s="524">
        <v>764516.76</v>
      </c>
      <c r="Y125" s="524">
        <v>0</v>
      </c>
      <c r="Z125" s="524">
        <v>0</v>
      </c>
      <c r="AA125" s="525">
        <f t="shared" ref="AA125:AB127" si="280">W125+Y125</f>
        <v>1541345.91</v>
      </c>
      <c r="AB125" s="524">
        <f t="shared" si="280"/>
        <v>764516.76</v>
      </c>
      <c r="AC125" s="526">
        <f>AB125/R125</f>
        <v>9.3657591912936225E-2</v>
      </c>
      <c r="AD125" s="522">
        <v>0</v>
      </c>
      <c r="AE125" s="522">
        <v>0</v>
      </c>
      <c r="AF125" s="522">
        <v>3263279.15</v>
      </c>
      <c r="AG125" s="522">
        <v>3256665.92</v>
      </c>
      <c r="AH125" s="176">
        <f t="shared" ref="AH125:AI127" si="281">AD125+AF125</f>
        <v>3263279.15</v>
      </c>
      <c r="AI125" s="522">
        <f t="shared" si="281"/>
        <v>3256665.92</v>
      </c>
      <c r="AJ125" s="527">
        <f>AI125/S125</f>
        <v>0.39895984455870792</v>
      </c>
      <c r="AK125" s="528">
        <f>U125/T125</f>
        <v>0</v>
      </c>
      <c r="AL125" s="731"/>
      <c r="AM125" s="533"/>
      <c r="AN125" s="725">
        <f>neprodano!BP67</f>
        <v>0</v>
      </c>
      <c r="AO125" s="670"/>
      <c r="AP125" s="531">
        <f>311514.85</f>
        <v>311514.84999999998</v>
      </c>
      <c r="AQ125" s="531"/>
      <c r="AR125" s="531"/>
      <c r="AS125" s="531">
        <f t="shared" ref="AS125:AT127" si="282">AO125+AQ125</f>
        <v>0</v>
      </c>
      <c r="AT125" s="532">
        <f t="shared" si="282"/>
        <v>311514.84999999998</v>
      </c>
      <c r="AU125" s="715"/>
      <c r="AV125" s="533">
        <v>21845.68</v>
      </c>
      <c r="AW125" s="533"/>
      <c r="AX125" s="533"/>
      <c r="AY125" s="533">
        <f t="shared" ref="AY125:AZ127" si="283">AU125+AW125</f>
        <v>0</v>
      </c>
      <c r="AZ125" s="534">
        <f t="shared" si="283"/>
        <v>21845.68</v>
      </c>
      <c r="BA125" s="535">
        <f t="shared" ref="BA125:BH125" si="284">U125+AM125</f>
        <v>0</v>
      </c>
      <c r="BB125" s="536">
        <f t="shared" si="284"/>
        <v>1908852.13</v>
      </c>
      <c r="BC125" s="523">
        <f t="shared" si="284"/>
        <v>1541345.91</v>
      </c>
      <c r="BD125" s="525">
        <f t="shared" si="284"/>
        <v>1076031.6099999999</v>
      </c>
      <c r="BE125" s="525">
        <f t="shared" si="284"/>
        <v>0</v>
      </c>
      <c r="BF125" s="525">
        <f t="shared" si="284"/>
        <v>0</v>
      </c>
      <c r="BG125" s="525">
        <f t="shared" si="284"/>
        <v>1541345.91</v>
      </c>
      <c r="BH125" s="525">
        <f t="shared" si="284"/>
        <v>1076031.6099999999</v>
      </c>
      <c r="BI125" s="526">
        <f>BH125/R125</f>
        <v>0.13181990858486836</v>
      </c>
      <c r="BJ125" s="537">
        <f t="shared" ref="BJ125:BO125" si="285">AD125+AU125</f>
        <v>0</v>
      </c>
      <c r="BK125" s="538">
        <f t="shared" si="285"/>
        <v>21845.68</v>
      </c>
      <c r="BL125" s="538">
        <f t="shared" si="285"/>
        <v>3263279.15</v>
      </c>
      <c r="BM125" s="538">
        <f t="shared" si="285"/>
        <v>3256665.92</v>
      </c>
      <c r="BN125" s="538">
        <f t="shared" si="285"/>
        <v>3263279.15</v>
      </c>
      <c r="BO125" s="538">
        <f t="shared" si="285"/>
        <v>3278511.6</v>
      </c>
      <c r="BP125" s="539">
        <f t="shared" ref="BP125:BP131" si="286">BO125/S125</f>
        <v>0.40163606290936987</v>
      </c>
      <c r="BQ125" s="540">
        <f>BA125/T125</f>
        <v>0</v>
      </c>
      <c r="BR125" s="731"/>
      <c r="BS125" s="533"/>
      <c r="BT125" s="725"/>
      <c r="BU125" s="670"/>
      <c r="BV125" s="531">
        <v>76392.94</v>
      </c>
      <c r="BW125" s="531"/>
      <c r="BX125" s="531"/>
      <c r="BY125" s="531">
        <f t="shared" ref="BY125:BZ127" si="287">BU125+BW125</f>
        <v>0</v>
      </c>
      <c r="BZ125" s="532">
        <f t="shared" si="287"/>
        <v>76392.94</v>
      </c>
      <c r="CA125" s="715"/>
      <c r="CB125" s="533">
        <f>neprodano!BW68</f>
        <v>0</v>
      </c>
      <c r="CC125" s="533"/>
      <c r="CD125" s="533">
        <f>neprodano!BZ68</f>
        <v>0</v>
      </c>
      <c r="CE125" s="533">
        <f t="shared" ref="CE125:CF127" si="288">CA125+CC125</f>
        <v>0</v>
      </c>
      <c r="CF125" s="534">
        <f t="shared" si="288"/>
        <v>0</v>
      </c>
      <c r="CG125" s="1138">
        <f t="shared" ref="CG125:CN125" si="289">BA125+BS125</f>
        <v>0</v>
      </c>
      <c r="CH125" s="536">
        <f t="shared" si="289"/>
        <v>1908852.13</v>
      </c>
      <c r="CI125" s="523">
        <f t="shared" si="289"/>
        <v>1541345.91</v>
      </c>
      <c r="CJ125" s="525">
        <f t="shared" si="289"/>
        <v>1152424.5499999998</v>
      </c>
      <c r="CK125" s="525">
        <f t="shared" si="289"/>
        <v>0</v>
      </c>
      <c r="CL125" s="525">
        <f t="shared" si="289"/>
        <v>0</v>
      </c>
      <c r="CM125" s="525">
        <f t="shared" si="289"/>
        <v>1541345.91</v>
      </c>
      <c r="CN125" s="525">
        <f t="shared" si="289"/>
        <v>1152424.5499999998</v>
      </c>
      <c r="CO125" s="526">
        <f>CN125/R125</f>
        <v>0.14117847228666269</v>
      </c>
      <c r="CP125" s="537">
        <f t="shared" ref="CP125:CU125" si="290">BJ125+CA125</f>
        <v>0</v>
      </c>
      <c r="CQ125" s="538">
        <f t="shared" si="290"/>
        <v>21845.68</v>
      </c>
      <c r="CR125" s="538">
        <f t="shared" si="290"/>
        <v>3263279.15</v>
      </c>
      <c r="CS125" s="538">
        <f t="shared" si="290"/>
        <v>3256665.92</v>
      </c>
      <c r="CT125" s="538">
        <f t="shared" si="290"/>
        <v>3263279.15</v>
      </c>
      <c r="CU125" s="538">
        <f t="shared" si="290"/>
        <v>3278511.6</v>
      </c>
      <c r="CV125" s="539">
        <f>CU125/S125</f>
        <v>0.40163606290936987</v>
      </c>
      <c r="CW125" s="540">
        <f>CG125/T125</f>
        <v>0</v>
      </c>
      <c r="CX125" s="731"/>
      <c r="CY125" s="533"/>
      <c r="CZ125" s="725">
        <f>neprodano!CF68</f>
        <v>0</v>
      </c>
      <c r="DA125" s="670"/>
      <c r="DB125" s="531">
        <v>31421.85</v>
      </c>
      <c r="DC125" s="531"/>
      <c r="DD125" s="531"/>
      <c r="DE125" s="531">
        <f t="shared" ref="DE125:DF127" si="291">DA125+DC125</f>
        <v>0</v>
      </c>
      <c r="DF125" s="532">
        <f t="shared" si="291"/>
        <v>31421.85</v>
      </c>
      <c r="DG125" s="715"/>
      <c r="DH125" s="533">
        <f>neprodano!CE68</f>
        <v>0</v>
      </c>
      <c r="DI125" s="533"/>
      <c r="DJ125" s="533">
        <f>neprodano!CH68</f>
        <v>0</v>
      </c>
      <c r="DK125" s="533">
        <f t="shared" ref="DK125:DL127" si="292">DG125+DI125</f>
        <v>0</v>
      </c>
      <c r="DL125" s="534">
        <f t="shared" si="292"/>
        <v>0</v>
      </c>
      <c r="DM125" s="535">
        <f t="shared" ref="DM125:DT125" si="293">CG125+CY125</f>
        <v>0</v>
      </c>
      <c r="DN125" s="536">
        <f t="shared" si="293"/>
        <v>1908852.13</v>
      </c>
      <c r="DO125" s="523">
        <f t="shared" si="293"/>
        <v>1541345.91</v>
      </c>
      <c r="DP125" s="525">
        <f t="shared" si="293"/>
        <v>1183846.3999999999</v>
      </c>
      <c r="DQ125" s="525">
        <f t="shared" si="293"/>
        <v>0</v>
      </c>
      <c r="DR125" s="525">
        <f t="shared" si="293"/>
        <v>0</v>
      </c>
      <c r="DS125" s="525">
        <f t="shared" si="293"/>
        <v>1541345.91</v>
      </c>
      <c r="DT125" s="525">
        <f t="shared" si="293"/>
        <v>1183846.3999999999</v>
      </c>
      <c r="DU125" s="526">
        <f>DT125/R125</f>
        <v>0.14502782518305898</v>
      </c>
      <c r="DV125" s="537">
        <f t="shared" ref="DV125:EA125" si="294">CP125+DG125</f>
        <v>0</v>
      </c>
      <c r="DW125" s="538">
        <f t="shared" si="294"/>
        <v>21845.68</v>
      </c>
      <c r="DX125" s="538">
        <f t="shared" si="294"/>
        <v>3263279.15</v>
      </c>
      <c r="DY125" s="538">
        <f t="shared" si="294"/>
        <v>3256665.92</v>
      </c>
      <c r="DZ125" s="538">
        <f t="shared" si="294"/>
        <v>3263279.15</v>
      </c>
      <c r="EA125" s="538">
        <f t="shared" si="294"/>
        <v>3278511.6</v>
      </c>
      <c r="EB125" s="539">
        <f>EA125/S125</f>
        <v>0.40163606290936987</v>
      </c>
      <c r="EC125" s="540">
        <f>DM125/T125</f>
        <v>0</v>
      </c>
      <c r="ED125" s="731"/>
      <c r="EE125" s="533"/>
      <c r="EF125" s="725"/>
      <c r="EG125" s="670"/>
      <c r="EH125" s="531"/>
      <c r="EI125" s="531"/>
      <c r="EJ125" s="531"/>
      <c r="EK125" s="531">
        <f t="shared" ref="EK125:EL127" si="295">EG125+EI125</f>
        <v>0</v>
      </c>
      <c r="EL125" s="532">
        <f t="shared" si="295"/>
        <v>0</v>
      </c>
      <c r="EM125" s="715">
        <v>942440.17</v>
      </c>
      <c r="EN125" s="533"/>
      <c r="EO125" s="533"/>
      <c r="EP125" s="533"/>
      <c r="EQ125" s="533">
        <f t="shared" ref="EQ125:ER127" si="296">EM125+EO125</f>
        <v>942440.17</v>
      </c>
      <c r="ER125" s="534">
        <f t="shared" si="296"/>
        <v>0</v>
      </c>
      <c r="ES125" s="535">
        <f t="shared" ref="ES125:ET127" si="297">DM125+EE125</f>
        <v>0</v>
      </c>
      <c r="ET125" s="536">
        <f t="shared" si="297"/>
        <v>1908852.13</v>
      </c>
      <c r="EU125" s="1154">
        <f>EG125+DO125</f>
        <v>1541345.91</v>
      </c>
      <c r="EV125" s="878">
        <f t="shared" si="274"/>
        <v>1183846.3999999999</v>
      </c>
      <c r="EW125" s="878">
        <f t="shared" si="274"/>
        <v>0</v>
      </c>
      <c r="EX125" s="878">
        <f>EJ125+DR125</f>
        <v>0</v>
      </c>
      <c r="EY125" s="878">
        <f t="shared" si="275"/>
        <v>1541345.91</v>
      </c>
      <c r="EZ125" s="878">
        <f t="shared" si="275"/>
        <v>1183846.3999999999</v>
      </c>
      <c r="FA125" s="526">
        <f t="shared" ref="FA125:FA146" si="298">EZ125/R125</f>
        <v>0.14502782518305898</v>
      </c>
      <c r="FB125" s="1153">
        <f>DV125+EM125</f>
        <v>942440.17</v>
      </c>
      <c r="FC125" s="924">
        <f t="shared" si="170"/>
        <v>21845.68</v>
      </c>
      <c r="FD125" s="924">
        <f t="shared" si="171"/>
        <v>3263279.15</v>
      </c>
      <c r="FE125" s="924">
        <f t="shared" si="172"/>
        <v>3256665.92</v>
      </c>
      <c r="FF125" s="924">
        <f t="shared" si="173"/>
        <v>4205719.32</v>
      </c>
      <c r="FG125" s="924">
        <f t="shared" si="174"/>
        <v>3278511.6</v>
      </c>
      <c r="FH125" s="539">
        <f>FG125/S125</f>
        <v>0.40163606290936987</v>
      </c>
      <c r="FI125" s="540">
        <f>ES125/T125</f>
        <v>0</v>
      </c>
      <c r="FJ125" s="731"/>
      <c r="FK125" s="533"/>
      <c r="FL125" s="725"/>
      <c r="FM125" s="670"/>
      <c r="FN125" s="531"/>
      <c r="FO125" s="531"/>
      <c r="FP125" s="531"/>
      <c r="FQ125" s="531">
        <f t="shared" ref="FQ125:FR127" si="299">FM125+FO125</f>
        <v>0</v>
      </c>
      <c r="FR125" s="532">
        <f t="shared" si="299"/>
        <v>0</v>
      </c>
      <c r="FS125" s="715">
        <v>942440.17</v>
      </c>
      <c r="FT125" s="533"/>
      <c r="FU125" s="533"/>
      <c r="FV125" s="533"/>
      <c r="FW125" s="533">
        <f t="shared" ref="FW125:FX127" si="300">FS125+FU125</f>
        <v>942440.17</v>
      </c>
      <c r="FX125" s="534">
        <f t="shared" si="300"/>
        <v>0</v>
      </c>
      <c r="FY125" s="535">
        <f t="shared" ref="FY125:FZ127" si="301">ES125+FK125</f>
        <v>0</v>
      </c>
      <c r="FZ125" s="536">
        <f t="shared" si="301"/>
        <v>1908852.13</v>
      </c>
      <c r="GA125" s="1154">
        <f t="shared" si="277"/>
        <v>1541345.91</v>
      </c>
      <c r="GB125" s="878">
        <f t="shared" si="277"/>
        <v>1183846.3999999999</v>
      </c>
      <c r="GC125" s="878">
        <f t="shared" si="277"/>
        <v>0</v>
      </c>
      <c r="GD125" s="878">
        <f t="shared" si="277"/>
        <v>0</v>
      </c>
      <c r="GE125" s="878">
        <f t="shared" si="277"/>
        <v>1541345.91</v>
      </c>
      <c r="GF125" s="878">
        <f t="shared" si="277"/>
        <v>1183846.3999999999</v>
      </c>
      <c r="GG125" s="526">
        <f>GF125/R125</f>
        <v>0.14502782518305898</v>
      </c>
      <c r="GH125" s="1153">
        <f>FB125+FS125</f>
        <v>1884880.34</v>
      </c>
      <c r="GI125" s="924">
        <f t="shared" si="184"/>
        <v>21845.68</v>
      </c>
      <c r="GJ125" s="924">
        <f t="shared" si="185"/>
        <v>3263279.15</v>
      </c>
      <c r="GK125" s="924">
        <f t="shared" si="186"/>
        <v>3256665.92</v>
      </c>
      <c r="GL125" s="924">
        <f t="shared" si="187"/>
        <v>5148159.49</v>
      </c>
      <c r="GM125" s="924">
        <f t="shared" si="188"/>
        <v>3278511.6</v>
      </c>
      <c r="GN125" s="539">
        <f t="shared" ref="GN125:GN146" si="302">GM125/S125</f>
        <v>0.40163606290936987</v>
      </c>
      <c r="GO125" s="540">
        <f t="shared" ref="GO125:GO136" si="303">FY125/T125</f>
        <v>0</v>
      </c>
      <c r="GP125" s="731"/>
      <c r="GQ125" s="533"/>
      <c r="GR125" s="725"/>
      <c r="GS125" s="670"/>
      <c r="GT125" s="531"/>
      <c r="GU125" s="531"/>
      <c r="GV125" s="531"/>
      <c r="GW125" s="531">
        <f t="shared" ref="GW125:GX127" si="304">GS125+GU125</f>
        <v>0</v>
      </c>
      <c r="GX125" s="532">
        <f t="shared" si="304"/>
        <v>0</v>
      </c>
      <c r="GY125" s="715">
        <v>942440.17</v>
      </c>
      <c r="GZ125" s="533"/>
      <c r="HA125" s="533"/>
      <c r="HB125" s="533"/>
      <c r="HC125" s="533">
        <f t="shared" ref="HC125:HD127" si="305">GY125+HA125</f>
        <v>942440.17</v>
      </c>
      <c r="HD125" s="534">
        <f t="shared" si="305"/>
        <v>0</v>
      </c>
      <c r="HE125" s="1679">
        <f t="shared" ref="HE125:HF127" si="306">FY125+GQ125</f>
        <v>0</v>
      </c>
      <c r="HF125" s="536">
        <f t="shared" si="306"/>
        <v>1908852.13</v>
      </c>
      <c r="HG125" s="1154">
        <f t="shared" si="279"/>
        <v>1541345.91</v>
      </c>
      <c r="HH125" s="878">
        <f t="shared" si="279"/>
        <v>1183846.3999999999</v>
      </c>
      <c r="HI125" s="878">
        <f t="shared" si="279"/>
        <v>0</v>
      </c>
      <c r="HJ125" s="878">
        <f t="shared" si="279"/>
        <v>0</v>
      </c>
      <c r="HK125" s="878">
        <f t="shared" si="279"/>
        <v>1541345.91</v>
      </c>
      <c r="HL125" s="878">
        <f t="shared" si="279"/>
        <v>1183846.3999999999</v>
      </c>
      <c r="HM125" s="626">
        <f t="shared" si="254"/>
        <v>0.14502782518305898</v>
      </c>
      <c r="HN125" s="1153">
        <f>GH125+GY125</f>
        <v>2827320.5100000002</v>
      </c>
      <c r="HO125" s="924">
        <f t="shared" si="198"/>
        <v>21845.68</v>
      </c>
      <c r="HP125" s="924">
        <f t="shared" si="199"/>
        <v>3263279.15</v>
      </c>
      <c r="HQ125" s="924">
        <f t="shared" si="200"/>
        <v>3256665.92</v>
      </c>
      <c r="HR125" s="924">
        <f t="shared" si="201"/>
        <v>6090599.6600000001</v>
      </c>
      <c r="HS125" s="924">
        <f t="shared" si="202"/>
        <v>3278511.6</v>
      </c>
      <c r="HT125" s="1256">
        <f t="shared" si="255"/>
        <v>0.40163606290936987</v>
      </c>
      <c r="HU125" s="1157">
        <f t="shared" si="256"/>
        <v>0</v>
      </c>
    </row>
    <row r="126" spans="1:229" s="628" customFormat="1" ht="12.75" customHeight="1" outlineLevel="1" x14ac:dyDescent="0.2">
      <c r="A126" s="3707"/>
      <c r="B126" s="3661"/>
      <c r="C126" s="511"/>
      <c r="D126" s="585" t="s">
        <v>53</v>
      </c>
      <c r="E126" s="1724">
        <v>10</v>
      </c>
      <c r="F126" s="1577">
        <v>723.43</v>
      </c>
      <c r="G126" s="1578">
        <f>F126/E126</f>
        <v>72.342999999999989</v>
      </c>
      <c r="H126" s="579">
        <v>0</v>
      </c>
      <c r="I126" s="578">
        <v>0</v>
      </c>
      <c r="J126" s="519">
        <v>0</v>
      </c>
      <c r="K126" s="579">
        <v>0</v>
      </c>
      <c r="L126" s="578">
        <v>0</v>
      </c>
      <c r="M126" s="519">
        <v>0</v>
      </c>
      <c r="N126" s="585">
        <f>F126+I126+L126</f>
        <v>723.43</v>
      </c>
      <c r="O126" s="1579">
        <f>162868.5+217176.16</f>
        <v>380044.66000000003</v>
      </c>
      <c r="P126" s="678">
        <f>3580202.76+75742.39+102420.75</f>
        <v>3758365.9</v>
      </c>
      <c r="Q126" s="519">
        <v>0</v>
      </c>
      <c r="R126" s="519">
        <f>SUM(O126:Q126)</f>
        <v>4138410.56</v>
      </c>
      <c r="S126" s="1580">
        <v>3960563.78</v>
      </c>
      <c r="T126" s="1581">
        <v>880927.02</v>
      </c>
      <c r="U126" s="522">
        <v>0</v>
      </c>
      <c r="V126" s="668">
        <v>0</v>
      </c>
      <c r="W126" s="524">
        <v>14637.28</v>
      </c>
      <c r="X126" s="524">
        <v>95037.77</v>
      </c>
      <c r="Y126" s="524">
        <v>0</v>
      </c>
      <c r="Z126" s="524">
        <v>0</v>
      </c>
      <c r="AA126" s="525">
        <f t="shared" si="280"/>
        <v>14637.28</v>
      </c>
      <c r="AB126" s="524">
        <f t="shared" si="280"/>
        <v>95037.77</v>
      </c>
      <c r="AC126" s="526">
        <f>AB126/R126</f>
        <v>2.2964799799853594E-2</v>
      </c>
      <c r="AD126" s="522">
        <v>0</v>
      </c>
      <c r="AE126" s="522">
        <v>0</v>
      </c>
      <c r="AF126" s="522">
        <v>0</v>
      </c>
      <c r="AG126" s="522">
        <v>0</v>
      </c>
      <c r="AH126" s="176">
        <f t="shared" si="281"/>
        <v>0</v>
      </c>
      <c r="AI126" s="522">
        <f t="shared" si="281"/>
        <v>0</v>
      </c>
      <c r="AJ126" s="527">
        <f t="shared" si="264"/>
        <v>0</v>
      </c>
      <c r="AK126" s="1582">
        <f>U126/T126</f>
        <v>0</v>
      </c>
      <c r="AL126" s="731"/>
      <c r="AM126" s="533"/>
      <c r="AN126" s="1583"/>
      <c r="AO126" s="1584"/>
      <c r="AP126" s="1585"/>
      <c r="AQ126" s="1585"/>
      <c r="AR126" s="1584"/>
      <c r="AS126" s="1584">
        <f t="shared" si="282"/>
        <v>0</v>
      </c>
      <c r="AT126" s="1586">
        <f t="shared" si="282"/>
        <v>0</v>
      </c>
      <c r="AU126" s="731"/>
      <c r="AV126" s="731"/>
      <c r="AW126" s="731"/>
      <c r="AX126" s="731"/>
      <c r="AY126" s="731">
        <f t="shared" si="283"/>
        <v>0</v>
      </c>
      <c r="AZ126" s="1587">
        <f t="shared" si="283"/>
        <v>0</v>
      </c>
      <c r="BA126" s="535">
        <f t="shared" ref="BA126:BH127" si="307">U126+AM126</f>
        <v>0</v>
      </c>
      <c r="BB126" s="1588">
        <f t="shared" si="307"/>
        <v>0</v>
      </c>
      <c r="BC126" s="524">
        <f t="shared" si="307"/>
        <v>14637.28</v>
      </c>
      <c r="BD126" s="524">
        <f t="shared" si="307"/>
        <v>95037.77</v>
      </c>
      <c r="BE126" s="524">
        <f t="shared" si="307"/>
        <v>0</v>
      </c>
      <c r="BF126" s="524">
        <f t="shared" si="307"/>
        <v>0</v>
      </c>
      <c r="BG126" s="524">
        <f t="shared" si="307"/>
        <v>14637.28</v>
      </c>
      <c r="BH126" s="524">
        <f t="shared" si="307"/>
        <v>95037.77</v>
      </c>
      <c r="BI126" s="1589">
        <f t="shared" si="266"/>
        <v>2.2964799799853594E-2</v>
      </c>
      <c r="BJ126" s="535">
        <f t="shared" ref="BJ126:BO127" si="308">AD126+AU126</f>
        <v>0</v>
      </c>
      <c r="BK126" s="535">
        <f t="shared" si="308"/>
        <v>0</v>
      </c>
      <c r="BL126" s="535">
        <f t="shared" si="308"/>
        <v>0</v>
      </c>
      <c r="BM126" s="535">
        <f t="shared" si="308"/>
        <v>0</v>
      </c>
      <c r="BN126" s="535">
        <f t="shared" si="308"/>
        <v>0</v>
      </c>
      <c r="BO126" s="535">
        <f t="shared" si="308"/>
        <v>0</v>
      </c>
      <c r="BP126" s="1590">
        <f t="shared" si="286"/>
        <v>0</v>
      </c>
      <c r="BQ126" s="1272">
        <f t="shared" si="268"/>
        <v>0</v>
      </c>
      <c r="BR126" s="731"/>
      <c r="BS126" s="529"/>
      <c r="BT126" s="1583"/>
      <c r="BU126" s="1584"/>
      <c r="BV126" s="1584"/>
      <c r="BW126" s="1584"/>
      <c r="BX126" s="1584"/>
      <c r="BY126" s="1584">
        <f t="shared" si="287"/>
        <v>0</v>
      </c>
      <c r="BZ126" s="1374">
        <f t="shared" si="287"/>
        <v>0</v>
      </c>
      <c r="CA126" s="731"/>
      <c r="CB126" s="731"/>
      <c r="CC126" s="731"/>
      <c r="CD126" s="731"/>
      <c r="CE126" s="731">
        <f t="shared" si="288"/>
        <v>0</v>
      </c>
      <c r="CF126" s="1587">
        <f t="shared" si="288"/>
        <v>0</v>
      </c>
      <c r="CG126" s="535">
        <f t="shared" ref="CG126:CN127" si="309">BA126+BS126</f>
        <v>0</v>
      </c>
      <c r="CH126" s="536">
        <f t="shared" si="309"/>
        <v>0</v>
      </c>
      <c r="CI126" s="524">
        <f t="shared" si="309"/>
        <v>14637.28</v>
      </c>
      <c r="CJ126" s="524">
        <f t="shared" si="309"/>
        <v>95037.77</v>
      </c>
      <c r="CK126" s="524">
        <f t="shared" si="309"/>
        <v>0</v>
      </c>
      <c r="CL126" s="524">
        <f t="shared" si="309"/>
        <v>0</v>
      </c>
      <c r="CM126" s="524">
        <f t="shared" si="309"/>
        <v>14637.28</v>
      </c>
      <c r="CN126" s="524">
        <f t="shared" si="309"/>
        <v>95037.77</v>
      </c>
      <c r="CO126" s="526">
        <f>CN126/R126</f>
        <v>2.2964799799853594E-2</v>
      </c>
      <c r="CP126" s="535">
        <f t="shared" ref="CP126:CU127" si="310">BJ126+CA126</f>
        <v>0</v>
      </c>
      <c r="CQ126" s="535">
        <f t="shared" si="310"/>
        <v>0</v>
      </c>
      <c r="CR126" s="535">
        <f t="shared" si="310"/>
        <v>0</v>
      </c>
      <c r="CS126" s="535">
        <f t="shared" si="310"/>
        <v>0</v>
      </c>
      <c r="CT126" s="535">
        <f t="shared" si="310"/>
        <v>0</v>
      </c>
      <c r="CU126" s="535">
        <f t="shared" si="310"/>
        <v>0</v>
      </c>
      <c r="CV126" s="539">
        <f>CU126/S126</f>
        <v>0</v>
      </c>
      <c r="CW126" s="1272">
        <f>CG126/T126</f>
        <v>0</v>
      </c>
      <c r="CX126" s="731"/>
      <c r="CY126" s="529"/>
      <c r="CZ126" s="1583"/>
      <c r="DA126" s="1584"/>
      <c r="DB126" s="1584"/>
      <c r="DC126" s="1584"/>
      <c r="DD126" s="1584"/>
      <c r="DE126" s="1584">
        <f t="shared" si="291"/>
        <v>0</v>
      </c>
      <c r="DF126" s="1374">
        <f t="shared" si="291"/>
        <v>0</v>
      </c>
      <c r="DG126" s="731"/>
      <c r="DH126" s="731"/>
      <c r="DI126" s="731"/>
      <c r="DJ126" s="731"/>
      <c r="DK126" s="731">
        <f t="shared" si="292"/>
        <v>0</v>
      </c>
      <c r="DL126" s="1587">
        <f t="shared" si="292"/>
        <v>0</v>
      </c>
      <c r="DM126" s="535">
        <f t="shared" ref="DM126:DT127" si="311">CG126+CY126</f>
        <v>0</v>
      </c>
      <c r="DN126" s="536">
        <f t="shared" si="311"/>
        <v>0</v>
      </c>
      <c r="DO126" s="524">
        <f t="shared" si="311"/>
        <v>14637.28</v>
      </c>
      <c r="DP126" s="524">
        <f t="shared" si="311"/>
        <v>95037.77</v>
      </c>
      <c r="DQ126" s="524">
        <f t="shared" si="311"/>
        <v>0</v>
      </c>
      <c r="DR126" s="524">
        <f t="shared" si="311"/>
        <v>0</v>
      </c>
      <c r="DS126" s="524">
        <f t="shared" si="311"/>
        <v>14637.28</v>
      </c>
      <c r="DT126" s="524">
        <f t="shared" si="311"/>
        <v>95037.77</v>
      </c>
      <c r="DU126" s="526">
        <f t="shared" si="245"/>
        <v>2.2964799799853594E-2</v>
      </c>
      <c r="DV126" s="535">
        <f t="shared" ref="DV126:EA127" si="312">CP126+DG126</f>
        <v>0</v>
      </c>
      <c r="DW126" s="535">
        <f t="shared" si="312"/>
        <v>0</v>
      </c>
      <c r="DX126" s="535">
        <f t="shared" si="312"/>
        <v>0</v>
      </c>
      <c r="DY126" s="535">
        <f t="shared" si="312"/>
        <v>0</v>
      </c>
      <c r="DZ126" s="535">
        <f t="shared" si="312"/>
        <v>0</v>
      </c>
      <c r="EA126" s="535">
        <f t="shared" si="312"/>
        <v>0</v>
      </c>
      <c r="EB126" s="539">
        <f t="shared" ref="EB126:EB146" si="313">EA126/S126</f>
        <v>0</v>
      </c>
      <c r="EC126" s="1272">
        <f t="shared" ref="EC126:EC136" si="314">DM126/T126</f>
        <v>0</v>
      </c>
      <c r="ED126" s="731"/>
      <c r="EE126" s="529"/>
      <c r="EF126" s="1583"/>
      <c r="EG126" s="1584"/>
      <c r="EH126" s="1584"/>
      <c r="EI126" s="1584"/>
      <c r="EJ126" s="1584"/>
      <c r="EK126" s="1584">
        <f t="shared" si="295"/>
        <v>0</v>
      </c>
      <c r="EL126" s="1374">
        <f t="shared" si="295"/>
        <v>0</v>
      </c>
      <c r="EM126" s="731"/>
      <c r="EN126" s="731"/>
      <c r="EO126" s="731"/>
      <c r="EP126" s="731"/>
      <c r="EQ126" s="731">
        <f t="shared" si="296"/>
        <v>0</v>
      </c>
      <c r="ER126" s="1587">
        <f t="shared" si="296"/>
        <v>0</v>
      </c>
      <c r="ES126" s="535">
        <f t="shared" si="297"/>
        <v>0</v>
      </c>
      <c r="ET126" s="536">
        <f t="shared" si="297"/>
        <v>0</v>
      </c>
      <c r="EU126" s="1154">
        <f>EG126+DO126</f>
        <v>14637.28</v>
      </c>
      <c r="EV126" s="878">
        <f t="shared" si="274"/>
        <v>95037.77</v>
      </c>
      <c r="EW126" s="878">
        <f t="shared" si="274"/>
        <v>0</v>
      </c>
      <c r="EX126" s="878">
        <f>EJ126+DR126</f>
        <v>0</v>
      </c>
      <c r="EY126" s="878">
        <f t="shared" si="275"/>
        <v>14637.28</v>
      </c>
      <c r="EZ126" s="878">
        <f t="shared" si="275"/>
        <v>95037.77</v>
      </c>
      <c r="FA126" s="526">
        <f t="shared" si="298"/>
        <v>2.2964799799853594E-2</v>
      </c>
      <c r="FB126" s="1153">
        <f>DV126+EM126</f>
        <v>0</v>
      </c>
      <c r="FC126" s="924">
        <f t="shared" si="170"/>
        <v>0</v>
      </c>
      <c r="FD126" s="924">
        <f t="shared" si="171"/>
        <v>0</v>
      </c>
      <c r="FE126" s="924">
        <f t="shared" si="172"/>
        <v>0</v>
      </c>
      <c r="FF126" s="924">
        <f t="shared" si="173"/>
        <v>0</v>
      </c>
      <c r="FG126" s="924">
        <f t="shared" si="174"/>
        <v>0</v>
      </c>
      <c r="FH126" s="539">
        <f t="shared" ref="FH126:FH160" si="315">FG126/S126</f>
        <v>0</v>
      </c>
      <c r="FI126" s="540">
        <f t="shared" ref="FI126:FI136" si="316">ES126/T126</f>
        <v>0</v>
      </c>
      <c r="FJ126" s="731"/>
      <c r="FK126" s="529"/>
      <c r="FL126" s="1583"/>
      <c r="FM126" s="1584"/>
      <c r="FN126" s="1584"/>
      <c r="FO126" s="1584"/>
      <c r="FP126" s="1584"/>
      <c r="FQ126" s="1584">
        <f t="shared" si="299"/>
        <v>0</v>
      </c>
      <c r="FR126" s="1374">
        <f t="shared" si="299"/>
        <v>0</v>
      </c>
      <c r="FS126" s="731"/>
      <c r="FT126" s="731"/>
      <c r="FU126" s="731"/>
      <c r="FV126" s="731"/>
      <c r="FW126" s="731">
        <f t="shared" si="300"/>
        <v>0</v>
      </c>
      <c r="FX126" s="1587">
        <f t="shared" si="300"/>
        <v>0</v>
      </c>
      <c r="FY126" s="535">
        <f t="shared" si="301"/>
        <v>0</v>
      </c>
      <c r="FZ126" s="536">
        <f t="shared" si="301"/>
        <v>0</v>
      </c>
      <c r="GA126" s="1154">
        <f t="shared" si="277"/>
        <v>14637.28</v>
      </c>
      <c r="GB126" s="878">
        <f t="shared" si="277"/>
        <v>95037.77</v>
      </c>
      <c r="GC126" s="878">
        <f t="shared" si="277"/>
        <v>0</v>
      </c>
      <c r="GD126" s="878">
        <f t="shared" si="277"/>
        <v>0</v>
      </c>
      <c r="GE126" s="878">
        <f t="shared" si="277"/>
        <v>14637.28</v>
      </c>
      <c r="GF126" s="878">
        <f t="shared" si="277"/>
        <v>95037.77</v>
      </c>
      <c r="GG126" s="526">
        <f>GF126/R126</f>
        <v>2.2964799799853594E-2</v>
      </c>
      <c r="GH126" s="1153">
        <f>FB126+FS126</f>
        <v>0</v>
      </c>
      <c r="GI126" s="924">
        <f t="shared" si="184"/>
        <v>0</v>
      </c>
      <c r="GJ126" s="924">
        <f t="shared" si="185"/>
        <v>0</v>
      </c>
      <c r="GK126" s="924">
        <f t="shared" si="186"/>
        <v>0</v>
      </c>
      <c r="GL126" s="924">
        <f t="shared" si="187"/>
        <v>0</v>
      </c>
      <c r="GM126" s="924">
        <f t="shared" si="188"/>
        <v>0</v>
      </c>
      <c r="GN126" s="539">
        <f t="shared" si="302"/>
        <v>0</v>
      </c>
      <c r="GO126" s="540">
        <f t="shared" si="303"/>
        <v>0</v>
      </c>
      <c r="GP126" s="731"/>
      <c r="GQ126" s="529"/>
      <c r="GR126" s="1583"/>
      <c r="GS126" s="1584"/>
      <c r="GT126" s="1584"/>
      <c r="GU126" s="1584"/>
      <c r="GV126" s="1584"/>
      <c r="GW126" s="1584">
        <f t="shared" si="304"/>
        <v>0</v>
      </c>
      <c r="GX126" s="1374">
        <f t="shared" si="304"/>
        <v>0</v>
      </c>
      <c r="GY126" s="731"/>
      <c r="GZ126" s="731"/>
      <c r="HA126" s="731"/>
      <c r="HB126" s="731"/>
      <c r="HC126" s="731">
        <f t="shared" si="305"/>
        <v>0</v>
      </c>
      <c r="HD126" s="1587">
        <f t="shared" si="305"/>
        <v>0</v>
      </c>
      <c r="HE126" s="1679">
        <f t="shared" si="306"/>
        <v>0</v>
      </c>
      <c r="HF126" s="536">
        <f t="shared" si="306"/>
        <v>0</v>
      </c>
      <c r="HG126" s="1154">
        <f t="shared" si="279"/>
        <v>14637.28</v>
      </c>
      <c r="HH126" s="878">
        <f t="shared" si="279"/>
        <v>95037.77</v>
      </c>
      <c r="HI126" s="878">
        <f t="shared" si="279"/>
        <v>0</v>
      </c>
      <c r="HJ126" s="878">
        <f t="shared" si="279"/>
        <v>0</v>
      </c>
      <c r="HK126" s="878">
        <f t="shared" si="279"/>
        <v>14637.28</v>
      </c>
      <c r="HL126" s="878">
        <f t="shared" si="279"/>
        <v>95037.77</v>
      </c>
      <c r="HM126" s="626">
        <f t="shared" si="254"/>
        <v>2.2964799799853594E-2</v>
      </c>
      <c r="HN126" s="1153">
        <f>GH126+GY126</f>
        <v>0</v>
      </c>
      <c r="HO126" s="924">
        <f t="shared" si="198"/>
        <v>0</v>
      </c>
      <c r="HP126" s="924">
        <f t="shared" si="199"/>
        <v>0</v>
      </c>
      <c r="HQ126" s="924">
        <f t="shared" si="200"/>
        <v>0</v>
      </c>
      <c r="HR126" s="924">
        <f t="shared" si="201"/>
        <v>0</v>
      </c>
      <c r="HS126" s="924">
        <f t="shared" si="202"/>
        <v>0</v>
      </c>
      <c r="HT126" s="1256">
        <f t="shared" si="255"/>
        <v>0</v>
      </c>
      <c r="HU126" s="1157">
        <f t="shared" si="256"/>
        <v>0</v>
      </c>
    </row>
    <row r="127" spans="1:229" s="628" customFormat="1" ht="13.5" customHeight="1" outlineLevel="1" x14ac:dyDescent="0.2">
      <c r="A127" s="3707"/>
      <c r="B127" s="3661"/>
      <c r="C127" s="511"/>
      <c r="D127" s="584" t="s">
        <v>315</v>
      </c>
      <c r="E127" s="1591">
        <f>62-2</f>
        <v>60</v>
      </c>
      <c r="F127" s="678">
        <f>4241.19-179.96</f>
        <v>4061.2299999999996</v>
      </c>
      <c r="G127" s="730">
        <f>F127/E127</f>
        <v>67.687166666666656</v>
      </c>
      <c r="H127" s="677">
        <f>54-40</f>
        <v>14</v>
      </c>
      <c r="I127" s="678">
        <f>668.93-486.02</f>
        <v>182.90999999999997</v>
      </c>
      <c r="J127" s="678">
        <f>I127/H127</f>
        <v>13.064999999999998</v>
      </c>
      <c r="K127" s="677">
        <v>13</v>
      </c>
      <c r="L127" s="678">
        <v>759.26</v>
      </c>
      <c r="M127" s="678">
        <f>L127/K127</f>
        <v>58.404615384615383</v>
      </c>
      <c r="N127" s="1592">
        <f>F127+I127+L127</f>
        <v>5003.3999999999996</v>
      </c>
      <c r="O127" s="1579">
        <v>1244585.31</v>
      </c>
      <c r="P127" s="743">
        <f>30987597.34-1031814.17-1973748.27</f>
        <v>27982034.899999999</v>
      </c>
      <c r="Q127" s="743">
        <f>7315010.93-267749.43-512175.53</f>
        <v>6535085.9699999997</v>
      </c>
      <c r="R127" s="743">
        <f>SUM(O127:Q127)</f>
        <v>35761706.18</v>
      </c>
      <c r="S127" s="1603">
        <f>R127</f>
        <v>35761706.18</v>
      </c>
      <c r="T127" s="1604">
        <f>6427823.15-(6427823.15*0.1)</f>
        <v>5785040.835</v>
      </c>
      <c r="U127" s="1090">
        <v>0</v>
      </c>
      <c r="V127" s="1090">
        <f>neprodano!BH85</f>
        <v>5744212.0999999996</v>
      </c>
      <c r="W127" s="1595">
        <f>6482088.26-6482088.26*0.1</f>
        <v>5833879.4339999994</v>
      </c>
      <c r="X127" s="1605">
        <f>3469039.51-3469039.51*0.1</f>
        <v>3122135.5589999999</v>
      </c>
      <c r="Y127" s="1605">
        <v>0</v>
      </c>
      <c r="Z127" s="1605">
        <v>0</v>
      </c>
      <c r="AA127" s="1596">
        <f t="shared" si="280"/>
        <v>5833879.4339999994</v>
      </c>
      <c r="AB127" s="1605">
        <f t="shared" si="280"/>
        <v>3122135.5589999999</v>
      </c>
      <c r="AC127" s="1597">
        <f>AB127/R127</f>
        <v>8.7303875919266888E-2</v>
      </c>
      <c r="AD127" s="1090">
        <v>1985716.1199999999</v>
      </c>
      <c r="AE127" s="1090">
        <v>2563411.56</v>
      </c>
      <c r="AF127" s="1090">
        <v>0</v>
      </c>
      <c r="AG127" s="1090">
        <f>10863931.56-39389.27</f>
        <v>10824542.290000001</v>
      </c>
      <c r="AH127" s="1089">
        <f t="shared" si="281"/>
        <v>1985716.1199999999</v>
      </c>
      <c r="AI127" s="1090">
        <f t="shared" si="281"/>
        <v>13387953.850000001</v>
      </c>
      <c r="AJ127" s="1606">
        <f>AI127/S127</f>
        <v>0.37436563520247573</v>
      </c>
      <c r="AK127" s="1607">
        <f>U127/T127</f>
        <v>0</v>
      </c>
      <c r="AL127" s="669"/>
      <c r="AM127" s="1608"/>
      <c r="AN127" s="1422">
        <f>neprodano!BP85</f>
        <v>786585.74</v>
      </c>
      <c r="AO127" s="1609">
        <f>1498964.06-1498964.06*0.1</f>
        <v>1349067.6540000001</v>
      </c>
      <c r="AP127" s="1254">
        <f>6344+1263571.44-(1269915.44*0.1)</f>
        <v>1142923.8959999999</v>
      </c>
      <c r="AQ127" s="1254"/>
      <c r="AR127" s="1254"/>
      <c r="AS127" s="1254">
        <f t="shared" si="282"/>
        <v>1349067.6540000001</v>
      </c>
      <c r="AT127" s="1255">
        <f t="shared" si="282"/>
        <v>1142923.8959999999</v>
      </c>
      <c r="AU127" s="1610">
        <v>200964.22</v>
      </c>
      <c r="AV127" s="1608">
        <f>neprodano!BO85</f>
        <v>-153475.00999999998</v>
      </c>
      <c r="AW127" s="1608"/>
      <c r="AX127" s="1608">
        <f>neprodano!BR85</f>
        <v>1489430.5799999998</v>
      </c>
      <c r="AY127" s="1608">
        <f t="shared" si="283"/>
        <v>200964.22</v>
      </c>
      <c r="AZ127" s="1611">
        <f t="shared" si="283"/>
        <v>1335955.5699999998</v>
      </c>
      <c r="BA127" s="1602">
        <f t="shared" si="307"/>
        <v>0</v>
      </c>
      <c r="BB127" s="1594">
        <f t="shared" si="307"/>
        <v>6530797.8399999999</v>
      </c>
      <c r="BC127" s="1595">
        <f t="shared" si="307"/>
        <v>7182947.0879999995</v>
      </c>
      <c r="BD127" s="1596">
        <f t="shared" si="307"/>
        <v>4265059.4550000001</v>
      </c>
      <c r="BE127" s="1596">
        <f t="shared" si="307"/>
        <v>0</v>
      </c>
      <c r="BF127" s="1596">
        <f t="shared" si="307"/>
        <v>0</v>
      </c>
      <c r="BG127" s="1596">
        <f t="shared" si="307"/>
        <v>7182947.0879999995</v>
      </c>
      <c r="BH127" s="1596">
        <f t="shared" si="307"/>
        <v>4265059.4550000001</v>
      </c>
      <c r="BI127" s="1597">
        <f>BH127/R127</f>
        <v>0.11926331013214538</v>
      </c>
      <c r="BJ127" s="1598">
        <f t="shared" si="308"/>
        <v>2186680.34</v>
      </c>
      <c r="BK127" s="1599">
        <f t="shared" si="308"/>
        <v>2409936.5500000003</v>
      </c>
      <c r="BL127" s="1599">
        <f t="shared" si="308"/>
        <v>0</v>
      </c>
      <c r="BM127" s="1599">
        <f t="shared" si="308"/>
        <v>12313972.870000001</v>
      </c>
      <c r="BN127" s="1599">
        <f t="shared" si="308"/>
        <v>2186680.34</v>
      </c>
      <c r="BO127" s="1599">
        <f t="shared" si="308"/>
        <v>14723909.420000002</v>
      </c>
      <c r="BP127" s="1600">
        <f>BO127/S127</f>
        <v>0.41172278934036033</v>
      </c>
      <c r="BQ127" s="1601">
        <f>BA127/T127</f>
        <v>0</v>
      </c>
      <c r="BR127" s="669"/>
      <c r="BS127" s="1608"/>
      <c r="BT127" s="1422"/>
      <c r="BU127" s="1609">
        <f>19066.82</f>
        <v>19066.82</v>
      </c>
      <c r="BV127" s="1254"/>
      <c r="BW127" s="1254"/>
      <c r="BX127" s="1254"/>
      <c r="BY127" s="1254">
        <f t="shared" si="287"/>
        <v>19066.82</v>
      </c>
      <c r="BZ127" s="1255">
        <f t="shared" si="287"/>
        <v>0</v>
      </c>
      <c r="CA127" s="1610">
        <v>200964.22</v>
      </c>
      <c r="CB127" s="1608">
        <f>neprodano!BW85</f>
        <v>0</v>
      </c>
      <c r="CC127" s="1608">
        <v>14141267.91</v>
      </c>
      <c r="CD127" s="1608">
        <f>neprodano!BZ85</f>
        <v>0</v>
      </c>
      <c r="CE127" s="1608">
        <f t="shared" si="288"/>
        <v>14342232.130000001</v>
      </c>
      <c r="CF127" s="1611">
        <f t="shared" si="288"/>
        <v>0</v>
      </c>
      <c r="CG127" s="1593">
        <f t="shared" si="309"/>
        <v>0</v>
      </c>
      <c r="CH127" s="1594">
        <f t="shared" si="309"/>
        <v>6530797.8399999999</v>
      </c>
      <c r="CI127" s="1595">
        <f t="shared" si="309"/>
        <v>7202013.9079999998</v>
      </c>
      <c r="CJ127" s="1596">
        <f t="shared" si="309"/>
        <v>4265059.4550000001</v>
      </c>
      <c r="CK127" s="1596">
        <f t="shared" si="309"/>
        <v>0</v>
      </c>
      <c r="CL127" s="1596">
        <f t="shared" si="309"/>
        <v>0</v>
      </c>
      <c r="CM127" s="1596">
        <f t="shared" si="309"/>
        <v>7202013.9079999998</v>
      </c>
      <c r="CN127" s="1596">
        <f t="shared" si="309"/>
        <v>4265059.4550000001</v>
      </c>
      <c r="CO127" s="1597">
        <f>CN127/R127</f>
        <v>0.11926331013214538</v>
      </c>
      <c r="CP127" s="1598">
        <f t="shared" si="310"/>
        <v>2387644.56</v>
      </c>
      <c r="CQ127" s="1599">
        <f t="shared" si="310"/>
        <v>2409936.5500000003</v>
      </c>
      <c r="CR127" s="1599">
        <f t="shared" si="310"/>
        <v>14141267.91</v>
      </c>
      <c r="CS127" s="1599">
        <f t="shared" si="310"/>
        <v>12313972.870000001</v>
      </c>
      <c r="CT127" s="1599">
        <f t="shared" si="310"/>
        <v>16528912.470000001</v>
      </c>
      <c r="CU127" s="1599">
        <f t="shared" si="310"/>
        <v>14723909.420000002</v>
      </c>
      <c r="CV127" s="1600">
        <f>CU127/S127</f>
        <v>0.41172278934036033</v>
      </c>
      <c r="CW127" s="1601">
        <f>CG127/T127</f>
        <v>0</v>
      </c>
      <c r="CX127" s="669"/>
      <c r="CY127" s="1608"/>
      <c r="CZ127" s="1422">
        <f>neprodano!CF85</f>
        <v>0</v>
      </c>
      <c r="DA127" s="1609">
        <f>175478.75-175478.75*0.1</f>
        <v>157930.875</v>
      </c>
      <c r="DB127" s="1254">
        <f>12915+7562.26+27561.94+580431.01-(628470.21*0.1)</f>
        <v>565623.18900000001</v>
      </c>
      <c r="DC127" s="1254"/>
      <c r="DD127" s="1254"/>
      <c r="DE127" s="1254">
        <f t="shared" si="291"/>
        <v>157930.875</v>
      </c>
      <c r="DF127" s="1255">
        <f t="shared" si="291"/>
        <v>565623.18900000001</v>
      </c>
      <c r="DG127" s="1610">
        <v>200964.22</v>
      </c>
      <c r="DH127" s="1608">
        <f>neprodano!CE85</f>
        <v>42944</v>
      </c>
      <c r="DI127" s="1608"/>
      <c r="DJ127" s="1608">
        <f>neprodano!CH82</f>
        <v>0</v>
      </c>
      <c r="DK127" s="1608">
        <f t="shared" si="292"/>
        <v>200964.22</v>
      </c>
      <c r="DL127" s="1611">
        <f t="shared" si="292"/>
        <v>42944</v>
      </c>
      <c r="DM127" s="1602">
        <f t="shared" si="311"/>
        <v>0</v>
      </c>
      <c r="DN127" s="1594">
        <f t="shared" si="311"/>
        <v>6530797.8399999999</v>
      </c>
      <c r="DO127" s="1595">
        <f t="shared" si="311"/>
        <v>7359944.7829999998</v>
      </c>
      <c r="DP127" s="1596">
        <f t="shared" si="311"/>
        <v>4830682.6440000003</v>
      </c>
      <c r="DQ127" s="1596">
        <f t="shared" si="311"/>
        <v>0</v>
      </c>
      <c r="DR127" s="1596">
        <f t="shared" si="311"/>
        <v>0</v>
      </c>
      <c r="DS127" s="1596">
        <f t="shared" si="311"/>
        <v>7359944.7829999998</v>
      </c>
      <c r="DT127" s="1596">
        <f t="shared" si="311"/>
        <v>4830682.6440000003</v>
      </c>
      <c r="DU127" s="1597">
        <f>DT127/R127</f>
        <v>0.13507975877005543</v>
      </c>
      <c r="DV127" s="1598">
        <f t="shared" si="312"/>
        <v>2588608.7800000003</v>
      </c>
      <c r="DW127" s="1599">
        <f t="shared" si="312"/>
        <v>2452880.5500000003</v>
      </c>
      <c r="DX127" s="1599">
        <f t="shared" si="312"/>
        <v>14141267.91</v>
      </c>
      <c r="DY127" s="1599">
        <f t="shared" si="312"/>
        <v>12313972.870000001</v>
      </c>
      <c r="DZ127" s="1599">
        <f t="shared" si="312"/>
        <v>16729876.690000001</v>
      </c>
      <c r="EA127" s="1599">
        <f t="shared" si="312"/>
        <v>14766853.420000002</v>
      </c>
      <c r="EB127" s="1600">
        <f>EA127/S127</f>
        <v>0.4129236269006224</v>
      </c>
      <c r="EC127" s="1601">
        <f>DM127/T127</f>
        <v>0</v>
      </c>
      <c r="ED127" s="669"/>
      <c r="EE127" s="1608"/>
      <c r="EF127" s="1422">
        <f>neprodano!CN85</f>
        <v>18134.900000000001</v>
      </c>
      <c r="EG127" s="1609"/>
      <c r="EH127" s="1254">
        <f>1954230.63+203830.94+132690.25-60541.89-(2230209.93*0.1)</f>
        <v>2007188.9369999997</v>
      </c>
      <c r="EI127" s="1254"/>
      <c r="EJ127" s="1254"/>
      <c r="EK127" s="1254">
        <f t="shared" si="295"/>
        <v>0</v>
      </c>
      <c r="EL127" s="1255">
        <f t="shared" si="295"/>
        <v>2007188.9369999997</v>
      </c>
      <c r="EM127" s="1610">
        <v>200964.22</v>
      </c>
      <c r="EN127" s="1608">
        <f>neprodano!CM85+132690.25-60541.89</f>
        <v>72148.36</v>
      </c>
      <c r="EO127" s="1608"/>
      <c r="EP127" s="1608">
        <f>neprodano!CP85</f>
        <v>29032.74</v>
      </c>
      <c r="EQ127" s="1608">
        <f t="shared" si="296"/>
        <v>200964.22</v>
      </c>
      <c r="ER127" s="1611">
        <f t="shared" si="296"/>
        <v>101181.1</v>
      </c>
      <c r="ES127" s="1602">
        <f t="shared" si="297"/>
        <v>0</v>
      </c>
      <c r="ET127" s="1594">
        <f t="shared" si="297"/>
        <v>6548932.7400000002</v>
      </c>
      <c r="EU127" s="1595">
        <f>EG127+DO127</f>
        <v>7359944.7829999998</v>
      </c>
      <c r="EV127" s="1596">
        <f t="shared" si="274"/>
        <v>6837871.5810000002</v>
      </c>
      <c r="EW127" s="1596">
        <f t="shared" si="274"/>
        <v>0</v>
      </c>
      <c r="EX127" s="1596">
        <f>EJ127+DR127</f>
        <v>0</v>
      </c>
      <c r="EY127" s="1596">
        <f t="shared" si="275"/>
        <v>7359944.7829999998</v>
      </c>
      <c r="EZ127" s="1596">
        <f t="shared" si="275"/>
        <v>6837871.5810000002</v>
      </c>
      <c r="FA127" s="626">
        <f>EZ127/R127</f>
        <v>0.1912065253985038</v>
      </c>
      <c r="FB127" s="1598">
        <f>DV127+EM127</f>
        <v>2789573.0000000005</v>
      </c>
      <c r="FC127" s="1599">
        <f t="shared" si="170"/>
        <v>2525028.91</v>
      </c>
      <c r="FD127" s="1599">
        <f t="shared" si="171"/>
        <v>14141267.91</v>
      </c>
      <c r="FE127" s="1599">
        <f t="shared" si="172"/>
        <v>12343005.610000001</v>
      </c>
      <c r="FF127" s="1599">
        <f t="shared" si="173"/>
        <v>16930840.91</v>
      </c>
      <c r="FG127" s="1599">
        <f t="shared" si="174"/>
        <v>14868034.520000001</v>
      </c>
      <c r="FH127" s="1256">
        <f>FG127/S127</f>
        <v>0.41575294101362142</v>
      </c>
      <c r="FI127" s="1157">
        <f>ES127/T127</f>
        <v>0</v>
      </c>
      <c r="FJ127" s="669"/>
      <c r="FK127" s="1608"/>
      <c r="FL127" s="1422">
        <f>neprodano!EI85</f>
        <v>0</v>
      </c>
      <c r="FM127" s="1609"/>
      <c r="FN127" s="1254">
        <f>157694-157694*0.1</f>
        <v>141924.6</v>
      </c>
      <c r="FO127" s="1254"/>
      <c r="FP127" s="1254"/>
      <c r="FQ127" s="1254">
        <f t="shared" si="299"/>
        <v>0</v>
      </c>
      <c r="FR127" s="1255">
        <f t="shared" si="299"/>
        <v>141924.6</v>
      </c>
      <c r="FS127" s="1610">
        <v>200964.22</v>
      </c>
      <c r="FT127" s="1608">
        <v>157694</v>
      </c>
      <c r="FU127" s="1608"/>
      <c r="FV127" s="1608"/>
      <c r="FW127" s="1608">
        <f t="shared" si="300"/>
        <v>200964.22</v>
      </c>
      <c r="FX127" s="1611">
        <f t="shared" si="300"/>
        <v>157694</v>
      </c>
      <c r="FY127" s="1602">
        <f t="shared" si="301"/>
        <v>0</v>
      </c>
      <c r="FZ127" s="1594">
        <f t="shared" si="301"/>
        <v>6548932.7400000002</v>
      </c>
      <c r="GA127" s="1595">
        <f t="shared" si="277"/>
        <v>7359944.7829999998</v>
      </c>
      <c r="GB127" s="1596">
        <f t="shared" si="277"/>
        <v>6979796.1809999999</v>
      </c>
      <c r="GC127" s="1596">
        <f t="shared" si="277"/>
        <v>0</v>
      </c>
      <c r="GD127" s="1596">
        <f t="shared" si="277"/>
        <v>0</v>
      </c>
      <c r="GE127" s="1596">
        <f t="shared" si="277"/>
        <v>7359944.7829999998</v>
      </c>
      <c r="GF127" s="1596">
        <f t="shared" si="277"/>
        <v>6979796.1809999999</v>
      </c>
      <c r="GG127" s="626">
        <f>GF127/R127</f>
        <v>0.19517514477269271</v>
      </c>
      <c r="GH127" s="1598">
        <f>FB127+FS127</f>
        <v>2990537.2200000007</v>
      </c>
      <c r="GI127" s="1599">
        <f t="shared" si="184"/>
        <v>2682722.91</v>
      </c>
      <c r="GJ127" s="1599">
        <f t="shared" si="185"/>
        <v>14141267.91</v>
      </c>
      <c r="GK127" s="1599">
        <f t="shared" si="186"/>
        <v>12343005.610000001</v>
      </c>
      <c r="GL127" s="1599">
        <f t="shared" si="187"/>
        <v>17131805.129999999</v>
      </c>
      <c r="GM127" s="1599">
        <f t="shared" si="188"/>
        <v>15025728.520000001</v>
      </c>
      <c r="GN127" s="539">
        <f>GM127/S127</f>
        <v>0.42016251809605359</v>
      </c>
      <c r="GO127" s="540">
        <f>FY127/T127</f>
        <v>0</v>
      </c>
      <c r="GP127" s="669"/>
      <c r="GQ127" s="1608"/>
      <c r="GR127" s="1422"/>
      <c r="GS127" s="1609"/>
      <c r="GT127" s="1254"/>
      <c r="GU127" s="1254"/>
      <c r="GV127" s="1254"/>
      <c r="GW127" s="1254">
        <f t="shared" si="304"/>
        <v>0</v>
      </c>
      <c r="GX127" s="1255">
        <f t="shared" si="304"/>
        <v>0</v>
      </c>
      <c r="GY127" s="1610">
        <v>200964.22</v>
      </c>
      <c r="GZ127" s="1608">
        <f>neprodano!DC85</f>
        <v>68051.78</v>
      </c>
      <c r="HA127" s="1608"/>
      <c r="HB127" s="1608"/>
      <c r="HC127" s="1608">
        <f t="shared" si="305"/>
        <v>200964.22</v>
      </c>
      <c r="HD127" s="1611">
        <f t="shared" si="305"/>
        <v>68051.78</v>
      </c>
      <c r="HE127" s="1680">
        <f t="shared" si="306"/>
        <v>0</v>
      </c>
      <c r="HF127" s="1594">
        <f t="shared" si="306"/>
        <v>6548932.7400000002</v>
      </c>
      <c r="HG127" s="1595">
        <f t="shared" si="279"/>
        <v>7359944.7829999998</v>
      </c>
      <c r="HH127" s="1596">
        <f t="shared" si="279"/>
        <v>6979796.1809999999</v>
      </c>
      <c r="HI127" s="1596">
        <f t="shared" si="279"/>
        <v>0</v>
      </c>
      <c r="HJ127" s="1596">
        <f t="shared" si="279"/>
        <v>0</v>
      </c>
      <c r="HK127" s="1596">
        <f t="shared" si="279"/>
        <v>7359944.7829999998</v>
      </c>
      <c r="HL127" s="1596">
        <f t="shared" si="279"/>
        <v>6979796.1809999999</v>
      </c>
      <c r="HM127" s="626">
        <f t="shared" si="254"/>
        <v>0.19517514477269271</v>
      </c>
      <c r="HN127" s="1598">
        <f>GH127+GY127</f>
        <v>3191501.4400000009</v>
      </c>
      <c r="HO127" s="1599">
        <f t="shared" si="198"/>
        <v>2750774.69</v>
      </c>
      <c r="HP127" s="1599">
        <f t="shared" si="199"/>
        <v>14141267.91</v>
      </c>
      <c r="HQ127" s="1599">
        <f t="shared" si="200"/>
        <v>12343005.610000001</v>
      </c>
      <c r="HR127" s="1599">
        <f t="shared" si="201"/>
        <v>17332769.349999998</v>
      </c>
      <c r="HS127" s="1599">
        <f t="shared" si="202"/>
        <v>15093780.300000001</v>
      </c>
      <c r="HT127" s="1256">
        <f t="shared" si="255"/>
        <v>0.42206544128594486</v>
      </c>
      <c r="HU127" s="1157">
        <f t="shared" si="256"/>
        <v>0</v>
      </c>
    </row>
    <row r="128" spans="1:229" ht="18" customHeight="1" thickBot="1" x14ac:dyDescent="0.25">
      <c r="A128" s="3707"/>
      <c r="B128" s="3661"/>
      <c r="C128" s="801">
        <v>2</v>
      </c>
      <c r="D128" s="1400" t="s">
        <v>481</v>
      </c>
      <c r="E128" s="1728">
        <f>SUM(E125:E127)</f>
        <v>88</v>
      </c>
      <c r="F128" s="1442">
        <f>SUM(F125:F127)</f>
        <v>5929.2099999999991</v>
      </c>
      <c r="G128" s="1444">
        <f>F128/E128</f>
        <v>67.377386363636347</v>
      </c>
      <c r="H128" s="1446">
        <f>SUM(H125:H127)</f>
        <v>14</v>
      </c>
      <c r="I128" s="1442">
        <f>SUM(I125:I127)</f>
        <v>182.90999999999997</v>
      </c>
      <c r="J128" s="1442">
        <f>SUM(J125:J126)</f>
        <v>0</v>
      </c>
      <c r="K128" s="1446">
        <f>SUM(K125:K127)</f>
        <v>13</v>
      </c>
      <c r="L128" s="1442">
        <f>SUM(L125:L127)</f>
        <v>759.26</v>
      </c>
      <c r="M128" s="1442">
        <f>SUM(M125:M126)</f>
        <v>0</v>
      </c>
      <c r="N128" s="1140">
        <f t="shared" ref="N128:AB128" si="317">SUM(N125:N127)</f>
        <v>6871.3799999999992</v>
      </c>
      <c r="O128" s="1442">
        <f t="shared" si="317"/>
        <v>1908308.35</v>
      </c>
      <c r="P128" s="1442">
        <f t="shared" si="317"/>
        <v>38268023.960000001</v>
      </c>
      <c r="Q128" s="1442">
        <f t="shared" si="317"/>
        <v>7886675.9199999999</v>
      </c>
      <c r="R128" s="1442">
        <f t="shared" si="317"/>
        <v>48063008.230000004</v>
      </c>
      <c r="S128" s="1575">
        <f t="shared" si="317"/>
        <v>47885161.450000003</v>
      </c>
      <c r="T128" s="1407">
        <f t="shared" si="317"/>
        <v>8562411.254999999</v>
      </c>
      <c r="U128" s="595">
        <f t="shared" si="317"/>
        <v>0</v>
      </c>
      <c r="V128" s="1439">
        <f t="shared" si="317"/>
        <v>7653064.2299999995</v>
      </c>
      <c r="W128" s="597">
        <f t="shared" si="317"/>
        <v>7389862.6239999998</v>
      </c>
      <c r="X128" s="597">
        <f t="shared" si="317"/>
        <v>3981690.0889999997</v>
      </c>
      <c r="Y128" s="597">
        <f t="shared" si="317"/>
        <v>0</v>
      </c>
      <c r="Z128" s="597">
        <f t="shared" si="317"/>
        <v>0</v>
      </c>
      <c r="AA128" s="597">
        <f t="shared" si="317"/>
        <v>7389862.6239999998</v>
      </c>
      <c r="AB128" s="597">
        <f t="shared" si="317"/>
        <v>3981690.0889999997</v>
      </c>
      <c r="AC128" s="1429">
        <f>AB128/R128</f>
        <v>8.2843131040530774E-2</v>
      </c>
      <c r="AD128" s="595">
        <f t="shared" ref="AD128:AI128" si="318">SUM(AD125:AD127)</f>
        <v>1985716.1199999999</v>
      </c>
      <c r="AE128" s="595">
        <f t="shared" si="318"/>
        <v>2563411.56</v>
      </c>
      <c r="AF128" s="595">
        <f t="shared" si="318"/>
        <v>3263279.15</v>
      </c>
      <c r="AG128" s="595">
        <f t="shared" si="318"/>
        <v>14081208.210000001</v>
      </c>
      <c r="AH128" s="595">
        <f t="shared" si="318"/>
        <v>5248995.2699999996</v>
      </c>
      <c r="AI128" s="595">
        <f t="shared" si="318"/>
        <v>16644619.770000001</v>
      </c>
      <c r="AJ128" s="1436">
        <f t="shared" si="264"/>
        <v>0.34759452126687984</v>
      </c>
      <c r="AK128" s="1408">
        <f>U128/T128</f>
        <v>0</v>
      </c>
      <c r="AL128" s="1418">
        <f t="shared" ref="AL128:BH128" si="319">SUM(AL125:AL127)</f>
        <v>0</v>
      </c>
      <c r="AM128" s="1418">
        <f t="shared" si="319"/>
        <v>0</v>
      </c>
      <c r="AN128" s="1434">
        <f t="shared" si="319"/>
        <v>786585.74</v>
      </c>
      <c r="AO128" s="1419">
        <f t="shared" si="319"/>
        <v>1349067.6540000001</v>
      </c>
      <c r="AP128" s="1419">
        <f t="shared" si="319"/>
        <v>1454438.7459999998</v>
      </c>
      <c r="AQ128" s="1419">
        <f t="shared" si="319"/>
        <v>0</v>
      </c>
      <c r="AR128" s="1419">
        <f t="shared" si="319"/>
        <v>0</v>
      </c>
      <c r="AS128" s="1419">
        <f t="shared" si="319"/>
        <v>1349067.6540000001</v>
      </c>
      <c r="AT128" s="1432">
        <f t="shared" si="319"/>
        <v>1454438.7459999998</v>
      </c>
      <c r="AU128" s="1418">
        <f t="shared" si="319"/>
        <v>200964.22</v>
      </c>
      <c r="AV128" s="1418">
        <f t="shared" si="319"/>
        <v>-131629.32999999999</v>
      </c>
      <c r="AW128" s="1418">
        <f t="shared" si="319"/>
        <v>0</v>
      </c>
      <c r="AX128" s="1418">
        <f t="shared" si="319"/>
        <v>1489430.5799999998</v>
      </c>
      <c r="AY128" s="1418">
        <f t="shared" si="319"/>
        <v>200964.22</v>
      </c>
      <c r="AZ128" s="1576">
        <f t="shared" si="319"/>
        <v>1357801.2499999998</v>
      </c>
      <c r="BA128" s="595">
        <f t="shared" si="319"/>
        <v>0</v>
      </c>
      <c r="BB128" s="1439">
        <f t="shared" si="319"/>
        <v>8439649.9699999988</v>
      </c>
      <c r="BC128" s="597">
        <f t="shared" si="319"/>
        <v>8738930.277999999</v>
      </c>
      <c r="BD128" s="597">
        <f t="shared" si="319"/>
        <v>5436128.835</v>
      </c>
      <c r="BE128" s="597">
        <f t="shared" si="319"/>
        <v>0</v>
      </c>
      <c r="BF128" s="597">
        <f t="shared" si="319"/>
        <v>0</v>
      </c>
      <c r="BG128" s="597">
        <f t="shared" si="319"/>
        <v>8738930.277999999</v>
      </c>
      <c r="BH128" s="597">
        <f t="shared" si="319"/>
        <v>5436128.835</v>
      </c>
      <c r="BI128" s="1429">
        <f>BH128/AX128</f>
        <v>3.6498034268908328</v>
      </c>
      <c r="BJ128" s="595">
        <f t="shared" ref="BJ128:BO128" si="320">SUM(BJ125:BJ127)</f>
        <v>2186680.34</v>
      </c>
      <c r="BK128" s="595">
        <f t="shared" si="320"/>
        <v>2431782.2300000004</v>
      </c>
      <c r="BL128" s="595">
        <f t="shared" si="320"/>
        <v>3263279.15</v>
      </c>
      <c r="BM128" s="595">
        <f t="shared" si="320"/>
        <v>15570638.790000001</v>
      </c>
      <c r="BN128" s="595">
        <f t="shared" si="320"/>
        <v>5449959.4900000002</v>
      </c>
      <c r="BO128" s="595">
        <f t="shared" si="320"/>
        <v>18002421.020000003</v>
      </c>
      <c r="BP128" s="1436">
        <f>BO128/AY128</f>
        <v>89.580229853851606</v>
      </c>
      <c r="BQ128" s="1408">
        <f>BA128/AZ128</f>
        <v>0</v>
      </c>
      <c r="BR128" s="1418">
        <f t="shared" ref="BR128:CN128" si="321">SUM(BR125:BR127)</f>
        <v>0</v>
      </c>
      <c r="BS128" s="1418">
        <f t="shared" si="321"/>
        <v>0</v>
      </c>
      <c r="BT128" s="1434">
        <f t="shared" si="321"/>
        <v>0</v>
      </c>
      <c r="BU128" s="1419">
        <f t="shared" si="321"/>
        <v>19066.82</v>
      </c>
      <c r="BV128" s="1419">
        <f t="shared" si="321"/>
        <v>76392.94</v>
      </c>
      <c r="BW128" s="1419">
        <f t="shared" si="321"/>
        <v>0</v>
      </c>
      <c r="BX128" s="1419">
        <f t="shared" si="321"/>
        <v>0</v>
      </c>
      <c r="BY128" s="1419">
        <f t="shared" si="321"/>
        <v>19066.82</v>
      </c>
      <c r="BZ128" s="1432">
        <f t="shared" si="321"/>
        <v>76392.94</v>
      </c>
      <c r="CA128" s="1418">
        <f t="shared" si="321"/>
        <v>200964.22</v>
      </c>
      <c r="CB128" s="1418">
        <f t="shared" si="321"/>
        <v>0</v>
      </c>
      <c r="CC128" s="1418">
        <f t="shared" si="321"/>
        <v>14141267.91</v>
      </c>
      <c r="CD128" s="1418">
        <f t="shared" si="321"/>
        <v>0</v>
      </c>
      <c r="CE128" s="1418">
        <f t="shared" si="321"/>
        <v>14342232.130000001</v>
      </c>
      <c r="CF128" s="1576">
        <f t="shared" si="321"/>
        <v>0</v>
      </c>
      <c r="CG128" s="595">
        <f t="shared" si="321"/>
        <v>0</v>
      </c>
      <c r="CH128" s="1439">
        <f t="shared" si="321"/>
        <v>8439649.9699999988</v>
      </c>
      <c r="CI128" s="597">
        <f t="shared" si="321"/>
        <v>8757997.0979999993</v>
      </c>
      <c r="CJ128" s="597">
        <f t="shared" si="321"/>
        <v>5512521.7750000004</v>
      </c>
      <c r="CK128" s="597">
        <f t="shared" si="321"/>
        <v>0</v>
      </c>
      <c r="CL128" s="597">
        <f t="shared" si="321"/>
        <v>0</v>
      </c>
      <c r="CM128" s="597">
        <f t="shared" si="321"/>
        <v>8757997.0979999993</v>
      </c>
      <c r="CN128" s="597">
        <f t="shared" si="321"/>
        <v>5512521.7750000004</v>
      </c>
      <c r="CO128" s="1429" t="e">
        <f>CN128/CD128</f>
        <v>#DIV/0!</v>
      </c>
      <c r="CP128" s="595">
        <f t="shared" ref="CP128:CU128" si="322">SUM(CP125:CP127)</f>
        <v>2387644.56</v>
      </c>
      <c r="CQ128" s="595">
        <f t="shared" si="322"/>
        <v>2431782.2300000004</v>
      </c>
      <c r="CR128" s="595">
        <f t="shared" si="322"/>
        <v>17404547.059999999</v>
      </c>
      <c r="CS128" s="595">
        <f t="shared" si="322"/>
        <v>15570638.790000001</v>
      </c>
      <c r="CT128" s="595">
        <f t="shared" si="322"/>
        <v>19792191.620000001</v>
      </c>
      <c r="CU128" s="595">
        <f t="shared" si="322"/>
        <v>18002421.020000003</v>
      </c>
      <c r="CV128" s="1436">
        <f>CU128/CE128</f>
        <v>1.2552035733924496</v>
      </c>
      <c r="CW128" s="1408" t="e">
        <f>CG128/CF128</f>
        <v>#DIV/0!</v>
      </c>
      <c r="CX128" s="1418">
        <f t="shared" ref="CX128:DT128" si="323">SUM(CX125:CX127)</f>
        <v>0</v>
      </c>
      <c r="CY128" s="1418">
        <f t="shared" si="323"/>
        <v>0</v>
      </c>
      <c r="CZ128" s="1434">
        <f t="shared" si="323"/>
        <v>0</v>
      </c>
      <c r="DA128" s="1419">
        <f t="shared" si="323"/>
        <v>157930.875</v>
      </c>
      <c r="DB128" s="1419">
        <f t="shared" si="323"/>
        <v>597045.03899999999</v>
      </c>
      <c r="DC128" s="1419">
        <f t="shared" si="323"/>
        <v>0</v>
      </c>
      <c r="DD128" s="1419">
        <f t="shared" si="323"/>
        <v>0</v>
      </c>
      <c r="DE128" s="1419">
        <f t="shared" si="323"/>
        <v>157930.875</v>
      </c>
      <c r="DF128" s="1432">
        <f t="shared" si="323"/>
        <v>597045.03899999999</v>
      </c>
      <c r="DG128" s="1418">
        <f t="shared" si="323"/>
        <v>200964.22</v>
      </c>
      <c r="DH128" s="1418">
        <f t="shared" si="323"/>
        <v>42944</v>
      </c>
      <c r="DI128" s="1418">
        <f t="shared" si="323"/>
        <v>0</v>
      </c>
      <c r="DJ128" s="1418">
        <f t="shared" si="323"/>
        <v>0</v>
      </c>
      <c r="DK128" s="1418">
        <f t="shared" si="323"/>
        <v>200964.22</v>
      </c>
      <c r="DL128" s="1576">
        <f t="shared" si="323"/>
        <v>42944</v>
      </c>
      <c r="DM128" s="595">
        <f t="shared" si="323"/>
        <v>0</v>
      </c>
      <c r="DN128" s="1439">
        <f t="shared" si="323"/>
        <v>8439649.9699999988</v>
      </c>
      <c r="DO128" s="597">
        <f t="shared" si="323"/>
        <v>8915927.9729999993</v>
      </c>
      <c r="DP128" s="597">
        <f t="shared" si="323"/>
        <v>6109566.8140000002</v>
      </c>
      <c r="DQ128" s="597">
        <f t="shared" si="323"/>
        <v>0</v>
      </c>
      <c r="DR128" s="597">
        <f t="shared" si="323"/>
        <v>0</v>
      </c>
      <c r="DS128" s="597">
        <f t="shared" si="323"/>
        <v>8915927.9729999993</v>
      </c>
      <c r="DT128" s="597">
        <f t="shared" si="323"/>
        <v>6109566.8140000002</v>
      </c>
      <c r="DU128" s="1429" t="e">
        <f>DT128/DJ128</f>
        <v>#DIV/0!</v>
      </c>
      <c r="DV128" s="595">
        <f t="shared" ref="DV128:EA128" si="324">SUM(DV125:DV127)</f>
        <v>2588608.7800000003</v>
      </c>
      <c r="DW128" s="595">
        <f t="shared" si="324"/>
        <v>2474726.2300000004</v>
      </c>
      <c r="DX128" s="595">
        <f t="shared" si="324"/>
        <v>17404547.059999999</v>
      </c>
      <c r="DY128" s="595">
        <f t="shared" si="324"/>
        <v>15570638.790000001</v>
      </c>
      <c r="DZ128" s="595">
        <f t="shared" si="324"/>
        <v>19993155.84</v>
      </c>
      <c r="EA128" s="595">
        <f t="shared" si="324"/>
        <v>18045365.020000003</v>
      </c>
      <c r="EB128" s="1436">
        <f>EA128/S128</f>
        <v>0.37684669892660461</v>
      </c>
      <c r="EC128" s="1408">
        <f>DM128/DL128</f>
        <v>0</v>
      </c>
      <c r="ED128" s="1418">
        <f t="shared" ref="ED128:EZ128" si="325">SUM(ED125:ED127)</f>
        <v>0</v>
      </c>
      <c r="EE128" s="1418">
        <f t="shared" si="325"/>
        <v>0</v>
      </c>
      <c r="EF128" s="1434">
        <f t="shared" si="325"/>
        <v>18134.900000000001</v>
      </c>
      <c r="EG128" s="1419">
        <f t="shared" si="325"/>
        <v>0</v>
      </c>
      <c r="EH128" s="1419">
        <f t="shared" si="325"/>
        <v>2007188.9369999997</v>
      </c>
      <c r="EI128" s="1419">
        <f t="shared" si="325"/>
        <v>0</v>
      </c>
      <c r="EJ128" s="1419">
        <f t="shared" si="325"/>
        <v>0</v>
      </c>
      <c r="EK128" s="1419">
        <f t="shared" si="325"/>
        <v>0</v>
      </c>
      <c r="EL128" s="1432">
        <f t="shared" si="325"/>
        <v>2007188.9369999997</v>
      </c>
      <c r="EM128" s="1418">
        <f t="shared" si="325"/>
        <v>1143404.3900000001</v>
      </c>
      <c r="EN128" s="1418">
        <f t="shared" si="325"/>
        <v>72148.36</v>
      </c>
      <c r="EO128" s="1418">
        <f t="shared" si="325"/>
        <v>0</v>
      </c>
      <c r="EP128" s="1418">
        <f t="shared" si="325"/>
        <v>29032.74</v>
      </c>
      <c r="EQ128" s="1418">
        <f t="shared" si="325"/>
        <v>1143404.3900000001</v>
      </c>
      <c r="ER128" s="1576">
        <f t="shared" si="325"/>
        <v>101181.1</v>
      </c>
      <c r="ES128" s="595">
        <f t="shared" si="325"/>
        <v>0</v>
      </c>
      <c r="ET128" s="1439">
        <f t="shared" si="325"/>
        <v>8457784.870000001</v>
      </c>
      <c r="EU128" s="597">
        <f t="shared" si="325"/>
        <v>8915927.9729999993</v>
      </c>
      <c r="EV128" s="597">
        <f t="shared" si="325"/>
        <v>8116755.7510000002</v>
      </c>
      <c r="EW128" s="597">
        <f t="shared" si="325"/>
        <v>0</v>
      </c>
      <c r="EX128" s="597">
        <f t="shared" si="325"/>
        <v>0</v>
      </c>
      <c r="EY128" s="597">
        <f t="shared" si="325"/>
        <v>8915927.9729999993</v>
      </c>
      <c r="EZ128" s="597">
        <f t="shared" si="325"/>
        <v>8116755.7510000002</v>
      </c>
      <c r="FA128" s="1429">
        <f>EZ128/EP128</f>
        <v>279.57250163091737</v>
      </c>
      <c r="FB128" s="595">
        <f t="shared" ref="FB128:FG128" si="326">SUM(FB125:FB127)</f>
        <v>3732013.1700000004</v>
      </c>
      <c r="FC128" s="595">
        <f t="shared" si="326"/>
        <v>2546874.5900000003</v>
      </c>
      <c r="FD128" s="595">
        <f t="shared" si="326"/>
        <v>17404547.059999999</v>
      </c>
      <c r="FE128" s="595">
        <f t="shared" si="326"/>
        <v>15599671.530000001</v>
      </c>
      <c r="FF128" s="595">
        <f t="shared" si="326"/>
        <v>21136560.23</v>
      </c>
      <c r="FG128" s="595">
        <f t="shared" si="326"/>
        <v>18146546.120000001</v>
      </c>
      <c r="FH128" s="1436">
        <f>FG128/EQ128</f>
        <v>15.87062834348572</v>
      </c>
      <c r="FI128" s="1408">
        <f>ES128/ER128</f>
        <v>0</v>
      </c>
      <c r="FJ128" s="1418">
        <f t="shared" ref="FJ128:GF128" si="327">SUM(FJ125:FJ127)</f>
        <v>0</v>
      </c>
      <c r="FK128" s="1418">
        <f t="shared" si="327"/>
        <v>0</v>
      </c>
      <c r="FL128" s="1434">
        <f t="shared" si="327"/>
        <v>0</v>
      </c>
      <c r="FM128" s="1419">
        <f t="shared" si="327"/>
        <v>0</v>
      </c>
      <c r="FN128" s="1419">
        <f t="shared" si="327"/>
        <v>141924.6</v>
      </c>
      <c r="FO128" s="1419">
        <f t="shared" si="327"/>
        <v>0</v>
      </c>
      <c r="FP128" s="1419">
        <f t="shared" si="327"/>
        <v>0</v>
      </c>
      <c r="FQ128" s="1419">
        <f t="shared" si="327"/>
        <v>0</v>
      </c>
      <c r="FR128" s="1432">
        <f t="shared" si="327"/>
        <v>141924.6</v>
      </c>
      <c r="FS128" s="1418">
        <f t="shared" si="327"/>
        <v>1143404.3900000001</v>
      </c>
      <c r="FT128" s="1418">
        <f t="shared" si="327"/>
        <v>157694</v>
      </c>
      <c r="FU128" s="1418">
        <f t="shared" si="327"/>
        <v>0</v>
      </c>
      <c r="FV128" s="1418">
        <f t="shared" si="327"/>
        <v>0</v>
      </c>
      <c r="FW128" s="1418">
        <f t="shared" si="327"/>
        <v>1143404.3900000001</v>
      </c>
      <c r="FX128" s="1576">
        <f t="shared" si="327"/>
        <v>157694</v>
      </c>
      <c r="FY128" s="595">
        <f t="shared" si="327"/>
        <v>0</v>
      </c>
      <c r="FZ128" s="1439">
        <f t="shared" si="327"/>
        <v>8457784.870000001</v>
      </c>
      <c r="GA128" s="597">
        <f t="shared" si="327"/>
        <v>8915927.9729999993</v>
      </c>
      <c r="GB128" s="597">
        <f t="shared" si="327"/>
        <v>8258680.3509999998</v>
      </c>
      <c r="GC128" s="597">
        <f t="shared" si="327"/>
        <v>0</v>
      </c>
      <c r="GD128" s="597">
        <f t="shared" si="327"/>
        <v>0</v>
      </c>
      <c r="GE128" s="597">
        <f t="shared" si="327"/>
        <v>8915927.9729999993</v>
      </c>
      <c r="GF128" s="597">
        <f t="shared" si="327"/>
        <v>8258680.3509999998</v>
      </c>
      <c r="GG128" s="1429">
        <f>GF128/R128</f>
        <v>0.17183028393643265</v>
      </c>
      <c r="GH128" s="595">
        <f t="shared" ref="GH128:GM128" si="328">SUM(GH125:GH127)</f>
        <v>4875417.5600000005</v>
      </c>
      <c r="GI128" s="595">
        <f t="shared" si="328"/>
        <v>2704568.5900000003</v>
      </c>
      <c r="GJ128" s="595">
        <f t="shared" si="328"/>
        <v>17404547.059999999</v>
      </c>
      <c r="GK128" s="595">
        <f t="shared" si="328"/>
        <v>15599671.530000001</v>
      </c>
      <c r="GL128" s="595">
        <f t="shared" si="328"/>
        <v>22279964.619999997</v>
      </c>
      <c r="GM128" s="595">
        <f t="shared" si="328"/>
        <v>18304240.120000001</v>
      </c>
      <c r="GN128" s="1436">
        <f>GM128/S128</f>
        <v>0.38225286426386268</v>
      </c>
      <c r="GO128" s="1408">
        <f>FY128/T128</f>
        <v>0</v>
      </c>
      <c r="GP128" s="1418">
        <f t="shared" ref="GP128:HL128" si="329">SUM(GP125:GP127)</f>
        <v>0</v>
      </c>
      <c r="GQ128" s="1418">
        <f t="shared" si="329"/>
        <v>0</v>
      </c>
      <c r="GR128" s="1434">
        <f t="shared" si="329"/>
        <v>0</v>
      </c>
      <c r="GS128" s="1419">
        <f t="shared" si="329"/>
        <v>0</v>
      </c>
      <c r="GT128" s="1419">
        <f t="shared" si="329"/>
        <v>0</v>
      </c>
      <c r="GU128" s="1419">
        <f t="shared" si="329"/>
        <v>0</v>
      </c>
      <c r="GV128" s="1419">
        <f t="shared" si="329"/>
        <v>0</v>
      </c>
      <c r="GW128" s="1419">
        <f t="shared" si="329"/>
        <v>0</v>
      </c>
      <c r="GX128" s="1432">
        <f t="shared" si="329"/>
        <v>0</v>
      </c>
      <c r="GY128" s="1418">
        <f t="shared" si="329"/>
        <v>1143404.3900000001</v>
      </c>
      <c r="GZ128" s="1418">
        <f t="shared" si="329"/>
        <v>68051.78</v>
      </c>
      <c r="HA128" s="1418">
        <f t="shared" si="329"/>
        <v>0</v>
      </c>
      <c r="HB128" s="1418">
        <f t="shared" si="329"/>
        <v>0</v>
      </c>
      <c r="HC128" s="1418">
        <f t="shared" si="329"/>
        <v>1143404.3900000001</v>
      </c>
      <c r="HD128" s="1576">
        <f t="shared" si="329"/>
        <v>68051.78</v>
      </c>
      <c r="HE128" s="1681">
        <f t="shared" si="329"/>
        <v>0</v>
      </c>
      <c r="HF128" s="1439">
        <f t="shared" si="329"/>
        <v>8457784.870000001</v>
      </c>
      <c r="HG128" s="597">
        <f t="shared" si="329"/>
        <v>8915927.9729999993</v>
      </c>
      <c r="HH128" s="597">
        <f t="shared" si="329"/>
        <v>8258680.3509999998</v>
      </c>
      <c r="HI128" s="597">
        <f t="shared" si="329"/>
        <v>0</v>
      </c>
      <c r="HJ128" s="597">
        <f t="shared" si="329"/>
        <v>0</v>
      </c>
      <c r="HK128" s="597">
        <f t="shared" si="329"/>
        <v>8915927.9729999993</v>
      </c>
      <c r="HL128" s="597">
        <f t="shared" si="329"/>
        <v>8258680.3509999998</v>
      </c>
      <c r="HM128" s="600">
        <f t="shared" si="254"/>
        <v>0.17183028393643265</v>
      </c>
      <c r="HN128" s="595">
        <f t="shared" ref="HN128:HS128" si="330">SUM(HN125:HN127)</f>
        <v>6018821.9500000011</v>
      </c>
      <c r="HO128" s="595">
        <f t="shared" si="330"/>
        <v>2772620.37</v>
      </c>
      <c r="HP128" s="595">
        <f t="shared" si="330"/>
        <v>17404547.059999999</v>
      </c>
      <c r="HQ128" s="595">
        <f t="shared" si="330"/>
        <v>15599671.530000001</v>
      </c>
      <c r="HR128" s="595">
        <f t="shared" si="330"/>
        <v>23423369.009999998</v>
      </c>
      <c r="HS128" s="595">
        <f t="shared" si="330"/>
        <v>18372291.900000002</v>
      </c>
      <c r="HT128" s="1166">
        <f t="shared" si="255"/>
        <v>0.38367400972812216</v>
      </c>
      <c r="HU128" s="1622">
        <f t="shared" si="256"/>
        <v>0</v>
      </c>
    </row>
    <row r="129" spans="1:231" s="101" customFormat="1" ht="26.25" customHeight="1" thickBot="1" x14ac:dyDescent="0.25">
      <c r="A129" s="3707"/>
      <c r="B129" s="3662"/>
      <c r="C129" s="616"/>
      <c r="D129" s="617" t="s">
        <v>142</v>
      </c>
      <c r="E129" s="1736">
        <f>E128+E123</f>
        <v>4681</v>
      </c>
      <c r="F129" s="619">
        <f>F123+F128</f>
        <v>332401.56000000011</v>
      </c>
      <c r="G129" s="619">
        <f t="shared" ref="G129:G134" si="331">F129/E129</f>
        <v>71.010801110873771</v>
      </c>
      <c r="H129" s="618">
        <f>H128+H123</f>
        <v>1056</v>
      </c>
      <c r="I129" s="619">
        <f>I123+I128</f>
        <v>12076.470000000001</v>
      </c>
      <c r="J129" s="619">
        <f>I129/H129</f>
        <v>11.436051136363638</v>
      </c>
      <c r="K129" s="618">
        <f>K128+K123</f>
        <v>265</v>
      </c>
      <c r="L129" s="619">
        <f>L123+L128</f>
        <v>15216.980000000003</v>
      </c>
      <c r="M129" s="619">
        <f>L129/K129</f>
        <v>57.422566037735862</v>
      </c>
      <c r="N129" s="620">
        <f>N128+N123</f>
        <v>359695.01000000007</v>
      </c>
      <c r="O129" s="619">
        <f>O123+O128</f>
        <v>38588134.289999999</v>
      </c>
      <c r="P129" s="619">
        <f>P123+P128</f>
        <v>1821425698.1110775</v>
      </c>
      <c r="Q129" s="619">
        <f>Q123+Q128</f>
        <v>355498924.28033733</v>
      </c>
      <c r="R129" s="619">
        <f>R123+R128</f>
        <v>2219562346.9714165</v>
      </c>
      <c r="S129" s="619">
        <f>S123+S128</f>
        <v>2219384500.1914163</v>
      </c>
      <c r="T129" s="620">
        <f>T123+T128+T124</f>
        <v>497062054.14208394</v>
      </c>
      <c r="U129" s="619">
        <f>U123+U128+U124</f>
        <v>0</v>
      </c>
      <c r="V129" s="619">
        <f>V123+V128+V124</f>
        <v>7653064.2299999995</v>
      </c>
      <c r="W129" s="619">
        <f t="shared" ref="W129:AD129" si="332">W123+W128+W124</f>
        <v>7389862.6239999998</v>
      </c>
      <c r="X129" s="619">
        <f t="shared" si="332"/>
        <v>4439715.9589999998</v>
      </c>
      <c r="Y129" s="619">
        <f t="shared" si="332"/>
        <v>0</v>
      </c>
      <c r="Z129" s="619">
        <f t="shared" si="332"/>
        <v>0</v>
      </c>
      <c r="AA129" s="619">
        <f t="shared" si="332"/>
        <v>7389862.6239999998</v>
      </c>
      <c r="AB129" s="619">
        <f t="shared" si="332"/>
        <v>4439715.9589999998</v>
      </c>
      <c r="AC129" s="621">
        <f t="shared" ref="AC129:AC148" si="333">AB129/R129</f>
        <v>2.0002663881273594E-3</v>
      </c>
      <c r="AD129" s="619">
        <f t="shared" si="332"/>
        <v>1985716.1199999999</v>
      </c>
      <c r="AE129" s="619">
        <f>AE123+AE128+AE124</f>
        <v>2651456.7600000002</v>
      </c>
      <c r="AF129" s="619">
        <f>AF123+AF128+AF124</f>
        <v>3263279.15</v>
      </c>
      <c r="AG129" s="619">
        <f>AG123+AG128+AG124</f>
        <v>14081208.210000001</v>
      </c>
      <c r="AH129" s="619">
        <f>AH123+AH128+AH124</f>
        <v>5248995.2699999996</v>
      </c>
      <c r="AI129" s="619">
        <f>AI123+AI128+AI124</f>
        <v>16732664.970000001</v>
      </c>
      <c r="AJ129" s="621">
        <f t="shared" si="264"/>
        <v>7.5393267676497023E-3</v>
      </c>
      <c r="AK129" s="623">
        <f t="shared" ref="AK129:AK136" si="334">U129/T129</f>
        <v>0</v>
      </c>
      <c r="AL129" s="619">
        <f t="shared" ref="AL129:BH129" si="335">AL123+AL128+AL124</f>
        <v>0</v>
      </c>
      <c r="AM129" s="619">
        <f t="shared" si="335"/>
        <v>0</v>
      </c>
      <c r="AN129" s="619">
        <f t="shared" si="335"/>
        <v>786585.74</v>
      </c>
      <c r="AO129" s="619">
        <f t="shared" si="335"/>
        <v>1349067.6540000001</v>
      </c>
      <c r="AP129" s="619">
        <f t="shared" si="335"/>
        <v>1454438.7459999998</v>
      </c>
      <c r="AQ129" s="619">
        <f t="shared" si="335"/>
        <v>0</v>
      </c>
      <c r="AR129" s="619">
        <f t="shared" si="335"/>
        <v>0</v>
      </c>
      <c r="AS129" s="619">
        <f t="shared" si="335"/>
        <v>1349067.6540000001</v>
      </c>
      <c r="AT129" s="619">
        <f t="shared" si="335"/>
        <v>1454438.7459999998</v>
      </c>
      <c r="AU129" s="619">
        <f t="shared" si="335"/>
        <v>200964.22</v>
      </c>
      <c r="AV129" s="619">
        <f t="shared" si="335"/>
        <v>-131629.32999999999</v>
      </c>
      <c r="AW129" s="619">
        <f t="shared" si="335"/>
        <v>0</v>
      </c>
      <c r="AX129" s="619">
        <f t="shared" si="335"/>
        <v>1489430.5799999998</v>
      </c>
      <c r="AY129" s="619">
        <f t="shared" si="335"/>
        <v>200964.22</v>
      </c>
      <c r="AZ129" s="619">
        <f t="shared" si="335"/>
        <v>1357801.2499999998</v>
      </c>
      <c r="BA129" s="619">
        <f t="shared" si="335"/>
        <v>0</v>
      </c>
      <c r="BB129" s="619">
        <f t="shared" si="335"/>
        <v>8439649.9699999988</v>
      </c>
      <c r="BC129" s="619">
        <f t="shared" si="335"/>
        <v>8738930.277999999</v>
      </c>
      <c r="BD129" s="619">
        <f t="shared" si="335"/>
        <v>5894154.7050000001</v>
      </c>
      <c r="BE129" s="619">
        <f t="shared" si="335"/>
        <v>0</v>
      </c>
      <c r="BF129" s="619">
        <f t="shared" si="335"/>
        <v>0</v>
      </c>
      <c r="BG129" s="619">
        <f t="shared" si="335"/>
        <v>8738930.277999999</v>
      </c>
      <c r="BH129" s="619">
        <f t="shared" si="335"/>
        <v>5894154.7050000001</v>
      </c>
      <c r="BI129" s="621">
        <f t="shared" si="266"/>
        <v>2.6555481593218363E-3</v>
      </c>
      <c r="BJ129" s="619">
        <f t="shared" ref="BJ129:BO129" si="336">BJ123+BJ128+BJ124</f>
        <v>2186680.34</v>
      </c>
      <c r="BK129" s="619">
        <f t="shared" si="336"/>
        <v>2519827.4300000006</v>
      </c>
      <c r="BL129" s="619">
        <f t="shared" si="336"/>
        <v>3263279.15</v>
      </c>
      <c r="BM129" s="619">
        <f t="shared" si="336"/>
        <v>15570638.790000001</v>
      </c>
      <c r="BN129" s="619">
        <f t="shared" si="336"/>
        <v>5449959.4900000002</v>
      </c>
      <c r="BO129" s="619">
        <f t="shared" si="336"/>
        <v>18090466.220000003</v>
      </c>
      <c r="BP129" s="621">
        <f t="shared" si="286"/>
        <v>8.1511185729375626E-3</v>
      </c>
      <c r="BQ129" s="623">
        <f t="shared" si="268"/>
        <v>0</v>
      </c>
      <c r="BR129" s="619">
        <f t="shared" ref="BR129:CN129" si="337">BR123+BR128+BR124</f>
        <v>0</v>
      </c>
      <c r="BS129" s="619">
        <f t="shared" si="337"/>
        <v>0</v>
      </c>
      <c r="BT129" s="619">
        <f t="shared" si="337"/>
        <v>0</v>
      </c>
      <c r="BU129" s="619">
        <f t="shared" si="337"/>
        <v>19066.82</v>
      </c>
      <c r="BV129" s="619">
        <f t="shared" si="337"/>
        <v>76392.94</v>
      </c>
      <c r="BW129" s="619">
        <f t="shared" si="337"/>
        <v>0</v>
      </c>
      <c r="BX129" s="619">
        <f t="shared" si="337"/>
        <v>0</v>
      </c>
      <c r="BY129" s="619">
        <f t="shared" si="337"/>
        <v>19066.82</v>
      </c>
      <c r="BZ129" s="619">
        <f t="shared" si="337"/>
        <v>76392.94</v>
      </c>
      <c r="CA129" s="619">
        <f t="shared" si="337"/>
        <v>200964.22</v>
      </c>
      <c r="CB129" s="619">
        <f t="shared" si="337"/>
        <v>0</v>
      </c>
      <c r="CC129" s="619">
        <f t="shared" si="337"/>
        <v>14141267.91</v>
      </c>
      <c r="CD129" s="619">
        <f t="shared" si="337"/>
        <v>0</v>
      </c>
      <c r="CE129" s="619">
        <f t="shared" si="337"/>
        <v>14342232.130000001</v>
      </c>
      <c r="CF129" s="619">
        <f t="shared" si="337"/>
        <v>0</v>
      </c>
      <c r="CG129" s="619">
        <f t="shared" si="337"/>
        <v>0</v>
      </c>
      <c r="CH129" s="619">
        <f t="shared" si="337"/>
        <v>8439649.9699999988</v>
      </c>
      <c r="CI129" s="619">
        <f t="shared" si="337"/>
        <v>8757997.0979999993</v>
      </c>
      <c r="CJ129" s="619">
        <f t="shared" si="337"/>
        <v>5970547.6450000005</v>
      </c>
      <c r="CK129" s="619">
        <f t="shared" si="337"/>
        <v>0</v>
      </c>
      <c r="CL129" s="619">
        <f t="shared" si="337"/>
        <v>0</v>
      </c>
      <c r="CM129" s="619">
        <f t="shared" si="337"/>
        <v>8757997.0979999993</v>
      </c>
      <c r="CN129" s="619">
        <f t="shared" si="337"/>
        <v>5970547.6450000005</v>
      </c>
      <c r="CO129" s="621">
        <f t="shared" ref="CO129:CO146" si="338">CN129/R129</f>
        <v>2.6899661787589736E-3</v>
      </c>
      <c r="CP129" s="619">
        <f t="shared" ref="CP129:CU129" si="339">CP123+CP128+CP124</f>
        <v>2387644.56</v>
      </c>
      <c r="CQ129" s="619">
        <f t="shared" si="339"/>
        <v>2519827.4300000006</v>
      </c>
      <c r="CR129" s="619">
        <f t="shared" si="339"/>
        <v>17404547.059999999</v>
      </c>
      <c r="CS129" s="619">
        <f t="shared" si="339"/>
        <v>15570638.790000001</v>
      </c>
      <c r="CT129" s="619">
        <f t="shared" si="339"/>
        <v>19792191.620000001</v>
      </c>
      <c r="CU129" s="619">
        <f t="shared" si="339"/>
        <v>18090466.220000003</v>
      </c>
      <c r="CV129" s="621">
        <f t="shared" ref="CV129:CV146" si="340">CU129/S129</f>
        <v>8.1511185729375626E-3</v>
      </c>
      <c r="CW129" s="623">
        <f t="shared" ref="CW129:CW136" si="341">CG129/T129</f>
        <v>0</v>
      </c>
      <c r="CX129" s="619">
        <f t="shared" ref="CX129:DT129" si="342">CX123+CX128+CX124</f>
        <v>0</v>
      </c>
      <c r="CY129" s="619">
        <f t="shared" si="342"/>
        <v>0</v>
      </c>
      <c r="CZ129" s="619">
        <f t="shared" si="342"/>
        <v>0</v>
      </c>
      <c r="DA129" s="619">
        <f t="shared" si="342"/>
        <v>157930.875</v>
      </c>
      <c r="DB129" s="619">
        <f t="shared" si="342"/>
        <v>597045.03899999999</v>
      </c>
      <c r="DC129" s="619">
        <f t="shared" si="342"/>
        <v>0</v>
      </c>
      <c r="DD129" s="619">
        <f t="shared" si="342"/>
        <v>0</v>
      </c>
      <c r="DE129" s="619">
        <f t="shared" si="342"/>
        <v>157930.875</v>
      </c>
      <c r="DF129" s="619">
        <f t="shared" si="342"/>
        <v>597045.03899999999</v>
      </c>
      <c r="DG129" s="619">
        <f t="shared" si="342"/>
        <v>200964.22</v>
      </c>
      <c r="DH129" s="619">
        <f t="shared" si="342"/>
        <v>42944</v>
      </c>
      <c r="DI129" s="619">
        <f t="shared" si="342"/>
        <v>0</v>
      </c>
      <c r="DJ129" s="619">
        <f t="shared" si="342"/>
        <v>0</v>
      </c>
      <c r="DK129" s="619">
        <f t="shared" si="342"/>
        <v>200964.22</v>
      </c>
      <c r="DL129" s="620">
        <f t="shared" si="342"/>
        <v>42944</v>
      </c>
      <c r="DM129" s="619">
        <f t="shared" si="342"/>
        <v>0</v>
      </c>
      <c r="DN129" s="619">
        <f t="shared" si="342"/>
        <v>8439649.9699999988</v>
      </c>
      <c r="DO129" s="619">
        <f t="shared" si="342"/>
        <v>8915927.9729999993</v>
      </c>
      <c r="DP129" s="619">
        <f t="shared" si="342"/>
        <v>6567592.6840000004</v>
      </c>
      <c r="DQ129" s="619">
        <f t="shared" si="342"/>
        <v>0</v>
      </c>
      <c r="DR129" s="619">
        <f t="shared" si="342"/>
        <v>0</v>
      </c>
      <c r="DS129" s="619">
        <f t="shared" si="342"/>
        <v>8915927.9729999993</v>
      </c>
      <c r="DT129" s="619">
        <f t="shared" si="342"/>
        <v>6567592.6840000004</v>
      </c>
      <c r="DU129" s="1449">
        <f t="shared" si="245"/>
        <v>2.9589584149151984E-3</v>
      </c>
      <c r="DV129" s="619">
        <f t="shared" ref="DV129:EA129" si="343">DV123+DV128+DV124</f>
        <v>2588608.7800000003</v>
      </c>
      <c r="DW129" s="619">
        <f t="shared" si="343"/>
        <v>2562771.4300000006</v>
      </c>
      <c r="DX129" s="619">
        <f t="shared" si="343"/>
        <v>17404547.059999999</v>
      </c>
      <c r="DY129" s="619">
        <f t="shared" si="343"/>
        <v>15570638.790000001</v>
      </c>
      <c r="DZ129" s="619">
        <f t="shared" si="343"/>
        <v>19993155.84</v>
      </c>
      <c r="EA129" s="619">
        <f t="shared" si="343"/>
        <v>18133410.220000003</v>
      </c>
      <c r="EB129" s="621">
        <f t="shared" si="313"/>
        <v>8.1704680817749429E-3</v>
      </c>
      <c r="EC129" s="623">
        <f t="shared" si="314"/>
        <v>0</v>
      </c>
      <c r="ED129" s="619">
        <f t="shared" ref="ED129:EZ129" si="344">ED123+ED128+ED124</f>
        <v>0</v>
      </c>
      <c r="EE129" s="619">
        <f t="shared" si="344"/>
        <v>0</v>
      </c>
      <c r="EF129" s="619">
        <f t="shared" si="344"/>
        <v>18134.900000000001</v>
      </c>
      <c r="EG129" s="619">
        <f t="shared" si="344"/>
        <v>0</v>
      </c>
      <c r="EH129" s="619">
        <f t="shared" si="344"/>
        <v>2007188.9369999997</v>
      </c>
      <c r="EI129" s="619">
        <f t="shared" si="344"/>
        <v>0</v>
      </c>
      <c r="EJ129" s="619">
        <f t="shared" si="344"/>
        <v>0</v>
      </c>
      <c r="EK129" s="619">
        <f t="shared" si="344"/>
        <v>0</v>
      </c>
      <c r="EL129" s="619">
        <f t="shared" si="344"/>
        <v>2007188.9369999997</v>
      </c>
      <c r="EM129" s="619">
        <f t="shared" si="344"/>
        <v>1143404.3900000001</v>
      </c>
      <c r="EN129" s="619">
        <f t="shared" si="344"/>
        <v>72148.36</v>
      </c>
      <c r="EO129" s="619">
        <f t="shared" si="344"/>
        <v>0</v>
      </c>
      <c r="EP129" s="619">
        <f t="shared" si="344"/>
        <v>29032.74</v>
      </c>
      <c r="EQ129" s="619">
        <f t="shared" si="344"/>
        <v>1143404.3900000001</v>
      </c>
      <c r="ER129" s="620">
        <f t="shared" si="344"/>
        <v>101181.1</v>
      </c>
      <c r="ES129" s="619">
        <f t="shared" si="344"/>
        <v>0</v>
      </c>
      <c r="ET129" s="619">
        <f t="shared" si="344"/>
        <v>8457784.870000001</v>
      </c>
      <c r="EU129" s="619">
        <f t="shared" si="344"/>
        <v>8915927.9729999993</v>
      </c>
      <c r="EV129" s="619">
        <f t="shared" si="344"/>
        <v>8574781.6209999993</v>
      </c>
      <c r="EW129" s="619">
        <f t="shared" si="344"/>
        <v>0</v>
      </c>
      <c r="EX129" s="619">
        <f t="shared" si="344"/>
        <v>0</v>
      </c>
      <c r="EY129" s="619">
        <f t="shared" si="344"/>
        <v>8915927.9729999993</v>
      </c>
      <c r="EZ129" s="619">
        <f t="shared" si="344"/>
        <v>8574781.6209999993</v>
      </c>
      <c r="FA129" s="1449">
        <f t="shared" si="298"/>
        <v>3.8632758537737195E-3</v>
      </c>
      <c r="FB129" s="619">
        <f t="shared" ref="FB129:FG129" si="345">FB123+FB128+FB124</f>
        <v>3732013.1700000004</v>
      </c>
      <c r="FC129" s="619">
        <f t="shared" si="345"/>
        <v>2634919.7900000005</v>
      </c>
      <c r="FD129" s="619">
        <f t="shared" si="345"/>
        <v>17404547.059999999</v>
      </c>
      <c r="FE129" s="619">
        <f t="shared" si="345"/>
        <v>15599671.530000001</v>
      </c>
      <c r="FF129" s="619">
        <f t="shared" si="345"/>
        <v>21136560.23</v>
      </c>
      <c r="FG129" s="619">
        <f t="shared" si="345"/>
        <v>18234591.32</v>
      </c>
      <c r="FH129" s="1505">
        <f t="shared" si="315"/>
        <v>8.2160577936933928E-3</v>
      </c>
      <c r="FI129" s="623">
        <f t="shared" si="316"/>
        <v>0</v>
      </c>
      <c r="FJ129" s="619">
        <f t="shared" ref="FJ129:GF129" si="346">FJ123+FJ128+FJ124</f>
        <v>0</v>
      </c>
      <c r="FK129" s="619">
        <f t="shared" si="346"/>
        <v>0</v>
      </c>
      <c r="FL129" s="619">
        <f t="shared" si="346"/>
        <v>0</v>
      </c>
      <c r="FM129" s="619">
        <f t="shared" si="346"/>
        <v>0</v>
      </c>
      <c r="FN129" s="619">
        <f t="shared" si="346"/>
        <v>141924.6</v>
      </c>
      <c r="FO129" s="619">
        <f t="shared" si="346"/>
        <v>0</v>
      </c>
      <c r="FP129" s="619">
        <f t="shared" si="346"/>
        <v>0</v>
      </c>
      <c r="FQ129" s="619">
        <f t="shared" si="346"/>
        <v>0</v>
      </c>
      <c r="FR129" s="619">
        <f t="shared" si="346"/>
        <v>141924.6</v>
      </c>
      <c r="FS129" s="619">
        <f t="shared" si="346"/>
        <v>1143404.3900000001</v>
      </c>
      <c r="FT129" s="619">
        <f t="shared" si="346"/>
        <v>157694</v>
      </c>
      <c r="FU129" s="619">
        <f t="shared" si="346"/>
        <v>0</v>
      </c>
      <c r="FV129" s="619">
        <f t="shared" si="346"/>
        <v>0</v>
      </c>
      <c r="FW129" s="619">
        <f t="shared" si="346"/>
        <v>1143404.3900000001</v>
      </c>
      <c r="FX129" s="620">
        <f t="shared" si="346"/>
        <v>157694</v>
      </c>
      <c r="FY129" s="619">
        <f t="shared" si="346"/>
        <v>0</v>
      </c>
      <c r="FZ129" s="619">
        <f t="shared" si="346"/>
        <v>8457784.870000001</v>
      </c>
      <c r="GA129" s="619">
        <f t="shared" si="346"/>
        <v>8915927.9729999993</v>
      </c>
      <c r="GB129" s="619">
        <f t="shared" si="346"/>
        <v>8716706.220999999</v>
      </c>
      <c r="GC129" s="619">
        <f t="shared" si="346"/>
        <v>0</v>
      </c>
      <c r="GD129" s="619">
        <f t="shared" si="346"/>
        <v>0</v>
      </c>
      <c r="GE129" s="619">
        <f t="shared" si="346"/>
        <v>8915927.9729999993</v>
      </c>
      <c r="GF129" s="619">
        <f t="shared" si="346"/>
        <v>8716706.220999999</v>
      </c>
      <c r="GG129" s="1449">
        <f t="shared" ref="GG129:GG146" si="347">GF129/R129</f>
        <v>3.9272184594831986E-3</v>
      </c>
      <c r="GH129" s="619">
        <f t="shared" ref="GH129:GM129" si="348">GH123+GH128+GH124</f>
        <v>4875417.5600000005</v>
      </c>
      <c r="GI129" s="619">
        <f t="shared" si="348"/>
        <v>2792613.7900000005</v>
      </c>
      <c r="GJ129" s="619">
        <f t="shared" si="348"/>
        <v>17404547.059999999</v>
      </c>
      <c r="GK129" s="619">
        <f t="shared" si="348"/>
        <v>15599671.530000001</v>
      </c>
      <c r="GL129" s="619">
        <f t="shared" si="348"/>
        <v>22279964.619999997</v>
      </c>
      <c r="GM129" s="619">
        <f t="shared" si="348"/>
        <v>18392285.32</v>
      </c>
      <c r="GN129" s="1505">
        <f t="shared" si="302"/>
        <v>8.2871108266340116E-3</v>
      </c>
      <c r="GO129" s="623">
        <f t="shared" si="303"/>
        <v>0</v>
      </c>
      <c r="GP129" s="619">
        <f t="shared" ref="GP129:HL129" si="349">GP123+GP128+GP124</f>
        <v>0</v>
      </c>
      <c r="GQ129" s="619">
        <f t="shared" si="349"/>
        <v>0</v>
      </c>
      <c r="GR129" s="619">
        <f t="shared" si="349"/>
        <v>0</v>
      </c>
      <c r="GS129" s="619">
        <f t="shared" si="349"/>
        <v>0</v>
      </c>
      <c r="GT129" s="619">
        <f t="shared" si="349"/>
        <v>0</v>
      </c>
      <c r="GU129" s="619">
        <f t="shared" si="349"/>
        <v>0</v>
      </c>
      <c r="GV129" s="619">
        <f t="shared" si="349"/>
        <v>0</v>
      </c>
      <c r="GW129" s="619">
        <f t="shared" si="349"/>
        <v>0</v>
      </c>
      <c r="GX129" s="619">
        <f t="shared" si="349"/>
        <v>0</v>
      </c>
      <c r="GY129" s="619">
        <f t="shared" si="349"/>
        <v>1143404.3900000001</v>
      </c>
      <c r="GZ129" s="619">
        <f t="shared" si="349"/>
        <v>68051.78</v>
      </c>
      <c r="HA129" s="619">
        <f t="shared" si="349"/>
        <v>0</v>
      </c>
      <c r="HB129" s="619">
        <f t="shared" si="349"/>
        <v>0</v>
      </c>
      <c r="HC129" s="619">
        <f t="shared" si="349"/>
        <v>1143404.3900000001</v>
      </c>
      <c r="HD129" s="620">
        <f t="shared" si="349"/>
        <v>68051.78</v>
      </c>
      <c r="HE129" s="1682">
        <f t="shared" si="349"/>
        <v>0</v>
      </c>
      <c r="HF129" s="619">
        <f t="shared" si="349"/>
        <v>8457784.870000001</v>
      </c>
      <c r="HG129" s="619">
        <f t="shared" si="349"/>
        <v>8915927.9729999993</v>
      </c>
      <c r="HH129" s="619">
        <f t="shared" si="349"/>
        <v>8716706.220999999</v>
      </c>
      <c r="HI129" s="619">
        <f t="shared" si="349"/>
        <v>0</v>
      </c>
      <c r="HJ129" s="619">
        <f t="shared" si="349"/>
        <v>0</v>
      </c>
      <c r="HK129" s="619">
        <f t="shared" si="349"/>
        <v>8915927.9729999993</v>
      </c>
      <c r="HL129" s="619">
        <f t="shared" si="349"/>
        <v>8716706.220999999</v>
      </c>
      <c r="HM129" s="1449">
        <f>HL129/R129</f>
        <v>3.9272184594831986E-3</v>
      </c>
      <c r="HN129" s="619">
        <f t="shared" ref="HN129:HS129" si="350">HN123+HN128+HN124</f>
        <v>6018821.9500000011</v>
      </c>
      <c r="HO129" s="619">
        <f t="shared" si="350"/>
        <v>2860665.5700000003</v>
      </c>
      <c r="HP129" s="619">
        <f t="shared" si="350"/>
        <v>17404547.059999999</v>
      </c>
      <c r="HQ129" s="619">
        <f t="shared" si="350"/>
        <v>15599671.530000001</v>
      </c>
      <c r="HR129" s="619">
        <f t="shared" si="350"/>
        <v>23423369.009999998</v>
      </c>
      <c r="HS129" s="1734">
        <f t="shared" si="350"/>
        <v>18460337.100000001</v>
      </c>
      <c r="HT129" s="1507">
        <f>HS129/S129</f>
        <v>8.3177732828213606E-3</v>
      </c>
      <c r="HU129" s="697">
        <f>HE129/T129</f>
        <v>0</v>
      </c>
    </row>
    <row r="130" spans="1:231" s="102" customFormat="1" ht="22.5" customHeight="1" thickBot="1" x14ac:dyDescent="0.25">
      <c r="A130" s="3707"/>
      <c r="B130" s="3655" t="s">
        <v>500</v>
      </c>
      <c r="C130" s="1737">
        <v>1</v>
      </c>
      <c r="D130" s="1738" t="s">
        <v>336</v>
      </c>
      <c r="E130" s="1739">
        <v>37</v>
      </c>
      <c r="F130" s="1733">
        <v>2360</v>
      </c>
      <c r="G130" s="1740">
        <f xml:space="preserve"> F130/E130</f>
        <v>63.783783783783782</v>
      </c>
      <c r="H130" s="1741">
        <v>0</v>
      </c>
      <c r="I130" s="1733">
        <v>0</v>
      </c>
      <c r="J130" s="1733">
        <v>0</v>
      </c>
      <c r="K130" s="1741">
        <v>0</v>
      </c>
      <c r="L130" s="1733">
        <v>0</v>
      </c>
      <c r="M130" s="1733">
        <v>0</v>
      </c>
      <c r="N130" s="1742">
        <f>L130+I130+F130</f>
        <v>2360</v>
      </c>
      <c r="O130" s="1743">
        <v>1530728.66</v>
      </c>
      <c r="P130" s="1733">
        <v>13223012.83</v>
      </c>
      <c r="Q130" s="1744">
        <v>2842780.86</v>
      </c>
      <c r="R130" s="1733">
        <f>SUM(O130:Q130)</f>
        <v>17596522.350000001</v>
      </c>
      <c r="S130" s="1745">
        <f>R130</f>
        <v>17596522.350000001</v>
      </c>
      <c r="T130" s="1746">
        <v>3401744.59</v>
      </c>
      <c r="U130" s="979">
        <v>2656326.87</v>
      </c>
      <c r="V130" s="979">
        <v>0</v>
      </c>
      <c r="W130" s="1266">
        <v>4910948.43</v>
      </c>
      <c r="X130" s="1073">
        <v>5485780.8599999994</v>
      </c>
      <c r="Y130" s="1073">
        <v>2842781.19</v>
      </c>
      <c r="Z130" s="1073">
        <v>4325902.6900000004</v>
      </c>
      <c r="AA130" s="1267">
        <f>W130+Y130</f>
        <v>7753729.6199999992</v>
      </c>
      <c r="AB130" s="1073">
        <f>X130+Z130</f>
        <v>9811683.5500000007</v>
      </c>
      <c r="AC130" s="939">
        <f>AB130/R130</f>
        <v>0.55759219661946446</v>
      </c>
      <c r="AD130" s="979">
        <v>7663285.4800000004</v>
      </c>
      <c r="AE130" s="979">
        <v>12656523.280000001</v>
      </c>
      <c r="AF130" s="979">
        <v>0</v>
      </c>
      <c r="AG130" s="979">
        <v>0</v>
      </c>
      <c r="AH130" s="984">
        <f>AD130+AF130</f>
        <v>7663285.4800000004</v>
      </c>
      <c r="AI130" s="979">
        <f>AE130+AG130</f>
        <v>12656523.280000001</v>
      </c>
      <c r="AJ130" s="1076">
        <f t="shared" si="264"/>
        <v>0.71926276273561518</v>
      </c>
      <c r="AK130" s="1077">
        <f t="shared" si="334"/>
        <v>0.78087193195183424</v>
      </c>
      <c r="AL130" s="986"/>
      <c r="AM130" s="1747"/>
      <c r="AN130" s="1748">
        <f>neprodano!BP76</f>
        <v>0</v>
      </c>
      <c r="AO130" s="1749">
        <v>1260265.3999999999</v>
      </c>
      <c r="AP130" s="1750">
        <f>24400+2307020.01</f>
        <v>2331420.0099999998</v>
      </c>
      <c r="AQ130" s="1750"/>
      <c r="AR130" s="1750"/>
      <c r="AS130" s="1750">
        <f>AO130+AQ130</f>
        <v>1260265.3999999999</v>
      </c>
      <c r="AT130" s="1751">
        <f>AP130+AR130</f>
        <v>2331420.0099999998</v>
      </c>
      <c r="AU130" s="986">
        <v>4126384.49</v>
      </c>
      <c r="AV130" s="1747">
        <f>neprodano!BO87</f>
        <v>195077.35</v>
      </c>
      <c r="AW130" s="1747"/>
      <c r="AX130" s="1747"/>
      <c r="AY130" s="1747">
        <f>AU130+AW130</f>
        <v>4126384.49</v>
      </c>
      <c r="AZ130" s="1752">
        <f>AV130+AX130</f>
        <v>195077.35</v>
      </c>
      <c r="BA130" s="1753">
        <f t="shared" ref="BA130:BH130" si="351">U130+AM130</f>
        <v>2656326.87</v>
      </c>
      <c r="BB130" s="1754">
        <f t="shared" si="351"/>
        <v>0</v>
      </c>
      <c r="BC130" s="1266">
        <f t="shared" si="351"/>
        <v>6171213.8300000001</v>
      </c>
      <c r="BD130" s="1267">
        <f t="shared" si="351"/>
        <v>7817200.8699999992</v>
      </c>
      <c r="BE130" s="1267">
        <f t="shared" si="351"/>
        <v>2842781.19</v>
      </c>
      <c r="BF130" s="1267">
        <f t="shared" si="351"/>
        <v>4325902.6900000004</v>
      </c>
      <c r="BG130" s="1267">
        <f t="shared" si="351"/>
        <v>9013995.0199999996</v>
      </c>
      <c r="BH130" s="1267">
        <f t="shared" si="351"/>
        <v>12143103.560000001</v>
      </c>
      <c r="BI130" s="939">
        <f t="shared" si="266"/>
        <v>0.69008542247553817</v>
      </c>
      <c r="BJ130" s="1269">
        <f t="shared" ref="BJ130:BO130" si="352">AD130+AU130</f>
        <v>11789669.970000001</v>
      </c>
      <c r="BK130" s="1270">
        <f t="shared" si="352"/>
        <v>12851600.630000001</v>
      </c>
      <c r="BL130" s="1270">
        <f t="shared" si="352"/>
        <v>0</v>
      </c>
      <c r="BM130" s="1270">
        <f t="shared" si="352"/>
        <v>0</v>
      </c>
      <c r="BN130" s="1270">
        <f t="shared" si="352"/>
        <v>11789669.970000001</v>
      </c>
      <c r="BO130" s="1270">
        <f t="shared" si="352"/>
        <v>12851600.630000001</v>
      </c>
      <c r="BP130" s="1275">
        <f t="shared" si="286"/>
        <v>0.73034889362670008</v>
      </c>
      <c r="BQ130" s="1735">
        <f t="shared" si="268"/>
        <v>0.78087193195183424</v>
      </c>
      <c r="BR130" s="986"/>
      <c r="BS130" s="1747"/>
      <c r="BT130" s="1748"/>
      <c r="BU130" s="1749">
        <v>1260265.3999999999</v>
      </c>
      <c r="BV130" s="1750">
        <v>2145452.7000000002</v>
      </c>
      <c r="BW130" s="1750"/>
      <c r="BX130" s="1750"/>
      <c r="BY130" s="1750">
        <f>BU130+BW130</f>
        <v>1260265.3999999999</v>
      </c>
      <c r="BZ130" s="1751">
        <f>BV130+BX130</f>
        <v>2145452.7000000002</v>
      </c>
      <c r="CA130" s="986"/>
      <c r="CB130" s="1747">
        <f>neprodano!BW87</f>
        <v>0</v>
      </c>
      <c r="CC130" s="1747"/>
      <c r="CD130" s="1747">
        <f>neprodano!BZ76</f>
        <v>0</v>
      </c>
      <c r="CE130" s="1747">
        <f>CA130+CC130</f>
        <v>0</v>
      </c>
      <c r="CF130" s="1752">
        <f>CB130+CD130</f>
        <v>0</v>
      </c>
      <c r="CG130" s="1755">
        <f t="shared" ref="CG130:CN130" si="353">BA130+BS130</f>
        <v>2656326.87</v>
      </c>
      <c r="CH130" s="1754">
        <f t="shared" si="353"/>
        <v>0</v>
      </c>
      <c r="CI130" s="1266">
        <f t="shared" si="353"/>
        <v>7431479.2300000004</v>
      </c>
      <c r="CJ130" s="1267">
        <f t="shared" si="353"/>
        <v>9962653.5700000003</v>
      </c>
      <c r="CK130" s="1267">
        <f t="shared" si="353"/>
        <v>2842781.19</v>
      </c>
      <c r="CL130" s="1267">
        <f t="shared" si="353"/>
        <v>4325902.6900000004</v>
      </c>
      <c r="CM130" s="1267">
        <f t="shared" si="353"/>
        <v>10274260.42</v>
      </c>
      <c r="CN130" s="1267">
        <f t="shared" si="353"/>
        <v>14288556.260000002</v>
      </c>
      <c r="CO130" s="939">
        <f>CN130/R130</f>
        <v>0.81201023564749997</v>
      </c>
      <c r="CP130" s="1269">
        <f t="shared" ref="CP130:CU130" si="354">BJ130+CA130</f>
        <v>11789669.970000001</v>
      </c>
      <c r="CQ130" s="1270">
        <f t="shared" si="354"/>
        <v>12851600.630000001</v>
      </c>
      <c r="CR130" s="1270">
        <f t="shared" si="354"/>
        <v>0</v>
      </c>
      <c r="CS130" s="1270">
        <f t="shared" si="354"/>
        <v>0</v>
      </c>
      <c r="CT130" s="1270">
        <f t="shared" si="354"/>
        <v>11789669.970000001</v>
      </c>
      <c r="CU130" s="1270">
        <f t="shared" si="354"/>
        <v>12851600.630000001</v>
      </c>
      <c r="CV130" s="1275">
        <f>CU130/S130</f>
        <v>0.73034889362670008</v>
      </c>
      <c r="CW130" s="1735">
        <f t="shared" si="341"/>
        <v>0.78087193195183424</v>
      </c>
      <c r="CX130" s="986"/>
      <c r="CY130" s="1747"/>
      <c r="CZ130" s="1748">
        <f>neprodano!CF87</f>
        <v>0</v>
      </c>
      <c r="DA130" s="1749">
        <v>1260265.3999999999</v>
      </c>
      <c r="DB130" s="1750">
        <f>24600*2+896326.66</f>
        <v>945526.66</v>
      </c>
      <c r="DC130" s="1750"/>
      <c r="DD130" s="1750"/>
      <c r="DE130" s="1750">
        <f>DA130+DC130</f>
        <v>1260265.3999999999</v>
      </c>
      <c r="DF130" s="1751">
        <f>DB130+DD130</f>
        <v>945526.66</v>
      </c>
      <c r="DG130" s="986"/>
      <c r="DH130" s="1747">
        <f>neprodano!CE87</f>
        <v>0</v>
      </c>
      <c r="DI130" s="1747"/>
      <c r="DJ130" s="1747">
        <f>neprodano!CH76</f>
        <v>0</v>
      </c>
      <c r="DK130" s="1747">
        <f>DG130+DI130</f>
        <v>0</v>
      </c>
      <c r="DL130" s="1752">
        <f>DH130+DJ130</f>
        <v>0</v>
      </c>
      <c r="DM130" s="1755">
        <f t="shared" ref="DM130:DT130" si="355">CG130+CY130</f>
        <v>2656326.87</v>
      </c>
      <c r="DN130" s="1754">
        <f t="shared" si="355"/>
        <v>0</v>
      </c>
      <c r="DO130" s="1266">
        <f t="shared" si="355"/>
        <v>8691744.6300000008</v>
      </c>
      <c r="DP130" s="1267">
        <f t="shared" si="355"/>
        <v>10908180.23</v>
      </c>
      <c r="DQ130" s="1267">
        <f t="shared" si="355"/>
        <v>2842781.19</v>
      </c>
      <c r="DR130" s="1267">
        <f t="shared" si="355"/>
        <v>4325902.6900000004</v>
      </c>
      <c r="DS130" s="1267">
        <f t="shared" si="355"/>
        <v>11534525.82</v>
      </c>
      <c r="DT130" s="1267">
        <f t="shared" si="355"/>
        <v>15234082.920000002</v>
      </c>
      <c r="DU130" s="939">
        <f t="shared" si="245"/>
        <v>0.86574395877717281</v>
      </c>
      <c r="DV130" s="1269">
        <f t="shared" ref="DV130:EA130" si="356">CP130+DG130</f>
        <v>11789669.970000001</v>
      </c>
      <c r="DW130" s="1270">
        <f t="shared" si="356"/>
        <v>12851600.630000001</v>
      </c>
      <c r="DX130" s="1270">
        <f t="shared" si="356"/>
        <v>0</v>
      </c>
      <c r="DY130" s="1270">
        <f t="shared" si="356"/>
        <v>0</v>
      </c>
      <c r="DZ130" s="1270">
        <f t="shared" si="356"/>
        <v>11789669.970000001</v>
      </c>
      <c r="EA130" s="1270">
        <f t="shared" si="356"/>
        <v>12851600.630000001</v>
      </c>
      <c r="EB130" s="1275">
        <f>EA130/S130</f>
        <v>0.73034889362670008</v>
      </c>
      <c r="EC130" s="1735">
        <f t="shared" si="314"/>
        <v>0.78087193195183424</v>
      </c>
      <c r="ED130" s="986"/>
      <c r="EE130" s="1747"/>
      <c r="EF130" s="1748">
        <f>neprodano!CN87</f>
        <v>0</v>
      </c>
      <c r="EG130" s="1749">
        <v>1260265.3999999999</v>
      </c>
      <c r="EH130" s="1750">
        <v>333853.45</v>
      </c>
      <c r="EI130" s="1750"/>
      <c r="EJ130" s="1750"/>
      <c r="EK130" s="1750">
        <f>EG130+EI130</f>
        <v>1260265.3999999999</v>
      </c>
      <c r="EL130" s="1751">
        <f>EH130+EJ130</f>
        <v>333853.45</v>
      </c>
      <c r="EM130" s="986"/>
      <c r="EN130" s="1747">
        <f>neprodano!CM87</f>
        <v>0</v>
      </c>
      <c r="EO130" s="1747"/>
      <c r="EP130" s="1747">
        <f>neprodano!CP76</f>
        <v>0</v>
      </c>
      <c r="EQ130" s="1747">
        <f>EM130+EO130</f>
        <v>0</v>
      </c>
      <c r="ER130" s="1752">
        <f>EN130+EP130</f>
        <v>0</v>
      </c>
      <c r="ES130" s="1755">
        <f>DM130+EE130</f>
        <v>2656326.87</v>
      </c>
      <c r="ET130" s="1754">
        <f>DN130+EF130</f>
        <v>0</v>
      </c>
      <c r="EU130" s="1266">
        <f t="shared" ref="EU130:EZ130" si="357">EG130+DO130</f>
        <v>9952010.0300000012</v>
      </c>
      <c r="EV130" s="1756">
        <f t="shared" si="357"/>
        <v>11242033.68</v>
      </c>
      <c r="EW130" s="1757">
        <f t="shared" si="357"/>
        <v>2842781.19</v>
      </c>
      <c r="EX130" s="1267">
        <f t="shared" si="357"/>
        <v>4325902.6900000004</v>
      </c>
      <c r="EY130" s="1073">
        <f t="shared" si="357"/>
        <v>12794791.220000001</v>
      </c>
      <c r="EZ130" s="1073">
        <f t="shared" si="357"/>
        <v>15567936.370000001</v>
      </c>
      <c r="FA130" s="939">
        <f>EZ130/R130</f>
        <v>0.88471665368583463</v>
      </c>
      <c r="FB130" s="1269">
        <f t="shared" ref="FB130:FG130" si="358">DV130+EM130</f>
        <v>11789669.970000001</v>
      </c>
      <c r="FC130" s="1270">
        <f t="shared" si="358"/>
        <v>12851600.630000001</v>
      </c>
      <c r="FD130" s="1270">
        <f t="shared" si="358"/>
        <v>0</v>
      </c>
      <c r="FE130" s="1270">
        <f t="shared" si="358"/>
        <v>0</v>
      </c>
      <c r="FF130" s="1270">
        <f t="shared" si="358"/>
        <v>11789669.970000001</v>
      </c>
      <c r="FG130" s="1270">
        <f t="shared" si="358"/>
        <v>12851600.630000001</v>
      </c>
      <c r="FH130" s="1275">
        <f>FG130/S130</f>
        <v>0.73034889362670008</v>
      </c>
      <c r="FI130" s="1735">
        <f t="shared" si="316"/>
        <v>0.78087193195183424</v>
      </c>
      <c r="FJ130" s="986"/>
      <c r="FK130" s="1747"/>
      <c r="FL130" s="1758">
        <v>58611.68</v>
      </c>
      <c r="FM130" s="1749">
        <v>1260265.3999999999</v>
      </c>
      <c r="FN130" s="1750">
        <v>12300</v>
      </c>
      <c r="FO130" s="1750"/>
      <c r="FP130" s="1750"/>
      <c r="FQ130" s="1750">
        <f>FM130+FO130</f>
        <v>1260265.3999999999</v>
      </c>
      <c r="FR130" s="1751">
        <f>FN130+FP130</f>
        <v>12300</v>
      </c>
      <c r="FS130" s="986"/>
      <c r="FT130" s="1747">
        <f>neprodano!CU87</f>
        <v>106969.17</v>
      </c>
      <c r="FU130" s="1747"/>
      <c r="FV130" s="1747">
        <f>neprodano!CX76</f>
        <v>0</v>
      </c>
      <c r="FW130" s="1747">
        <f>FS130+FU130</f>
        <v>0</v>
      </c>
      <c r="FX130" s="1752">
        <f>FT130+FV130</f>
        <v>106969.17</v>
      </c>
      <c r="FY130" s="1759">
        <f>ES130+FK130</f>
        <v>2656326.87</v>
      </c>
      <c r="FZ130" s="1754">
        <f>ET130+FL130</f>
        <v>58611.68</v>
      </c>
      <c r="GA130" s="1756">
        <f t="shared" ref="GA130:GF130" si="359">FM130+EU130</f>
        <v>11212275.430000002</v>
      </c>
      <c r="GB130" s="1267">
        <f t="shared" si="359"/>
        <v>11254333.68</v>
      </c>
      <c r="GC130" s="1267">
        <f t="shared" si="359"/>
        <v>2842781.19</v>
      </c>
      <c r="GD130" s="1267">
        <f t="shared" si="359"/>
        <v>4325902.6900000004</v>
      </c>
      <c r="GE130" s="1267">
        <f t="shared" si="359"/>
        <v>14055056.620000001</v>
      </c>
      <c r="GF130" s="1073">
        <f t="shared" si="359"/>
        <v>15580236.370000001</v>
      </c>
      <c r="GG130" s="939">
        <f>GF130/R130</f>
        <v>0.88541565544057632</v>
      </c>
      <c r="GH130" s="1269">
        <f t="shared" ref="GH130:GM130" si="360">FB130+FS130</f>
        <v>11789669.970000001</v>
      </c>
      <c r="GI130" s="1270">
        <f t="shared" si="360"/>
        <v>12958569.800000001</v>
      </c>
      <c r="GJ130" s="1270">
        <f t="shared" si="360"/>
        <v>0</v>
      </c>
      <c r="GK130" s="1270">
        <f t="shared" si="360"/>
        <v>0</v>
      </c>
      <c r="GL130" s="1270">
        <f t="shared" si="360"/>
        <v>11789669.970000001</v>
      </c>
      <c r="GM130" s="1270">
        <f t="shared" si="360"/>
        <v>12958569.800000001</v>
      </c>
      <c r="GN130" s="1275">
        <f>GM130/S130</f>
        <v>0.73642788854810282</v>
      </c>
      <c r="GO130" s="1735">
        <f t="shared" si="303"/>
        <v>0.78087193195183424</v>
      </c>
      <c r="GP130" s="986">
        <v>0</v>
      </c>
      <c r="GQ130" s="1747">
        <v>0</v>
      </c>
      <c r="GR130" s="1758">
        <f>neprodano!DD87</f>
        <v>3234087.12</v>
      </c>
      <c r="GS130" s="1749">
        <v>1260265.3999999999</v>
      </c>
      <c r="GT130" s="1750">
        <f>375272.51+3444+252+252+252+1000726.65</f>
        <v>1380199.1600000001</v>
      </c>
      <c r="GU130" s="1750"/>
      <c r="GV130" s="1750"/>
      <c r="GW130" s="1750">
        <f>GS130+GU130</f>
        <v>1260265.3999999999</v>
      </c>
      <c r="GX130" s="1751">
        <f>GT130+GV130</f>
        <v>1380199.1600000001</v>
      </c>
      <c r="GY130" s="986"/>
      <c r="GZ130" s="1747">
        <f>neprodano!DC87</f>
        <v>297221.67</v>
      </c>
      <c r="HA130" s="1747"/>
      <c r="HB130" s="1747">
        <f>neprodano!DF87</f>
        <v>5891557.2300000004</v>
      </c>
      <c r="HC130" s="1747">
        <f>GY130+HA130</f>
        <v>0</v>
      </c>
      <c r="HD130" s="1752">
        <f>GZ130+HB130</f>
        <v>6188778.9000000004</v>
      </c>
      <c r="HE130" s="1760">
        <f>FY130+GQ130</f>
        <v>2656326.87</v>
      </c>
      <c r="HF130" s="1754">
        <f>FZ130+GR130</f>
        <v>3292698.8000000003</v>
      </c>
      <c r="HG130" s="1756">
        <f t="shared" ref="HG130:HL130" si="361">GS130+GA130</f>
        <v>12472540.830000002</v>
      </c>
      <c r="HH130" s="1267">
        <f t="shared" si="361"/>
        <v>12634532.84</v>
      </c>
      <c r="HI130" s="1267">
        <f t="shared" si="361"/>
        <v>2842781.19</v>
      </c>
      <c r="HJ130" s="1267">
        <f t="shared" si="361"/>
        <v>4325902.6900000004</v>
      </c>
      <c r="HK130" s="1267">
        <f t="shared" si="361"/>
        <v>15315322.020000001</v>
      </c>
      <c r="HL130" s="1073">
        <f t="shared" si="361"/>
        <v>16960435.530000001</v>
      </c>
      <c r="HM130" s="939">
        <f>HL130/R130</f>
        <v>0.9638515607034136</v>
      </c>
      <c r="HN130" s="1269">
        <f t="shared" ref="HN130:HS130" si="362">GH130+GY130</f>
        <v>11789669.970000001</v>
      </c>
      <c r="HO130" s="1270">
        <f t="shared" si="362"/>
        <v>13255791.470000001</v>
      </c>
      <c r="HP130" s="1270">
        <f t="shared" si="362"/>
        <v>0</v>
      </c>
      <c r="HQ130" s="1270">
        <f t="shared" si="362"/>
        <v>5891557.2300000004</v>
      </c>
      <c r="HR130" s="1270">
        <f t="shared" si="362"/>
        <v>11789669.970000001</v>
      </c>
      <c r="HS130" s="1270">
        <f t="shared" si="362"/>
        <v>19147348.700000003</v>
      </c>
      <c r="HT130" s="1162">
        <f>HS130/S130</f>
        <v>1.0881325479633766</v>
      </c>
      <c r="HU130" s="955">
        <f>HE130/T130</f>
        <v>0.78087193195183424</v>
      </c>
    </row>
    <row r="131" spans="1:231" s="101" customFormat="1" ht="32.25" customHeight="1" thickBot="1" x14ac:dyDescent="0.25">
      <c r="A131" s="3707"/>
      <c r="B131" s="3656"/>
      <c r="C131" s="643"/>
      <c r="D131" s="644" t="s">
        <v>135</v>
      </c>
      <c r="E131" s="645">
        <f>SUM(E130:E130)</f>
        <v>37</v>
      </c>
      <c r="F131" s="646">
        <f>SUM(F130:F130)</f>
        <v>2360</v>
      </c>
      <c r="G131" s="646">
        <f t="shared" si="331"/>
        <v>63.783783783783782</v>
      </c>
      <c r="H131" s="645">
        <f>SUM(H130:H130)</f>
        <v>0</v>
      </c>
      <c r="I131" s="646">
        <f>SUM(I130:I130)</f>
        <v>0</v>
      </c>
      <c r="J131" s="646">
        <v>0</v>
      </c>
      <c r="K131" s="645">
        <f>SUM(K130:K130)</f>
        <v>0</v>
      </c>
      <c r="L131" s="646">
        <f>SUM(L130:L130)</f>
        <v>0</v>
      </c>
      <c r="M131" s="646">
        <v>64.263750000000002</v>
      </c>
      <c r="N131" s="647">
        <f t="shared" ref="N131:AB131" si="363">SUM(N130:N130)</f>
        <v>2360</v>
      </c>
      <c r="O131" s="646">
        <f t="shared" si="363"/>
        <v>1530728.66</v>
      </c>
      <c r="P131" s="646">
        <f t="shared" si="363"/>
        <v>13223012.83</v>
      </c>
      <c r="Q131" s="646">
        <f t="shared" si="363"/>
        <v>2842780.86</v>
      </c>
      <c r="R131" s="646">
        <f t="shared" si="363"/>
        <v>17596522.350000001</v>
      </c>
      <c r="S131" s="646">
        <f t="shared" si="363"/>
        <v>17596522.350000001</v>
      </c>
      <c r="T131" s="647">
        <f t="shared" si="363"/>
        <v>3401744.59</v>
      </c>
      <c r="U131" s="189">
        <f t="shared" si="363"/>
        <v>2656326.87</v>
      </c>
      <c r="V131" s="189">
        <f t="shared" si="363"/>
        <v>0</v>
      </c>
      <c r="W131" s="189">
        <f t="shared" si="363"/>
        <v>4910948.43</v>
      </c>
      <c r="X131" s="189">
        <f t="shared" si="363"/>
        <v>5485780.8599999994</v>
      </c>
      <c r="Y131" s="189">
        <f t="shared" si="363"/>
        <v>2842781.19</v>
      </c>
      <c r="Z131" s="189">
        <f t="shared" si="363"/>
        <v>4325902.6900000004</v>
      </c>
      <c r="AA131" s="189">
        <f t="shared" si="363"/>
        <v>7753729.6199999992</v>
      </c>
      <c r="AB131" s="189">
        <f t="shared" si="363"/>
        <v>9811683.5500000007</v>
      </c>
      <c r="AC131" s="649">
        <f t="shared" si="333"/>
        <v>0.55759219661946446</v>
      </c>
      <c r="AD131" s="646">
        <f t="shared" ref="AD131:AI131" si="364">SUM(AD130:AD130)</f>
        <v>7663285.4800000004</v>
      </c>
      <c r="AE131" s="646">
        <f t="shared" si="364"/>
        <v>12656523.280000001</v>
      </c>
      <c r="AF131" s="646">
        <f t="shared" si="364"/>
        <v>0</v>
      </c>
      <c r="AG131" s="646">
        <f t="shared" si="364"/>
        <v>0</v>
      </c>
      <c r="AH131" s="646">
        <f t="shared" si="364"/>
        <v>7663285.4800000004</v>
      </c>
      <c r="AI131" s="646">
        <f t="shared" si="364"/>
        <v>12656523.280000001</v>
      </c>
      <c r="AJ131" s="649">
        <f t="shared" si="264"/>
        <v>0.71926276273561518</v>
      </c>
      <c r="AK131" s="697">
        <f t="shared" si="334"/>
        <v>0.78087193195183424</v>
      </c>
      <c r="AL131" s="189">
        <f t="shared" ref="AL131:BH131" si="365">SUM(AL130:AL130)</f>
        <v>0</v>
      </c>
      <c r="AM131" s="189">
        <f t="shared" si="365"/>
        <v>0</v>
      </c>
      <c r="AN131" s="189">
        <f t="shared" si="365"/>
        <v>0</v>
      </c>
      <c r="AO131" s="189">
        <f t="shared" si="365"/>
        <v>1260265.3999999999</v>
      </c>
      <c r="AP131" s="189">
        <f t="shared" si="365"/>
        <v>2331420.0099999998</v>
      </c>
      <c r="AQ131" s="189">
        <f t="shared" si="365"/>
        <v>0</v>
      </c>
      <c r="AR131" s="189">
        <f t="shared" si="365"/>
        <v>0</v>
      </c>
      <c r="AS131" s="189">
        <f t="shared" si="365"/>
        <v>1260265.3999999999</v>
      </c>
      <c r="AT131" s="189">
        <f t="shared" si="365"/>
        <v>2331420.0099999998</v>
      </c>
      <c r="AU131" s="189">
        <f t="shared" si="365"/>
        <v>4126384.49</v>
      </c>
      <c r="AV131" s="189">
        <f t="shared" si="365"/>
        <v>195077.35</v>
      </c>
      <c r="AW131" s="189">
        <f t="shared" si="365"/>
        <v>0</v>
      </c>
      <c r="AX131" s="189">
        <f t="shared" si="365"/>
        <v>0</v>
      </c>
      <c r="AY131" s="189">
        <f t="shared" si="365"/>
        <v>4126384.49</v>
      </c>
      <c r="AZ131" s="648">
        <f t="shared" si="365"/>
        <v>195077.35</v>
      </c>
      <c r="BA131" s="189">
        <f t="shared" si="365"/>
        <v>2656326.87</v>
      </c>
      <c r="BB131" s="189">
        <f t="shared" si="365"/>
        <v>0</v>
      </c>
      <c r="BC131" s="189">
        <f t="shared" si="365"/>
        <v>6171213.8300000001</v>
      </c>
      <c r="BD131" s="189">
        <f t="shared" si="365"/>
        <v>7817200.8699999992</v>
      </c>
      <c r="BE131" s="189">
        <f t="shared" si="365"/>
        <v>2842781.19</v>
      </c>
      <c r="BF131" s="189">
        <f t="shared" si="365"/>
        <v>4325902.6900000004</v>
      </c>
      <c r="BG131" s="189">
        <f t="shared" si="365"/>
        <v>9013995.0199999996</v>
      </c>
      <c r="BH131" s="189">
        <f t="shared" si="365"/>
        <v>12143103.560000001</v>
      </c>
      <c r="BI131" s="649">
        <f t="shared" si="266"/>
        <v>0.69008542247553817</v>
      </c>
      <c r="BJ131" s="646">
        <f t="shared" ref="BJ131:BO131" si="366">SUM(BJ130:BJ130)</f>
        <v>11789669.970000001</v>
      </c>
      <c r="BK131" s="646">
        <f t="shared" si="366"/>
        <v>12851600.630000001</v>
      </c>
      <c r="BL131" s="646">
        <f t="shared" si="366"/>
        <v>0</v>
      </c>
      <c r="BM131" s="646">
        <f t="shared" si="366"/>
        <v>0</v>
      </c>
      <c r="BN131" s="646">
        <f t="shared" si="366"/>
        <v>11789669.970000001</v>
      </c>
      <c r="BO131" s="646">
        <f t="shared" si="366"/>
        <v>12851600.630000001</v>
      </c>
      <c r="BP131" s="649">
        <f t="shared" si="286"/>
        <v>0.73034889362670008</v>
      </c>
      <c r="BQ131" s="697">
        <f t="shared" si="268"/>
        <v>0.78087193195183424</v>
      </c>
      <c r="BR131" s="189">
        <f t="shared" ref="BR131:CN131" si="367">SUM(BR130:BR130)</f>
        <v>0</v>
      </c>
      <c r="BS131" s="189">
        <f t="shared" si="367"/>
        <v>0</v>
      </c>
      <c r="BT131" s="189">
        <f t="shared" si="367"/>
        <v>0</v>
      </c>
      <c r="BU131" s="189">
        <f t="shared" si="367"/>
        <v>1260265.3999999999</v>
      </c>
      <c r="BV131" s="189">
        <f t="shared" si="367"/>
        <v>2145452.7000000002</v>
      </c>
      <c r="BW131" s="189">
        <f t="shared" si="367"/>
        <v>0</v>
      </c>
      <c r="BX131" s="189">
        <f t="shared" si="367"/>
        <v>0</v>
      </c>
      <c r="BY131" s="189">
        <f t="shared" si="367"/>
        <v>1260265.3999999999</v>
      </c>
      <c r="BZ131" s="189">
        <f t="shared" si="367"/>
        <v>2145452.7000000002</v>
      </c>
      <c r="CA131" s="189">
        <f t="shared" si="367"/>
        <v>0</v>
      </c>
      <c r="CB131" s="189">
        <f t="shared" si="367"/>
        <v>0</v>
      </c>
      <c r="CC131" s="189">
        <f t="shared" si="367"/>
        <v>0</v>
      </c>
      <c r="CD131" s="189">
        <f t="shared" si="367"/>
        <v>0</v>
      </c>
      <c r="CE131" s="189">
        <f t="shared" si="367"/>
        <v>0</v>
      </c>
      <c r="CF131" s="648">
        <f t="shared" si="367"/>
        <v>0</v>
      </c>
      <c r="CG131" s="189">
        <f t="shared" si="367"/>
        <v>2656326.87</v>
      </c>
      <c r="CH131" s="189">
        <f t="shared" si="367"/>
        <v>0</v>
      </c>
      <c r="CI131" s="189">
        <f t="shared" si="367"/>
        <v>7431479.2300000004</v>
      </c>
      <c r="CJ131" s="189">
        <f t="shared" si="367"/>
        <v>9962653.5700000003</v>
      </c>
      <c r="CK131" s="189">
        <f t="shared" si="367"/>
        <v>2842781.19</v>
      </c>
      <c r="CL131" s="189">
        <f t="shared" si="367"/>
        <v>4325902.6900000004</v>
      </c>
      <c r="CM131" s="189">
        <f t="shared" si="367"/>
        <v>10274260.42</v>
      </c>
      <c r="CN131" s="189">
        <f t="shared" si="367"/>
        <v>14288556.260000002</v>
      </c>
      <c r="CO131" s="649">
        <f t="shared" si="338"/>
        <v>0.81201023564749997</v>
      </c>
      <c r="CP131" s="646">
        <f t="shared" ref="CP131:CU131" si="368">SUM(CP130:CP130)</f>
        <v>11789669.970000001</v>
      </c>
      <c r="CQ131" s="646">
        <f t="shared" si="368"/>
        <v>12851600.630000001</v>
      </c>
      <c r="CR131" s="646">
        <f t="shared" si="368"/>
        <v>0</v>
      </c>
      <c r="CS131" s="646">
        <f t="shared" si="368"/>
        <v>0</v>
      </c>
      <c r="CT131" s="646">
        <f t="shared" si="368"/>
        <v>11789669.970000001</v>
      </c>
      <c r="CU131" s="646">
        <f t="shared" si="368"/>
        <v>12851600.630000001</v>
      </c>
      <c r="CV131" s="649">
        <f t="shared" si="340"/>
        <v>0.73034889362670008</v>
      </c>
      <c r="CW131" s="697">
        <f t="shared" si="341"/>
        <v>0.78087193195183424</v>
      </c>
      <c r="CX131" s="189">
        <f t="shared" ref="CX131:DT131" si="369">SUM(CX130:CX130)</f>
        <v>0</v>
      </c>
      <c r="CY131" s="189">
        <f t="shared" si="369"/>
        <v>0</v>
      </c>
      <c r="CZ131" s="189">
        <f t="shared" si="369"/>
        <v>0</v>
      </c>
      <c r="DA131" s="189">
        <f t="shared" si="369"/>
        <v>1260265.3999999999</v>
      </c>
      <c r="DB131" s="189">
        <f t="shared" si="369"/>
        <v>945526.66</v>
      </c>
      <c r="DC131" s="189">
        <f t="shared" si="369"/>
        <v>0</v>
      </c>
      <c r="DD131" s="189">
        <f t="shared" si="369"/>
        <v>0</v>
      </c>
      <c r="DE131" s="189">
        <f t="shared" si="369"/>
        <v>1260265.3999999999</v>
      </c>
      <c r="DF131" s="189">
        <f t="shared" si="369"/>
        <v>945526.66</v>
      </c>
      <c r="DG131" s="189">
        <f t="shared" si="369"/>
        <v>0</v>
      </c>
      <c r="DH131" s="189">
        <f t="shared" si="369"/>
        <v>0</v>
      </c>
      <c r="DI131" s="189">
        <f t="shared" si="369"/>
        <v>0</v>
      </c>
      <c r="DJ131" s="189">
        <f t="shared" si="369"/>
        <v>0</v>
      </c>
      <c r="DK131" s="189">
        <f t="shared" si="369"/>
        <v>0</v>
      </c>
      <c r="DL131" s="648">
        <f t="shared" si="369"/>
        <v>0</v>
      </c>
      <c r="DM131" s="189">
        <f t="shared" si="369"/>
        <v>2656326.87</v>
      </c>
      <c r="DN131" s="189">
        <f t="shared" si="369"/>
        <v>0</v>
      </c>
      <c r="DO131" s="189">
        <f t="shared" si="369"/>
        <v>8691744.6300000008</v>
      </c>
      <c r="DP131" s="189">
        <f t="shared" si="369"/>
        <v>10908180.23</v>
      </c>
      <c r="DQ131" s="189">
        <f t="shared" si="369"/>
        <v>2842781.19</v>
      </c>
      <c r="DR131" s="189">
        <f t="shared" si="369"/>
        <v>4325902.6900000004</v>
      </c>
      <c r="DS131" s="189">
        <f t="shared" si="369"/>
        <v>11534525.82</v>
      </c>
      <c r="DT131" s="189">
        <f t="shared" si="369"/>
        <v>15234082.920000002</v>
      </c>
      <c r="DU131" s="1515">
        <f t="shared" si="245"/>
        <v>0.86574395877717281</v>
      </c>
      <c r="DV131" s="646">
        <f t="shared" ref="DV131:EA131" si="370">SUM(DV130:DV130)</f>
        <v>11789669.970000001</v>
      </c>
      <c r="DW131" s="646">
        <f t="shared" si="370"/>
        <v>12851600.630000001</v>
      </c>
      <c r="DX131" s="646">
        <f t="shared" si="370"/>
        <v>0</v>
      </c>
      <c r="DY131" s="646">
        <f t="shared" si="370"/>
        <v>0</v>
      </c>
      <c r="DZ131" s="646">
        <f t="shared" si="370"/>
        <v>11789669.970000001</v>
      </c>
      <c r="EA131" s="646">
        <f t="shared" si="370"/>
        <v>12851600.630000001</v>
      </c>
      <c r="EB131" s="649">
        <f t="shared" si="313"/>
        <v>0.73034889362670008</v>
      </c>
      <c r="EC131" s="697">
        <f t="shared" si="314"/>
        <v>0.78087193195183424</v>
      </c>
      <c r="ED131" s="189">
        <f t="shared" ref="ED131:EZ131" si="371">SUM(ED130:ED130)</f>
        <v>0</v>
      </c>
      <c r="EE131" s="189">
        <f t="shared" si="371"/>
        <v>0</v>
      </c>
      <c r="EF131" s="189">
        <f t="shared" si="371"/>
        <v>0</v>
      </c>
      <c r="EG131" s="189">
        <f t="shared" si="371"/>
        <v>1260265.3999999999</v>
      </c>
      <c r="EH131" s="189">
        <f t="shared" si="371"/>
        <v>333853.45</v>
      </c>
      <c r="EI131" s="189">
        <f t="shared" si="371"/>
        <v>0</v>
      </c>
      <c r="EJ131" s="189">
        <f t="shared" si="371"/>
        <v>0</v>
      </c>
      <c r="EK131" s="189">
        <f t="shared" si="371"/>
        <v>1260265.3999999999</v>
      </c>
      <c r="EL131" s="189">
        <f t="shared" si="371"/>
        <v>333853.45</v>
      </c>
      <c r="EM131" s="189">
        <f t="shared" si="371"/>
        <v>0</v>
      </c>
      <c r="EN131" s="189">
        <f t="shared" si="371"/>
        <v>0</v>
      </c>
      <c r="EO131" s="189">
        <f t="shared" si="371"/>
        <v>0</v>
      </c>
      <c r="EP131" s="189">
        <f t="shared" si="371"/>
        <v>0</v>
      </c>
      <c r="EQ131" s="189">
        <f t="shared" si="371"/>
        <v>0</v>
      </c>
      <c r="ER131" s="648">
        <f t="shared" si="371"/>
        <v>0</v>
      </c>
      <c r="ES131" s="189">
        <f t="shared" si="371"/>
        <v>2656326.87</v>
      </c>
      <c r="ET131" s="189">
        <f t="shared" si="371"/>
        <v>0</v>
      </c>
      <c r="EU131" s="188">
        <f t="shared" si="371"/>
        <v>9952010.0300000012</v>
      </c>
      <c r="EV131" s="188">
        <f t="shared" si="371"/>
        <v>11242033.68</v>
      </c>
      <c r="EW131" s="188">
        <f t="shared" si="371"/>
        <v>2842781.19</v>
      </c>
      <c r="EX131" s="188">
        <f t="shared" si="371"/>
        <v>4325902.6900000004</v>
      </c>
      <c r="EY131" s="188">
        <f t="shared" si="371"/>
        <v>12794791.220000001</v>
      </c>
      <c r="EZ131" s="188">
        <f t="shared" si="371"/>
        <v>15567936.370000001</v>
      </c>
      <c r="FA131" s="1504">
        <v>0</v>
      </c>
      <c r="FB131" s="345">
        <f t="shared" ref="FB131:FG131" si="372">SUM(FB130:FB130)</f>
        <v>11789669.970000001</v>
      </c>
      <c r="FC131" s="345">
        <f t="shared" si="372"/>
        <v>12851600.630000001</v>
      </c>
      <c r="FD131" s="345">
        <f t="shared" si="372"/>
        <v>0</v>
      </c>
      <c r="FE131" s="345">
        <f t="shared" si="372"/>
        <v>0</v>
      </c>
      <c r="FF131" s="345">
        <f t="shared" si="372"/>
        <v>11789669.970000001</v>
      </c>
      <c r="FG131" s="345">
        <f t="shared" si="372"/>
        <v>12851600.630000001</v>
      </c>
      <c r="FH131" s="1507">
        <v>0</v>
      </c>
      <c r="FI131" s="697">
        <v>0</v>
      </c>
      <c r="FJ131" s="189">
        <f t="shared" ref="FJ131:GF131" si="373">SUM(FJ130:FJ130)</f>
        <v>0</v>
      </c>
      <c r="FK131" s="189">
        <f t="shared" si="373"/>
        <v>0</v>
      </c>
      <c r="FL131" s="189">
        <f t="shared" si="373"/>
        <v>58611.68</v>
      </c>
      <c r="FM131" s="189">
        <f t="shared" si="373"/>
        <v>1260265.3999999999</v>
      </c>
      <c r="FN131" s="189">
        <f t="shared" si="373"/>
        <v>12300</v>
      </c>
      <c r="FO131" s="189">
        <f t="shared" si="373"/>
        <v>0</v>
      </c>
      <c r="FP131" s="189">
        <f t="shared" si="373"/>
        <v>0</v>
      </c>
      <c r="FQ131" s="189">
        <f t="shared" si="373"/>
        <v>1260265.3999999999</v>
      </c>
      <c r="FR131" s="189">
        <f t="shared" si="373"/>
        <v>12300</v>
      </c>
      <c r="FS131" s="189">
        <f t="shared" si="373"/>
        <v>0</v>
      </c>
      <c r="FT131" s="189">
        <f t="shared" si="373"/>
        <v>106969.17</v>
      </c>
      <c r="FU131" s="189">
        <f t="shared" si="373"/>
        <v>0</v>
      </c>
      <c r="FV131" s="189">
        <f t="shared" si="373"/>
        <v>0</v>
      </c>
      <c r="FW131" s="189">
        <f t="shared" si="373"/>
        <v>0</v>
      </c>
      <c r="FX131" s="648">
        <f t="shared" si="373"/>
        <v>106969.17</v>
      </c>
      <c r="FY131" s="189">
        <f t="shared" si="373"/>
        <v>2656326.87</v>
      </c>
      <c r="FZ131" s="189">
        <f t="shared" si="373"/>
        <v>58611.68</v>
      </c>
      <c r="GA131" s="188">
        <f t="shared" si="373"/>
        <v>11212275.430000002</v>
      </c>
      <c r="GB131" s="188">
        <f t="shared" si="373"/>
        <v>11254333.68</v>
      </c>
      <c r="GC131" s="188">
        <f t="shared" si="373"/>
        <v>2842781.19</v>
      </c>
      <c r="GD131" s="188">
        <f t="shared" si="373"/>
        <v>4325902.6900000004</v>
      </c>
      <c r="GE131" s="188">
        <f t="shared" si="373"/>
        <v>14055056.620000001</v>
      </c>
      <c r="GF131" s="188">
        <f t="shared" si="373"/>
        <v>15580236.370000001</v>
      </c>
      <c r="GG131" s="1504">
        <v>0</v>
      </c>
      <c r="GH131" s="345">
        <f t="shared" ref="GH131:GM131" si="374">SUM(GH130:GH130)</f>
        <v>11789669.970000001</v>
      </c>
      <c r="GI131" s="345">
        <f t="shared" si="374"/>
        <v>12958569.800000001</v>
      </c>
      <c r="GJ131" s="345">
        <f t="shared" si="374"/>
        <v>0</v>
      </c>
      <c r="GK131" s="345">
        <f t="shared" si="374"/>
        <v>0</v>
      </c>
      <c r="GL131" s="345">
        <f t="shared" si="374"/>
        <v>11789669.970000001</v>
      </c>
      <c r="GM131" s="345">
        <f t="shared" si="374"/>
        <v>12958569.800000001</v>
      </c>
      <c r="GN131" s="1507">
        <v>0</v>
      </c>
      <c r="GO131" s="697">
        <v>0</v>
      </c>
      <c r="GP131" s="189">
        <f t="shared" ref="GP131:HL131" si="375">SUM(GP130:GP130)</f>
        <v>0</v>
      </c>
      <c r="GQ131" s="189">
        <f t="shared" si="375"/>
        <v>0</v>
      </c>
      <c r="GR131" s="189">
        <f t="shared" si="375"/>
        <v>3234087.12</v>
      </c>
      <c r="GS131" s="189">
        <f t="shared" si="375"/>
        <v>1260265.3999999999</v>
      </c>
      <c r="GT131" s="189">
        <f t="shared" si="375"/>
        <v>1380199.1600000001</v>
      </c>
      <c r="GU131" s="189">
        <f t="shared" si="375"/>
        <v>0</v>
      </c>
      <c r="GV131" s="189">
        <f t="shared" si="375"/>
        <v>0</v>
      </c>
      <c r="GW131" s="189">
        <f t="shared" si="375"/>
        <v>1260265.3999999999</v>
      </c>
      <c r="GX131" s="189">
        <f t="shared" si="375"/>
        <v>1380199.1600000001</v>
      </c>
      <c r="GY131" s="189">
        <f t="shared" si="375"/>
        <v>0</v>
      </c>
      <c r="GZ131" s="189">
        <f t="shared" si="375"/>
        <v>297221.67</v>
      </c>
      <c r="HA131" s="189">
        <f t="shared" si="375"/>
        <v>0</v>
      </c>
      <c r="HB131" s="189">
        <f t="shared" si="375"/>
        <v>5891557.2300000004</v>
      </c>
      <c r="HC131" s="189">
        <f t="shared" si="375"/>
        <v>0</v>
      </c>
      <c r="HD131" s="648">
        <f t="shared" si="375"/>
        <v>6188778.9000000004</v>
      </c>
      <c r="HE131" s="1683">
        <f t="shared" si="375"/>
        <v>2656326.87</v>
      </c>
      <c r="HF131" s="189">
        <f t="shared" si="375"/>
        <v>3292698.8000000003</v>
      </c>
      <c r="HG131" s="188">
        <f t="shared" si="375"/>
        <v>12472540.830000002</v>
      </c>
      <c r="HH131" s="188">
        <f t="shared" si="375"/>
        <v>12634532.84</v>
      </c>
      <c r="HI131" s="188">
        <f t="shared" si="375"/>
        <v>2842781.19</v>
      </c>
      <c r="HJ131" s="188">
        <f t="shared" si="375"/>
        <v>4325902.6900000004</v>
      </c>
      <c r="HK131" s="188">
        <f t="shared" si="375"/>
        <v>15315322.020000001</v>
      </c>
      <c r="HL131" s="188">
        <f t="shared" si="375"/>
        <v>16960435.530000001</v>
      </c>
      <c r="HM131" s="1515">
        <f>HL131/R131</f>
        <v>0.9638515607034136</v>
      </c>
      <c r="HN131" s="345">
        <f t="shared" ref="HN131:HS131" si="376">SUM(HN130:HN130)</f>
        <v>11789669.970000001</v>
      </c>
      <c r="HO131" s="345">
        <f t="shared" si="376"/>
        <v>13255791.470000001</v>
      </c>
      <c r="HP131" s="345">
        <f t="shared" si="376"/>
        <v>0</v>
      </c>
      <c r="HQ131" s="345">
        <f t="shared" si="376"/>
        <v>5891557.2300000004</v>
      </c>
      <c r="HR131" s="345">
        <f t="shared" si="376"/>
        <v>11789669.970000001</v>
      </c>
      <c r="HS131" s="345">
        <f t="shared" si="376"/>
        <v>19147348.700000003</v>
      </c>
      <c r="HT131" s="1507">
        <f t="shared" ref="HT131:HT140" si="377">HS131/S131</f>
        <v>1.0881325479633766</v>
      </c>
      <c r="HU131" s="697">
        <f t="shared" ref="HU131:HU136" si="378">HE131/T131</f>
        <v>0.78087193195183424</v>
      </c>
    </row>
    <row r="132" spans="1:231" ht="12.75" customHeight="1" x14ac:dyDescent="0.2">
      <c r="A132" s="3707"/>
      <c r="B132" s="3709" t="s">
        <v>141</v>
      </c>
      <c r="C132" s="650">
        <v>1</v>
      </c>
      <c r="D132" s="651" t="s">
        <v>140</v>
      </c>
      <c r="E132" s="652">
        <f>2+4+4+2</f>
        <v>12</v>
      </c>
      <c r="F132" s="485">
        <f>67.8+92.55+283.46+308.3+179.96</f>
        <v>932.06999999999994</v>
      </c>
      <c r="G132" s="479">
        <f t="shared" si="331"/>
        <v>77.672499999999999</v>
      </c>
      <c r="H132" s="653" t="s">
        <v>134</v>
      </c>
      <c r="I132" s="654" t="s">
        <v>134</v>
      </c>
      <c r="J132" s="654" t="s">
        <v>134</v>
      </c>
      <c r="K132" s="653" t="s">
        <v>134</v>
      </c>
      <c r="L132" s="654" t="s">
        <v>134</v>
      </c>
      <c r="M132" s="654" t="s">
        <v>134</v>
      </c>
      <c r="N132" s="703">
        <f>F132</f>
        <v>932.06999999999994</v>
      </c>
      <c r="O132" s="484">
        <f>neprodano!EE12</f>
        <v>83630.863200000007</v>
      </c>
      <c r="P132" s="485">
        <f>neprodano!EC12+1031814.17</f>
        <v>4755694.3244200004</v>
      </c>
      <c r="Q132" s="485">
        <f>68469.73+93464.21+442531.52+481972.79+267749.43</f>
        <v>1354187.68</v>
      </c>
      <c r="R132" s="656">
        <f t="shared" ref="R132:R137" si="379">SUM(O132:Q132)</f>
        <v>6193512.8676199997</v>
      </c>
      <c r="S132" s="657">
        <v>4908118.57</v>
      </c>
      <c r="T132" s="521">
        <f>6427823.15*0.03</f>
        <v>192834.69450000001</v>
      </c>
      <c r="U132" s="489">
        <v>0</v>
      </c>
      <c r="V132" s="658">
        <v>1008767.9400000001</v>
      </c>
      <c r="W132" s="548">
        <f>6482088.26*0.03</f>
        <v>194462.64779999998</v>
      </c>
      <c r="X132" s="549">
        <f>3469039.51*0.03</f>
        <v>104071.18529999998</v>
      </c>
      <c r="Y132" s="549">
        <v>0</v>
      </c>
      <c r="Z132" s="549">
        <v>0</v>
      </c>
      <c r="AA132" s="525">
        <f t="shared" ref="AA132:AB137" si="380">W132+Y132</f>
        <v>194462.64779999998</v>
      </c>
      <c r="AB132" s="524">
        <f t="shared" si="380"/>
        <v>104071.18529999998</v>
      </c>
      <c r="AC132" s="626">
        <f t="shared" si="333"/>
        <v>1.6803256491818953E-2</v>
      </c>
      <c r="AD132" s="547">
        <v>0</v>
      </c>
      <c r="AE132" s="547">
        <v>0</v>
      </c>
      <c r="AF132" s="547">
        <v>1857211.72</v>
      </c>
      <c r="AG132" s="547">
        <v>2058652.01</v>
      </c>
      <c r="AH132" s="363">
        <f t="shared" ref="AH132:AH137" si="381">AD132+AF132</f>
        <v>1857211.72</v>
      </c>
      <c r="AI132" s="547">
        <f t="shared" ref="AI132:AI137" si="382">AE132+AG132</f>
        <v>2058652.01</v>
      </c>
      <c r="AJ132" s="550">
        <f t="shared" ref="AJ132:AJ137" si="383">AI132/S132</f>
        <v>0.41943811679349874</v>
      </c>
      <c r="AK132" s="551">
        <f t="shared" si="334"/>
        <v>0</v>
      </c>
      <c r="AL132" s="627"/>
      <c r="AM132" s="502"/>
      <c r="AN132" s="530">
        <f>neprodano!BP12</f>
        <v>0</v>
      </c>
      <c r="AO132" s="498">
        <f>1498964.06*0.03</f>
        <v>44968.921799999996</v>
      </c>
      <c r="AP132" s="499">
        <f>1269915.44*0.03</f>
        <v>38097.463199999998</v>
      </c>
      <c r="AQ132" s="499"/>
      <c r="AR132" s="499"/>
      <c r="AS132" s="499">
        <f t="shared" ref="AS132:AS137" si="384">AO132+AQ132</f>
        <v>44968.921799999996</v>
      </c>
      <c r="AT132" s="500">
        <f t="shared" ref="AT132:AT137" si="385">AP132+AR132</f>
        <v>38097.463199999998</v>
      </c>
      <c r="AU132" s="501"/>
      <c r="AV132" s="659">
        <f>neprodano!BO12</f>
        <v>0</v>
      </c>
      <c r="AW132" s="502"/>
      <c r="AX132" s="502">
        <f>neprodano!BR12</f>
        <v>0</v>
      </c>
      <c r="AY132" s="502">
        <f t="shared" ref="AY132:AY137" si="386">AU132+AW132</f>
        <v>0</v>
      </c>
      <c r="AZ132" s="660">
        <f t="shared" ref="AZ132:AZ137" si="387">AV132+AX132</f>
        <v>0</v>
      </c>
      <c r="BA132" s="504">
        <f t="shared" si="211"/>
        <v>0</v>
      </c>
      <c r="BB132" s="505">
        <f t="shared" si="212"/>
        <v>1008767.9400000001</v>
      </c>
      <c r="BC132" s="490">
        <f t="shared" si="213"/>
        <v>239431.56959999999</v>
      </c>
      <c r="BD132" s="506">
        <f t="shared" si="214"/>
        <v>142168.64849999998</v>
      </c>
      <c r="BE132" s="506">
        <f t="shared" si="215"/>
        <v>0</v>
      </c>
      <c r="BF132" s="506">
        <f t="shared" si="216"/>
        <v>0</v>
      </c>
      <c r="BG132" s="506">
        <f t="shared" si="217"/>
        <v>239431.56959999999</v>
      </c>
      <c r="BH132" s="506">
        <f t="shared" si="218"/>
        <v>142168.64849999998</v>
      </c>
      <c r="BI132" s="492">
        <f t="shared" si="219"/>
        <v>2.2954444680863571E-2</v>
      </c>
      <c r="BJ132" s="507">
        <f t="shared" si="220"/>
        <v>0</v>
      </c>
      <c r="BK132" s="508">
        <f t="shared" si="221"/>
        <v>0</v>
      </c>
      <c r="BL132" s="508">
        <f t="shared" si="222"/>
        <v>1857211.72</v>
      </c>
      <c r="BM132" s="508">
        <f t="shared" si="223"/>
        <v>2058652.01</v>
      </c>
      <c r="BN132" s="508">
        <f t="shared" si="224"/>
        <v>1857211.72</v>
      </c>
      <c r="BO132" s="508">
        <f t="shared" si="225"/>
        <v>2058652.01</v>
      </c>
      <c r="BP132" s="509">
        <f t="shared" si="226"/>
        <v>0.41943811679349874</v>
      </c>
      <c r="BQ132" s="510">
        <f t="shared" si="227"/>
        <v>0</v>
      </c>
      <c r="BR132" s="627"/>
      <c r="BS132" s="502"/>
      <c r="BT132" s="530"/>
      <c r="BU132" s="498"/>
      <c r="BV132" s="499"/>
      <c r="BW132" s="499"/>
      <c r="BX132" s="499"/>
      <c r="BY132" s="499">
        <f t="shared" ref="BY132:BY137" si="388">BU132+BW132</f>
        <v>0</v>
      </c>
      <c r="BZ132" s="500">
        <f t="shared" ref="BZ132:BZ137" si="389">BV132+BX132</f>
        <v>0</v>
      </c>
      <c r="CA132" s="501"/>
      <c r="CB132" s="659">
        <f>neprodano!BW12</f>
        <v>0</v>
      </c>
      <c r="CC132" s="502"/>
      <c r="CD132" s="502">
        <f>neprodano!BZ12</f>
        <v>0</v>
      </c>
      <c r="CE132" s="502">
        <f t="shared" ref="CE132:CE137" si="390">CA132+CC132</f>
        <v>0</v>
      </c>
      <c r="CF132" s="660">
        <f t="shared" ref="CF132:CF137" si="391">CB132+CD132</f>
        <v>0</v>
      </c>
      <c r="CG132" s="1136">
        <f t="shared" ref="CG132:CN136" si="392">BA132+BS132</f>
        <v>0</v>
      </c>
      <c r="CH132" s="505">
        <f t="shared" si="392"/>
        <v>1008767.9400000001</v>
      </c>
      <c r="CI132" s="490">
        <f t="shared" si="392"/>
        <v>239431.56959999999</v>
      </c>
      <c r="CJ132" s="506">
        <f t="shared" si="392"/>
        <v>142168.64849999998</v>
      </c>
      <c r="CK132" s="506">
        <f t="shared" si="392"/>
        <v>0</v>
      </c>
      <c r="CL132" s="506">
        <f t="shared" si="392"/>
        <v>0</v>
      </c>
      <c r="CM132" s="506">
        <f t="shared" si="392"/>
        <v>239431.56959999999</v>
      </c>
      <c r="CN132" s="506">
        <f t="shared" si="392"/>
        <v>142168.64849999998</v>
      </c>
      <c r="CO132" s="492">
        <f t="shared" si="338"/>
        <v>2.2954444680863571E-2</v>
      </c>
      <c r="CP132" s="507">
        <f t="shared" ref="CP132:CU137" si="393">BJ132+CA132</f>
        <v>0</v>
      </c>
      <c r="CQ132" s="508">
        <f t="shared" si="393"/>
        <v>0</v>
      </c>
      <c r="CR132" s="508">
        <f t="shared" si="393"/>
        <v>1857211.72</v>
      </c>
      <c r="CS132" s="508">
        <f t="shared" si="393"/>
        <v>2058652.01</v>
      </c>
      <c r="CT132" s="508">
        <f t="shared" si="393"/>
        <v>1857211.72</v>
      </c>
      <c r="CU132" s="508">
        <f t="shared" si="393"/>
        <v>2058652.01</v>
      </c>
      <c r="CV132" s="509">
        <f t="shared" si="340"/>
        <v>0.41943811679349874</v>
      </c>
      <c r="CW132" s="510">
        <f t="shared" si="341"/>
        <v>0</v>
      </c>
      <c r="CX132" s="627"/>
      <c r="CY132" s="502"/>
      <c r="CZ132" s="530">
        <f>neprodano!CF12</f>
        <v>0</v>
      </c>
      <c r="DA132" s="498">
        <f>175478.75*0.03</f>
        <v>5264.3625000000002</v>
      </c>
      <c r="DB132" s="499">
        <f>628470.21*0.03</f>
        <v>18854.106299999999</v>
      </c>
      <c r="DC132" s="499"/>
      <c r="DD132" s="499"/>
      <c r="DE132" s="499">
        <f t="shared" ref="DE132:DE137" si="394">DA132+DC132</f>
        <v>5264.3625000000002</v>
      </c>
      <c r="DF132" s="500">
        <f t="shared" ref="DF132:DF137" si="395">DB132+DD132</f>
        <v>18854.106299999999</v>
      </c>
      <c r="DG132" s="501"/>
      <c r="DH132" s="659">
        <f>neprodano!CE12</f>
        <v>0</v>
      </c>
      <c r="DI132" s="502">
        <v>201440.29</v>
      </c>
      <c r="DJ132" s="502">
        <f>neprodano!CH12</f>
        <v>0</v>
      </c>
      <c r="DK132" s="502">
        <f t="shared" ref="DK132:DK137" si="396">DG132+DI132</f>
        <v>201440.29</v>
      </c>
      <c r="DL132" s="660">
        <f t="shared" ref="DL132:DL137" si="397">DH132+DJ132</f>
        <v>0</v>
      </c>
      <c r="DM132" s="1136">
        <f t="shared" ref="DM132:DN136" si="398">CG132+CY132</f>
        <v>0</v>
      </c>
      <c r="DN132" s="505">
        <f t="shared" si="398"/>
        <v>1008767.9400000001</v>
      </c>
      <c r="DO132" s="490">
        <f t="shared" ref="DO132:DO137" si="399">CI132+DA132</f>
        <v>244695.93209999998</v>
      </c>
      <c r="DP132" s="506">
        <f t="shared" ref="DP132:DP137" si="400">CJ132+DB132</f>
        <v>161022.7548</v>
      </c>
      <c r="DQ132" s="506">
        <f t="shared" ref="DQ132:DQ137" si="401">CK132+DC132</f>
        <v>0</v>
      </c>
      <c r="DR132" s="506">
        <f t="shared" ref="DR132:DR137" si="402">CL132+DD132</f>
        <v>0</v>
      </c>
      <c r="DS132" s="506">
        <f t="shared" ref="DS132:DS137" si="403">CM132+DE132</f>
        <v>244695.93209999998</v>
      </c>
      <c r="DT132" s="506">
        <f t="shared" ref="DT132:DT137" si="404">CN132+DF132</f>
        <v>161022.7548</v>
      </c>
      <c r="DU132" s="626">
        <f t="shared" si="245"/>
        <v>2.5998614718609071E-2</v>
      </c>
      <c r="DV132" s="507">
        <f t="shared" ref="DV132:DV137" si="405">CP132+DG132</f>
        <v>0</v>
      </c>
      <c r="DW132" s="508">
        <f t="shared" ref="DW132:DW137" si="406">CQ132+DH132</f>
        <v>0</v>
      </c>
      <c r="DX132" s="508">
        <f t="shared" ref="DX132:DX137" si="407">CR132+DI132</f>
        <v>2058652.01</v>
      </c>
      <c r="DY132" s="508">
        <f t="shared" ref="DY132:DY137" si="408">CS132+DJ132</f>
        <v>2058652.01</v>
      </c>
      <c r="DZ132" s="508">
        <f t="shared" ref="DZ132:DZ137" si="409">CT132+DK132</f>
        <v>2058652.01</v>
      </c>
      <c r="EA132" s="508">
        <f t="shared" ref="EA132:EA137" si="410">CU132+DL132</f>
        <v>2058652.01</v>
      </c>
      <c r="EB132" s="509">
        <f t="shared" si="313"/>
        <v>0.41943811679349874</v>
      </c>
      <c r="EC132" s="510">
        <f t="shared" si="314"/>
        <v>0</v>
      </c>
      <c r="ED132" s="627"/>
      <c r="EE132" s="502"/>
      <c r="EF132" s="530">
        <f>neprodano!CN12</f>
        <v>0</v>
      </c>
      <c r="EG132" s="498"/>
      <c r="EH132" s="499">
        <f>2230209.93*0.03</f>
        <v>66906.297900000005</v>
      </c>
      <c r="EI132" s="499"/>
      <c r="EJ132" s="499"/>
      <c r="EK132" s="499">
        <f t="shared" ref="EK132:EK137" si="411">EG132+EI132</f>
        <v>0</v>
      </c>
      <c r="EL132" s="500">
        <f t="shared" ref="EL132:EL137" si="412">EH132+EJ132</f>
        <v>66906.297900000005</v>
      </c>
      <c r="EM132" s="501"/>
      <c r="EN132" s="659">
        <f>neprodano!CM12</f>
        <v>0</v>
      </c>
      <c r="EO132" s="502"/>
      <c r="EP132" s="502">
        <f>neprodano!CP12</f>
        <v>0</v>
      </c>
      <c r="EQ132" s="502">
        <f t="shared" ref="EQ132:EQ137" si="413">EM132+EO132</f>
        <v>0</v>
      </c>
      <c r="ER132" s="660">
        <f t="shared" ref="ER132:ER137" si="414">EN132+EP132</f>
        <v>0</v>
      </c>
      <c r="ES132" s="1457">
        <f t="shared" ref="ES132:ET136" si="415">DM132+EE132</f>
        <v>0</v>
      </c>
      <c r="ET132" s="1458">
        <f t="shared" si="415"/>
        <v>1008767.9400000001</v>
      </c>
      <c r="EU132" s="490">
        <f t="shared" ref="EU132:EU137" si="416">EG132+DO132</f>
        <v>244695.93209999998</v>
      </c>
      <c r="EV132" s="506">
        <f t="shared" ref="EV132:EZ137" si="417">EH132+DP132</f>
        <v>227929.0527</v>
      </c>
      <c r="EW132" s="506">
        <f t="shared" si="417"/>
        <v>0</v>
      </c>
      <c r="EX132" s="506">
        <f t="shared" si="417"/>
        <v>0</v>
      </c>
      <c r="EY132" s="506">
        <f t="shared" si="417"/>
        <v>244695.93209999998</v>
      </c>
      <c r="EZ132" s="506">
        <f t="shared" si="417"/>
        <v>227929.0527</v>
      </c>
      <c r="FA132" s="492">
        <f t="shared" si="298"/>
        <v>3.6801256019281831E-2</v>
      </c>
      <c r="FB132" s="507">
        <f t="shared" ref="FB132:FB137" si="418">DV132+EM132</f>
        <v>0</v>
      </c>
      <c r="FC132" s="508">
        <f t="shared" ref="FC132:FG137" si="419">DW132+EN132</f>
        <v>0</v>
      </c>
      <c r="FD132" s="508">
        <f t="shared" si="419"/>
        <v>2058652.01</v>
      </c>
      <c r="FE132" s="508">
        <f t="shared" si="419"/>
        <v>2058652.01</v>
      </c>
      <c r="FF132" s="508">
        <f t="shared" si="419"/>
        <v>2058652.01</v>
      </c>
      <c r="FG132" s="508">
        <f t="shared" si="419"/>
        <v>2058652.01</v>
      </c>
      <c r="FH132" s="509">
        <f t="shared" si="315"/>
        <v>0.41943811679349874</v>
      </c>
      <c r="FI132" s="1157">
        <f t="shared" si="316"/>
        <v>0</v>
      </c>
      <c r="FJ132" s="627"/>
      <c r="FK132" s="502"/>
      <c r="FL132" s="530"/>
      <c r="FM132" s="498"/>
      <c r="FN132" s="499">
        <f>157694*0.03</f>
        <v>4730.82</v>
      </c>
      <c r="FO132" s="499"/>
      <c r="FP132" s="499"/>
      <c r="FQ132" s="499">
        <f t="shared" ref="FQ132:FQ137" si="420">FM132+FO132</f>
        <v>0</v>
      </c>
      <c r="FR132" s="500">
        <f t="shared" ref="FR132:FR137" si="421">FN132+FP132</f>
        <v>4730.82</v>
      </c>
      <c r="FS132" s="501"/>
      <c r="FT132" s="659"/>
      <c r="FU132" s="502"/>
      <c r="FV132" s="502"/>
      <c r="FW132" s="502">
        <f t="shared" ref="FW132:FW137" si="422">FS132+FU132</f>
        <v>0</v>
      </c>
      <c r="FX132" s="660">
        <f t="shared" ref="FX132:FX137" si="423">FT132+FV132</f>
        <v>0</v>
      </c>
      <c r="FY132" s="1457">
        <f t="shared" ref="FY132:FZ136" si="424">ES132+FK132</f>
        <v>0</v>
      </c>
      <c r="FZ132" s="1458">
        <f t="shared" si="424"/>
        <v>1008767.9400000001</v>
      </c>
      <c r="GA132" s="490">
        <f t="shared" ref="GA132:GA137" si="425">FM132+EU132</f>
        <v>244695.93209999998</v>
      </c>
      <c r="GB132" s="506">
        <f t="shared" ref="GB132:GB137" si="426">FN132+EV132</f>
        <v>232659.87270000001</v>
      </c>
      <c r="GC132" s="506">
        <f t="shared" ref="GC132:GC137" si="427">FO132+EW132</f>
        <v>0</v>
      </c>
      <c r="GD132" s="506">
        <f t="shared" ref="GD132:GD137" si="428">FP132+EX132</f>
        <v>0</v>
      </c>
      <c r="GE132" s="506">
        <f t="shared" ref="GE132:GE137" si="429">FQ132+EY132</f>
        <v>244695.93209999998</v>
      </c>
      <c r="GF132" s="506">
        <f t="shared" ref="GF132:GF137" si="430">FR132+EZ132</f>
        <v>232659.87270000001</v>
      </c>
      <c r="GG132" s="492">
        <f t="shared" si="347"/>
        <v>3.7565090712309269E-2</v>
      </c>
      <c r="GH132" s="507">
        <f t="shared" ref="GH132:GH137" si="431">FB132+FS132</f>
        <v>0</v>
      </c>
      <c r="GI132" s="508">
        <f t="shared" ref="GI132:GI137" si="432">FC132+FT132</f>
        <v>0</v>
      </c>
      <c r="GJ132" s="508">
        <f t="shared" ref="GJ132:GJ137" si="433">FD132+FU132</f>
        <v>2058652.01</v>
      </c>
      <c r="GK132" s="508">
        <f t="shared" ref="GK132:GK137" si="434">FE132+FV132</f>
        <v>2058652.01</v>
      </c>
      <c r="GL132" s="508">
        <f t="shared" ref="GL132:GL137" si="435">FF132+FW132</f>
        <v>2058652.01</v>
      </c>
      <c r="GM132" s="508">
        <f t="shared" ref="GM132:GM137" si="436">FG132+FX132</f>
        <v>2058652.01</v>
      </c>
      <c r="GN132" s="509">
        <f t="shared" si="302"/>
        <v>0.41943811679349874</v>
      </c>
      <c r="GO132" s="510">
        <f t="shared" si="303"/>
        <v>0</v>
      </c>
      <c r="GP132" s="627"/>
      <c r="GQ132" s="502"/>
      <c r="GR132" s="530"/>
      <c r="GS132" s="498"/>
      <c r="GT132" s="499"/>
      <c r="GU132" s="499"/>
      <c r="GV132" s="499"/>
      <c r="GW132" s="499">
        <f t="shared" ref="GW132:GW137" si="437">GS132+GU132</f>
        <v>0</v>
      </c>
      <c r="GX132" s="500">
        <f t="shared" ref="GX132:GX137" si="438">GT132+GV132</f>
        <v>0</v>
      </c>
      <c r="GY132" s="501"/>
      <c r="GZ132" s="659">
        <f>neprodano!DC12</f>
        <v>0</v>
      </c>
      <c r="HA132" s="502"/>
      <c r="HB132" s="502">
        <f>neprodano!DF12</f>
        <v>0</v>
      </c>
      <c r="HC132" s="502">
        <f t="shared" ref="HC132:HC137" si="439">GY132+HA132</f>
        <v>0</v>
      </c>
      <c r="HD132" s="660">
        <f t="shared" ref="HD132:HD137" si="440">GZ132+HB132</f>
        <v>0</v>
      </c>
      <c r="HE132" s="1684">
        <f t="shared" ref="HE132:HF136" si="441">FY132+GQ132</f>
        <v>0</v>
      </c>
      <c r="HF132" s="1458">
        <f t="shared" si="441"/>
        <v>1008767.9400000001</v>
      </c>
      <c r="HG132" s="490">
        <f t="shared" ref="HG132:HG137" si="442">GS132+GA132</f>
        <v>244695.93209999998</v>
      </c>
      <c r="HH132" s="506">
        <f t="shared" ref="HH132:HH137" si="443">GT132+GB132</f>
        <v>232659.87270000001</v>
      </c>
      <c r="HI132" s="506">
        <f t="shared" ref="HI132:HI137" si="444">GU132+GC132</f>
        <v>0</v>
      </c>
      <c r="HJ132" s="506">
        <f t="shared" ref="HJ132:HJ137" si="445">GV132+GD132</f>
        <v>0</v>
      </c>
      <c r="HK132" s="506">
        <f t="shared" ref="HK132:HK137" si="446">GW132+GE132</f>
        <v>244695.93209999998</v>
      </c>
      <c r="HL132" s="506">
        <f t="shared" ref="HL132:HL137" si="447">GX132+GF132</f>
        <v>232659.87270000001</v>
      </c>
      <c r="HM132" s="626">
        <f t="shared" ref="HM132:HM137" si="448">HL132/R132</f>
        <v>3.7565090712309269E-2</v>
      </c>
      <c r="HN132" s="507">
        <f t="shared" ref="HN132:HN137" si="449">GH132+GY132</f>
        <v>0</v>
      </c>
      <c r="HO132" s="508">
        <f t="shared" ref="HO132:HO137" si="450">GI132+GZ132</f>
        <v>0</v>
      </c>
      <c r="HP132" s="508">
        <f t="shared" ref="HP132:HP137" si="451">GJ132+HA132</f>
        <v>2058652.01</v>
      </c>
      <c r="HQ132" s="508">
        <f t="shared" ref="HQ132:HQ137" si="452">GK132+HB132</f>
        <v>2058652.01</v>
      </c>
      <c r="HR132" s="508">
        <f t="shared" ref="HR132:HR137" si="453">GL132+HC132</f>
        <v>2058652.01</v>
      </c>
      <c r="HS132" s="508">
        <f t="shared" ref="HS132:HS137" si="454">GM132+HD132</f>
        <v>2058652.01</v>
      </c>
      <c r="HT132" s="509">
        <f t="shared" si="377"/>
        <v>0.41943811679349874</v>
      </c>
      <c r="HU132" s="510">
        <f t="shared" si="378"/>
        <v>0</v>
      </c>
    </row>
    <row r="133" spans="1:231" ht="12.75" customHeight="1" x14ac:dyDescent="0.2">
      <c r="A133" s="3707"/>
      <c r="B133" s="3655"/>
      <c r="C133" s="661">
        <v>2</v>
      </c>
      <c r="D133" s="662" t="s">
        <v>130</v>
      </c>
      <c r="E133" s="663">
        <v>3</v>
      </c>
      <c r="F133" s="258">
        <f>49.16+81.59+86.99</f>
        <v>217.74</v>
      </c>
      <c r="G133" s="664">
        <f t="shared" si="331"/>
        <v>72.58</v>
      </c>
      <c r="H133" s="665" t="s">
        <v>134</v>
      </c>
      <c r="I133" s="666" t="s">
        <v>134</v>
      </c>
      <c r="J133" s="666" t="s">
        <v>134</v>
      </c>
      <c r="K133" s="665" t="s">
        <v>134</v>
      </c>
      <c r="L133" s="666" t="s">
        <v>134</v>
      </c>
      <c r="M133" s="666" t="s">
        <v>134</v>
      </c>
      <c r="N133" s="679">
        <f>F133</f>
        <v>217.74</v>
      </c>
      <c r="O133" s="518">
        <f>neprodano!EE51</f>
        <v>68339.445479999995</v>
      </c>
      <c r="P133" s="258">
        <f>neprodano!EC51</f>
        <v>1186300.8487199999</v>
      </c>
      <c r="Q133" s="258">
        <f>92557.33+59866.52</f>
        <v>152423.85</v>
      </c>
      <c r="R133" s="258">
        <f t="shared" si="379"/>
        <v>1407064.1442</v>
      </c>
      <c r="S133" s="657">
        <v>1407064.14</v>
      </c>
      <c r="T133" s="521">
        <f>neprodano!DU51</f>
        <v>349294.18798819999</v>
      </c>
      <c r="U133" s="522">
        <v>0</v>
      </c>
      <c r="V133" s="668">
        <v>0</v>
      </c>
      <c r="W133" s="523">
        <v>0</v>
      </c>
      <c r="X133" s="524">
        <v>0</v>
      </c>
      <c r="Y133" s="524">
        <v>0</v>
      </c>
      <c r="Z133" s="524">
        <v>0</v>
      </c>
      <c r="AA133" s="525">
        <f t="shared" si="380"/>
        <v>0</v>
      </c>
      <c r="AB133" s="524">
        <f t="shared" si="380"/>
        <v>0</v>
      </c>
      <c r="AC133" s="526">
        <f t="shared" si="333"/>
        <v>0</v>
      </c>
      <c r="AD133" s="522">
        <v>0</v>
      </c>
      <c r="AE133" s="522">
        <v>0</v>
      </c>
      <c r="AF133" s="522">
        <v>0</v>
      </c>
      <c r="AG133" s="522">
        <v>0</v>
      </c>
      <c r="AH133" s="363">
        <f t="shared" si="381"/>
        <v>0</v>
      </c>
      <c r="AI133" s="547">
        <f t="shared" si="382"/>
        <v>0</v>
      </c>
      <c r="AJ133" s="550">
        <f t="shared" si="383"/>
        <v>0</v>
      </c>
      <c r="AK133" s="551">
        <f t="shared" si="334"/>
        <v>0</v>
      </c>
      <c r="AL133" s="669"/>
      <c r="AM133" s="502"/>
      <c r="AN133" s="530">
        <f>neprodano!BP51</f>
        <v>0</v>
      </c>
      <c r="AO133" s="670"/>
      <c r="AP133" s="531"/>
      <c r="AQ133" s="531"/>
      <c r="AR133" s="531"/>
      <c r="AS133" s="499">
        <f t="shared" si="384"/>
        <v>0</v>
      </c>
      <c r="AT133" s="671">
        <f t="shared" si="385"/>
        <v>0</v>
      </c>
      <c r="AU133" s="529"/>
      <c r="AV133" s="533">
        <f>neprodano!BO51</f>
        <v>0</v>
      </c>
      <c r="AW133" s="533"/>
      <c r="AX133" s="533">
        <f>neprodano!BR51</f>
        <v>0</v>
      </c>
      <c r="AY133" s="502">
        <f t="shared" si="386"/>
        <v>0</v>
      </c>
      <c r="AZ133" s="660">
        <f t="shared" si="387"/>
        <v>0</v>
      </c>
      <c r="BA133" s="535">
        <f t="shared" si="211"/>
        <v>0</v>
      </c>
      <c r="BB133" s="536">
        <f t="shared" si="212"/>
        <v>0</v>
      </c>
      <c r="BC133" s="523">
        <f t="shared" si="213"/>
        <v>0</v>
      </c>
      <c r="BD133" s="525">
        <f t="shared" si="214"/>
        <v>0</v>
      </c>
      <c r="BE133" s="525">
        <f t="shared" si="215"/>
        <v>0</v>
      </c>
      <c r="BF133" s="525">
        <f t="shared" si="216"/>
        <v>0</v>
      </c>
      <c r="BG133" s="525">
        <f t="shared" si="217"/>
        <v>0</v>
      </c>
      <c r="BH133" s="525">
        <f t="shared" si="218"/>
        <v>0</v>
      </c>
      <c r="BI133" s="526">
        <f t="shared" si="219"/>
        <v>0</v>
      </c>
      <c r="BJ133" s="537">
        <f t="shared" si="220"/>
        <v>0</v>
      </c>
      <c r="BK133" s="538">
        <f t="shared" si="221"/>
        <v>0</v>
      </c>
      <c r="BL133" s="538">
        <f t="shared" si="222"/>
        <v>0</v>
      </c>
      <c r="BM133" s="538">
        <f t="shared" si="223"/>
        <v>0</v>
      </c>
      <c r="BN133" s="538">
        <f t="shared" si="224"/>
        <v>0</v>
      </c>
      <c r="BO133" s="538">
        <f t="shared" si="225"/>
        <v>0</v>
      </c>
      <c r="BP133" s="539">
        <f t="shared" si="226"/>
        <v>0</v>
      </c>
      <c r="BQ133" s="540">
        <f t="shared" si="227"/>
        <v>0</v>
      </c>
      <c r="BR133" s="669"/>
      <c r="BS133" s="502"/>
      <c r="BT133" s="530"/>
      <c r="BU133" s="670"/>
      <c r="BV133" s="531"/>
      <c r="BW133" s="531"/>
      <c r="BX133" s="531"/>
      <c r="BY133" s="499">
        <f t="shared" si="388"/>
        <v>0</v>
      </c>
      <c r="BZ133" s="671">
        <f t="shared" si="389"/>
        <v>0</v>
      </c>
      <c r="CA133" s="529"/>
      <c r="CB133" s="533">
        <f>neprodano!BW51</f>
        <v>0</v>
      </c>
      <c r="CC133" s="533"/>
      <c r="CD133" s="533">
        <f>neprodano!BZ51</f>
        <v>0</v>
      </c>
      <c r="CE133" s="502">
        <f t="shared" si="390"/>
        <v>0</v>
      </c>
      <c r="CF133" s="660">
        <f t="shared" si="391"/>
        <v>0</v>
      </c>
      <c r="CG133" s="1138">
        <f t="shared" si="392"/>
        <v>0</v>
      </c>
      <c r="CH133" s="536">
        <f t="shared" si="392"/>
        <v>0</v>
      </c>
      <c r="CI133" s="523">
        <f t="shared" si="392"/>
        <v>0</v>
      </c>
      <c r="CJ133" s="525">
        <f t="shared" si="392"/>
        <v>0</v>
      </c>
      <c r="CK133" s="525">
        <f t="shared" si="392"/>
        <v>0</v>
      </c>
      <c r="CL133" s="525">
        <f t="shared" si="392"/>
        <v>0</v>
      </c>
      <c r="CM133" s="525">
        <f t="shared" si="392"/>
        <v>0</v>
      </c>
      <c r="CN133" s="525">
        <f t="shared" si="392"/>
        <v>0</v>
      </c>
      <c r="CO133" s="526">
        <f t="shared" si="338"/>
        <v>0</v>
      </c>
      <c r="CP133" s="537">
        <f t="shared" si="393"/>
        <v>0</v>
      </c>
      <c r="CQ133" s="538">
        <f t="shared" si="393"/>
        <v>0</v>
      </c>
      <c r="CR133" s="538">
        <f t="shared" si="393"/>
        <v>0</v>
      </c>
      <c r="CS133" s="538">
        <f t="shared" si="393"/>
        <v>0</v>
      </c>
      <c r="CT133" s="538">
        <f t="shared" si="393"/>
        <v>0</v>
      </c>
      <c r="CU133" s="538">
        <f t="shared" si="393"/>
        <v>0</v>
      </c>
      <c r="CV133" s="539">
        <f t="shared" si="340"/>
        <v>0</v>
      </c>
      <c r="CW133" s="540">
        <f t="shared" si="341"/>
        <v>0</v>
      </c>
      <c r="CX133" s="669"/>
      <c r="CY133" s="502"/>
      <c r="CZ133" s="530">
        <f>neprodano!CF51</f>
        <v>0</v>
      </c>
      <c r="DA133" s="670"/>
      <c r="DB133" s="531"/>
      <c r="DC133" s="531"/>
      <c r="DD133" s="531"/>
      <c r="DE133" s="499">
        <f t="shared" si="394"/>
        <v>0</v>
      </c>
      <c r="DF133" s="671">
        <f t="shared" si="395"/>
        <v>0</v>
      </c>
      <c r="DG133" s="529"/>
      <c r="DH133" s="533">
        <f>neprodano!CE51</f>
        <v>0</v>
      </c>
      <c r="DI133" s="533"/>
      <c r="DJ133" s="533">
        <f>neprodano!CH51</f>
        <v>0</v>
      </c>
      <c r="DK133" s="502">
        <f t="shared" si="396"/>
        <v>0</v>
      </c>
      <c r="DL133" s="660">
        <f t="shared" si="397"/>
        <v>0</v>
      </c>
      <c r="DM133" s="1138">
        <f t="shared" si="398"/>
        <v>0</v>
      </c>
      <c r="DN133" s="536">
        <f t="shared" si="398"/>
        <v>0</v>
      </c>
      <c r="DO133" s="523">
        <f t="shared" si="399"/>
        <v>0</v>
      </c>
      <c r="DP133" s="525">
        <f t="shared" si="400"/>
        <v>0</v>
      </c>
      <c r="DQ133" s="525">
        <f t="shared" si="401"/>
        <v>0</v>
      </c>
      <c r="DR133" s="525">
        <f t="shared" si="402"/>
        <v>0</v>
      </c>
      <c r="DS133" s="525">
        <f t="shared" si="403"/>
        <v>0</v>
      </c>
      <c r="DT133" s="525">
        <f t="shared" si="404"/>
        <v>0</v>
      </c>
      <c r="DU133" s="526">
        <f t="shared" si="245"/>
        <v>0</v>
      </c>
      <c r="DV133" s="537">
        <f t="shared" si="405"/>
        <v>0</v>
      </c>
      <c r="DW133" s="538">
        <f t="shared" si="406"/>
        <v>0</v>
      </c>
      <c r="DX133" s="538">
        <f t="shared" si="407"/>
        <v>0</v>
      </c>
      <c r="DY133" s="538">
        <f t="shared" si="408"/>
        <v>0</v>
      </c>
      <c r="DZ133" s="538">
        <f t="shared" si="409"/>
        <v>0</v>
      </c>
      <c r="EA133" s="538">
        <f t="shared" si="410"/>
        <v>0</v>
      </c>
      <c r="EB133" s="539">
        <f t="shared" si="313"/>
        <v>0</v>
      </c>
      <c r="EC133" s="540">
        <f t="shared" si="314"/>
        <v>0</v>
      </c>
      <c r="ED133" s="669"/>
      <c r="EE133" s="502"/>
      <c r="EF133" s="530">
        <f>neprodano!CN51</f>
        <v>0</v>
      </c>
      <c r="EG133" s="670"/>
      <c r="EH133" s="531"/>
      <c r="EI133" s="531"/>
      <c r="EJ133" s="531"/>
      <c r="EK133" s="499">
        <f t="shared" si="411"/>
        <v>0</v>
      </c>
      <c r="EL133" s="671">
        <f t="shared" si="412"/>
        <v>0</v>
      </c>
      <c r="EM133" s="529"/>
      <c r="EN133" s="533">
        <f>neprodano!CM51</f>
        <v>0</v>
      </c>
      <c r="EO133" s="533"/>
      <c r="EP133" s="533">
        <f>neprodano!CP51</f>
        <v>0</v>
      </c>
      <c r="EQ133" s="502">
        <f t="shared" si="413"/>
        <v>0</v>
      </c>
      <c r="ER133" s="660">
        <f t="shared" si="414"/>
        <v>0</v>
      </c>
      <c r="ES133" s="1138">
        <f t="shared" si="415"/>
        <v>0</v>
      </c>
      <c r="ET133" s="536">
        <f t="shared" si="415"/>
        <v>0</v>
      </c>
      <c r="EU133" s="523">
        <f t="shared" si="416"/>
        <v>0</v>
      </c>
      <c r="EV133" s="525">
        <f t="shared" si="417"/>
        <v>0</v>
      </c>
      <c r="EW133" s="525">
        <f t="shared" si="417"/>
        <v>0</v>
      </c>
      <c r="EX133" s="525">
        <f t="shared" si="417"/>
        <v>0</v>
      </c>
      <c r="EY133" s="525">
        <f t="shared" si="417"/>
        <v>0</v>
      </c>
      <c r="EZ133" s="525">
        <f t="shared" si="417"/>
        <v>0</v>
      </c>
      <c r="FA133" s="526">
        <f t="shared" si="298"/>
        <v>0</v>
      </c>
      <c r="FB133" s="537">
        <f t="shared" si="418"/>
        <v>0</v>
      </c>
      <c r="FC133" s="538">
        <f t="shared" si="419"/>
        <v>0</v>
      </c>
      <c r="FD133" s="538">
        <f t="shared" si="419"/>
        <v>0</v>
      </c>
      <c r="FE133" s="538">
        <f t="shared" si="419"/>
        <v>0</v>
      </c>
      <c r="FF133" s="538">
        <f t="shared" si="419"/>
        <v>0</v>
      </c>
      <c r="FG133" s="538">
        <f t="shared" si="419"/>
        <v>0</v>
      </c>
      <c r="FH133" s="539">
        <f t="shared" si="315"/>
        <v>0</v>
      </c>
      <c r="FI133" s="540">
        <f t="shared" si="316"/>
        <v>0</v>
      </c>
      <c r="FJ133" s="669"/>
      <c r="FK133" s="502"/>
      <c r="FL133" s="530"/>
      <c r="FM133" s="670"/>
      <c r="FN133" s="531"/>
      <c r="FO133" s="531"/>
      <c r="FP133" s="531"/>
      <c r="FQ133" s="499">
        <f t="shared" si="420"/>
        <v>0</v>
      </c>
      <c r="FR133" s="671">
        <f t="shared" si="421"/>
        <v>0</v>
      </c>
      <c r="FS133" s="529"/>
      <c r="FT133" s="533"/>
      <c r="FU133" s="533"/>
      <c r="FV133" s="533"/>
      <c r="FW133" s="502">
        <f t="shared" si="422"/>
        <v>0</v>
      </c>
      <c r="FX133" s="660">
        <f t="shared" si="423"/>
        <v>0</v>
      </c>
      <c r="FY133" s="1138">
        <f t="shared" si="424"/>
        <v>0</v>
      </c>
      <c r="FZ133" s="536">
        <f t="shared" si="424"/>
        <v>0</v>
      </c>
      <c r="GA133" s="523">
        <f t="shared" si="425"/>
        <v>0</v>
      </c>
      <c r="GB133" s="525">
        <f t="shared" si="426"/>
        <v>0</v>
      </c>
      <c r="GC133" s="525">
        <f t="shared" si="427"/>
        <v>0</v>
      </c>
      <c r="GD133" s="525">
        <f t="shared" si="428"/>
        <v>0</v>
      </c>
      <c r="GE133" s="525">
        <f t="shared" si="429"/>
        <v>0</v>
      </c>
      <c r="GF133" s="525">
        <f t="shared" si="430"/>
        <v>0</v>
      </c>
      <c r="GG133" s="526">
        <f t="shared" si="347"/>
        <v>0</v>
      </c>
      <c r="GH133" s="537">
        <f t="shared" si="431"/>
        <v>0</v>
      </c>
      <c r="GI133" s="538">
        <f t="shared" si="432"/>
        <v>0</v>
      </c>
      <c r="GJ133" s="538">
        <f t="shared" si="433"/>
        <v>0</v>
      </c>
      <c r="GK133" s="538">
        <f t="shared" si="434"/>
        <v>0</v>
      </c>
      <c r="GL133" s="538">
        <f t="shared" si="435"/>
        <v>0</v>
      </c>
      <c r="GM133" s="538">
        <f t="shared" si="436"/>
        <v>0</v>
      </c>
      <c r="GN133" s="539">
        <f t="shared" si="302"/>
        <v>0</v>
      </c>
      <c r="GO133" s="540">
        <f t="shared" si="303"/>
        <v>0</v>
      </c>
      <c r="GP133" s="669"/>
      <c r="GQ133" s="502"/>
      <c r="GR133" s="530"/>
      <c r="GS133" s="670"/>
      <c r="GT133" s="531"/>
      <c r="GU133" s="531"/>
      <c r="GV133" s="531"/>
      <c r="GW133" s="499">
        <f t="shared" si="437"/>
        <v>0</v>
      </c>
      <c r="GX133" s="671">
        <f t="shared" si="438"/>
        <v>0</v>
      </c>
      <c r="GY133" s="529"/>
      <c r="GZ133" s="533">
        <f>neprodano!DC51</f>
        <v>0</v>
      </c>
      <c r="HA133" s="533"/>
      <c r="HB133" s="533">
        <f>neprodano!DF51</f>
        <v>0</v>
      </c>
      <c r="HC133" s="502">
        <f t="shared" si="439"/>
        <v>0</v>
      </c>
      <c r="HD133" s="660">
        <f t="shared" si="440"/>
        <v>0</v>
      </c>
      <c r="HE133" s="1674">
        <f t="shared" si="441"/>
        <v>0</v>
      </c>
      <c r="HF133" s="536">
        <f t="shared" si="441"/>
        <v>0</v>
      </c>
      <c r="HG133" s="523">
        <f t="shared" si="442"/>
        <v>0</v>
      </c>
      <c r="HH133" s="525">
        <f t="shared" si="443"/>
        <v>0</v>
      </c>
      <c r="HI133" s="525">
        <f t="shared" si="444"/>
        <v>0</v>
      </c>
      <c r="HJ133" s="525">
        <f t="shared" si="445"/>
        <v>0</v>
      </c>
      <c r="HK133" s="525">
        <f t="shared" si="446"/>
        <v>0</v>
      </c>
      <c r="HL133" s="525">
        <f t="shared" si="447"/>
        <v>0</v>
      </c>
      <c r="HM133" s="526">
        <f t="shared" si="448"/>
        <v>0</v>
      </c>
      <c r="HN133" s="537">
        <f t="shared" si="449"/>
        <v>0</v>
      </c>
      <c r="HO133" s="538">
        <f t="shared" si="450"/>
        <v>0</v>
      </c>
      <c r="HP133" s="538">
        <f t="shared" si="451"/>
        <v>0</v>
      </c>
      <c r="HQ133" s="538">
        <f t="shared" si="452"/>
        <v>0</v>
      </c>
      <c r="HR133" s="538">
        <f t="shared" si="453"/>
        <v>0</v>
      </c>
      <c r="HS133" s="538">
        <f t="shared" si="454"/>
        <v>0</v>
      </c>
      <c r="HT133" s="1256">
        <f t="shared" si="377"/>
        <v>0</v>
      </c>
      <c r="HU133" s="1157">
        <f t="shared" si="378"/>
        <v>0</v>
      </c>
    </row>
    <row r="134" spans="1:231" ht="12.75" customHeight="1" x14ac:dyDescent="0.2">
      <c r="A134" s="3707"/>
      <c r="B134" s="3655"/>
      <c r="C134" s="661">
        <v>3</v>
      </c>
      <c r="D134" s="672" t="s">
        <v>137</v>
      </c>
      <c r="E134" s="663">
        <v>3</v>
      </c>
      <c r="F134" s="258">
        <f>65.49+54.9+75.05</f>
        <v>195.44</v>
      </c>
      <c r="G134" s="664">
        <f t="shared" si="331"/>
        <v>65.146666666666661</v>
      </c>
      <c r="H134" s="665" t="s">
        <v>134</v>
      </c>
      <c r="I134" s="666" t="s">
        <v>134</v>
      </c>
      <c r="J134" s="666" t="s">
        <v>134</v>
      </c>
      <c r="K134" s="665" t="s">
        <v>134</v>
      </c>
      <c r="L134" s="666" t="s">
        <v>134</v>
      </c>
      <c r="M134" s="666" t="s">
        <v>134</v>
      </c>
      <c r="N134" s="679">
        <f>F134</f>
        <v>195.44</v>
      </c>
      <c r="O134" s="518">
        <f>neprodano!EE43</f>
        <v>0</v>
      </c>
      <c r="P134" s="258">
        <f>neprodano!EC43</f>
        <v>952434.96</v>
      </c>
      <c r="Q134" s="258">
        <f>85314.6+116627.7+101771.46</f>
        <v>303713.76</v>
      </c>
      <c r="R134" s="258">
        <f t="shared" si="379"/>
        <v>1256148.72</v>
      </c>
      <c r="S134" s="657">
        <v>1256148.72</v>
      </c>
      <c r="T134" s="521">
        <f>neprodano!DU43</f>
        <v>320798.51700232446</v>
      </c>
      <c r="U134" s="547">
        <v>0</v>
      </c>
      <c r="V134" s="673">
        <v>0</v>
      </c>
      <c r="W134" s="548">
        <v>0</v>
      </c>
      <c r="X134" s="549">
        <v>0</v>
      </c>
      <c r="Y134" s="549">
        <v>0</v>
      </c>
      <c r="Z134" s="549">
        <v>0</v>
      </c>
      <c r="AA134" s="525">
        <f t="shared" si="380"/>
        <v>0</v>
      </c>
      <c r="AB134" s="524">
        <f t="shared" si="380"/>
        <v>0</v>
      </c>
      <c r="AC134" s="526">
        <f t="shared" si="333"/>
        <v>0</v>
      </c>
      <c r="AD134" s="547">
        <v>0</v>
      </c>
      <c r="AE134" s="547">
        <v>0</v>
      </c>
      <c r="AF134" s="547">
        <v>0</v>
      </c>
      <c r="AG134" s="547">
        <v>0</v>
      </c>
      <c r="AH134" s="363">
        <f t="shared" si="381"/>
        <v>0</v>
      </c>
      <c r="AI134" s="547">
        <f t="shared" si="382"/>
        <v>0</v>
      </c>
      <c r="AJ134" s="550">
        <f t="shared" si="383"/>
        <v>0</v>
      </c>
      <c r="AK134" s="551">
        <f t="shared" si="334"/>
        <v>0</v>
      </c>
      <c r="AL134" s="669"/>
      <c r="AM134" s="502"/>
      <c r="AN134" s="530">
        <f>neprodano!BP43</f>
        <v>0</v>
      </c>
      <c r="AO134" s="670"/>
      <c r="AP134" s="531"/>
      <c r="AQ134" s="531"/>
      <c r="AR134" s="531"/>
      <c r="AS134" s="499">
        <f t="shared" si="384"/>
        <v>0</v>
      </c>
      <c r="AT134" s="671">
        <f t="shared" si="385"/>
        <v>0</v>
      </c>
      <c r="AU134" s="529"/>
      <c r="AV134" s="533">
        <f>neprodano!BO43</f>
        <v>0</v>
      </c>
      <c r="AW134" s="533"/>
      <c r="AX134" s="533">
        <f>neprodano!BR43</f>
        <v>0</v>
      </c>
      <c r="AY134" s="502">
        <f t="shared" si="386"/>
        <v>0</v>
      </c>
      <c r="AZ134" s="660">
        <f t="shared" si="387"/>
        <v>0</v>
      </c>
      <c r="BA134" s="535">
        <f t="shared" si="211"/>
        <v>0</v>
      </c>
      <c r="BB134" s="536">
        <f t="shared" si="212"/>
        <v>0</v>
      </c>
      <c r="BC134" s="523">
        <f t="shared" si="213"/>
        <v>0</v>
      </c>
      <c r="BD134" s="525">
        <f t="shared" si="214"/>
        <v>0</v>
      </c>
      <c r="BE134" s="525">
        <f t="shared" si="215"/>
        <v>0</v>
      </c>
      <c r="BF134" s="525">
        <f t="shared" si="216"/>
        <v>0</v>
      </c>
      <c r="BG134" s="525">
        <f t="shared" si="217"/>
        <v>0</v>
      </c>
      <c r="BH134" s="525">
        <f t="shared" si="218"/>
        <v>0</v>
      </c>
      <c r="BI134" s="526">
        <f t="shared" si="219"/>
        <v>0</v>
      </c>
      <c r="BJ134" s="537">
        <f t="shared" si="220"/>
        <v>0</v>
      </c>
      <c r="BK134" s="538">
        <f t="shared" si="221"/>
        <v>0</v>
      </c>
      <c r="BL134" s="538">
        <f t="shared" si="222"/>
        <v>0</v>
      </c>
      <c r="BM134" s="538">
        <f t="shared" si="223"/>
        <v>0</v>
      </c>
      <c r="BN134" s="538">
        <f t="shared" si="224"/>
        <v>0</v>
      </c>
      <c r="BO134" s="538">
        <f t="shared" si="225"/>
        <v>0</v>
      </c>
      <c r="BP134" s="539">
        <f t="shared" si="226"/>
        <v>0</v>
      </c>
      <c r="BQ134" s="540">
        <f t="shared" si="227"/>
        <v>0</v>
      </c>
      <c r="BR134" s="669"/>
      <c r="BS134" s="502"/>
      <c r="BT134" s="530"/>
      <c r="BU134" s="670"/>
      <c r="BV134" s="531"/>
      <c r="BW134" s="531"/>
      <c r="BX134" s="531"/>
      <c r="BY134" s="499">
        <f t="shared" si="388"/>
        <v>0</v>
      </c>
      <c r="BZ134" s="671">
        <f t="shared" si="389"/>
        <v>0</v>
      </c>
      <c r="CA134" s="529"/>
      <c r="CB134" s="533">
        <f>neprodano!BW43</f>
        <v>0</v>
      </c>
      <c r="CC134" s="533"/>
      <c r="CD134" s="533">
        <f>neprodano!BZ43</f>
        <v>0</v>
      </c>
      <c r="CE134" s="502">
        <f t="shared" si="390"/>
        <v>0</v>
      </c>
      <c r="CF134" s="660">
        <f t="shared" si="391"/>
        <v>0</v>
      </c>
      <c r="CG134" s="1138">
        <f t="shared" si="392"/>
        <v>0</v>
      </c>
      <c r="CH134" s="536">
        <f t="shared" si="392"/>
        <v>0</v>
      </c>
      <c r="CI134" s="523">
        <f t="shared" si="392"/>
        <v>0</v>
      </c>
      <c r="CJ134" s="525">
        <f t="shared" si="392"/>
        <v>0</v>
      </c>
      <c r="CK134" s="525">
        <f t="shared" si="392"/>
        <v>0</v>
      </c>
      <c r="CL134" s="525">
        <f t="shared" si="392"/>
        <v>0</v>
      </c>
      <c r="CM134" s="525">
        <f t="shared" si="392"/>
        <v>0</v>
      </c>
      <c r="CN134" s="525">
        <f t="shared" si="392"/>
        <v>0</v>
      </c>
      <c r="CO134" s="526">
        <f t="shared" si="338"/>
        <v>0</v>
      </c>
      <c r="CP134" s="537">
        <f t="shared" si="393"/>
        <v>0</v>
      </c>
      <c r="CQ134" s="538">
        <f t="shared" si="393"/>
        <v>0</v>
      </c>
      <c r="CR134" s="538">
        <f t="shared" si="393"/>
        <v>0</v>
      </c>
      <c r="CS134" s="538">
        <f t="shared" si="393"/>
        <v>0</v>
      </c>
      <c r="CT134" s="538">
        <f t="shared" si="393"/>
        <v>0</v>
      </c>
      <c r="CU134" s="538">
        <f t="shared" si="393"/>
        <v>0</v>
      </c>
      <c r="CV134" s="539">
        <f t="shared" si="340"/>
        <v>0</v>
      </c>
      <c r="CW134" s="540">
        <f t="shared" si="341"/>
        <v>0</v>
      </c>
      <c r="CX134" s="669"/>
      <c r="CY134" s="502"/>
      <c r="CZ134" s="530">
        <f>neprodano!CH43</f>
        <v>0</v>
      </c>
      <c r="DA134" s="670"/>
      <c r="DB134" s="531"/>
      <c r="DC134" s="531"/>
      <c r="DD134" s="531"/>
      <c r="DE134" s="499">
        <f t="shared" si="394"/>
        <v>0</v>
      </c>
      <c r="DF134" s="671">
        <f t="shared" si="395"/>
        <v>0</v>
      </c>
      <c r="DG134" s="529"/>
      <c r="DH134" s="533">
        <f>neprodano!CE43</f>
        <v>0</v>
      </c>
      <c r="DI134" s="533"/>
      <c r="DJ134" s="533">
        <f>neprodano!CH43</f>
        <v>0</v>
      </c>
      <c r="DK134" s="502">
        <f t="shared" si="396"/>
        <v>0</v>
      </c>
      <c r="DL134" s="660">
        <f t="shared" si="397"/>
        <v>0</v>
      </c>
      <c r="DM134" s="1138">
        <f t="shared" si="398"/>
        <v>0</v>
      </c>
      <c r="DN134" s="536">
        <f t="shared" si="398"/>
        <v>0</v>
      </c>
      <c r="DO134" s="523">
        <f t="shared" si="399"/>
        <v>0</v>
      </c>
      <c r="DP134" s="525">
        <f t="shared" si="400"/>
        <v>0</v>
      </c>
      <c r="DQ134" s="525">
        <f t="shared" si="401"/>
        <v>0</v>
      </c>
      <c r="DR134" s="525">
        <f t="shared" si="402"/>
        <v>0</v>
      </c>
      <c r="DS134" s="525">
        <f t="shared" si="403"/>
        <v>0</v>
      </c>
      <c r="DT134" s="525">
        <f t="shared" si="404"/>
        <v>0</v>
      </c>
      <c r="DU134" s="526">
        <f t="shared" si="245"/>
        <v>0</v>
      </c>
      <c r="DV134" s="537">
        <f t="shared" si="405"/>
        <v>0</v>
      </c>
      <c r="DW134" s="538">
        <f t="shared" si="406"/>
        <v>0</v>
      </c>
      <c r="DX134" s="538">
        <f t="shared" si="407"/>
        <v>0</v>
      </c>
      <c r="DY134" s="538">
        <f t="shared" si="408"/>
        <v>0</v>
      </c>
      <c r="DZ134" s="538">
        <f t="shared" si="409"/>
        <v>0</v>
      </c>
      <c r="EA134" s="538">
        <f t="shared" si="410"/>
        <v>0</v>
      </c>
      <c r="EB134" s="539">
        <f t="shared" si="313"/>
        <v>0</v>
      </c>
      <c r="EC134" s="540">
        <f t="shared" si="314"/>
        <v>0</v>
      </c>
      <c r="ED134" s="669"/>
      <c r="EE134" s="502"/>
      <c r="EF134" s="530">
        <f>neprodano!CN43</f>
        <v>0</v>
      </c>
      <c r="EG134" s="670"/>
      <c r="EH134" s="531"/>
      <c r="EI134" s="531"/>
      <c r="EJ134" s="531"/>
      <c r="EK134" s="499">
        <f t="shared" si="411"/>
        <v>0</v>
      </c>
      <c r="EL134" s="671">
        <f t="shared" si="412"/>
        <v>0</v>
      </c>
      <c r="EM134" s="529"/>
      <c r="EN134" s="533">
        <f>neprodano!CM43</f>
        <v>0</v>
      </c>
      <c r="EO134" s="533"/>
      <c r="EP134" s="533">
        <f>neprodano!CP43</f>
        <v>0</v>
      </c>
      <c r="EQ134" s="502">
        <f t="shared" si="413"/>
        <v>0</v>
      </c>
      <c r="ER134" s="660">
        <f t="shared" si="414"/>
        <v>0</v>
      </c>
      <c r="ES134" s="1138">
        <f t="shared" si="415"/>
        <v>0</v>
      </c>
      <c r="ET134" s="536">
        <f t="shared" si="415"/>
        <v>0</v>
      </c>
      <c r="EU134" s="523">
        <f t="shared" si="416"/>
        <v>0</v>
      </c>
      <c r="EV134" s="525">
        <f t="shared" si="417"/>
        <v>0</v>
      </c>
      <c r="EW134" s="525">
        <f t="shared" si="417"/>
        <v>0</v>
      </c>
      <c r="EX134" s="525">
        <f t="shared" si="417"/>
        <v>0</v>
      </c>
      <c r="EY134" s="525">
        <f t="shared" si="417"/>
        <v>0</v>
      </c>
      <c r="EZ134" s="525">
        <f t="shared" si="417"/>
        <v>0</v>
      </c>
      <c r="FA134" s="526">
        <f t="shared" si="298"/>
        <v>0</v>
      </c>
      <c r="FB134" s="537">
        <f t="shared" si="418"/>
        <v>0</v>
      </c>
      <c r="FC134" s="538">
        <f t="shared" si="419"/>
        <v>0</v>
      </c>
      <c r="FD134" s="538">
        <f t="shared" si="419"/>
        <v>0</v>
      </c>
      <c r="FE134" s="538">
        <f t="shared" si="419"/>
        <v>0</v>
      </c>
      <c r="FF134" s="538">
        <f t="shared" si="419"/>
        <v>0</v>
      </c>
      <c r="FG134" s="538">
        <f t="shared" si="419"/>
        <v>0</v>
      </c>
      <c r="FH134" s="539">
        <f t="shared" si="315"/>
        <v>0</v>
      </c>
      <c r="FI134" s="540">
        <f t="shared" si="316"/>
        <v>0</v>
      </c>
      <c r="FJ134" s="669"/>
      <c r="FK134" s="502"/>
      <c r="FL134" s="530"/>
      <c r="FM134" s="670"/>
      <c r="FN134" s="531"/>
      <c r="FO134" s="531"/>
      <c r="FP134" s="531"/>
      <c r="FQ134" s="499">
        <f t="shared" si="420"/>
        <v>0</v>
      </c>
      <c r="FR134" s="671">
        <f t="shared" si="421"/>
        <v>0</v>
      </c>
      <c r="FS134" s="529"/>
      <c r="FT134" s="533"/>
      <c r="FU134" s="533">
        <v>606233.82999999996</v>
      </c>
      <c r="FV134" s="533"/>
      <c r="FW134" s="502">
        <f t="shared" si="422"/>
        <v>606233.82999999996</v>
      </c>
      <c r="FX134" s="660">
        <f t="shared" si="423"/>
        <v>0</v>
      </c>
      <c r="FY134" s="1138">
        <f t="shared" si="424"/>
        <v>0</v>
      </c>
      <c r="FZ134" s="536">
        <f t="shared" si="424"/>
        <v>0</v>
      </c>
      <c r="GA134" s="523">
        <f t="shared" si="425"/>
        <v>0</v>
      </c>
      <c r="GB134" s="525">
        <f t="shared" si="426"/>
        <v>0</v>
      </c>
      <c r="GC134" s="525">
        <f t="shared" si="427"/>
        <v>0</v>
      </c>
      <c r="GD134" s="525">
        <f t="shared" si="428"/>
        <v>0</v>
      </c>
      <c r="GE134" s="525">
        <f t="shared" si="429"/>
        <v>0</v>
      </c>
      <c r="GF134" s="525">
        <f t="shared" si="430"/>
        <v>0</v>
      </c>
      <c r="GG134" s="526">
        <f t="shared" si="347"/>
        <v>0</v>
      </c>
      <c r="GH134" s="537">
        <f t="shared" si="431"/>
        <v>0</v>
      </c>
      <c r="GI134" s="538">
        <f t="shared" si="432"/>
        <v>0</v>
      </c>
      <c r="GJ134" s="538">
        <f t="shared" si="433"/>
        <v>606233.82999999996</v>
      </c>
      <c r="GK134" s="538">
        <f t="shared" si="434"/>
        <v>0</v>
      </c>
      <c r="GL134" s="538">
        <f t="shared" si="435"/>
        <v>606233.82999999996</v>
      </c>
      <c r="GM134" s="538">
        <f t="shared" si="436"/>
        <v>0</v>
      </c>
      <c r="GN134" s="539">
        <f t="shared" si="302"/>
        <v>0</v>
      </c>
      <c r="GO134" s="540">
        <f t="shared" si="303"/>
        <v>0</v>
      </c>
      <c r="GP134" s="669"/>
      <c r="GQ134" s="502"/>
      <c r="GR134" s="530"/>
      <c r="GS134" s="670"/>
      <c r="GT134" s="531"/>
      <c r="GU134" s="531"/>
      <c r="GV134" s="531"/>
      <c r="GW134" s="499">
        <f t="shared" si="437"/>
        <v>0</v>
      </c>
      <c r="GX134" s="671">
        <f t="shared" si="438"/>
        <v>0</v>
      </c>
      <c r="GY134" s="529"/>
      <c r="GZ134" s="533">
        <f>neprodano!DC43</f>
        <v>0</v>
      </c>
      <c r="HA134" s="533"/>
      <c r="HB134" s="533">
        <f>neprodano!DF43</f>
        <v>0</v>
      </c>
      <c r="HC134" s="502">
        <f t="shared" si="439"/>
        <v>0</v>
      </c>
      <c r="HD134" s="660">
        <f t="shared" si="440"/>
        <v>0</v>
      </c>
      <c r="HE134" s="1674">
        <f t="shared" si="441"/>
        <v>0</v>
      </c>
      <c r="HF134" s="536">
        <f t="shared" si="441"/>
        <v>0</v>
      </c>
      <c r="HG134" s="523">
        <f t="shared" si="442"/>
        <v>0</v>
      </c>
      <c r="HH134" s="525">
        <f t="shared" si="443"/>
        <v>0</v>
      </c>
      <c r="HI134" s="525">
        <f t="shared" si="444"/>
        <v>0</v>
      </c>
      <c r="HJ134" s="525">
        <f t="shared" si="445"/>
        <v>0</v>
      </c>
      <c r="HK134" s="525">
        <f t="shared" si="446"/>
        <v>0</v>
      </c>
      <c r="HL134" s="525">
        <f t="shared" si="447"/>
        <v>0</v>
      </c>
      <c r="HM134" s="626">
        <f t="shared" si="448"/>
        <v>0</v>
      </c>
      <c r="HN134" s="537">
        <f t="shared" si="449"/>
        <v>0</v>
      </c>
      <c r="HO134" s="538">
        <f t="shared" si="450"/>
        <v>0</v>
      </c>
      <c r="HP134" s="538">
        <f t="shared" si="451"/>
        <v>606233.82999999996</v>
      </c>
      <c r="HQ134" s="538">
        <f t="shared" si="452"/>
        <v>0</v>
      </c>
      <c r="HR134" s="538">
        <f t="shared" si="453"/>
        <v>606233.82999999996</v>
      </c>
      <c r="HS134" s="538">
        <f t="shared" si="454"/>
        <v>0</v>
      </c>
      <c r="HT134" s="539">
        <f t="shared" si="377"/>
        <v>0</v>
      </c>
      <c r="HU134" s="540">
        <f t="shared" si="378"/>
        <v>0</v>
      </c>
    </row>
    <row r="135" spans="1:231" ht="12.75" customHeight="1" x14ac:dyDescent="0.2">
      <c r="A135" s="3707"/>
      <c r="B135" s="3655"/>
      <c r="C135" s="661">
        <v>4</v>
      </c>
      <c r="D135" s="674" t="s">
        <v>291</v>
      </c>
      <c r="E135" s="675" t="s">
        <v>134</v>
      </c>
      <c r="F135" s="666" t="s">
        <v>134</v>
      </c>
      <c r="G135" s="676" t="s">
        <v>134</v>
      </c>
      <c r="H135" s="677">
        <v>257</v>
      </c>
      <c r="I135" s="678">
        <v>2074.35</v>
      </c>
      <c r="J135" s="678">
        <f>I135/H135</f>
        <v>8.0714007782101156</v>
      </c>
      <c r="K135" s="665" t="s">
        <v>134</v>
      </c>
      <c r="L135" s="666" t="s">
        <v>134</v>
      </c>
      <c r="M135" s="666" t="s">
        <v>134</v>
      </c>
      <c r="N135" s="679">
        <f>I135</f>
        <v>2074.35</v>
      </c>
      <c r="O135" s="518">
        <f>neprodano!EE17</f>
        <v>1081881.4277360423</v>
      </c>
      <c r="P135" s="258">
        <f>neprodano!EC17</f>
        <v>12044508.63197084</v>
      </c>
      <c r="Q135" s="258">
        <v>2094840.5</v>
      </c>
      <c r="R135" s="258">
        <f t="shared" si="379"/>
        <v>15221230.559706882</v>
      </c>
      <c r="S135" s="657">
        <v>17029040.280000001</v>
      </c>
      <c r="T135" s="521">
        <f>neprodano!DU17+93940</f>
        <v>4019872.6093438827</v>
      </c>
      <c r="U135" s="547">
        <v>0</v>
      </c>
      <c r="V135" s="673">
        <v>290516.67</v>
      </c>
      <c r="W135" s="548">
        <v>0</v>
      </c>
      <c r="X135" s="549">
        <v>0</v>
      </c>
      <c r="Y135" s="549">
        <v>0</v>
      </c>
      <c r="Z135" s="549">
        <v>0</v>
      </c>
      <c r="AA135" s="525">
        <f t="shared" si="380"/>
        <v>0</v>
      </c>
      <c r="AB135" s="524">
        <f t="shared" si="380"/>
        <v>0</v>
      </c>
      <c r="AC135" s="526">
        <f t="shared" si="333"/>
        <v>0</v>
      </c>
      <c r="AD135" s="547">
        <v>772407.12</v>
      </c>
      <c r="AE135" s="547">
        <v>159107.87</v>
      </c>
      <c r="AF135" s="547">
        <v>681560.55999999994</v>
      </c>
      <c r="AG135" s="547">
        <f>neprodano!V17+neprodano!AD17+neprodano!AL17+neprodano!AT17+neprodano!BB17+neprodano!BJ17</f>
        <v>427096.77</v>
      </c>
      <c r="AH135" s="363">
        <f t="shared" si="381"/>
        <v>1453967.68</v>
      </c>
      <c r="AI135" s="547">
        <f t="shared" si="382"/>
        <v>586204.64</v>
      </c>
      <c r="AJ135" s="550">
        <f t="shared" si="383"/>
        <v>3.4423821328820062E-2</v>
      </c>
      <c r="AK135" s="551">
        <f t="shared" si="334"/>
        <v>0</v>
      </c>
      <c r="AL135" s="669"/>
      <c r="AM135" s="502"/>
      <c r="AN135" s="530">
        <f>neprodano!BP17</f>
        <v>0</v>
      </c>
      <c r="AO135" s="670"/>
      <c r="AP135" s="531"/>
      <c r="AQ135" s="531"/>
      <c r="AR135" s="531"/>
      <c r="AS135" s="499">
        <f t="shared" si="384"/>
        <v>0</v>
      </c>
      <c r="AT135" s="671">
        <f t="shared" si="385"/>
        <v>0</v>
      </c>
      <c r="AU135" s="529">
        <v>310176.56</v>
      </c>
      <c r="AV135" s="533">
        <f>neprodano!BO17</f>
        <v>0</v>
      </c>
      <c r="AW135" s="533">
        <v>156531.85999999999</v>
      </c>
      <c r="AX135" s="533">
        <f>neprodano!BR17</f>
        <v>0</v>
      </c>
      <c r="AY135" s="502">
        <f t="shared" si="386"/>
        <v>466708.42</v>
      </c>
      <c r="AZ135" s="660">
        <f t="shared" si="387"/>
        <v>0</v>
      </c>
      <c r="BA135" s="535">
        <f t="shared" si="211"/>
        <v>0</v>
      </c>
      <c r="BB135" s="536">
        <f t="shared" si="212"/>
        <v>290516.67</v>
      </c>
      <c r="BC135" s="523">
        <f t="shared" si="213"/>
        <v>0</v>
      </c>
      <c r="BD135" s="525">
        <f t="shared" si="214"/>
        <v>0</v>
      </c>
      <c r="BE135" s="525">
        <f t="shared" si="215"/>
        <v>0</v>
      </c>
      <c r="BF135" s="525">
        <f t="shared" si="216"/>
        <v>0</v>
      </c>
      <c r="BG135" s="525">
        <f t="shared" si="217"/>
        <v>0</v>
      </c>
      <c r="BH135" s="525">
        <f t="shared" si="218"/>
        <v>0</v>
      </c>
      <c r="BI135" s="526">
        <f t="shared" si="219"/>
        <v>0</v>
      </c>
      <c r="BJ135" s="537">
        <f t="shared" si="220"/>
        <v>1082583.68</v>
      </c>
      <c r="BK135" s="538">
        <f t="shared" si="221"/>
        <v>159107.87</v>
      </c>
      <c r="BL135" s="538">
        <f t="shared" si="222"/>
        <v>838092.41999999993</v>
      </c>
      <c r="BM135" s="538">
        <f t="shared" si="223"/>
        <v>427096.77</v>
      </c>
      <c r="BN135" s="538">
        <f t="shared" si="224"/>
        <v>1920676.0999999999</v>
      </c>
      <c r="BO135" s="538">
        <f t="shared" si="225"/>
        <v>586204.64</v>
      </c>
      <c r="BP135" s="539">
        <f t="shared" si="226"/>
        <v>3.4423821328820062E-2</v>
      </c>
      <c r="BQ135" s="540">
        <f t="shared" si="227"/>
        <v>0</v>
      </c>
      <c r="BR135" s="669"/>
      <c r="BS135" s="502"/>
      <c r="BT135" s="530"/>
      <c r="BU135" s="670"/>
      <c r="BV135" s="531"/>
      <c r="BW135" s="531"/>
      <c r="BX135" s="531"/>
      <c r="BY135" s="499">
        <f t="shared" si="388"/>
        <v>0</v>
      </c>
      <c r="BZ135" s="671">
        <f t="shared" si="389"/>
        <v>0</v>
      </c>
      <c r="CA135" s="529">
        <v>310176.56</v>
      </c>
      <c r="CB135" s="533">
        <f>neprodano!BW17</f>
        <v>0</v>
      </c>
      <c r="CC135" s="533">
        <v>156531.85999999999</v>
      </c>
      <c r="CD135" s="533">
        <f>neprodano!BZ17</f>
        <v>0</v>
      </c>
      <c r="CE135" s="502">
        <f t="shared" si="390"/>
        <v>466708.42</v>
      </c>
      <c r="CF135" s="660">
        <f t="shared" si="391"/>
        <v>0</v>
      </c>
      <c r="CG135" s="1138">
        <f t="shared" si="392"/>
        <v>0</v>
      </c>
      <c r="CH135" s="536">
        <f t="shared" si="392"/>
        <v>290516.67</v>
      </c>
      <c r="CI135" s="523">
        <f t="shared" si="392"/>
        <v>0</v>
      </c>
      <c r="CJ135" s="525">
        <f t="shared" si="392"/>
        <v>0</v>
      </c>
      <c r="CK135" s="525">
        <f t="shared" si="392"/>
        <v>0</v>
      </c>
      <c r="CL135" s="525">
        <f t="shared" si="392"/>
        <v>0</v>
      </c>
      <c r="CM135" s="525">
        <f t="shared" si="392"/>
        <v>0</v>
      </c>
      <c r="CN135" s="525">
        <f t="shared" si="392"/>
        <v>0</v>
      </c>
      <c r="CO135" s="526">
        <f t="shared" si="338"/>
        <v>0</v>
      </c>
      <c r="CP135" s="537">
        <f t="shared" si="393"/>
        <v>1392760.24</v>
      </c>
      <c r="CQ135" s="538">
        <f t="shared" si="393"/>
        <v>159107.87</v>
      </c>
      <c r="CR135" s="538">
        <f t="shared" si="393"/>
        <v>994624.27999999991</v>
      </c>
      <c r="CS135" s="538">
        <f t="shared" si="393"/>
        <v>427096.77</v>
      </c>
      <c r="CT135" s="538">
        <f t="shared" si="393"/>
        <v>2387384.52</v>
      </c>
      <c r="CU135" s="538">
        <f t="shared" si="393"/>
        <v>586204.64</v>
      </c>
      <c r="CV135" s="539">
        <f t="shared" si="340"/>
        <v>3.4423821328820062E-2</v>
      </c>
      <c r="CW135" s="540">
        <f t="shared" si="341"/>
        <v>0</v>
      </c>
      <c r="CX135" s="669"/>
      <c r="CY135" s="502"/>
      <c r="CZ135" s="530">
        <f>neprodano!CF17</f>
        <v>0</v>
      </c>
      <c r="DA135" s="670"/>
      <c r="DB135" s="531"/>
      <c r="DC135" s="531"/>
      <c r="DD135" s="531"/>
      <c r="DE135" s="499">
        <f t="shared" si="394"/>
        <v>0</v>
      </c>
      <c r="DF135" s="671">
        <f t="shared" si="395"/>
        <v>0</v>
      </c>
      <c r="DG135" s="529"/>
      <c r="DH135" s="533">
        <f>neprodano!CE17</f>
        <v>14000</v>
      </c>
      <c r="DI135" s="533"/>
      <c r="DJ135" s="533">
        <f>neprodano!CH17</f>
        <v>0</v>
      </c>
      <c r="DK135" s="502">
        <f t="shared" si="396"/>
        <v>0</v>
      </c>
      <c r="DL135" s="660">
        <f t="shared" si="397"/>
        <v>14000</v>
      </c>
      <c r="DM135" s="1138">
        <f t="shared" si="398"/>
        <v>0</v>
      </c>
      <c r="DN135" s="536">
        <f t="shared" si="398"/>
        <v>290516.67</v>
      </c>
      <c r="DO135" s="523">
        <f t="shared" si="399"/>
        <v>0</v>
      </c>
      <c r="DP135" s="525">
        <f t="shared" si="400"/>
        <v>0</v>
      </c>
      <c r="DQ135" s="525">
        <f t="shared" si="401"/>
        <v>0</v>
      </c>
      <c r="DR135" s="525">
        <f t="shared" si="402"/>
        <v>0</v>
      </c>
      <c r="DS135" s="525">
        <f t="shared" si="403"/>
        <v>0</v>
      </c>
      <c r="DT135" s="525">
        <f t="shared" si="404"/>
        <v>0</v>
      </c>
      <c r="DU135" s="526">
        <f t="shared" si="245"/>
        <v>0</v>
      </c>
      <c r="DV135" s="537">
        <f t="shared" si="405"/>
        <v>1392760.24</v>
      </c>
      <c r="DW135" s="538">
        <f t="shared" si="406"/>
        <v>173107.87</v>
      </c>
      <c r="DX135" s="538">
        <f t="shared" si="407"/>
        <v>994624.27999999991</v>
      </c>
      <c r="DY135" s="538">
        <f t="shared" si="408"/>
        <v>427096.77</v>
      </c>
      <c r="DZ135" s="538">
        <f t="shared" si="409"/>
        <v>2387384.52</v>
      </c>
      <c r="EA135" s="538">
        <f t="shared" si="410"/>
        <v>600204.64</v>
      </c>
      <c r="EB135" s="539">
        <f t="shared" si="313"/>
        <v>3.5245946344076649E-2</v>
      </c>
      <c r="EC135" s="540">
        <f t="shared" si="314"/>
        <v>0</v>
      </c>
      <c r="ED135" s="669"/>
      <c r="EE135" s="502"/>
      <c r="EF135" s="530">
        <f>neprodano!CN17</f>
        <v>13571.96</v>
      </c>
      <c r="EG135" s="670"/>
      <c r="EH135" s="531"/>
      <c r="EI135" s="531"/>
      <c r="EJ135" s="531"/>
      <c r="EK135" s="499">
        <f t="shared" si="411"/>
        <v>0</v>
      </c>
      <c r="EL135" s="671">
        <f t="shared" si="412"/>
        <v>0</v>
      </c>
      <c r="EM135" s="529"/>
      <c r="EN135" s="533">
        <f>neprodano!CM17</f>
        <v>7560</v>
      </c>
      <c r="EO135" s="533"/>
      <c r="EP135" s="533">
        <f>neprodano!CP17</f>
        <v>21201.61</v>
      </c>
      <c r="EQ135" s="502">
        <f t="shared" si="413"/>
        <v>0</v>
      </c>
      <c r="ER135" s="660">
        <f t="shared" si="414"/>
        <v>28761.61</v>
      </c>
      <c r="ES135" s="1138">
        <f t="shared" si="415"/>
        <v>0</v>
      </c>
      <c r="ET135" s="536">
        <f t="shared" si="415"/>
        <v>304088.63</v>
      </c>
      <c r="EU135" s="523">
        <f t="shared" si="416"/>
        <v>0</v>
      </c>
      <c r="EV135" s="525">
        <f t="shared" si="417"/>
        <v>0</v>
      </c>
      <c r="EW135" s="525">
        <f t="shared" si="417"/>
        <v>0</v>
      </c>
      <c r="EX135" s="525">
        <f t="shared" si="417"/>
        <v>0</v>
      </c>
      <c r="EY135" s="525">
        <f t="shared" si="417"/>
        <v>0</v>
      </c>
      <c r="EZ135" s="525">
        <f t="shared" si="417"/>
        <v>0</v>
      </c>
      <c r="FA135" s="526">
        <f t="shared" si="298"/>
        <v>0</v>
      </c>
      <c r="FB135" s="537">
        <f t="shared" si="418"/>
        <v>1392760.24</v>
      </c>
      <c r="FC135" s="538">
        <f t="shared" si="419"/>
        <v>180667.87</v>
      </c>
      <c r="FD135" s="538">
        <f t="shared" si="419"/>
        <v>994624.27999999991</v>
      </c>
      <c r="FE135" s="538">
        <f t="shared" si="419"/>
        <v>448298.38</v>
      </c>
      <c r="FF135" s="538">
        <f t="shared" si="419"/>
        <v>2387384.52</v>
      </c>
      <c r="FG135" s="538">
        <f t="shared" si="419"/>
        <v>628966.25</v>
      </c>
      <c r="FH135" s="539">
        <f t="shared" si="315"/>
        <v>3.6934920562651928E-2</v>
      </c>
      <c r="FI135" s="540">
        <f t="shared" si="316"/>
        <v>0</v>
      </c>
      <c r="FJ135" s="669"/>
      <c r="FK135" s="502"/>
      <c r="FL135" s="530"/>
      <c r="FM135" s="670"/>
      <c r="FN135" s="531"/>
      <c r="FO135" s="531"/>
      <c r="FP135" s="531"/>
      <c r="FQ135" s="499">
        <f t="shared" si="420"/>
        <v>0</v>
      </c>
      <c r="FR135" s="671">
        <f t="shared" si="421"/>
        <v>0</v>
      </c>
      <c r="FS135" s="529"/>
      <c r="FT135" s="533"/>
      <c r="FU135" s="533"/>
      <c r="FV135" s="533"/>
      <c r="FW135" s="502">
        <f t="shared" si="422"/>
        <v>0</v>
      </c>
      <c r="FX135" s="660">
        <f t="shared" si="423"/>
        <v>0</v>
      </c>
      <c r="FY135" s="1138">
        <f t="shared" si="424"/>
        <v>0</v>
      </c>
      <c r="FZ135" s="536">
        <f t="shared" si="424"/>
        <v>304088.63</v>
      </c>
      <c r="GA135" s="523">
        <f t="shared" si="425"/>
        <v>0</v>
      </c>
      <c r="GB135" s="525">
        <f t="shared" si="426"/>
        <v>0</v>
      </c>
      <c r="GC135" s="525">
        <f t="shared" si="427"/>
        <v>0</v>
      </c>
      <c r="GD135" s="525">
        <f t="shared" si="428"/>
        <v>0</v>
      </c>
      <c r="GE135" s="525">
        <f t="shared" si="429"/>
        <v>0</v>
      </c>
      <c r="GF135" s="525">
        <f t="shared" si="430"/>
        <v>0</v>
      </c>
      <c r="GG135" s="526">
        <f t="shared" si="347"/>
        <v>0</v>
      </c>
      <c r="GH135" s="537">
        <f t="shared" si="431"/>
        <v>1392760.24</v>
      </c>
      <c r="GI135" s="538">
        <f t="shared" si="432"/>
        <v>180667.87</v>
      </c>
      <c r="GJ135" s="538">
        <f t="shared" si="433"/>
        <v>994624.27999999991</v>
      </c>
      <c r="GK135" s="538">
        <f t="shared" si="434"/>
        <v>448298.38</v>
      </c>
      <c r="GL135" s="538">
        <f t="shared" si="435"/>
        <v>2387384.52</v>
      </c>
      <c r="GM135" s="538">
        <f t="shared" si="436"/>
        <v>628966.25</v>
      </c>
      <c r="GN135" s="539">
        <f t="shared" si="302"/>
        <v>3.6934920562651928E-2</v>
      </c>
      <c r="GO135" s="540">
        <f t="shared" si="303"/>
        <v>0</v>
      </c>
      <c r="GP135" s="669"/>
      <c r="GQ135" s="502"/>
      <c r="GR135" s="530"/>
      <c r="GS135" s="670"/>
      <c r="GT135" s="531"/>
      <c r="GU135" s="531"/>
      <c r="GV135" s="531"/>
      <c r="GW135" s="499">
        <f t="shared" si="437"/>
        <v>0</v>
      </c>
      <c r="GX135" s="671">
        <f t="shared" si="438"/>
        <v>0</v>
      </c>
      <c r="GY135" s="529"/>
      <c r="GZ135" s="533">
        <f>neprodano!DC17</f>
        <v>0</v>
      </c>
      <c r="HA135" s="533"/>
      <c r="HB135" s="533">
        <f>neprodano!DF17</f>
        <v>0</v>
      </c>
      <c r="HC135" s="502">
        <f t="shared" si="439"/>
        <v>0</v>
      </c>
      <c r="HD135" s="660">
        <f t="shared" si="440"/>
        <v>0</v>
      </c>
      <c r="HE135" s="1674">
        <f t="shared" si="441"/>
        <v>0</v>
      </c>
      <c r="HF135" s="536">
        <f t="shared" si="441"/>
        <v>304088.63</v>
      </c>
      <c r="HG135" s="523">
        <f t="shared" si="442"/>
        <v>0</v>
      </c>
      <c r="HH135" s="525">
        <f t="shared" si="443"/>
        <v>0</v>
      </c>
      <c r="HI135" s="525">
        <f t="shared" si="444"/>
        <v>0</v>
      </c>
      <c r="HJ135" s="525">
        <f t="shared" si="445"/>
        <v>0</v>
      </c>
      <c r="HK135" s="525">
        <f t="shared" si="446"/>
        <v>0</v>
      </c>
      <c r="HL135" s="525">
        <f t="shared" si="447"/>
        <v>0</v>
      </c>
      <c r="HM135" s="626">
        <f t="shared" si="448"/>
        <v>0</v>
      </c>
      <c r="HN135" s="537">
        <f t="shared" si="449"/>
        <v>1392760.24</v>
      </c>
      <c r="HO135" s="538">
        <f t="shared" si="450"/>
        <v>180667.87</v>
      </c>
      <c r="HP135" s="538">
        <f t="shared" si="451"/>
        <v>994624.27999999991</v>
      </c>
      <c r="HQ135" s="538">
        <f t="shared" si="452"/>
        <v>448298.38</v>
      </c>
      <c r="HR135" s="538">
        <f t="shared" si="453"/>
        <v>2387384.52</v>
      </c>
      <c r="HS135" s="538">
        <f t="shared" si="454"/>
        <v>628966.25</v>
      </c>
      <c r="HT135" s="539">
        <f t="shared" si="377"/>
        <v>3.6934920562651928E-2</v>
      </c>
      <c r="HU135" s="540">
        <f t="shared" si="378"/>
        <v>0</v>
      </c>
    </row>
    <row r="136" spans="1:231" ht="12.75" customHeight="1" x14ac:dyDescent="0.2">
      <c r="A136" s="3707"/>
      <c r="B136" s="3655"/>
      <c r="C136" s="661">
        <v>5</v>
      </c>
      <c r="D136" s="674" t="s">
        <v>292</v>
      </c>
      <c r="E136" s="675" t="s">
        <v>134</v>
      </c>
      <c r="F136" s="666" t="s">
        <v>134</v>
      </c>
      <c r="G136" s="676" t="s">
        <v>134</v>
      </c>
      <c r="H136" s="516">
        <f>266+40</f>
        <v>306</v>
      </c>
      <c r="I136" s="258">
        <f>3108.81+486.02</f>
        <v>3594.83</v>
      </c>
      <c r="J136" s="258">
        <f>I136/H136</f>
        <v>11.747810457516339</v>
      </c>
      <c r="K136" s="665" t="s">
        <v>134</v>
      </c>
      <c r="L136" s="666" t="s">
        <v>134</v>
      </c>
      <c r="M136" s="666" t="s">
        <v>134</v>
      </c>
      <c r="N136" s="679">
        <f>I136</f>
        <v>3594.83</v>
      </c>
      <c r="O136" s="518">
        <f>neprodano!EE34</f>
        <v>0</v>
      </c>
      <c r="P136" s="258">
        <f>neprodano!EC34+1973748.27</f>
        <v>20380592.040810533</v>
      </c>
      <c r="Q136" s="258">
        <f>neprodano!ED34+512175.53</f>
        <v>4755850.10943803</v>
      </c>
      <c r="R136" s="258">
        <f t="shared" si="379"/>
        <v>25136442.150248565</v>
      </c>
      <c r="S136" s="657">
        <v>25521272.07</v>
      </c>
      <c r="T136" s="521">
        <f>neprodano!DU34+69685.89+6427823.15*0.07</f>
        <v>4732545.1892632321</v>
      </c>
      <c r="U136" s="547">
        <v>0</v>
      </c>
      <c r="V136" s="673">
        <v>255291.57000000004</v>
      </c>
      <c r="W136" s="548">
        <f>6482088.26*0.07</f>
        <v>453746.17820000002</v>
      </c>
      <c r="X136" s="549">
        <f>3469039.51*0.07</f>
        <v>242832.76570000002</v>
      </c>
      <c r="Y136" s="549">
        <v>0</v>
      </c>
      <c r="Z136" s="549">
        <v>0</v>
      </c>
      <c r="AA136" s="525">
        <f t="shared" si="380"/>
        <v>453746.17820000002</v>
      </c>
      <c r="AB136" s="524">
        <f t="shared" si="380"/>
        <v>242832.76570000002</v>
      </c>
      <c r="AC136" s="526">
        <f t="shared" si="333"/>
        <v>9.6605861819469441E-3</v>
      </c>
      <c r="AD136" s="547">
        <v>875220.89999999991</v>
      </c>
      <c r="AE136" s="547">
        <v>607265.75</v>
      </c>
      <c r="AF136" s="547">
        <v>636730.30000000005</v>
      </c>
      <c r="AG136" s="547">
        <f>510613.9+39389.27</f>
        <v>550003.17000000004</v>
      </c>
      <c r="AH136" s="363">
        <f t="shared" si="381"/>
        <v>1511951.2</v>
      </c>
      <c r="AI136" s="547">
        <f t="shared" si="382"/>
        <v>1157268.92</v>
      </c>
      <c r="AJ136" s="550">
        <f t="shared" si="383"/>
        <v>4.5345267932798618E-2</v>
      </c>
      <c r="AK136" s="528">
        <f t="shared" si="334"/>
        <v>0</v>
      </c>
      <c r="AL136" s="669"/>
      <c r="AM136" s="502"/>
      <c r="AN136" s="530">
        <f>neprodano!BP34</f>
        <v>0</v>
      </c>
      <c r="AO136" s="670">
        <f>1498964.06*0.07</f>
        <v>104927.48420000002</v>
      </c>
      <c r="AP136" s="531">
        <f>1269915.44*0.07</f>
        <v>88894.080800000011</v>
      </c>
      <c r="AQ136" s="531"/>
      <c r="AR136" s="531"/>
      <c r="AS136" s="499">
        <f t="shared" si="384"/>
        <v>104927.48420000002</v>
      </c>
      <c r="AT136" s="671">
        <f t="shared" si="385"/>
        <v>88894.080800000011</v>
      </c>
      <c r="AU136" s="529">
        <v>188049.83</v>
      </c>
      <c r="AV136" s="533">
        <f>neprodano!BO34</f>
        <v>24140.46</v>
      </c>
      <c r="AW136" s="533">
        <v>75912.23</v>
      </c>
      <c r="AX136" s="533">
        <f>neprodano!BR34</f>
        <v>0</v>
      </c>
      <c r="AY136" s="502">
        <f t="shared" si="386"/>
        <v>263962.06</v>
      </c>
      <c r="AZ136" s="660">
        <f t="shared" si="387"/>
        <v>24140.46</v>
      </c>
      <c r="BA136" s="535">
        <f t="shared" si="211"/>
        <v>0</v>
      </c>
      <c r="BB136" s="536">
        <f t="shared" si="212"/>
        <v>255291.57000000004</v>
      </c>
      <c r="BC136" s="523">
        <f t="shared" si="213"/>
        <v>558673.66240000003</v>
      </c>
      <c r="BD136" s="525">
        <f t="shared" si="214"/>
        <v>331726.84650000004</v>
      </c>
      <c r="BE136" s="525">
        <f t="shared" si="215"/>
        <v>0</v>
      </c>
      <c r="BF136" s="525">
        <f t="shared" si="216"/>
        <v>0</v>
      </c>
      <c r="BG136" s="525">
        <f t="shared" si="217"/>
        <v>558673.66240000003</v>
      </c>
      <c r="BH136" s="525">
        <f t="shared" si="218"/>
        <v>331726.84650000004</v>
      </c>
      <c r="BI136" s="526">
        <f t="shared" si="219"/>
        <v>1.3197048512958295E-2</v>
      </c>
      <c r="BJ136" s="537">
        <f t="shared" si="220"/>
        <v>1063270.73</v>
      </c>
      <c r="BK136" s="538">
        <f t="shared" si="221"/>
        <v>631406.21</v>
      </c>
      <c r="BL136" s="538">
        <f t="shared" si="222"/>
        <v>712642.53</v>
      </c>
      <c r="BM136" s="538">
        <f t="shared" si="223"/>
        <v>550003.17000000004</v>
      </c>
      <c r="BN136" s="538">
        <f t="shared" si="224"/>
        <v>1775913.26</v>
      </c>
      <c r="BO136" s="538">
        <f t="shared" si="225"/>
        <v>1181409.3799999999</v>
      </c>
      <c r="BP136" s="539">
        <f t="shared" si="226"/>
        <v>4.6291163573650186E-2</v>
      </c>
      <c r="BQ136" s="540">
        <f t="shared" si="227"/>
        <v>0</v>
      </c>
      <c r="BR136" s="669"/>
      <c r="BS136" s="502"/>
      <c r="BT136" s="530"/>
      <c r="BU136" s="670"/>
      <c r="BV136" s="531"/>
      <c r="BW136" s="531"/>
      <c r="BX136" s="531"/>
      <c r="BY136" s="499">
        <f t="shared" si="388"/>
        <v>0</v>
      </c>
      <c r="BZ136" s="671">
        <f t="shared" si="389"/>
        <v>0</v>
      </c>
      <c r="CA136" s="529">
        <v>188049.83</v>
      </c>
      <c r="CB136" s="533">
        <f>neprodano!BW34</f>
        <v>0</v>
      </c>
      <c r="CC136" s="533">
        <v>75912.23</v>
      </c>
      <c r="CD136" s="533">
        <f>neprodano!BZ34</f>
        <v>0</v>
      </c>
      <c r="CE136" s="502">
        <f t="shared" si="390"/>
        <v>263962.06</v>
      </c>
      <c r="CF136" s="660">
        <f t="shared" si="391"/>
        <v>0</v>
      </c>
      <c r="CG136" s="1138">
        <f t="shared" si="392"/>
        <v>0</v>
      </c>
      <c r="CH136" s="536">
        <f t="shared" si="392"/>
        <v>255291.57000000004</v>
      </c>
      <c r="CI136" s="523">
        <f t="shared" si="392"/>
        <v>558673.66240000003</v>
      </c>
      <c r="CJ136" s="525">
        <f t="shared" si="392"/>
        <v>331726.84650000004</v>
      </c>
      <c r="CK136" s="525">
        <f t="shared" si="392"/>
        <v>0</v>
      </c>
      <c r="CL136" s="525">
        <f t="shared" si="392"/>
        <v>0</v>
      </c>
      <c r="CM136" s="525">
        <f t="shared" si="392"/>
        <v>558673.66240000003</v>
      </c>
      <c r="CN136" s="525">
        <f t="shared" si="392"/>
        <v>331726.84650000004</v>
      </c>
      <c r="CO136" s="526">
        <f t="shared" si="338"/>
        <v>1.3197048512958295E-2</v>
      </c>
      <c r="CP136" s="537">
        <f t="shared" si="393"/>
        <v>1251320.56</v>
      </c>
      <c r="CQ136" s="538">
        <f t="shared" si="393"/>
        <v>631406.21</v>
      </c>
      <c r="CR136" s="538">
        <f t="shared" si="393"/>
        <v>788554.76</v>
      </c>
      <c r="CS136" s="538">
        <f t="shared" si="393"/>
        <v>550003.17000000004</v>
      </c>
      <c r="CT136" s="538">
        <f t="shared" si="393"/>
        <v>2039875.32</v>
      </c>
      <c r="CU136" s="538">
        <f t="shared" si="393"/>
        <v>1181409.3799999999</v>
      </c>
      <c r="CV136" s="539">
        <f t="shared" si="340"/>
        <v>4.6291163573650186E-2</v>
      </c>
      <c r="CW136" s="540">
        <f t="shared" si="341"/>
        <v>0</v>
      </c>
      <c r="CX136" s="669"/>
      <c r="CY136" s="502"/>
      <c r="CZ136" s="530">
        <f>neprodano!CF34</f>
        <v>13004.91</v>
      </c>
      <c r="DA136" s="670">
        <f>175478.75*0.07</f>
        <v>12283.512500000001</v>
      </c>
      <c r="DB136" s="531">
        <f>628470.21*0.07</f>
        <v>43992.914700000001</v>
      </c>
      <c r="DC136" s="531"/>
      <c r="DD136" s="531"/>
      <c r="DE136" s="499">
        <f t="shared" si="394"/>
        <v>12283.512500000001</v>
      </c>
      <c r="DF136" s="671">
        <f t="shared" si="395"/>
        <v>43992.914700000001</v>
      </c>
      <c r="DG136" s="529"/>
      <c r="DH136" s="533">
        <f>neprodano!CE34</f>
        <v>0</v>
      </c>
      <c r="DI136" s="533"/>
      <c r="DJ136" s="533">
        <f>neprodano!CH34</f>
        <v>26417.8</v>
      </c>
      <c r="DK136" s="502">
        <f t="shared" si="396"/>
        <v>0</v>
      </c>
      <c r="DL136" s="660">
        <f t="shared" si="397"/>
        <v>26417.8</v>
      </c>
      <c r="DM136" s="1138">
        <f t="shared" si="398"/>
        <v>0</v>
      </c>
      <c r="DN136" s="536">
        <f t="shared" si="398"/>
        <v>268296.48000000004</v>
      </c>
      <c r="DO136" s="523">
        <f t="shared" si="399"/>
        <v>570957.17489999998</v>
      </c>
      <c r="DP136" s="525">
        <f t="shared" si="400"/>
        <v>375719.76120000007</v>
      </c>
      <c r="DQ136" s="525">
        <f t="shared" si="401"/>
        <v>0</v>
      </c>
      <c r="DR136" s="525">
        <f t="shared" si="402"/>
        <v>0</v>
      </c>
      <c r="DS136" s="525">
        <f t="shared" si="403"/>
        <v>570957.17489999998</v>
      </c>
      <c r="DT136" s="525">
        <f t="shared" si="404"/>
        <v>375719.76120000007</v>
      </c>
      <c r="DU136" s="526">
        <f t="shared" si="245"/>
        <v>1.4947213251350479E-2</v>
      </c>
      <c r="DV136" s="537">
        <f t="shared" si="405"/>
        <v>1251320.56</v>
      </c>
      <c r="DW136" s="538">
        <f t="shared" si="406"/>
        <v>631406.21</v>
      </c>
      <c r="DX136" s="538">
        <f t="shared" si="407"/>
        <v>788554.76</v>
      </c>
      <c r="DY136" s="538">
        <f t="shared" si="408"/>
        <v>576420.97000000009</v>
      </c>
      <c r="DZ136" s="538">
        <f t="shared" si="409"/>
        <v>2039875.32</v>
      </c>
      <c r="EA136" s="538">
        <f t="shared" si="410"/>
        <v>1207827.18</v>
      </c>
      <c r="EB136" s="539">
        <f t="shared" si="313"/>
        <v>4.7326292227407765E-2</v>
      </c>
      <c r="EC136" s="540">
        <f t="shared" si="314"/>
        <v>0</v>
      </c>
      <c r="ED136" s="669"/>
      <c r="EE136" s="502"/>
      <c r="EF136" s="530">
        <f>neprodano!CN34</f>
        <v>0</v>
      </c>
      <c r="EG136" s="670"/>
      <c r="EH136" s="531">
        <f>2230209.93*0.07</f>
        <v>156114.69510000004</v>
      </c>
      <c r="EI136" s="531"/>
      <c r="EJ136" s="531"/>
      <c r="EK136" s="499">
        <f t="shared" si="411"/>
        <v>0</v>
      </c>
      <c r="EL136" s="671">
        <f t="shared" si="412"/>
        <v>156114.69510000004</v>
      </c>
      <c r="EM136" s="529"/>
      <c r="EN136" s="533">
        <f>neprodano!CM34</f>
        <v>0</v>
      </c>
      <c r="EO136" s="533"/>
      <c r="EP136" s="533">
        <f>neprodano!CP34</f>
        <v>0</v>
      </c>
      <c r="EQ136" s="502">
        <f t="shared" si="413"/>
        <v>0</v>
      </c>
      <c r="ER136" s="660">
        <f t="shared" si="414"/>
        <v>0</v>
      </c>
      <c r="ES136" s="1138">
        <f t="shared" si="415"/>
        <v>0</v>
      </c>
      <c r="ET136" s="536">
        <f t="shared" si="415"/>
        <v>268296.48000000004</v>
      </c>
      <c r="EU136" s="523">
        <f t="shared" si="416"/>
        <v>570957.17489999998</v>
      </c>
      <c r="EV136" s="525">
        <f t="shared" si="417"/>
        <v>531834.45630000008</v>
      </c>
      <c r="EW136" s="525">
        <f t="shared" si="417"/>
        <v>0</v>
      </c>
      <c r="EX136" s="525">
        <f t="shared" si="417"/>
        <v>0</v>
      </c>
      <c r="EY136" s="525">
        <f t="shared" si="417"/>
        <v>570957.17489999998</v>
      </c>
      <c r="EZ136" s="525">
        <f t="shared" si="417"/>
        <v>531834.45630000008</v>
      </c>
      <c r="FA136" s="526">
        <f t="shared" si="298"/>
        <v>2.1157905049611046E-2</v>
      </c>
      <c r="FB136" s="537">
        <f t="shared" si="418"/>
        <v>1251320.56</v>
      </c>
      <c r="FC136" s="538">
        <f t="shared" si="419"/>
        <v>631406.21</v>
      </c>
      <c r="FD136" s="538">
        <f t="shared" si="419"/>
        <v>788554.76</v>
      </c>
      <c r="FE136" s="538">
        <f t="shared" si="419"/>
        <v>576420.97000000009</v>
      </c>
      <c r="FF136" s="538">
        <f t="shared" si="419"/>
        <v>2039875.32</v>
      </c>
      <c r="FG136" s="538">
        <f t="shared" si="419"/>
        <v>1207827.18</v>
      </c>
      <c r="FH136" s="539">
        <f t="shared" si="315"/>
        <v>4.7326292227407765E-2</v>
      </c>
      <c r="FI136" s="540">
        <f t="shared" si="316"/>
        <v>0</v>
      </c>
      <c r="FJ136" s="669"/>
      <c r="FK136" s="502"/>
      <c r="FL136" s="530"/>
      <c r="FM136" s="670"/>
      <c r="FN136" s="531">
        <f>157694*0.07</f>
        <v>11038.580000000002</v>
      </c>
      <c r="FO136" s="531"/>
      <c r="FP136" s="531"/>
      <c r="FQ136" s="499">
        <f t="shared" si="420"/>
        <v>0</v>
      </c>
      <c r="FR136" s="671">
        <f t="shared" si="421"/>
        <v>11038.580000000002</v>
      </c>
      <c r="FS136" s="529"/>
      <c r="FT136" s="533"/>
      <c r="FU136" s="533"/>
      <c r="FV136" s="533"/>
      <c r="FW136" s="502">
        <f t="shared" si="422"/>
        <v>0</v>
      </c>
      <c r="FX136" s="660">
        <f t="shared" si="423"/>
        <v>0</v>
      </c>
      <c r="FY136" s="1138">
        <f t="shared" si="424"/>
        <v>0</v>
      </c>
      <c r="FZ136" s="536">
        <f t="shared" si="424"/>
        <v>268296.48000000004</v>
      </c>
      <c r="GA136" s="523">
        <f t="shared" si="425"/>
        <v>570957.17489999998</v>
      </c>
      <c r="GB136" s="525">
        <f t="shared" si="426"/>
        <v>542873.03630000004</v>
      </c>
      <c r="GC136" s="525">
        <f t="shared" si="427"/>
        <v>0</v>
      </c>
      <c r="GD136" s="525">
        <f t="shared" si="428"/>
        <v>0</v>
      </c>
      <c r="GE136" s="525">
        <f t="shared" si="429"/>
        <v>570957.17489999998</v>
      </c>
      <c r="GF136" s="525">
        <f t="shared" si="430"/>
        <v>542873.03630000004</v>
      </c>
      <c r="GG136" s="526">
        <f t="shared" si="347"/>
        <v>2.1597051526030375E-2</v>
      </c>
      <c r="GH136" s="537">
        <f t="shared" si="431"/>
        <v>1251320.56</v>
      </c>
      <c r="GI136" s="538">
        <f t="shared" si="432"/>
        <v>631406.21</v>
      </c>
      <c r="GJ136" s="538">
        <f t="shared" si="433"/>
        <v>788554.76</v>
      </c>
      <c r="GK136" s="538">
        <f t="shared" si="434"/>
        <v>576420.97000000009</v>
      </c>
      <c r="GL136" s="538">
        <f t="shared" si="435"/>
        <v>2039875.32</v>
      </c>
      <c r="GM136" s="538">
        <f t="shared" si="436"/>
        <v>1207827.18</v>
      </c>
      <c r="GN136" s="539">
        <f t="shared" si="302"/>
        <v>4.7326292227407765E-2</v>
      </c>
      <c r="GO136" s="540">
        <f t="shared" si="303"/>
        <v>0</v>
      </c>
      <c r="GP136" s="669"/>
      <c r="GQ136" s="502"/>
      <c r="GR136" s="530"/>
      <c r="GS136" s="670"/>
      <c r="GT136" s="531"/>
      <c r="GU136" s="531"/>
      <c r="GV136" s="531"/>
      <c r="GW136" s="499">
        <f t="shared" si="437"/>
        <v>0</v>
      </c>
      <c r="GX136" s="671">
        <f t="shared" si="438"/>
        <v>0</v>
      </c>
      <c r="GY136" s="529"/>
      <c r="GZ136" s="533">
        <f>neprodano!DC34</f>
        <v>0</v>
      </c>
      <c r="HA136" s="533"/>
      <c r="HB136" s="533">
        <f>neprodano!DF34</f>
        <v>0</v>
      </c>
      <c r="HC136" s="502">
        <f t="shared" si="439"/>
        <v>0</v>
      </c>
      <c r="HD136" s="660">
        <f t="shared" si="440"/>
        <v>0</v>
      </c>
      <c r="HE136" s="1674">
        <f t="shared" si="441"/>
        <v>0</v>
      </c>
      <c r="HF136" s="536">
        <f t="shared" si="441"/>
        <v>268296.48000000004</v>
      </c>
      <c r="HG136" s="523">
        <f t="shared" si="442"/>
        <v>570957.17489999998</v>
      </c>
      <c r="HH136" s="525">
        <f t="shared" si="443"/>
        <v>542873.03630000004</v>
      </c>
      <c r="HI136" s="525">
        <f t="shared" si="444"/>
        <v>0</v>
      </c>
      <c r="HJ136" s="525">
        <f t="shared" si="445"/>
        <v>0</v>
      </c>
      <c r="HK136" s="525">
        <f t="shared" si="446"/>
        <v>570957.17489999998</v>
      </c>
      <c r="HL136" s="525">
        <f t="shared" si="447"/>
        <v>542873.03630000004</v>
      </c>
      <c r="HM136" s="626">
        <f t="shared" si="448"/>
        <v>2.1597051526030375E-2</v>
      </c>
      <c r="HN136" s="537">
        <f t="shared" si="449"/>
        <v>1251320.56</v>
      </c>
      <c r="HO136" s="538">
        <f t="shared" si="450"/>
        <v>631406.21</v>
      </c>
      <c r="HP136" s="538">
        <f t="shared" si="451"/>
        <v>788554.76</v>
      </c>
      <c r="HQ136" s="538">
        <f t="shared" si="452"/>
        <v>576420.97000000009</v>
      </c>
      <c r="HR136" s="538">
        <f t="shared" si="453"/>
        <v>2039875.32</v>
      </c>
      <c r="HS136" s="538">
        <f t="shared" si="454"/>
        <v>1207827.18</v>
      </c>
      <c r="HT136" s="539">
        <f t="shared" si="377"/>
        <v>4.7326292227407765E-2</v>
      </c>
      <c r="HU136" s="540">
        <f t="shared" si="378"/>
        <v>0</v>
      </c>
    </row>
    <row r="137" spans="1:231" ht="13.5" customHeight="1" thickBot="1" x14ac:dyDescent="0.25">
      <c r="A137" s="3707"/>
      <c r="B137" s="3655"/>
      <c r="C137" s="680">
        <v>6</v>
      </c>
      <c r="D137" s="681" t="s">
        <v>131</v>
      </c>
      <c r="E137" s="682" t="s">
        <v>134</v>
      </c>
      <c r="F137" s="683" t="s">
        <v>134</v>
      </c>
      <c r="G137" s="684" t="s">
        <v>134</v>
      </c>
      <c r="H137" s="685" t="s">
        <v>134</v>
      </c>
      <c r="I137" s="683" t="s">
        <v>134</v>
      </c>
      <c r="J137" s="683" t="s">
        <v>134</v>
      </c>
      <c r="K137" s="590">
        <f>1+3</f>
        <v>4</v>
      </c>
      <c r="L137" s="591">
        <f>437.88+616.67</f>
        <v>1054.55</v>
      </c>
      <c r="M137" s="591">
        <f>L137/K137</f>
        <v>263.63749999999999</v>
      </c>
      <c r="N137" s="1455">
        <f>L137</f>
        <v>1054.55</v>
      </c>
      <c r="O137" s="686">
        <v>294695.98</v>
      </c>
      <c r="P137" s="591">
        <f>neprodano!EC56+(208178.96+2293556.59+32317.73+148105.17)</f>
        <v>4601881.29</v>
      </c>
      <c r="Q137" s="591">
        <f>85058.19+707228.36</f>
        <v>792286.55</v>
      </c>
      <c r="R137" s="630">
        <f t="shared" si="379"/>
        <v>5688863.8199999994</v>
      </c>
      <c r="S137" s="312">
        <f>2004781.03+3684082.79</f>
        <v>5688863.8200000003</v>
      </c>
      <c r="T137" s="1456" t="s">
        <v>335</v>
      </c>
      <c r="U137" s="687" t="s">
        <v>335</v>
      </c>
      <c r="V137" s="688" t="s">
        <v>335</v>
      </c>
      <c r="W137" s="596">
        <v>0</v>
      </c>
      <c r="X137" s="597">
        <v>334129.25</v>
      </c>
      <c r="Y137" s="597">
        <v>0</v>
      </c>
      <c r="Z137" s="597">
        <v>0</v>
      </c>
      <c r="AA137" s="598">
        <f t="shared" si="380"/>
        <v>0</v>
      </c>
      <c r="AB137" s="599">
        <f t="shared" si="380"/>
        <v>334129.25</v>
      </c>
      <c r="AC137" s="600">
        <f t="shared" si="333"/>
        <v>5.8733916045823016E-2</v>
      </c>
      <c r="AD137" s="595">
        <v>0</v>
      </c>
      <c r="AE137" s="595">
        <v>0</v>
      </c>
      <c r="AF137" s="595">
        <v>0</v>
      </c>
      <c r="AG137" s="595">
        <v>0</v>
      </c>
      <c r="AH137" s="638">
        <f t="shared" si="381"/>
        <v>0</v>
      </c>
      <c r="AI137" s="637">
        <f t="shared" si="382"/>
        <v>0</v>
      </c>
      <c r="AJ137" s="550">
        <f t="shared" si="383"/>
        <v>0</v>
      </c>
      <c r="AK137" s="689" t="s">
        <v>335</v>
      </c>
      <c r="AL137" s="96"/>
      <c r="AM137" s="87" t="s">
        <v>298</v>
      </c>
      <c r="AN137" s="86" t="s">
        <v>298</v>
      </c>
      <c r="AO137" s="641"/>
      <c r="AP137" s="604">
        <v>136146.42000000001</v>
      </c>
      <c r="AQ137" s="604"/>
      <c r="AR137" s="604"/>
      <c r="AS137" s="499">
        <f t="shared" si="384"/>
        <v>0</v>
      </c>
      <c r="AT137" s="671">
        <f t="shared" si="385"/>
        <v>136146.42000000001</v>
      </c>
      <c r="AU137" s="690"/>
      <c r="AV137" s="691">
        <f>neprodano!BO56</f>
        <v>0</v>
      </c>
      <c r="AW137" s="691"/>
      <c r="AX137" s="691">
        <f>neprodano!BR56</f>
        <v>0</v>
      </c>
      <c r="AY137" s="502">
        <f t="shared" si="386"/>
        <v>0</v>
      </c>
      <c r="AZ137" s="660">
        <f t="shared" si="387"/>
        <v>0</v>
      </c>
      <c r="BA137" s="90" t="s">
        <v>335</v>
      </c>
      <c r="BB137" s="91" t="s">
        <v>335</v>
      </c>
      <c r="BC137" s="611">
        <f t="shared" si="213"/>
        <v>0</v>
      </c>
      <c r="BD137" s="598">
        <f t="shared" si="214"/>
        <v>470275.67000000004</v>
      </c>
      <c r="BE137" s="598">
        <f t="shared" si="215"/>
        <v>0</v>
      </c>
      <c r="BF137" s="598">
        <f t="shared" si="216"/>
        <v>0</v>
      </c>
      <c r="BG137" s="598">
        <f t="shared" si="217"/>
        <v>0</v>
      </c>
      <c r="BH137" s="598">
        <f t="shared" si="218"/>
        <v>470275.67000000004</v>
      </c>
      <c r="BI137" s="600">
        <f t="shared" si="219"/>
        <v>8.2666009396582835E-2</v>
      </c>
      <c r="BJ137" s="612">
        <f t="shared" si="220"/>
        <v>0</v>
      </c>
      <c r="BK137" s="613">
        <f t="shared" si="221"/>
        <v>0</v>
      </c>
      <c r="BL137" s="613">
        <f t="shared" si="222"/>
        <v>0</v>
      </c>
      <c r="BM137" s="613">
        <f t="shared" si="223"/>
        <v>0</v>
      </c>
      <c r="BN137" s="613">
        <f t="shared" si="224"/>
        <v>0</v>
      </c>
      <c r="BO137" s="613">
        <f t="shared" si="225"/>
        <v>0</v>
      </c>
      <c r="BP137" s="614">
        <f t="shared" si="226"/>
        <v>0</v>
      </c>
      <c r="BQ137" s="97" t="s">
        <v>335</v>
      </c>
      <c r="BR137" s="96"/>
      <c r="BS137" s="87" t="s">
        <v>298</v>
      </c>
      <c r="BT137" s="86" t="s">
        <v>298</v>
      </c>
      <c r="BU137" s="641"/>
      <c r="BV137" s="604">
        <v>33387.26</v>
      </c>
      <c r="BW137" s="604"/>
      <c r="BX137" s="604"/>
      <c r="BY137" s="499">
        <f t="shared" si="388"/>
        <v>0</v>
      </c>
      <c r="BZ137" s="671">
        <f t="shared" si="389"/>
        <v>33387.26</v>
      </c>
      <c r="CA137" s="690"/>
      <c r="CB137" s="691">
        <f>neprodano!BW56</f>
        <v>0</v>
      </c>
      <c r="CC137" s="691"/>
      <c r="CD137" s="691">
        <f>neprodano!BZ56</f>
        <v>0</v>
      </c>
      <c r="CE137" s="502">
        <f t="shared" si="390"/>
        <v>0</v>
      </c>
      <c r="CF137" s="660">
        <f t="shared" si="391"/>
        <v>0</v>
      </c>
      <c r="CG137" s="90" t="s">
        <v>335</v>
      </c>
      <c r="CH137" s="91" t="s">
        <v>335</v>
      </c>
      <c r="CI137" s="611">
        <f t="shared" ref="CI137:CN137" si="455">BC137+BU137</f>
        <v>0</v>
      </c>
      <c r="CJ137" s="598">
        <f t="shared" si="455"/>
        <v>503662.93000000005</v>
      </c>
      <c r="CK137" s="598">
        <f t="shared" si="455"/>
        <v>0</v>
      </c>
      <c r="CL137" s="598">
        <f t="shared" si="455"/>
        <v>0</v>
      </c>
      <c r="CM137" s="598">
        <f t="shared" si="455"/>
        <v>0</v>
      </c>
      <c r="CN137" s="598">
        <f t="shared" si="455"/>
        <v>503662.93000000005</v>
      </c>
      <c r="CO137" s="600">
        <f t="shared" si="338"/>
        <v>8.8534889555503565E-2</v>
      </c>
      <c r="CP137" s="612">
        <f t="shared" si="393"/>
        <v>0</v>
      </c>
      <c r="CQ137" s="613">
        <f t="shared" si="393"/>
        <v>0</v>
      </c>
      <c r="CR137" s="613">
        <f t="shared" si="393"/>
        <v>0</v>
      </c>
      <c r="CS137" s="613">
        <f t="shared" si="393"/>
        <v>0</v>
      </c>
      <c r="CT137" s="613">
        <f t="shared" si="393"/>
        <v>0</v>
      </c>
      <c r="CU137" s="613">
        <f t="shared" si="393"/>
        <v>0</v>
      </c>
      <c r="CV137" s="614">
        <f t="shared" si="340"/>
        <v>0</v>
      </c>
      <c r="CW137" s="97" t="s">
        <v>335</v>
      </c>
      <c r="CX137" s="96"/>
      <c r="CY137" s="87" t="s">
        <v>298</v>
      </c>
      <c r="CZ137" s="86" t="s">
        <v>298</v>
      </c>
      <c r="DA137" s="641"/>
      <c r="DB137" s="604">
        <v>13732.8</v>
      </c>
      <c r="DC137" s="604"/>
      <c r="DD137" s="604"/>
      <c r="DE137" s="499">
        <f t="shared" si="394"/>
        <v>0</v>
      </c>
      <c r="DF137" s="671">
        <f t="shared" si="395"/>
        <v>13732.8</v>
      </c>
      <c r="DG137" s="690"/>
      <c r="DH137" s="691">
        <f>neprodano!CE56</f>
        <v>0</v>
      </c>
      <c r="DI137" s="691"/>
      <c r="DJ137" s="691">
        <f>neprodano!CH56</f>
        <v>0</v>
      </c>
      <c r="DK137" s="502">
        <f t="shared" si="396"/>
        <v>0</v>
      </c>
      <c r="DL137" s="660">
        <f t="shared" si="397"/>
        <v>0</v>
      </c>
      <c r="DM137" s="90" t="s">
        <v>335</v>
      </c>
      <c r="DN137" s="91" t="s">
        <v>335</v>
      </c>
      <c r="DO137" s="611">
        <f t="shared" si="399"/>
        <v>0</v>
      </c>
      <c r="DP137" s="598">
        <f t="shared" si="400"/>
        <v>517395.73000000004</v>
      </c>
      <c r="DQ137" s="598">
        <f t="shared" si="401"/>
        <v>0</v>
      </c>
      <c r="DR137" s="598">
        <f t="shared" si="402"/>
        <v>0</v>
      </c>
      <c r="DS137" s="598">
        <f t="shared" si="403"/>
        <v>0</v>
      </c>
      <c r="DT137" s="598">
        <f t="shared" si="404"/>
        <v>517395.73000000004</v>
      </c>
      <c r="DU137" s="600">
        <f t="shared" si="245"/>
        <v>9.0948868943043201E-2</v>
      </c>
      <c r="DV137" s="612">
        <f t="shared" si="405"/>
        <v>0</v>
      </c>
      <c r="DW137" s="613">
        <f t="shared" si="406"/>
        <v>0</v>
      </c>
      <c r="DX137" s="613">
        <f t="shared" si="407"/>
        <v>0</v>
      </c>
      <c r="DY137" s="613">
        <f t="shared" si="408"/>
        <v>0</v>
      </c>
      <c r="DZ137" s="613">
        <f t="shared" si="409"/>
        <v>0</v>
      </c>
      <c r="EA137" s="613">
        <f t="shared" si="410"/>
        <v>0</v>
      </c>
      <c r="EB137" s="614">
        <f t="shared" si="313"/>
        <v>0</v>
      </c>
      <c r="EC137" s="97" t="s">
        <v>335</v>
      </c>
      <c r="ED137" s="96"/>
      <c r="EE137" s="87" t="s">
        <v>298</v>
      </c>
      <c r="EF137" s="86" t="s">
        <v>298</v>
      </c>
      <c r="EG137" s="641"/>
      <c r="EH137" s="604"/>
      <c r="EI137" s="604"/>
      <c r="EJ137" s="604"/>
      <c r="EK137" s="499">
        <f t="shared" si="411"/>
        <v>0</v>
      </c>
      <c r="EL137" s="671">
        <f t="shared" si="412"/>
        <v>0</v>
      </c>
      <c r="EM137" s="690"/>
      <c r="EN137" s="691">
        <f>neprodano!CM56</f>
        <v>0</v>
      </c>
      <c r="EO137" s="691"/>
      <c r="EP137" s="691">
        <f>neprodano!CP56</f>
        <v>0</v>
      </c>
      <c r="EQ137" s="502">
        <f t="shared" si="413"/>
        <v>0</v>
      </c>
      <c r="ER137" s="660">
        <f t="shared" si="414"/>
        <v>0</v>
      </c>
      <c r="ES137" s="90" t="s">
        <v>335</v>
      </c>
      <c r="ET137" s="91" t="s">
        <v>335</v>
      </c>
      <c r="EU137" s="611">
        <f t="shared" si="416"/>
        <v>0</v>
      </c>
      <c r="EV137" s="598">
        <f t="shared" si="417"/>
        <v>517395.73000000004</v>
      </c>
      <c r="EW137" s="598">
        <f t="shared" si="417"/>
        <v>0</v>
      </c>
      <c r="EX137" s="598">
        <f t="shared" si="417"/>
        <v>0</v>
      </c>
      <c r="EY137" s="598">
        <f t="shared" si="417"/>
        <v>0</v>
      </c>
      <c r="EZ137" s="598">
        <f t="shared" si="417"/>
        <v>517395.73000000004</v>
      </c>
      <c r="FA137" s="600">
        <f t="shared" si="298"/>
        <v>9.0948868943043201E-2</v>
      </c>
      <c r="FB137" s="612">
        <f t="shared" si="418"/>
        <v>0</v>
      </c>
      <c r="FC137" s="613">
        <f t="shared" si="419"/>
        <v>0</v>
      </c>
      <c r="FD137" s="613">
        <f t="shared" si="419"/>
        <v>0</v>
      </c>
      <c r="FE137" s="613">
        <f t="shared" si="419"/>
        <v>0</v>
      </c>
      <c r="FF137" s="613">
        <f t="shared" si="419"/>
        <v>0</v>
      </c>
      <c r="FG137" s="613">
        <f t="shared" si="419"/>
        <v>0</v>
      </c>
      <c r="FH137" s="614">
        <f t="shared" si="315"/>
        <v>0</v>
      </c>
      <c r="FI137" s="97" t="s">
        <v>335</v>
      </c>
      <c r="FJ137" s="96"/>
      <c r="FK137" s="87" t="s">
        <v>298</v>
      </c>
      <c r="FL137" s="86" t="s">
        <v>298</v>
      </c>
      <c r="FM137" s="641"/>
      <c r="FN137" s="604"/>
      <c r="FO137" s="604"/>
      <c r="FP137" s="604"/>
      <c r="FQ137" s="499">
        <f t="shared" si="420"/>
        <v>0</v>
      </c>
      <c r="FR137" s="671">
        <f t="shared" si="421"/>
        <v>0</v>
      </c>
      <c r="FS137" s="690"/>
      <c r="FT137" s="691"/>
      <c r="FU137" s="691"/>
      <c r="FV137" s="691"/>
      <c r="FW137" s="502">
        <f t="shared" si="422"/>
        <v>0</v>
      </c>
      <c r="FX137" s="660">
        <f t="shared" si="423"/>
        <v>0</v>
      </c>
      <c r="FY137" s="90" t="s">
        <v>335</v>
      </c>
      <c r="FZ137" s="91" t="s">
        <v>335</v>
      </c>
      <c r="GA137" s="611">
        <f t="shared" si="425"/>
        <v>0</v>
      </c>
      <c r="GB137" s="598">
        <f t="shared" si="426"/>
        <v>517395.73000000004</v>
      </c>
      <c r="GC137" s="598">
        <f t="shared" si="427"/>
        <v>0</v>
      </c>
      <c r="GD137" s="598">
        <f t="shared" si="428"/>
        <v>0</v>
      </c>
      <c r="GE137" s="598">
        <f t="shared" si="429"/>
        <v>0</v>
      </c>
      <c r="GF137" s="598">
        <f t="shared" si="430"/>
        <v>517395.73000000004</v>
      </c>
      <c r="GG137" s="600">
        <f t="shared" si="347"/>
        <v>9.0948868943043201E-2</v>
      </c>
      <c r="GH137" s="612">
        <f t="shared" si="431"/>
        <v>0</v>
      </c>
      <c r="GI137" s="613">
        <f t="shared" si="432"/>
        <v>0</v>
      </c>
      <c r="GJ137" s="613">
        <f t="shared" si="433"/>
        <v>0</v>
      </c>
      <c r="GK137" s="613">
        <f t="shared" si="434"/>
        <v>0</v>
      </c>
      <c r="GL137" s="613">
        <f t="shared" si="435"/>
        <v>0</v>
      </c>
      <c r="GM137" s="613">
        <f t="shared" si="436"/>
        <v>0</v>
      </c>
      <c r="GN137" s="614">
        <f t="shared" si="302"/>
        <v>0</v>
      </c>
      <c r="GO137" s="97" t="s">
        <v>335</v>
      </c>
      <c r="GP137" s="96"/>
      <c r="GQ137" s="87" t="s">
        <v>298</v>
      </c>
      <c r="GR137" s="86" t="s">
        <v>298</v>
      </c>
      <c r="GS137" s="641"/>
      <c r="GT137" s="604"/>
      <c r="GU137" s="604"/>
      <c r="GV137" s="604"/>
      <c r="GW137" s="499">
        <f t="shared" si="437"/>
        <v>0</v>
      </c>
      <c r="GX137" s="671">
        <f t="shared" si="438"/>
        <v>0</v>
      </c>
      <c r="GY137" s="690"/>
      <c r="GZ137" s="691">
        <f>neprodano!DC56</f>
        <v>0</v>
      </c>
      <c r="HA137" s="691"/>
      <c r="HB137" s="691">
        <f>neprodano!DF58</f>
        <v>0</v>
      </c>
      <c r="HC137" s="502">
        <f t="shared" si="439"/>
        <v>0</v>
      </c>
      <c r="HD137" s="660">
        <f t="shared" si="440"/>
        <v>0</v>
      </c>
      <c r="HE137" s="1685" t="s">
        <v>335</v>
      </c>
      <c r="HF137" s="91" t="s">
        <v>335</v>
      </c>
      <c r="HG137" s="611">
        <f t="shared" si="442"/>
        <v>0</v>
      </c>
      <c r="HH137" s="598">
        <f t="shared" si="443"/>
        <v>517395.73000000004</v>
      </c>
      <c r="HI137" s="598">
        <f t="shared" si="444"/>
        <v>0</v>
      </c>
      <c r="HJ137" s="598">
        <f t="shared" si="445"/>
        <v>0</v>
      </c>
      <c r="HK137" s="598">
        <f t="shared" si="446"/>
        <v>0</v>
      </c>
      <c r="HL137" s="598">
        <f t="shared" si="447"/>
        <v>517395.73000000004</v>
      </c>
      <c r="HM137" s="720">
        <f t="shared" si="448"/>
        <v>9.0948868943043201E-2</v>
      </c>
      <c r="HN137" s="612">
        <f t="shared" si="449"/>
        <v>0</v>
      </c>
      <c r="HO137" s="613">
        <f t="shared" si="450"/>
        <v>0</v>
      </c>
      <c r="HP137" s="613">
        <f t="shared" si="451"/>
        <v>0</v>
      </c>
      <c r="HQ137" s="613">
        <f t="shared" si="452"/>
        <v>0</v>
      </c>
      <c r="HR137" s="613">
        <f t="shared" si="453"/>
        <v>0</v>
      </c>
      <c r="HS137" s="613">
        <f t="shared" si="454"/>
        <v>0</v>
      </c>
      <c r="HT137" s="614">
        <f t="shared" si="377"/>
        <v>0</v>
      </c>
      <c r="HU137" s="97" t="s">
        <v>335</v>
      </c>
    </row>
    <row r="138" spans="1:231" s="101" customFormat="1" ht="17.25" customHeight="1" thickBot="1" x14ac:dyDescent="0.25">
      <c r="A138" s="3707"/>
      <c r="B138" s="3656"/>
      <c r="C138" s="692"/>
      <c r="D138" s="644" t="s">
        <v>136</v>
      </c>
      <c r="E138" s="693">
        <f>SUM(E132:E137)</f>
        <v>18</v>
      </c>
      <c r="F138" s="619">
        <f>SUM(F132:F137)</f>
        <v>1345.25</v>
      </c>
      <c r="G138" s="694">
        <f t="shared" ref="G138:G147" si="456">F138/E138</f>
        <v>74.736111111111114</v>
      </c>
      <c r="H138" s="618">
        <f>SUM(H132:H137)</f>
        <v>563</v>
      </c>
      <c r="I138" s="619">
        <f>SUM(I132:I137)</f>
        <v>5669.18</v>
      </c>
      <c r="J138" s="619">
        <f>I138/H138</f>
        <v>10.069591474245115</v>
      </c>
      <c r="K138" s="618">
        <f>SUM(K132:K137)</f>
        <v>4</v>
      </c>
      <c r="L138" s="619">
        <f>SUM(L132:L137)</f>
        <v>1054.55</v>
      </c>
      <c r="M138" s="619">
        <f>L138/K138</f>
        <v>263.63749999999999</v>
      </c>
      <c r="N138" s="620">
        <f t="shared" ref="N138:T138" si="457">SUM(N132:N137)</f>
        <v>8068.9800000000005</v>
      </c>
      <c r="O138" s="619">
        <f t="shared" si="457"/>
        <v>1528547.7164160423</v>
      </c>
      <c r="P138" s="619">
        <f t="shared" si="457"/>
        <v>43921412.095921375</v>
      </c>
      <c r="Q138" s="619">
        <f t="shared" si="457"/>
        <v>9453302.4494380318</v>
      </c>
      <c r="R138" s="619">
        <f t="shared" si="457"/>
        <v>54903262.261775449</v>
      </c>
      <c r="S138" s="619">
        <f>SUM(S132:S137)</f>
        <v>55810507.600000001</v>
      </c>
      <c r="T138" s="620">
        <f t="shared" si="457"/>
        <v>9615345.1980976388</v>
      </c>
      <c r="U138" s="189">
        <f>SUM(U132:U137)</f>
        <v>0</v>
      </c>
      <c r="V138" s="189">
        <f t="shared" ref="V138:AB138" si="458">SUM(V132:V137)</f>
        <v>1554576.1800000002</v>
      </c>
      <c r="W138" s="189">
        <f t="shared" si="458"/>
        <v>648208.826</v>
      </c>
      <c r="X138" s="189">
        <f t="shared" si="458"/>
        <v>681033.201</v>
      </c>
      <c r="Y138" s="189">
        <f t="shared" si="458"/>
        <v>0</v>
      </c>
      <c r="Z138" s="189">
        <f t="shared" si="458"/>
        <v>0</v>
      </c>
      <c r="AA138" s="189">
        <f t="shared" si="458"/>
        <v>648208.826</v>
      </c>
      <c r="AB138" s="189">
        <f t="shared" si="458"/>
        <v>681033.201</v>
      </c>
      <c r="AC138" s="621">
        <f t="shared" si="333"/>
        <v>1.2404239255453978E-2</v>
      </c>
      <c r="AD138" s="646">
        <f t="shared" ref="AD138:AI138" si="459">SUM(AD132:AD137)</f>
        <v>1647628.02</v>
      </c>
      <c r="AE138" s="646">
        <f t="shared" si="459"/>
        <v>766373.62</v>
      </c>
      <c r="AF138" s="646">
        <f t="shared" si="459"/>
        <v>3175502.58</v>
      </c>
      <c r="AG138" s="646">
        <f t="shared" si="459"/>
        <v>3035751.95</v>
      </c>
      <c r="AH138" s="646">
        <f t="shared" si="459"/>
        <v>4823130.5999999996</v>
      </c>
      <c r="AI138" s="646">
        <f t="shared" si="459"/>
        <v>3802125.57</v>
      </c>
      <c r="AJ138" s="621">
        <f t="shared" ref="AJ138:AJ147" si="460">AI138/S138</f>
        <v>6.8125622458950721E-2</v>
      </c>
      <c r="AK138" s="623">
        <f t="shared" ref="AK138:AK147" si="461">U138/T138</f>
        <v>0</v>
      </c>
      <c r="AL138" s="695">
        <f t="shared" ref="AL138:AZ138" si="462">SUM(AL132:AL137)</f>
        <v>0</v>
      </c>
      <c r="AM138" s="695">
        <f t="shared" si="462"/>
        <v>0</v>
      </c>
      <c r="AN138" s="695">
        <f t="shared" si="462"/>
        <v>0</v>
      </c>
      <c r="AO138" s="695">
        <f t="shared" si="462"/>
        <v>149896.40600000002</v>
      </c>
      <c r="AP138" s="695">
        <f t="shared" si="462"/>
        <v>263137.96400000004</v>
      </c>
      <c r="AQ138" s="695">
        <f t="shared" si="462"/>
        <v>0</v>
      </c>
      <c r="AR138" s="695">
        <f t="shared" si="462"/>
        <v>0</v>
      </c>
      <c r="AS138" s="695">
        <f t="shared" si="462"/>
        <v>149896.40600000002</v>
      </c>
      <c r="AT138" s="695">
        <f t="shared" si="462"/>
        <v>263137.96400000004</v>
      </c>
      <c r="AU138" s="695">
        <f t="shared" si="462"/>
        <v>498226.39</v>
      </c>
      <c r="AV138" s="695">
        <f t="shared" si="462"/>
        <v>24140.46</v>
      </c>
      <c r="AW138" s="695">
        <f t="shared" si="462"/>
        <v>232444.08999999997</v>
      </c>
      <c r="AX138" s="695">
        <f t="shared" si="462"/>
        <v>0</v>
      </c>
      <c r="AY138" s="695">
        <f t="shared" si="462"/>
        <v>730670.48</v>
      </c>
      <c r="AZ138" s="696">
        <f t="shared" si="462"/>
        <v>24140.46</v>
      </c>
      <c r="BA138" s="189">
        <f t="shared" ref="BA138:BH138" si="463">SUM(BA132:BA137)</f>
        <v>0</v>
      </c>
      <c r="BB138" s="189">
        <f t="shared" si="463"/>
        <v>1554576.1800000002</v>
      </c>
      <c r="BC138" s="189">
        <f t="shared" si="463"/>
        <v>798105.23200000008</v>
      </c>
      <c r="BD138" s="189">
        <f t="shared" si="463"/>
        <v>944171.16500000004</v>
      </c>
      <c r="BE138" s="189">
        <f t="shared" si="463"/>
        <v>0</v>
      </c>
      <c r="BF138" s="189">
        <f t="shared" si="463"/>
        <v>0</v>
      </c>
      <c r="BG138" s="189">
        <f t="shared" si="463"/>
        <v>798105.23200000008</v>
      </c>
      <c r="BH138" s="189">
        <f t="shared" si="463"/>
        <v>944171.16500000004</v>
      </c>
      <c r="BI138" s="649">
        <f>BH138/R138</f>
        <v>1.7196995699422173E-2</v>
      </c>
      <c r="BJ138" s="646">
        <f t="shared" ref="BJ138:BO138" si="464">SUM(BJ132:BJ137)</f>
        <v>2145854.41</v>
      </c>
      <c r="BK138" s="646">
        <f t="shared" si="464"/>
        <v>790514.08</v>
      </c>
      <c r="BL138" s="646">
        <f t="shared" si="464"/>
        <v>3407946.67</v>
      </c>
      <c r="BM138" s="646">
        <f t="shared" si="464"/>
        <v>3035751.95</v>
      </c>
      <c r="BN138" s="646">
        <f t="shared" si="464"/>
        <v>5553801.0800000001</v>
      </c>
      <c r="BO138" s="646">
        <f t="shared" si="464"/>
        <v>3826266.03</v>
      </c>
      <c r="BP138" s="649">
        <f>BO138/S138</f>
        <v>6.8558165738668173E-2</v>
      </c>
      <c r="BQ138" s="697">
        <f>BA138/T138</f>
        <v>0</v>
      </c>
      <c r="BR138" s="695">
        <f t="shared" ref="BR138:CN138" si="465">SUM(BR132:BR137)</f>
        <v>0</v>
      </c>
      <c r="BS138" s="695">
        <f t="shared" si="465"/>
        <v>0</v>
      </c>
      <c r="BT138" s="695">
        <f t="shared" si="465"/>
        <v>0</v>
      </c>
      <c r="BU138" s="695">
        <f t="shared" si="465"/>
        <v>0</v>
      </c>
      <c r="BV138" s="695">
        <f t="shared" si="465"/>
        <v>33387.26</v>
      </c>
      <c r="BW138" s="695">
        <f t="shared" si="465"/>
        <v>0</v>
      </c>
      <c r="BX138" s="695">
        <f t="shared" si="465"/>
        <v>0</v>
      </c>
      <c r="BY138" s="695">
        <f t="shared" si="465"/>
        <v>0</v>
      </c>
      <c r="BZ138" s="695">
        <f t="shared" si="465"/>
        <v>33387.26</v>
      </c>
      <c r="CA138" s="695">
        <f t="shared" si="465"/>
        <v>498226.39</v>
      </c>
      <c r="CB138" s="695">
        <f t="shared" si="465"/>
        <v>0</v>
      </c>
      <c r="CC138" s="695">
        <f t="shared" si="465"/>
        <v>232444.08999999997</v>
      </c>
      <c r="CD138" s="695">
        <f t="shared" si="465"/>
        <v>0</v>
      </c>
      <c r="CE138" s="695">
        <f t="shared" si="465"/>
        <v>730670.48</v>
      </c>
      <c r="CF138" s="696">
        <f t="shared" si="465"/>
        <v>0</v>
      </c>
      <c r="CG138" s="189">
        <f t="shared" si="465"/>
        <v>0</v>
      </c>
      <c r="CH138" s="189">
        <f t="shared" si="465"/>
        <v>1554576.1800000002</v>
      </c>
      <c r="CI138" s="189">
        <f t="shared" si="465"/>
        <v>798105.23200000008</v>
      </c>
      <c r="CJ138" s="189">
        <f t="shared" si="465"/>
        <v>977558.42500000005</v>
      </c>
      <c r="CK138" s="189">
        <f t="shared" si="465"/>
        <v>0</v>
      </c>
      <c r="CL138" s="189">
        <f t="shared" si="465"/>
        <v>0</v>
      </c>
      <c r="CM138" s="189">
        <f t="shared" si="465"/>
        <v>798105.23200000008</v>
      </c>
      <c r="CN138" s="189">
        <f t="shared" si="465"/>
        <v>977558.42500000005</v>
      </c>
      <c r="CO138" s="649">
        <f t="shared" si="338"/>
        <v>1.7805106376722394E-2</v>
      </c>
      <c r="CP138" s="646">
        <f t="shared" ref="CP138:CU138" si="466">SUM(CP132:CP137)</f>
        <v>2644080.7999999998</v>
      </c>
      <c r="CQ138" s="646">
        <f t="shared" si="466"/>
        <v>790514.08</v>
      </c>
      <c r="CR138" s="646">
        <f t="shared" si="466"/>
        <v>3640390.76</v>
      </c>
      <c r="CS138" s="646">
        <f t="shared" si="466"/>
        <v>3035751.95</v>
      </c>
      <c r="CT138" s="646">
        <f t="shared" si="466"/>
        <v>6284471.5600000005</v>
      </c>
      <c r="CU138" s="646">
        <f t="shared" si="466"/>
        <v>3826266.03</v>
      </c>
      <c r="CV138" s="649">
        <f t="shared" si="340"/>
        <v>6.8558165738668173E-2</v>
      </c>
      <c r="CW138" s="623">
        <f t="shared" ref="CW138:CW146" si="467">CG138/T138</f>
        <v>0</v>
      </c>
      <c r="CX138" s="695">
        <f t="shared" ref="CX138:DT138" si="468">SUM(CX132:CX137)</f>
        <v>0</v>
      </c>
      <c r="CY138" s="695">
        <f t="shared" si="468"/>
        <v>0</v>
      </c>
      <c r="CZ138" s="695">
        <f t="shared" si="468"/>
        <v>13004.91</v>
      </c>
      <c r="DA138" s="695">
        <f t="shared" si="468"/>
        <v>17547.875</v>
      </c>
      <c r="DB138" s="695">
        <f t="shared" si="468"/>
        <v>76579.820999999996</v>
      </c>
      <c r="DC138" s="695">
        <f t="shared" si="468"/>
        <v>0</v>
      </c>
      <c r="DD138" s="695">
        <f t="shared" si="468"/>
        <v>0</v>
      </c>
      <c r="DE138" s="695">
        <f t="shared" si="468"/>
        <v>17547.875</v>
      </c>
      <c r="DF138" s="695">
        <f t="shared" si="468"/>
        <v>76579.820999999996</v>
      </c>
      <c r="DG138" s="695">
        <f t="shared" si="468"/>
        <v>0</v>
      </c>
      <c r="DH138" s="695">
        <f t="shared" si="468"/>
        <v>14000</v>
      </c>
      <c r="DI138" s="695">
        <f t="shared" si="468"/>
        <v>201440.29</v>
      </c>
      <c r="DJ138" s="695">
        <f t="shared" si="468"/>
        <v>26417.8</v>
      </c>
      <c r="DK138" s="695">
        <f t="shared" si="468"/>
        <v>201440.29</v>
      </c>
      <c r="DL138" s="696">
        <f t="shared" si="468"/>
        <v>40417.800000000003</v>
      </c>
      <c r="DM138" s="189">
        <f t="shared" si="468"/>
        <v>0</v>
      </c>
      <c r="DN138" s="189">
        <f t="shared" si="468"/>
        <v>1567581.09</v>
      </c>
      <c r="DO138" s="189">
        <f t="shared" si="468"/>
        <v>815653.10699999996</v>
      </c>
      <c r="DP138" s="189">
        <f t="shared" si="468"/>
        <v>1054138.246</v>
      </c>
      <c r="DQ138" s="189">
        <f t="shared" si="468"/>
        <v>0</v>
      </c>
      <c r="DR138" s="189">
        <f t="shared" si="468"/>
        <v>0</v>
      </c>
      <c r="DS138" s="189">
        <f t="shared" si="468"/>
        <v>815653.10699999996</v>
      </c>
      <c r="DT138" s="189">
        <f t="shared" si="468"/>
        <v>1054138.246</v>
      </c>
      <c r="DU138" s="649">
        <f t="shared" ref="DU138:DU146" si="469">DT138/R138</f>
        <v>1.9199920051634317E-2</v>
      </c>
      <c r="DV138" s="646">
        <f t="shared" ref="DV138:EA138" si="470">SUM(DV132:DV137)</f>
        <v>2644080.7999999998</v>
      </c>
      <c r="DW138" s="646">
        <f t="shared" si="470"/>
        <v>804514.08</v>
      </c>
      <c r="DX138" s="646">
        <f t="shared" si="470"/>
        <v>3841831.05</v>
      </c>
      <c r="DY138" s="646">
        <f t="shared" si="470"/>
        <v>3062169.7500000005</v>
      </c>
      <c r="DZ138" s="646">
        <f t="shared" si="470"/>
        <v>6485911.8500000006</v>
      </c>
      <c r="EA138" s="646">
        <f t="shared" si="470"/>
        <v>3866683.83</v>
      </c>
      <c r="EB138" s="621">
        <f t="shared" si="313"/>
        <v>6.9282362699743652E-2</v>
      </c>
      <c r="EC138" s="623">
        <f t="shared" ref="EC138:EC146" si="471">DM138/T138</f>
        <v>0</v>
      </c>
      <c r="ED138" s="695">
        <f t="shared" ref="ED138:EZ138" si="472">SUM(ED132:ED137)</f>
        <v>0</v>
      </c>
      <c r="EE138" s="695">
        <f t="shared" si="472"/>
        <v>0</v>
      </c>
      <c r="EF138" s="695">
        <f t="shared" si="472"/>
        <v>13571.96</v>
      </c>
      <c r="EG138" s="695">
        <f t="shared" si="472"/>
        <v>0</v>
      </c>
      <c r="EH138" s="695">
        <f t="shared" si="472"/>
        <v>223020.99300000005</v>
      </c>
      <c r="EI138" s="695">
        <f t="shared" si="472"/>
        <v>0</v>
      </c>
      <c r="EJ138" s="695">
        <f t="shared" si="472"/>
        <v>0</v>
      </c>
      <c r="EK138" s="695">
        <f t="shared" si="472"/>
        <v>0</v>
      </c>
      <c r="EL138" s="695">
        <f t="shared" si="472"/>
        <v>223020.99300000005</v>
      </c>
      <c r="EM138" s="695">
        <f t="shared" si="472"/>
        <v>0</v>
      </c>
      <c r="EN138" s="695">
        <f t="shared" si="472"/>
        <v>7560</v>
      </c>
      <c r="EO138" s="695">
        <f t="shared" si="472"/>
        <v>0</v>
      </c>
      <c r="EP138" s="695">
        <f t="shared" si="472"/>
        <v>21201.61</v>
      </c>
      <c r="EQ138" s="695">
        <f t="shared" si="472"/>
        <v>0</v>
      </c>
      <c r="ER138" s="696">
        <f t="shared" si="472"/>
        <v>28761.61</v>
      </c>
      <c r="ES138" s="189">
        <f t="shared" si="472"/>
        <v>0</v>
      </c>
      <c r="ET138" s="189">
        <f t="shared" si="472"/>
        <v>1581153.05</v>
      </c>
      <c r="EU138" s="189">
        <f t="shared" si="472"/>
        <v>815653.10699999996</v>
      </c>
      <c r="EV138" s="189">
        <f t="shared" si="472"/>
        <v>1277159.2390000001</v>
      </c>
      <c r="EW138" s="189">
        <f t="shared" si="472"/>
        <v>0</v>
      </c>
      <c r="EX138" s="189">
        <f t="shared" si="472"/>
        <v>0</v>
      </c>
      <c r="EY138" s="189">
        <f t="shared" si="472"/>
        <v>815653.10699999996</v>
      </c>
      <c r="EZ138" s="189">
        <f t="shared" si="472"/>
        <v>1277159.2390000001</v>
      </c>
      <c r="FA138" s="1134">
        <f t="shared" si="298"/>
        <v>2.3261991845048874E-2</v>
      </c>
      <c r="FB138" s="1473">
        <f t="shared" ref="FB138:FG138" si="473">SUM(FB132:FB137)</f>
        <v>2644080.7999999998</v>
      </c>
      <c r="FC138" s="622">
        <f t="shared" si="473"/>
        <v>812074.08</v>
      </c>
      <c r="FD138" s="622">
        <f t="shared" si="473"/>
        <v>3841831.05</v>
      </c>
      <c r="FE138" s="622">
        <f t="shared" si="473"/>
        <v>3083371.3600000003</v>
      </c>
      <c r="FF138" s="622">
        <f t="shared" si="473"/>
        <v>6485911.8500000006</v>
      </c>
      <c r="FG138" s="622">
        <f t="shared" si="473"/>
        <v>3895445.4399999995</v>
      </c>
      <c r="FH138" s="1505">
        <f t="shared" si="315"/>
        <v>6.9797706695647388E-2</v>
      </c>
      <c r="FI138" s="623">
        <f>ES138/T138</f>
        <v>0</v>
      </c>
      <c r="FJ138" s="695">
        <f t="shared" ref="FJ138:GF138" si="474">SUM(FJ132:FJ137)</f>
        <v>0</v>
      </c>
      <c r="FK138" s="695">
        <f t="shared" si="474"/>
        <v>0</v>
      </c>
      <c r="FL138" s="695">
        <f t="shared" si="474"/>
        <v>0</v>
      </c>
      <c r="FM138" s="695">
        <f t="shared" si="474"/>
        <v>0</v>
      </c>
      <c r="FN138" s="695">
        <f t="shared" si="474"/>
        <v>15769.400000000001</v>
      </c>
      <c r="FO138" s="695">
        <f t="shared" si="474"/>
        <v>0</v>
      </c>
      <c r="FP138" s="695">
        <f t="shared" si="474"/>
        <v>0</v>
      </c>
      <c r="FQ138" s="695">
        <f t="shared" si="474"/>
        <v>0</v>
      </c>
      <c r="FR138" s="695">
        <f t="shared" si="474"/>
        <v>15769.400000000001</v>
      </c>
      <c r="FS138" s="695">
        <f t="shared" si="474"/>
        <v>0</v>
      </c>
      <c r="FT138" s="695">
        <f t="shared" si="474"/>
        <v>0</v>
      </c>
      <c r="FU138" s="695">
        <f t="shared" si="474"/>
        <v>606233.82999999996</v>
      </c>
      <c r="FV138" s="695">
        <f t="shared" si="474"/>
        <v>0</v>
      </c>
      <c r="FW138" s="695">
        <f t="shared" si="474"/>
        <v>606233.82999999996</v>
      </c>
      <c r="FX138" s="696">
        <f t="shared" si="474"/>
        <v>0</v>
      </c>
      <c r="FY138" s="189">
        <f t="shared" si="474"/>
        <v>0</v>
      </c>
      <c r="FZ138" s="189">
        <f t="shared" si="474"/>
        <v>1581153.05</v>
      </c>
      <c r="GA138" s="189">
        <f t="shared" si="474"/>
        <v>815653.10699999996</v>
      </c>
      <c r="GB138" s="189">
        <f t="shared" si="474"/>
        <v>1292928.639</v>
      </c>
      <c r="GC138" s="189">
        <f t="shared" si="474"/>
        <v>0</v>
      </c>
      <c r="GD138" s="189">
        <f t="shared" si="474"/>
        <v>0</v>
      </c>
      <c r="GE138" s="189">
        <f t="shared" si="474"/>
        <v>815653.10699999996</v>
      </c>
      <c r="GF138" s="189">
        <f t="shared" si="474"/>
        <v>1292928.639</v>
      </c>
      <c r="GG138" s="1449">
        <f t="shared" si="347"/>
        <v>2.3549213393466387E-2</v>
      </c>
      <c r="GH138" s="1473">
        <f t="shared" ref="GH138:GM138" si="475">SUM(GH132:GH137)</f>
        <v>2644080.7999999998</v>
      </c>
      <c r="GI138" s="622">
        <f t="shared" si="475"/>
        <v>812074.08</v>
      </c>
      <c r="GJ138" s="622">
        <f t="shared" si="475"/>
        <v>4448064.88</v>
      </c>
      <c r="GK138" s="622">
        <f t="shared" si="475"/>
        <v>3083371.3600000003</v>
      </c>
      <c r="GL138" s="622">
        <f t="shared" si="475"/>
        <v>7092145.6799999997</v>
      </c>
      <c r="GM138" s="622">
        <f t="shared" si="475"/>
        <v>3895445.4399999995</v>
      </c>
      <c r="GN138" s="1505">
        <f t="shared" si="302"/>
        <v>6.9797706695647388E-2</v>
      </c>
      <c r="GO138" s="697">
        <f t="shared" ref="GO138:GO146" si="476">FY138/T138</f>
        <v>0</v>
      </c>
      <c r="GP138" s="695">
        <f t="shared" ref="GP138:HL138" si="477">SUM(GP132:GP137)</f>
        <v>0</v>
      </c>
      <c r="GQ138" s="695">
        <f t="shared" si="477"/>
        <v>0</v>
      </c>
      <c r="GR138" s="695">
        <f t="shared" si="477"/>
        <v>0</v>
      </c>
      <c r="GS138" s="695">
        <f t="shared" si="477"/>
        <v>0</v>
      </c>
      <c r="GT138" s="695">
        <f t="shared" si="477"/>
        <v>0</v>
      </c>
      <c r="GU138" s="695">
        <f t="shared" si="477"/>
        <v>0</v>
      </c>
      <c r="GV138" s="695">
        <f t="shared" si="477"/>
        <v>0</v>
      </c>
      <c r="GW138" s="695">
        <f t="shared" si="477"/>
        <v>0</v>
      </c>
      <c r="GX138" s="695">
        <f t="shared" si="477"/>
        <v>0</v>
      </c>
      <c r="GY138" s="695">
        <f t="shared" si="477"/>
        <v>0</v>
      </c>
      <c r="GZ138" s="695">
        <f t="shared" si="477"/>
        <v>0</v>
      </c>
      <c r="HA138" s="695">
        <f t="shared" si="477"/>
        <v>0</v>
      </c>
      <c r="HB138" s="695">
        <f t="shared" si="477"/>
        <v>0</v>
      </c>
      <c r="HC138" s="695">
        <f t="shared" si="477"/>
        <v>0</v>
      </c>
      <c r="HD138" s="696">
        <f t="shared" si="477"/>
        <v>0</v>
      </c>
      <c r="HE138" s="1683">
        <f t="shared" si="477"/>
        <v>0</v>
      </c>
      <c r="HF138" s="189">
        <f t="shared" si="477"/>
        <v>1581153.05</v>
      </c>
      <c r="HG138" s="189">
        <f t="shared" si="477"/>
        <v>815653.10699999996</v>
      </c>
      <c r="HH138" s="189">
        <f t="shared" si="477"/>
        <v>1292928.639</v>
      </c>
      <c r="HI138" s="189">
        <f t="shared" si="477"/>
        <v>0</v>
      </c>
      <c r="HJ138" s="189">
        <f t="shared" si="477"/>
        <v>0</v>
      </c>
      <c r="HK138" s="189">
        <f t="shared" si="477"/>
        <v>815653.10699999996</v>
      </c>
      <c r="HL138" s="189">
        <f t="shared" si="477"/>
        <v>1292928.639</v>
      </c>
      <c r="HM138" s="1449">
        <f>HL138/R138</f>
        <v>2.3549213393466387E-2</v>
      </c>
      <c r="HN138" s="1473">
        <f t="shared" ref="HN138:HS138" si="478">SUM(HN132:HN137)</f>
        <v>2644080.7999999998</v>
      </c>
      <c r="HO138" s="622">
        <f t="shared" si="478"/>
        <v>812074.08</v>
      </c>
      <c r="HP138" s="622">
        <f t="shared" si="478"/>
        <v>4448064.88</v>
      </c>
      <c r="HQ138" s="622">
        <f t="shared" si="478"/>
        <v>3083371.3600000003</v>
      </c>
      <c r="HR138" s="622">
        <f t="shared" si="478"/>
        <v>7092145.6799999997</v>
      </c>
      <c r="HS138" s="622">
        <f t="shared" si="478"/>
        <v>3895445.4399999995</v>
      </c>
      <c r="HT138" s="1507">
        <f t="shared" si="377"/>
        <v>6.9797706695647388E-2</v>
      </c>
      <c r="HU138" s="697">
        <f>HE138/T138</f>
        <v>0</v>
      </c>
      <c r="HW138" s="103"/>
    </row>
    <row r="139" spans="1:231" s="101" customFormat="1" ht="27.75" customHeight="1" thickBot="1" x14ac:dyDescent="0.25">
      <c r="A139" s="3708"/>
      <c r="B139" s="693"/>
      <c r="C139" s="693"/>
      <c r="D139" s="698" t="s">
        <v>143</v>
      </c>
      <c r="E139" s="699">
        <f>E138+E131+E129</f>
        <v>4736</v>
      </c>
      <c r="F139" s="189">
        <f>F129+F131+F138</f>
        <v>336106.81000000011</v>
      </c>
      <c r="G139" s="700">
        <f t="shared" si="456"/>
        <v>70.968498733108135</v>
      </c>
      <c r="H139" s="699">
        <f>H129+H131+H138</f>
        <v>1619</v>
      </c>
      <c r="I139" s="189">
        <f>I129+I131+I138</f>
        <v>17745.650000000001</v>
      </c>
      <c r="J139" s="189">
        <f>I139/H139</f>
        <v>10.960870907967882</v>
      </c>
      <c r="K139" s="699">
        <f>K138+K131+K129</f>
        <v>269</v>
      </c>
      <c r="L139" s="189">
        <f>L138+L131+L129</f>
        <v>16271.530000000002</v>
      </c>
      <c r="M139" s="189">
        <f>L139/K139</f>
        <v>60.4889591078067</v>
      </c>
      <c r="N139" s="648">
        <f t="shared" ref="N139:T139" si="479">N138+N131+N129</f>
        <v>370123.99000000005</v>
      </c>
      <c r="O139" s="189">
        <f t="shared" si="479"/>
        <v>41647410.666416042</v>
      </c>
      <c r="P139" s="189">
        <f t="shared" si="479"/>
        <v>1878570123.036999</v>
      </c>
      <c r="Q139" s="189">
        <f t="shared" si="479"/>
        <v>367795007.58977538</v>
      </c>
      <c r="R139" s="189">
        <f t="shared" si="479"/>
        <v>2292062131.5831919</v>
      </c>
      <c r="S139" s="189">
        <f t="shared" si="479"/>
        <v>2292791530.1414161</v>
      </c>
      <c r="T139" s="648">
        <f t="shared" si="479"/>
        <v>510079143.93018156</v>
      </c>
      <c r="U139" s="189">
        <f t="shared" ref="U139:AB139" si="480">U129+U131+U138</f>
        <v>2656326.87</v>
      </c>
      <c r="V139" s="189">
        <f t="shared" si="480"/>
        <v>9207640.4100000001</v>
      </c>
      <c r="W139" s="189">
        <f t="shared" si="480"/>
        <v>12949019.879999999</v>
      </c>
      <c r="X139" s="189">
        <f t="shared" si="480"/>
        <v>10606530.019999998</v>
      </c>
      <c r="Y139" s="189">
        <f t="shared" si="480"/>
        <v>2842781.19</v>
      </c>
      <c r="Z139" s="189">
        <f t="shared" si="480"/>
        <v>4325902.6900000004</v>
      </c>
      <c r="AA139" s="189">
        <f t="shared" si="480"/>
        <v>15791801.069999998</v>
      </c>
      <c r="AB139" s="189">
        <f t="shared" si="480"/>
        <v>14932432.709999999</v>
      </c>
      <c r="AC139" s="621">
        <f t="shared" si="333"/>
        <v>6.5148463927920432E-3</v>
      </c>
      <c r="AD139" s="646">
        <f t="shared" ref="AD139:AI139" si="481">AD138+AD131+AD129</f>
        <v>11296629.619999999</v>
      </c>
      <c r="AE139" s="646">
        <f t="shared" si="481"/>
        <v>16074353.66</v>
      </c>
      <c r="AF139" s="646">
        <f t="shared" si="481"/>
        <v>6438781.7300000004</v>
      </c>
      <c r="AG139" s="646">
        <f t="shared" si="481"/>
        <v>17116960.16</v>
      </c>
      <c r="AH139" s="646">
        <f t="shared" si="481"/>
        <v>17735411.350000001</v>
      </c>
      <c r="AI139" s="646">
        <f t="shared" si="481"/>
        <v>33191313.82</v>
      </c>
      <c r="AJ139" s="621">
        <f t="shared" si="460"/>
        <v>1.4476376671695402E-2</v>
      </c>
      <c r="AK139" s="623">
        <f t="shared" si="461"/>
        <v>5.207675909924268E-3</v>
      </c>
      <c r="AL139" s="619">
        <f t="shared" ref="AL139:AZ139" si="482">AL138+AL131+AL129</f>
        <v>0</v>
      </c>
      <c r="AM139" s="619">
        <f t="shared" si="482"/>
        <v>0</v>
      </c>
      <c r="AN139" s="619">
        <f t="shared" si="482"/>
        <v>786585.74</v>
      </c>
      <c r="AO139" s="619">
        <f t="shared" si="482"/>
        <v>2759229.46</v>
      </c>
      <c r="AP139" s="619">
        <f t="shared" si="482"/>
        <v>4048996.7199999997</v>
      </c>
      <c r="AQ139" s="619">
        <f t="shared" si="482"/>
        <v>0</v>
      </c>
      <c r="AR139" s="619">
        <f t="shared" si="482"/>
        <v>0</v>
      </c>
      <c r="AS139" s="619">
        <f t="shared" si="482"/>
        <v>2759229.46</v>
      </c>
      <c r="AT139" s="619">
        <f t="shared" si="482"/>
        <v>4048996.7199999997</v>
      </c>
      <c r="AU139" s="619">
        <f t="shared" si="482"/>
        <v>4825575.0999999996</v>
      </c>
      <c r="AV139" s="619">
        <f t="shared" si="482"/>
        <v>87588.48000000001</v>
      </c>
      <c r="AW139" s="619">
        <f t="shared" si="482"/>
        <v>232444.08999999997</v>
      </c>
      <c r="AX139" s="619">
        <f t="shared" si="482"/>
        <v>1489430.5799999998</v>
      </c>
      <c r="AY139" s="619">
        <f t="shared" si="482"/>
        <v>5058019.1900000004</v>
      </c>
      <c r="AZ139" s="620">
        <f t="shared" si="482"/>
        <v>1577019.0599999998</v>
      </c>
      <c r="BA139" s="189">
        <f t="shared" ref="BA139:BH139" si="483">BA129+BA131+BA138</f>
        <v>2656326.87</v>
      </c>
      <c r="BB139" s="189">
        <f t="shared" si="483"/>
        <v>9994226.1499999985</v>
      </c>
      <c r="BC139" s="189">
        <f t="shared" si="483"/>
        <v>15708249.34</v>
      </c>
      <c r="BD139" s="189">
        <f t="shared" si="483"/>
        <v>14655526.739999998</v>
      </c>
      <c r="BE139" s="189">
        <f t="shared" si="483"/>
        <v>2842781.19</v>
      </c>
      <c r="BF139" s="189">
        <f t="shared" si="483"/>
        <v>4325902.6900000004</v>
      </c>
      <c r="BG139" s="189">
        <f t="shared" si="483"/>
        <v>18551030.530000001</v>
      </c>
      <c r="BH139" s="189">
        <f t="shared" si="483"/>
        <v>18981429.43</v>
      </c>
      <c r="BI139" s="621">
        <f>BH139/R139</f>
        <v>8.2813764812252246E-3</v>
      </c>
      <c r="BJ139" s="646">
        <f t="shared" ref="BJ139:BO139" si="484">BJ138+BJ131+BJ129</f>
        <v>16122204.720000001</v>
      </c>
      <c r="BK139" s="646">
        <f t="shared" si="484"/>
        <v>16161942.140000001</v>
      </c>
      <c r="BL139" s="646">
        <f t="shared" si="484"/>
        <v>6671225.8200000003</v>
      </c>
      <c r="BM139" s="646">
        <f t="shared" si="484"/>
        <v>18606390.740000002</v>
      </c>
      <c r="BN139" s="646">
        <f t="shared" si="484"/>
        <v>22793430.539999999</v>
      </c>
      <c r="BO139" s="646">
        <f t="shared" si="484"/>
        <v>34768332.880000003</v>
      </c>
      <c r="BP139" s="621">
        <f>BO139/S139</f>
        <v>1.5164192829103631E-2</v>
      </c>
      <c r="BQ139" s="623">
        <f>BA139/T139</f>
        <v>5.207675909924268E-3</v>
      </c>
      <c r="BR139" s="619">
        <f t="shared" ref="BR139:CF139" si="485">BR138+BR131+BR129</f>
        <v>0</v>
      </c>
      <c r="BS139" s="619">
        <f t="shared" si="485"/>
        <v>0</v>
      </c>
      <c r="BT139" s="619">
        <f t="shared" si="485"/>
        <v>0</v>
      </c>
      <c r="BU139" s="619">
        <f t="shared" si="485"/>
        <v>1279332.22</v>
      </c>
      <c r="BV139" s="619">
        <f t="shared" si="485"/>
        <v>2255232.9</v>
      </c>
      <c r="BW139" s="619">
        <f t="shared" si="485"/>
        <v>0</v>
      </c>
      <c r="BX139" s="619">
        <f t="shared" si="485"/>
        <v>0</v>
      </c>
      <c r="BY139" s="619">
        <f t="shared" si="485"/>
        <v>1279332.22</v>
      </c>
      <c r="BZ139" s="619">
        <f t="shared" si="485"/>
        <v>2255232.9</v>
      </c>
      <c r="CA139" s="619">
        <f t="shared" si="485"/>
        <v>699190.61</v>
      </c>
      <c r="CB139" s="619">
        <f t="shared" si="485"/>
        <v>0</v>
      </c>
      <c r="CC139" s="619">
        <f t="shared" si="485"/>
        <v>14373712</v>
      </c>
      <c r="CD139" s="619">
        <f t="shared" si="485"/>
        <v>0</v>
      </c>
      <c r="CE139" s="619">
        <f t="shared" si="485"/>
        <v>15072902.610000001</v>
      </c>
      <c r="CF139" s="620">
        <f t="shared" si="485"/>
        <v>0</v>
      </c>
      <c r="CG139" s="189">
        <f t="shared" ref="CG139:CN139" si="486">CG129+CG131+CG138</f>
        <v>2656326.87</v>
      </c>
      <c r="CH139" s="189">
        <f t="shared" si="486"/>
        <v>9994226.1499999985</v>
      </c>
      <c r="CI139" s="189">
        <f t="shared" si="486"/>
        <v>16987581.559999999</v>
      </c>
      <c r="CJ139" s="189">
        <f t="shared" si="486"/>
        <v>16910759.640000001</v>
      </c>
      <c r="CK139" s="189">
        <f t="shared" si="486"/>
        <v>2842781.19</v>
      </c>
      <c r="CL139" s="189">
        <f t="shared" si="486"/>
        <v>4325902.6900000004</v>
      </c>
      <c r="CM139" s="189">
        <f t="shared" si="486"/>
        <v>19830362.75</v>
      </c>
      <c r="CN139" s="189">
        <f t="shared" si="486"/>
        <v>21236662.330000002</v>
      </c>
      <c r="CO139" s="621">
        <f t="shared" si="338"/>
        <v>9.2653083166341754E-3</v>
      </c>
      <c r="CP139" s="189">
        <f t="shared" ref="CP139:CU139" si="487">CP129+CP131+CP138</f>
        <v>16821395.330000002</v>
      </c>
      <c r="CQ139" s="189">
        <f t="shared" si="487"/>
        <v>16161942.140000002</v>
      </c>
      <c r="CR139" s="189">
        <f t="shared" si="487"/>
        <v>21044937.82</v>
      </c>
      <c r="CS139" s="189">
        <f t="shared" si="487"/>
        <v>18606390.740000002</v>
      </c>
      <c r="CT139" s="189">
        <f t="shared" si="487"/>
        <v>37866333.150000006</v>
      </c>
      <c r="CU139" s="189">
        <f t="shared" si="487"/>
        <v>34768332.880000003</v>
      </c>
      <c r="CV139" s="621">
        <f t="shared" si="340"/>
        <v>1.5164192829103631E-2</v>
      </c>
      <c r="CW139" s="623">
        <f t="shared" si="467"/>
        <v>5.207675909924268E-3</v>
      </c>
      <c r="CX139" s="619">
        <f t="shared" ref="CX139:DL139" si="488">CX138+CX131+CX129</f>
        <v>0</v>
      </c>
      <c r="CY139" s="619">
        <f t="shared" si="488"/>
        <v>0</v>
      </c>
      <c r="CZ139" s="619">
        <f t="shared" si="488"/>
        <v>13004.91</v>
      </c>
      <c r="DA139" s="619">
        <f t="shared" si="488"/>
        <v>1435744.15</v>
      </c>
      <c r="DB139" s="619">
        <f t="shared" si="488"/>
        <v>1619151.52</v>
      </c>
      <c r="DC139" s="619">
        <f t="shared" si="488"/>
        <v>0</v>
      </c>
      <c r="DD139" s="619">
        <f t="shared" si="488"/>
        <v>0</v>
      </c>
      <c r="DE139" s="619">
        <f t="shared" si="488"/>
        <v>1435744.15</v>
      </c>
      <c r="DF139" s="619">
        <f t="shared" si="488"/>
        <v>1619151.52</v>
      </c>
      <c r="DG139" s="619">
        <f t="shared" si="488"/>
        <v>200964.22</v>
      </c>
      <c r="DH139" s="619">
        <f t="shared" si="488"/>
        <v>56944</v>
      </c>
      <c r="DI139" s="619">
        <f t="shared" si="488"/>
        <v>201440.29</v>
      </c>
      <c r="DJ139" s="619">
        <f t="shared" si="488"/>
        <v>26417.8</v>
      </c>
      <c r="DK139" s="619">
        <f t="shared" si="488"/>
        <v>402404.51</v>
      </c>
      <c r="DL139" s="620">
        <f t="shared" si="488"/>
        <v>83361.8</v>
      </c>
      <c r="DM139" s="189">
        <f t="shared" ref="DM139:DT139" si="489">DM129+DM131+DM138</f>
        <v>2656326.87</v>
      </c>
      <c r="DN139" s="189">
        <f t="shared" si="489"/>
        <v>10007231.059999999</v>
      </c>
      <c r="DO139" s="189">
        <f t="shared" si="489"/>
        <v>18423325.710000001</v>
      </c>
      <c r="DP139" s="189">
        <f t="shared" si="489"/>
        <v>18529911.16</v>
      </c>
      <c r="DQ139" s="189">
        <f t="shared" si="489"/>
        <v>2842781.19</v>
      </c>
      <c r="DR139" s="189">
        <f t="shared" si="489"/>
        <v>4325902.6900000004</v>
      </c>
      <c r="DS139" s="189">
        <f t="shared" si="489"/>
        <v>21266106.899999999</v>
      </c>
      <c r="DT139" s="189">
        <f t="shared" si="489"/>
        <v>22855813.850000001</v>
      </c>
      <c r="DU139" s="649">
        <f t="shared" si="469"/>
        <v>9.971725257819624E-3</v>
      </c>
      <c r="DV139" s="189">
        <f t="shared" ref="DV139:EA139" si="490">DV129+DV131+DV138</f>
        <v>17022359.550000001</v>
      </c>
      <c r="DW139" s="189">
        <f t="shared" si="490"/>
        <v>16218886.140000002</v>
      </c>
      <c r="DX139" s="189">
        <f t="shared" si="490"/>
        <v>21246378.109999999</v>
      </c>
      <c r="DY139" s="189">
        <f t="shared" si="490"/>
        <v>18632808.540000003</v>
      </c>
      <c r="DZ139" s="189">
        <f t="shared" si="490"/>
        <v>38268737.660000004</v>
      </c>
      <c r="EA139" s="189">
        <f t="shared" si="490"/>
        <v>34851694.68</v>
      </c>
      <c r="EB139" s="621">
        <f t="shared" si="313"/>
        <v>1.5200551040874788E-2</v>
      </c>
      <c r="EC139" s="623">
        <f t="shared" si="471"/>
        <v>5.207675909924268E-3</v>
      </c>
      <c r="ED139" s="619">
        <f t="shared" ref="ED139:ER139" si="491">ED138+ED131+ED129</f>
        <v>0</v>
      </c>
      <c r="EE139" s="619">
        <f t="shared" si="491"/>
        <v>0</v>
      </c>
      <c r="EF139" s="619">
        <f t="shared" si="491"/>
        <v>31706.86</v>
      </c>
      <c r="EG139" s="619">
        <f t="shared" si="491"/>
        <v>1260265.3999999999</v>
      </c>
      <c r="EH139" s="619">
        <f t="shared" si="491"/>
        <v>2564063.38</v>
      </c>
      <c r="EI139" s="619">
        <f t="shared" si="491"/>
        <v>0</v>
      </c>
      <c r="EJ139" s="619">
        <f t="shared" si="491"/>
        <v>0</v>
      </c>
      <c r="EK139" s="619">
        <f t="shared" si="491"/>
        <v>1260265.3999999999</v>
      </c>
      <c r="EL139" s="619">
        <f t="shared" si="491"/>
        <v>2564063.38</v>
      </c>
      <c r="EM139" s="619">
        <f t="shared" si="491"/>
        <v>1143404.3900000001</v>
      </c>
      <c r="EN139" s="619">
        <f t="shared" si="491"/>
        <v>79708.36</v>
      </c>
      <c r="EO139" s="619">
        <f t="shared" si="491"/>
        <v>0</v>
      </c>
      <c r="EP139" s="619">
        <f t="shared" si="491"/>
        <v>50234.350000000006</v>
      </c>
      <c r="EQ139" s="619">
        <f t="shared" si="491"/>
        <v>1143404.3900000001</v>
      </c>
      <c r="ER139" s="620">
        <f t="shared" si="491"/>
        <v>129942.71</v>
      </c>
      <c r="ES139" s="189">
        <f t="shared" ref="ES139:EZ139" si="492">ES129+ES131+ES138</f>
        <v>2656326.87</v>
      </c>
      <c r="ET139" s="189">
        <f t="shared" si="492"/>
        <v>10038937.920000002</v>
      </c>
      <c r="EU139" s="189">
        <f t="shared" si="492"/>
        <v>19683591.109999999</v>
      </c>
      <c r="EV139" s="189">
        <f t="shared" si="492"/>
        <v>21093974.539999999</v>
      </c>
      <c r="EW139" s="189">
        <f t="shared" si="492"/>
        <v>2842781.19</v>
      </c>
      <c r="EX139" s="189">
        <f t="shared" si="492"/>
        <v>4325902.6900000004</v>
      </c>
      <c r="EY139" s="189">
        <f t="shared" si="492"/>
        <v>22526372.300000001</v>
      </c>
      <c r="EZ139" s="189">
        <f t="shared" si="492"/>
        <v>25419877.23</v>
      </c>
      <c r="FA139" s="1134">
        <f t="shared" si="298"/>
        <v>1.1090396233038315E-2</v>
      </c>
      <c r="FB139" s="188">
        <f t="shared" ref="FB139:FG139" si="493">FB129+FB131+FB138</f>
        <v>18165763.940000001</v>
      </c>
      <c r="FC139" s="188">
        <f t="shared" si="493"/>
        <v>16298594.500000002</v>
      </c>
      <c r="FD139" s="188">
        <f t="shared" si="493"/>
        <v>21246378.109999999</v>
      </c>
      <c r="FE139" s="188">
        <f t="shared" si="493"/>
        <v>18683042.890000001</v>
      </c>
      <c r="FF139" s="188">
        <f t="shared" si="493"/>
        <v>39412142.050000004</v>
      </c>
      <c r="FG139" s="188">
        <f t="shared" si="493"/>
        <v>34981637.390000001</v>
      </c>
      <c r="FH139" s="1507">
        <f t="shared" si="315"/>
        <v>1.5257225495700598E-2</v>
      </c>
      <c r="FI139" s="623">
        <f t="shared" ref="FI139:FI160" si="494">ES139/T139</f>
        <v>5.207675909924268E-3</v>
      </c>
      <c r="FJ139" s="619">
        <f t="shared" ref="FJ139:FX139" si="495">FJ138+FJ131+FJ129</f>
        <v>0</v>
      </c>
      <c r="FK139" s="619">
        <f t="shared" si="495"/>
        <v>0</v>
      </c>
      <c r="FL139" s="619">
        <f t="shared" si="495"/>
        <v>58611.68</v>
      </c>
      <c r="FM139" s="619">
        <f t="shared" si="495"/>
        <v>1260265.3999999999</v>
      </c>
      <c r="FN139" s="619">
        <f t="shared" si="495"/>
        <v>169994</v>
      </c>
      <c r="FO139" s="619">
        <f t="shared" si="495"/>
        <v>0</v>
      </c>
      <c r="FP139" s="619">
        <f t="shared" si="495"/>
        <v>0</v>
      </c>
      <c r="FQ139" s="619">
        <f t="shared" si="495"/>
        <v>1260265.3999999999</v>
      </c>
      <c r="FR139" s="619">
        <f t="shared" si="495"/>
        <v>169994</v>
      </c>
      <c r="FS139" s="619">
        <f t="shared" si="495"/>
        <v>1143404.3900000001</v>
      </c>
      <c r="FT139" s="619">
        <f t="shared" si="495"/>
        <v>264663.17</v>
      </c>
      <c r="FU139" s="619">
        <f t="shared" si="495"/>
        <v>606233.82999999996</v>
      </c>
      <c r="FV139" s="619">
        <f t="shared" si="495"/>
        <v>0</v>
      </c>
      <c r="FW139" s="619">
        <f t="shared" si="495"/>
        <v>1749638.2200000002</v>
      </c>
      <c r="FX139" s="620">
        <f t="shared" si="495"/>
        <v>264663.17</v>
      </c>
      <c r="FY139" s="189">
        <f t="shared" ref="FY139:GF139" si="496">FY129+FY131+FY138</f>
        <v>2656326.87</v>
      </c>
      <c r="FZ139" s="189">
        <f t="shared" si="496"/>
        <v>10097549.600000001</v>
      </c>
      <c r="GA139" s="189">
        <f t="shared" si="496"/>
        <v>20943856.510000002</v>
      </c>
      <c r="GB139" s="189">
        <f t="shared" si="496"/>
        <v>21263968.539999999</v>
      </c>
      <c r="GC139" s="189">
        <f t="shared" si="496"/>
        <v>2842781.19</v>
      </c>
      <c r="GD139" s="189">
        <f t="shared" si="496"/>
        <v>4325902.6900000004</v>
      </c>
      <c r="GE139" s="189">
        <f t="shared" si="496"/>
        <v>23786637.700000003</v>
      </c>
      <c r="GF139" s="189">
        <f t="shared" si="496"/>
        <v>25589871.229999997</v>
      </c>
      <c r="GG139" s="1504">
        <f t="shared" si="347"/>
        <v>1.1164562634401342E-2</v>
      </c>
      <c r="GH139" s="188">
        <f t="shared" ref="GH139:GM139" si="497">GH129+GH131+GH138</f>
        <v>19309168.330000002</v>
      </c>
      <c r="GI139" s="188">
        <f t="shared" si="497"/>
        <v>16563257.670000002</v>
      </c>
      <c r="GJ139" s="188">
        <f t="shared" si="497"/>
        <v>21852611.939999998</v>
      </c>
      <c r="GK139" s="188">
        <f t="shared" si="497"/>
        <v>18683042.890000001</v>
      </c>
      <c r="GL139" s="188">
        <f t="shared" si="497"/>
        <v>41161780.269999996</v>
      </c>
      <c r="GM139" s="188">
        <f t="shared" si="497"/>
        <v>35246300.560000002</v>
      </c>
      <c r="GN139" s="1505">
        <f t="shared" si="302"/>
        <v>1.5372658218876996E-2</v>
      </c>
      <c r="GO139" s="697">
        <f t="shared" si="476"/>
        <v>5.207675909924268E-3</v>
      </c>
      <c r="GP139" s="619">
        <f t="shared" ref="GP139:HD139" si="498">GP138+GP131+GP129</f>
        <v>0</v>
      </c>
      <c r="GQ139" s="619">
        <f t="shared" si="498"/>
        <v>0</v>
      </c>
      <c r="GR139" s="619">
        <f t="shared" si="498"/>
        <v>3234087.12</v>
      </c>
      <c r="GS139" s="619">
        <f t="shared" si="498"/>
        <v>1260265.3999999999</v>
      </c>
      <c r="GT139" s="619">
        <f t="shared" si="498"/>
        <v>1380199.1600000001</v>
      </c>
      <c r="GU139" s="619">
        <f t="shared" si="498"/>
        <v>0</v>
      </c>
      <c r="GV139" s="619">
        <f t="shared" si="498"/>
        <v>0</v>
      </c>
      <c r="GW139" s="619">
        <f t="shared" si="498"/>
        <v>1260265.3999999999</v>
      </c>
      <c r="GX139" s="619">
        <f t="shared" si="498"/>
        <v>1380199.1600000001</v>
      </c>
      <c r="GY139" s="619">
        <f t="shared" si="498"/>
        <v>1143404.3900000001</v>
      </c>
      <c r="GZ139" s="619">
        <f t="shared" si="498"/>
        <v>365273.44999999995</v>
      </c>
      <c r="HA139" s="619">
        <f t="shared" si="498"/>
        <v>0</v>
      </c>
      <c r="HB139" s="619">
        <f t="shared" si="498"/>
        <v>5891557.2300000004</v>
      </c>
      <c r="HC139" s="619">
        <f t="shared" si="498"/>
        <v>1143404.3900000001</v>
      </c>
      <c r="HD139" s="620">
        <f t="shared" si="498"/>
        <v>6256830.6800000006</v>
      </c>
      <c r="HE139" s="1683">
        <f t="shared" ref="HE139:HL139" si="499">HE129+HE131+HE138</f>
        <v>2656326.87</v>
      </c>
      <c r="HF139" s="189">
        <f t="shared" si="499"/>
        <v>13331636.720000003</v>
      </c>
      <c r="HG139" s="189">
        <f t="shared" si="499"/>
        <v>22204121.910000004</v>
      </c>
      <c r="HH139" s="189">
        <f t="shared" si="499"/>
        <v>22644167.699999996</v>
      </c>
      <c r="HI139" s="189">
        <f t="shared" si="499"/>
        <v>2842781.19</v>
      </c>
      <c r="HJ139" s="189">
        <f t="shared" si="499"/>
        <v>4325902.6900000004</v>
      </c>
      <c r="HK139" s="189">
        <f t="shared" si="499"/>
        <v>25046903.100000001</v>
      </c>
      <c r="HL139" s="189">
        <f t="shared" si="499"/>
        <v>26970070.390000001</v>
      </c>
      <c r="HM139" s="1449">
        <f>HL139/R139</f>
        <v>1.1766727445285705E-2</v>
      </c>
      <c r="HN139" s="188">
        <f t="shared" ref="HN139:HS139" si="500">HN129+HN131+HN138</f>
        <v>20452572.720000003</v>
      </c>
      <c r="HO139" s="188">
        <f t="shared" si="500"/>
        <v>16928531.120000001</v>
      </c>
      <c r="HP139" s="188">
        <f t="shared" si="500"/>
        <v>21852611.939999998</v>
      </c>
      <c r="HQ139" s="188">
        <f t="shared" si="500"/>
        <v>24574600.120000001</v>
      </c>
      <c r="HR139" s="188">
        <f t="shared" si="500"/>
        <v>42305184.659999996</v>
      </c>
      <c r="HS139" s="188">
        <f t="shared" si="500"/>
        <v>41503131.240000002</v>
      </c>
      <c r="HT139" s="1507">
        <f t="shared" si="377"/>
        <v>1.8101572120444876E-2</v>
      </c>
      <c r="HU139" s="697">
        <f>HE139/T139</f>
        <v>5.207675909924268E-3</v>
      </c>
    </row>
    <row r="140" spans="1:231" ht="12.75" customHeight="1" x14ac:dyDescent="0.2">
      <c r="A140" s="3669" t="s">
        <v>395</v>
      </c>
      <c r="B140" s="3681"/>
      <c r="C140" s="624">
        <v>1</v>
      </c>
      <c r="D140" s="625" t="s">
        <v>321</v>
      </c>
      <c r="E140" s="652">
        <v>30</v>
      </c>
      <c r="F140" s="485">
        <v>1744.39</v>
      </c>
      <c r="G140" s="701">
        <f xml:space="preserve"> F140/E140</f>
        <v>58.146333333333338</v>
      </c>
      <c r="H140" s="702">
        <v>0</v>
      </c>
      <c r="I140" s="485">
        <v>0</v>
      </c>
      <c r="J140" s="485">
        <v>0</v>
      </c>
      <c r="K140" s="702">
        <v>0</v>
      </c>
      <c r="L140" s="485">
        <v>0</v>
      </c>
      <c r="M140" s="485">
        <v>0</v>
      </c>
      <c r="N140" s="703">
        <f>F140+I140+L140</f>
        <v>1744.39</v>
      </c>
      <c r="O140" s="518">
        <f>158.48*7.4*0.35*N140*2</f>
        <v>1432015.802896</v>
      </c>
      <c r="P140" s="340">
        <f>792.41*7.4*N140</f>
        <v>10228813.39126</v>
      </c>
      <c r="Q140" s="705">
        <f>158.48*7.4*0.65*2*N140</f>
        <v>2659457.9196640002</v>
      </c>
      <c r="R140" s="656">
        <f t="shared" ref="R140:R146" si="501">SUM(O140:Q140)</f>
        <v>14320287.113820001</v>
      </c>
      <c r="S140" s="657">
        <f t="shared" ref="S140:S146" si="502">R140</f>
        <v>14320287.113820001</v>
      </c>
      <c r="T140" s="488">
        <v>2518058.7999999998</v>
      </c>
      <c r="U140" s="547">
        <v>87840</v>
      </c>
      <c r="V140" s="547">
        <v>0</v>
      </c>
      <c r="W140" s="548">
        <v>0</v>
      </c>
      <c r="X140" s="549">
        <v>87840</v>
      </c>
      <c r="Y140" s="549">
        <v>0</v>
      </c>
      <c r="Z140" s="549">
        <v>0</v>
      </c>
      <c r="AA140" s="506">
        <f>W140+Y140</f>
        <v>0</v>
      </c>
      <c r="AB140" s="491">
        <f>X140+Z140</f>
        <v>87840</v>
      </c>
      <c r="AC140" s="492">
        <f>AB140/R140</f>
        <v>6.1339552274219927E-3</v>
      </c>
      <c r="AD140" s="547">
        <v>0</v>
      </c>
      <c r="AE140" s="547">
        <v>0</v>
      </c>
      <c r="AF140" s="547">
        <v>0</v>
      </c>
      <c r="AG140" s="547">
        <v>0</v>
      </c>
      <c r="AH140" s="363">
        <f>AD140+AF140</f>
        <v>0</v>
      </c>
      <c r="AI140" s="547">
        <f>AE140+AG140</f>
        <v>0</v>
      </c>
      <c r="AJ140" s="550">
        <f>AI140/S140</f>
        <v>0</v>
      </c>
      <c r="AK140" s="551">
        <f>U140/T140</f>
        <v>3.4884014622692687E-2</v>
      </c>
      <c r="AL140" s="669"/>
      <c r="AM140" s="502"/>
      <c r="AN140" s="725">
        <v>0</v>
      </c>
      <c r="AO140" s="498"/>
      <c r="AP140" s="499"/>
      <c r="AQ140" s="499"/>
      <c r="AR140" s="499"/>
      <c r="AS140" s="499">
        <f>AO140+AQ140</f>
        <v>0</v>
      </c>
      <c r="AT140" s="671">
        <f>AP140+AR140</f>
        <v>0</v>
      </c>
      <c r="AU140" s="501"/>
      <c r="AV140" s="502"/>
      <c r="AW140" s="502"/>
      <c r="AX140" s="502"/>
      <c r="AY140" s="502">
        <f>AU140+AW140</f>
        <v>0</v>
      </c>
      <c r="AZ140" s="660">
        <f>AV140+AX140</f>
        <v>0</v>
      </c>
      <c r="BA140" s="1136">
        <f t="shared" ref="BA140:BH140" si="503">U140+AM140</f>
        <v>87840</v>
      </c>
      <c r="BB140" s="505">
        <f t="shared" si="503"/>
        <v>0</v>
      </c>
      <c r="BC140" s="490">
        <f t="shared" si="503"/>
        <v>0</v>
      </c>
      <c r="BD140" s="506">
        <f t="shared" si="503"/>
        <v>87840</v>
      </c>
      <c r="BE140" s="506">
        <f t="shared" si="503"/>
        <v>0</v>
      </c>
      <c r="BF140" s="506">
        <f t="shared" si="503"/>
        <v>0</v>
      </c>
      <c r="BG140" s="506">
        <f t="shared" si="503"/>
        <v>0</v>
      </c>
      <c r="BH140" s="506">
        <f t="shared" si="503"/>
        <v>87840</v>
      </c>
      <c r="BI140" s="492">
        <f>BH140/R140</f>
        <v>6.1339552274219927E-3</v>
      </c>
      <c r="BJ140" s="507">
        <f t="shared" ref="BJ140:BO140" si="504">AD140+AU140</f>
        <v>0</v>
      </c>
      <c r="BK140" s="508">
        <f t="shared" si="504"/>
        <v>0</v>
      </c>
      <c r="BL140" s="508">
        <f t="shared" si="504"/>
        <v>0</v>
      </c>
      <c r="BM140" s="508">
        <f t="shared" si="504"/>
        <v>0</v>
      </c>
      <c r="BN140" s="508">
        <f t="shared" si="504"/>
        <v>0</v>
      </c>
      <c r="BO140" s="508">
        <f t="shared" si="504"/>
        <v>0</v>
      </c>
      <c r="BP140" s="509">
        <f>BO140/S140</f>
        <v>0</v>
      </c>
      <c r="BQ140" s="510">
        <f>BA140/T140</f>
        <v>3.4884014622692687E-2</v>
      </c>
      <c r="BR140" s="627"/>
      <c r="BS140" s="88">
        <f>BV140</f>
        <v>10660</v>
      </c>
      <c r="BT140" s="497"/>
      <c r="BU140" s="1339"/>
      <c r="BV140" s="768">
        <v>10660</v>
      </c>
      <c r="BW140" s="768">
        <v>1566503.48</v>
      </c>
      <c r="BX140" s="768"/>
      <c r="BY140" s="768">
        <f>BU140+BW140</f>
        <v>1566503.48</v>
      </c>
      <c r="BZ140" s="500">
        <f>BV140+BX140</f>
        <v>10660</v>
      </c>
      <c r="CA140" s="496"/>
      <c r="CB140" s="88"/>
      <c r="CC140" s="88"/>
      <c r="CD140" s="88"/>
      <c r="CE140" s="88">
        <f>CA140+CC140</f>
        <v>0</v>
      </c>
      <c r="CF140" s="660">
        <f>CB140+CD140</f>
        <v>0</v>
      </c>
      <c r="CG140" s="1138">
        <f t="shared" ref="CG140:CN140" si="505">BA140+BS140</f>
        <v>98500</v>
      </c>
      <c r="CH140" s="536">
        <f t="shared" si="505"/>
        <v>0</v>
      </c>
      <c r="CI140" s="523">
        <f t="shared" si="505"/>
        <v>0</v>
      </c>
      <c r="CJ140" s="525">
        <f t="shared" si="505"/>
        <v>98500</v>
      </c>
      <c r="CK140" s="525">
        <f t="shared" si="505"/>
        <v>1566503.48</v>
      </c>
      <c r="CL140" s="525">
        <f t="shared" si="505"/>
        <v>0</v>
      </c>
      <c r="CM140" s="525">
        <f t="shared" si="505"/>
        <v>1566503.48</v>
      </c>
      <c r="CN140" s="525">
        <f t="shared" si="505"/>
        <v>98500</v>
      </c>
      <c r="CO140" s="526">
        <f t="shared" si="338"/>
        <v>6.8783537101669663E-3</v>
      </c>
      <c r="CP140" s="537">
        <f t="shared" ref="CP140:CU140" si="506">BJ140+CA140</f>
        <v>0</v>
      </c>
      <c r="CQ140" s="538">
        <f t="shared" si="506"/>
        <v>0</v>
      </c>
      <c r="CR140" s="538">
        <f t="shared" si="506"/>
        <v>0</v>
      </c>
      <c r="CS140" s="538">
        <f t="shared" si="506"/>
        <v>0</v>
      </c>
      <c r="CT140" s="538">
        <f t="shared" si="506"/>
        <v>0</v>
      </c>
      <c r="CU140" s="538">
        <f t="shared" si="506"/>
        <v>0</v>
      </c>
      <c r="CV140" s="539">
        <f t="shared" si="340"/>
        <v>0</v>
      </c>
      <c r="CW140" s="540">
        <f t="shared" si="467"/>
        <v>3.911743443004588E-2</v>
      </c>
      <c r="CX140" s="669"/>
      <c r="CY140" s="502">
        <f>DB140</f>
        <v>105408</v>
      </c>
      <c r="CZ140" s="725"/>
      <c r="DA140" s="498"/>
      <c r="DB140" s="499">
        <f>105408</f>
        <v>105408</v>
      </c>
      <c r="DC140" s="499"/>
      <c r="DD140" s="499">
        <v>2012772.87</v>
      </c>
      <c r="DE140" s="499">
        <f>DA140+DC140</f>
        <v>0</v>
      </c>
      <c r="DF140" s="671">
        <f>DB140+DD140</f>
        <v>2118180.87</v>
      </c>
      <c r="DG140" s="501"/>
      <c r="DH140" s="502"/>
      <c r="DI140" s="502"/>
      <c r="DJ140" s="502"/>
      <c r="DK140" s="502">
        <f>DG140+DI140</f>
        <v>0</v>
      </c>
      <c r="DL140" s="660">
        <f>DH140+DJ140</f>
        <v>0</v>
      </c>
      <c r="DM140" s="1138">
        <f t="shared" ref="DM140:DT140" si="507">CG140+CY140</f>
        <v>203908</v>
      </c>
      <c r="DN140" s="536">
        <f t="shared" si="507"/>
        <v>0</v>
      </c>
      <c r="DO140" s="523">
        <f t="shared" si="507"/>
        <v>0</v>
      </c>
      <c r="DP140" s="525">
        <f t="shared" si="507"/>
        <v>203908</v>
      </c>
      <c r="DQ140" s="525">
        <f t="shared" si="507"/>
        <v>1566503.48</v>
      </c>
      <c r="DR140" s="525">
        <f t="shared" si="507"/>
        <v>2012772.87</v>
      </c>
      <c r="DS140" s="525">
        <f t="shared" si="507"/>
        <v>1566503.48</v>
      </c>
      <c r="DT140" s="525">
        <f t="shared" si="507"/>
        <v>2216680.87</v>
      </c>
      <c r="DU140" s="526">
        <f>DT140/R140</f>
        <v>0.15479304656264609</v>
      </c>
      <c r="DV140" s="537">
        <f t="shared" ref="DV140:EA140" si="508">CP140+DG140</f>
        <v>0</v>
      </c>
      <c r="DW140" s="538">
        <f t="shared" si="508"/>
        <v>0</v>
      </c>
      <c r="DX140" s="538">
        <f t="shared" si="508"/>
        <v>0</v>
      </c>
      <c r="DY140" s="538">
        <f t="shared" si="508"/>
        <v>0</v>
      </c>
      <c r="DZ140" s="538">
        <f t="shared" si="508"/>
        <v>0</v>
      </c>
      <c r="EA140" s="538">
        <f t="shared" si="508"/>
        <v>0</v>
      </c>
      <c r="EB140" s="539">
        <f>EA140/S140</f>
        <v>0</v>
      </c>
      <c r="EC140" s="540">
        <f>DM140/T140</f>
        <v>8.0978251977277108E-2</v>
      </c>
      <c r="ED140" s="669">
        <v>572382.61</v>
      </c>
      <c r="EE140" s="502"/>
      <c r="EF140" s="725"/>
      <c r="EG140" s="498">
        <f>ED140</f>
        <v>572382.61</v>
      </c>
      <c r="EH140" s="499"/>
      <c r="EI140" s="499"/>
      <c r="EJ140" s="499"/>
      <c r="EK140" s="499">
        <f>EG140+EI140</f>
        <v>572382.61</v>
      </c>
      <c r="EL140" s="671">
        <f>EH140+EJ140</f>
        <v>0</v>
      </c>
      <c r="EM140" s="501"/>
      <c r="EN140" s="502"/>
      <c r="EO140" s="502"/>
      <c r="EP140" s="502"/>
      <c r="EQ140" s="502">
        <f>EM140+EO140</f>
        <v>0</v>
      </c>
      <c r="ER140" s="660">
        <f>EN140+EP140</f>
        <v>0</v>
      </c>
      <c r="ES140" s="1136">
        <f>DM140+EE140</f>
        <v>203908</v>
      </c>
      <c r="ET140" s="505">
        <f>DN140+EF140</f>
        <v>0</v>
      </c>
      <c r="EU140" s="490">
        <f t="shared" ref="EU140:EZ140" si="509">EG140+DO140</f>
        <v>572382.61</v>
      </c>
      <c r="EV140" s="1509">
        <f t="shared" si="509"/>
        <v>203908</v>
      </c>
      <c r="EW140" s="1512">
        <f t="shared" si="509"/>
        <v>1566503.48</v>
      </c>
      <c r="EX140" s="506">
        <f t="shared" si="509"/>
        <v>2012772.87</v>
      </c>
      <c r="EY140" s="491">
        <f t="shared" si="509"/>
        <v>2138886.09</v>
      </c>
      <c r="EZ140" s="491">
        <f t="shared" si="509"/>
        <v>2216680.87</v>
      </c>
      <c r="FA140" s="492">
        <f t="shared" si="298"/>
        <v>0.15479304656264609</v>
      </c>
      <c r="FB140" s="507">
        <f t="shared" ref="FB140:FG140" si="510">DV140+EM140</f>
        <v>0</v>
      </c>
      <c r="FC140" s="508">
        <f t="shared" si="510"/>
        <v>0</v>
      </c>
      <c r="FD140" s="508">
        <f t="shared" si="510"/>
        <v>0</v>
      </c>
      <c r="FE140" s="508">
        <f t="shared" si="510"/>
        <v>0</v>
      </c>
      <c r="FF140" s="508">
        <f t="shared" si="510"/>
        <v>0</v>
      </c>
      <c r="FG140" s="508">
        <f t="shared" si="510"/>
        <v>0</v>
      </c>
      <c r="FH140" s="509">
        <f>FG140/S140</f>
        <v>0</v>
      </c>
      <c r="FI140" s="855">
        <f>ES140/T140</f>
        <v>8.0978251977277108E-2</v>
      </c>
      <c r="FJ140" s="669">
        <v>572382.61</v>
      </c>
      <c r="FK140" s="502">
        <v>3114.36</v>
      </c>
      <c r="FL140" s="725"/>
      <c r="FM140" s="498">
        <v>572382.61</v>
      </c>
      <c r="FN140" s="499">
        <f>3114.36</f>
        <v>3114.36</v>
      </c>
      <c r="FO140" s="499"/>
      <c r="FP140" s="499"/>
      <c r="FQ140" s="499">
        <f>FM140+FO140</f>
        <v>572382.61</v>
      </c>
      <c r="FR140" s="671">
        <f>FN140+FP140</f>
        <v>3114.36</v>
      </c>
      <c r="FS140" s="501">
        <v>1594232.92</v>
      </c>
      <c r="FT140" s="502"/>
      <c r="FU140" s="502"/>
      <c r="FV140" s="502"/>
      <c r="FW140" s="502">
        <f>FS140+FU140</f>
        <v>1594232.92</v>
      </c>
      <c r="FX140" s="660">
        <f>FT140+FV140</f>
        <v>0</v>
      </c>
      <c r="FY140" s="1136">
        <f>ES140+FK140</f>
        <v>207022.36</v>
      </c>
      <c r="FZ140" s="505">
        <f>ET140+FL140</f>
        <v>0</v>
      </c>
      <c r="GA140" s="1509">
        <f t="shared" ref="GA140:GF140" si="511">FM140+EU140</f>
        <v>1144765.22</v>
      </c>
      <c r="GB140" s="506">
        <f t="shared" si="511"/>
        <v>207022.36</v>
      </c>
      <c r="GC140" s="506">
        <f t="shared" si="511"/>
        <v>1566503.48</v>
      </c>
      <c r="GD140" s="506">
        <f t="shared" si="511"/>
        <v>2012772.87</v>
      </c>
      <c r="GE140" s="506">
        <f t="shared" si="511"/>
        <v>2711268.6999999997</v>
      </c>
      <c r="GF140" s="491">
        <f t="shared" si="511"/>
        <v>2219795.23</v>
      </c>
      <c r="GG140" s="492">
        <f>GF140/R140</f>
        <v>0.15501052544245111</v>
      </c>
      <c r="GH140" s="507">
        <f t="shared" ref="GH140:GM140" si="512">FB140+FS140</f>
        <v>1594232.92</v>
      </c>
      <c r="GI140" s="508">
        <f t="shared" si="512"/>
        <v>0</v>
      </c>
      <c r="GJ140" s="508">
        <f t="shared" si="512"/>
        <v>0</v>
      </c>
      <c r="GK140" s="508">
        <f t="shared" si="512"/>
        <v>0</v>
      </c>
      <c r="GL140" s="508">
        <f t="shared" si="512"/>
        <v>1594232.92</v>
      </c>
      <c r="GM140" s="508">
        <f t="shared" si="512"/>
        <v>0</v>
      </c>
      <c r="GN140" s="509">
        <f>GM140/S140</f>
        <v>0</v>
      </c>
      <c r="GO140" s="510">
        <f>FY140/T140</f>
        <v>8.221506185637921E-2</v>
      </c>
      <c r="GP140" s="669">
        <v>361488.13</v>
      </c>
      <c r="GQ140" s="502">
        <f>GT140</f>
        <v>635961.63</v>
      </c>
      <c r="GR140" s="725"/>
      <c r="GS140" s="498">
        <v>572382.61</v>
      </c>
      <c r="GT140" s="499">
        <f>53136+88560+494265.63</f>
        <v>635961.63</v>
      </c>
      <c r="GU140" s="499"/>
      <c r="GV140" s="499"/>
      <c r="GW140" s="499">
        <f>GS140+GU140</f>
        <v>572382.61</v>
      </c>
      <c r="GX140" s="671">
        <f>GT140+GV140</f>
        <v>635961.63</v>
      </c>
      <c r="GY140" s="501">
        <v>2960718.27</v>
      </c>
      <c r="GZ140" s="502">
        <f>neprodano!DC89</f>
        <v>21856.11</v>
      </c>
      <c r="HA140" s="502"/>
      <c r="HB140" s="502">
        <f>neprodano!DF89</f>
        <v>0</v>
      </c>
      <c r="HC140" s="502">
        <f>GY140+HA140</f>
        <v>2960718.27</v>
      </c>
      <c r="HD140" s="660">
        <f>GZ140+HB140</f>
        <v>21856.11</v>
      </c>
      <c r="HE140" s="1673">
        <f>FY140+GQ140</f>
        <v>842983.99</v>
      </c>
      <c r="HF140" s="505">
        <f>FZ140+GR140</f>
        <v>0</v>
      </c>
      <c r="HG140" s="1509">
        <f t="shared" ref="HG140:HG146" si="513">GS140+GA140</f>
        <v>1717147.83</v>
      </c>
      <c r="HH140" s="506">
        <f t="shared" ref="HH140:HH146" si="514">GT140+GB140</f>
        <v>842983.99</v>
      </c>
      <c r="HI140" s="506">
        <f t="shared" ref="HI140:HI146" si="515">GU140+GC140</f>
        <v>1566503.48</v>
      </c>
      <c r="HJ140" s="506">
        <f t="shared" ref="HJ140:HJ146" si="516">GV140+GD140</f>
        <v>2012772.87</v>
      </c>
      <c r="HK140" s="506">
        <f t="shared" ref="HK140:HK146" si="517">GW140+GE140</f>
        <v>3283651.3099999996</v>
      </c>
      <c r="HL140" s="491">
        <f t="shared" ref="HL140:HL146" si="518">GX140+GF140</f>
        <v>2855756.86</v>
      </c>
      <c r="HM140" s="626">
        <f t="shared" ref="HM140:HM159" si="519">HL140/R140</f>
        <v>0.19942036338391639</v>
      </c>
      <c r="HN140" s="507">
        <f t="shared" ref="HN140:HN146" si="520">GH140+GY140</f>
        <v>4554951.1899999995</v>
      </c>
      <c r="HO140" s="508">
        <f t="shared" ref="HO140:HO146" si="521">GI140+GZ140</f>
        <v>21856.11</v>
      </c>
      <c r="HP140" s="508">
        <f t="shared" ref="HP140:HP146" si="522">GJ140+HA140</f>
        <v>0</v>
      </c>
      <c r="HQ140" s="508">
        <f t="shared" ref="HQ140:HQ146" si="523">GK140+HB140</f>
        <v>0</v>
      </c>
      <c r="HR140" s="508">
        <f t="shared" ref="HR140:HR146" si="524">GL140+HC140</f>
        <v>4554951.1899999995</v>
      </c>
      <c r="HS140" s="508">
        <f t="shared" ref="HS140:HS146" si="525">GM140+HD140</f>
        <v>21856.11</v>
      </c>
      <c r="HT140" s="509">
        <f t="shared" si="377"/>
        <v>1.5262340640438308E-3</v>
      </c>
      <c r="HU140" s="510">
        <f>HE140/T140</f>
        <v>0.33477533963861372</v>
      </c>
    </row>
    <row r="141" spans="1:231" ht="12.75" customHeight="1" x14ac:dyDescent="0.2">
      <c r="A141" s="3671"/>
      <c r="B141" s="3678"/>
      <c r="C141" s="511">
        <v>2</v>
      </c>
      <c r="D141" s="585" t="s">
        <v>390</v>
      </c>
      <c r="E141" s="663">
        <v>46</v>
      </c>
      <c r="F141" s="485">
        <v>2437.9</v>
      </c>
      <c r="G141" s="701">
        <f>F141/E141</f>
        <v>52.997826086956522</v>
      </c>
      <c r="H141" s="516">
        <v>0</v>
      </c>
      <c r="I141" s="485">
        <v>0</v>
      </c>
      <c r="J141" s="485">
        <v>0</v>
      </c>
      <c r="K141" s="516">
        <v>0</v>
      </c>
      <c r="L141" s="485">
        <f>M141*K141</f>
        <v>0</v>
      </c>
      <c r="M141" s="258">
        <v>0</v>
      </c>
      <c r="N141" s="703">
        <f t="shared" ref="N141:N146" si="526">F141+I141+L141</f>
        <v>2437.9</v>
      </c>
      <c r="O141" s="518">
        <f>158.48*7.4*0.35*N141*2</f>
        <v>2001336.47056</v>
      </c>
      <c r="P141" s="340">
        <f>792.41*7.4*N141</f>
        <v>14295440.908600001</v>
      </c>
      <c r="Q141" s="705">
        <f>158.48*7.4*0.65*2*N141</f>
        <v>3716767.7310400004</v>
      </c>
      <c r="R141" s="485">
        <f t="shared" si="501"/>
        <v>20013545.110199999</v>
      </c>
      <c r="S141" s="709">
        <f t="shared" si="502"/>
        <v>20013545.110199999</v>
      </c>
      <c r="T141" s="726">
        <v>4619176.9400000004</v>
      </c>
      <c r="U141" s="522">
        <v>109495</v>
      </c>
      <c r="V141" s="522">
        <v>0</v>
      </c>
      <c r="W141" s="523">
        <v>0</v>
      </c>
      <c r="X141" s="524">
        <v>109495</v>
      </c>
      <c r="Y141" s="524">
        <v>0</v>
      </c>
      <c r="Z141" s="524">
        <v>0</v>
      </c>
      <c r="AA141" s="525">
        <f t="shared" ref="AA141:AB146" si="527">W141+Y141</f>
        <v>0</v>
      </c>
      <c r="AB141" s="524">
        <f t="shared" si="527"/>
        <v>109495</v>
      </c>
      <c r="AC141" s="526">
        <f>AB141/R141</f>
        <v>5.4710447048281988E-3</v>
      </c>
      <c r="AD141" s="522">
        <v>0</v>
      </c>
      <c r="AE141" s="522">
        <v>0</v>
      </c>
      <c r="AF141" s="522">
        <v>0</v>
      </c>
      <c r="AG141" s="522">
        <v>0</v>
      </c>
      <c r="AH141" s="176">
        <f>AD141+AF141</f>
        <v>0</v>
      </c>
      <c r="AI141" s="522">
        <f>AE141+AG141</f>
        <v>0</v>
      </c>
      <c r="AJ141" s="527">
        <f>AI141/S141</f>
        <v>0</v>
      </c>
      <c r="AK141" s="528">
        <f>U141/T141</f>
        <v>2.3704439432017079E-2</v>
      </c>
      <c r="AL141" s="669"/>
      <c r="AM141" s="533">
        <f>AP141</f>
        <v>131139.4</v>
      </c>
      <c r="AN141" s="725">
        <v>0</v>
      </c>
      <c r="AO141" s="498"/>
      <c r="AP141" s="499">
        <f>131139.4</f>
        <v>131139.4</v>
      </c>
      <c r="AQ141" s="531">
        <v>4803944.0199999996</v>
      </c>
      <c r="AR141" s="531"/>
      <c r="AS141" s="499">
        <f t="shared" ref="AS141:AT146" si="528">AO141+AQ141</f>
        <v>4803944.0199999996</v>
      </c>
      <c r="AT141" s="671">
        <f t="shared" si="528"/>
        <v>131139.4</v>
      </c>
      <c r="AU141" s="712"/>
      <c r="AV141" s="502"/>
      <c r="AW141" s="502"/>
      <c r="AX141" s="502"/>
      <c r="AY141" s="502">
        <f t="shared" ref="AY141:AZ146" si="529">AU141+AW141</f>
        <v>0</v>
      </c>
      <c r="AZ141" s="660">
        <f t="shared" si="529"/>
        <v>0</v>
      </c>
      <c r="BA141" s="535">
        <f t="shared" si="211"/>
        <v>240634.4</v>
      </c>
      <c r="BB141" s="536">
        <f t="shared" si="212"/>
        <v>0</v>
      </c>
      <c r="BC141" s="523">
        <f t="shared" si="213"/>
        <v>0</v>
      </c>
      <c r="BD141" s="525">
        <f t="shared" si="214"/>
        <v>240634.4</v>
      </c>
      <c r="BE141" s="525">
        <f t="shared" si="215"/>
        <v>4803944.0199999996</v>
      </c>
      <c r="BF141" s="525">
        <f t="shared" si="216"/>
        <v>0</v>
      </c>
      <c r="BG141" s="525">
        <f t="shared" si="217"/>
        <v>4803944.0199999996</v>
      </c>
      <c r="BH141" s="525">
        <f t="shared" si="218"/>
        <v>240634.4</v>
      </c>
      <c r="BI141" s="526">
        <f t="shared" si="219"/>
        <v>1.2023576966249699E-2</v>
      </c>
      <c r="BJ141" s="537">
        <f t="shared" si="220"/>
        <v>0</v>
      </c>
      <c r="BK141" s="538">
        <f t="shared" si="221"/>
        <v>0</v>
      </c>
      <c r="BL141" s="538">
        <f t="shared" si="222"/>
        <v>0</v>
      </c>
      <c r="BM141" s="538">
        <f t="shared" si="223"/>
        <v>0</v>
      </c>
      <c r="BN141" s="538">
        <f t="shared" si="224"/>
        <v>0</v>
      </c>
      <c r="BO141" s="538">
        <f t="shared" si="225"/>
        <v>0</v>
      </c>
      <c r="BP141" s="539">
        <f t="shared" si="226"/>
        <v>0</v>
      </c>
      <c r="BQ141" s="540">
        <f t="shared" si="227"/>
        <v>5.2094648705966216E-2</v>
      </c>
      <c r="BR141" s="669"/>
      <c r="BS141" s="533"/>
      <c r="BT141" s="725"/>
      <c r="BU141" s="498"/>
      <c r="BV141" s="499"/>
      <c r="BW141" s="531"/>
      <c r="BX141" s="531">
        <v>1889811.79</v>
      </c>
      <c r="BY141" s="499">
        <f t="shared" ref="BY141:BZ146" si="530">BU141+BW141</f>
        <v>0</v>
      </c>
      <c r="BZ141" s="671">
        <f t="shared" si="530"/>
        <v>1889811.79</v>
      </c>
      <c r="CA141" s="712"/>
      <c r="CB141" s="502"/>
      <c r="CC141" s="502"/>
      <c r="CD141" s="502"/>
      <c r="CE141" s="502">
        <f t="shared" ref="CE141:CF146" si="531">CA141+CC141</f>
        <v>0</v>
      </c>
      <c r="CF141" s="660">
        <f t="shared" si="531"/>
        <v>0</v>
      </c>
      <c r="CG141" s="1138">
        <f t="shared" ref="CG141:CN146" si="532">BA141+BS141</f>
        <v>240634.4</v>
      </c>
      <c r="CH141" s="536">
        <f t="shared" si="532"/>
        <v>0</v>
      </c>
      <c r="CI141" s="523">
        <f t="shared" si="532"/>
        <v>0</v>
      </c>
      <c r="CJ141" s="525">
        <f t="shared" si="532"/>
        <v>240634.4</v>
      </c>
      <c r="CK141" s="525">
        <f t="shared" si="532"/>
        <v>4803944.0199999996</v>
      </c>
      <c r="CL141" s="525">
        <f t="shared" si="532"/>
        <v>1889811.79</v>
      </c>
      <c r="CM141" s="525">
        <f t="shared" si="532"/>
        <v>4803944.0199999996</v>
      </c>
      <c r="CN141" s="525">
        <f t="shared" si="532"/>
        <v>2130446.19</v>
      </c>
      <c r="CO141" s="526">
        <f t="shared" si="338"/>
        <v>0.10645021550500855</v>
      </c>
      <c r="CP141" s="537">
        <f t="shared" ref="CP141:CU146" si="533">BJ141+CA141</f>
        <v>0</v>
      </c>
      <c r="CQ141" s="538">
        <f t="shared" si="533"/>
        <v>0</v>
      </c>
      <c r="CR141" s="538">
        <f t="shared" si="533"/>
        <v>0</v>
      </c>
      <c r="CS141" s="538">
        <f t="shared" si="533"/>
        <v>0</v>
      </c>
      <c r="CT141" s="538">
        <f t="shared" si="533"/>
        <v>0</v>
      </c>
      <c r="CU141" s="538">
        <f t="shared" si="533"/>
        <v>0</v>
      </c>
      <c r="CV141" s="539">
        <f t="shared" si="340"/>
        <v>0</v>
      </c>
      <c r="CW141" s="540">
        <f t="shared" si="467"/>
        <v>5.2094648705966216E-2</v>
      </c>
      <c r="CX141" s="533">
        <v>1504548.57</v>
      </c>
      <c r="CY141" s="533"/>
      <c r="CZ141" s="725"/>
      <c r="DA141" s="498">
        <v>1504548.57</v>
      </c>
      <c r="DB141" s="499"/>
      <c r="DC141" s="531"/>
      <c r="DD141" s="531"/>
      <c r="DE141" s="499">
        <f t="shared" ref="DE141:DF146" si="534">DA141+DC141</f>
        <v>1504548.57</v>
      </c>
      <c r="DF141" s="671">
        <f t="shared" si="534"/>
        <v>0</v>
      </c>
      <c r="DG141" s="712"/>
      <c r="DH141" s="502"/>
      <c r="DI141" s="502"/>
      <c r="DJ141" s="502"/>
      <c r="DK141" s="502">
        <f t="shared" ref="DK141:DL146" si="535">DG141+DI141</f>
        <v>0</v>
      </c>
      <c r="DL141" s="660">
        <f t="shared" si="535"/>
        <v>0</v>
      </c>
      <c r="DM141" s="1138">
        <f t="shared" ref="DM141:DT146" si="536">CG141+CY141</f>
        <v>240634.4</v>
      </c>
      <c r="DN141" s="536">
        <f t="shared" si="536"/>
        <v>0</v>
      </c>
      <c r="DO141" s="523">
        <f t="shared" si="536"/>
        <v>1504548.57</v>
      </c>
      <c r="DP141" s="525">
        <f t="shared" si="536"/>
        <v>240634.4</v>
      </c>
      <c r="DQ141" s="525">
        <f t="shared" si="536"/>
        <v>4803944.0199999996</v>
      </c>
      <c r="DR141" s="525">
        <f t="shared" si="536"/>
        <v>1889811.79</v>
      </c>
      <c r="DS141" s="525">
        <f t="shared" si="536"/>
        <v>6308492.5899999999</v>
      </c>
      <c r="DT141" s="525">
        <f t="shared" si="536"/>
        <v>2130446.19</v>
      </c>
      <c r="DU141" s="526">
        <f>DT141/R141</f>
        <v>0.10645021550500855</v>
      </c>
      <c r="DV141" s="537">
        <f t="shared" ref="DV141:EA146" si="537">CP141+DG141</f>
        <v>0</v>
      </c>
      <c r="DW141" s="538">
        <f t="shared" si="537"/>
        <v>0</v>
      </c>
      <c r="DX141" s="538">
        <f t="shared" si="537"/>
        <v>0</v>
      </c>
      <c r="DY141" s="538">
        <f t="shared" si="537"/>
        <v>0</v>
      </c>
      <c r="DZ141" s="538">
        <f t="shared" si="537"/>
        <v>0</v>
      </c>
      <c r="EA141" s="538">
        <f t="shared" si="537"/>
        <v>0</v>
      </c>
      <c r="EB141" s="539">
        <f>EA141/S141</f>
        <v>0</v>
      </c>
      <c r="EC141" s="540">
        <f>DM141/T141</f>
        <v>5.2094648705966216E-2</v>
      </c>
      <c r="ED141" s="533">
        <v>1504548.57</v>
      </c>
      <c r="EE141" s="533"/>
      <c r="EF141" s="725"/>
      <c r="EG141" s="498">
        <v>1504548.57</v>
      </c>
      <c r="EH141" s="499"/>
      <c r="EI141" s="531"/>
      <c r="EJ141" s="531"/>
      <c r="EK141" s="499">
        <f t="shared" ref="EK141:EL146" si="538">EG141+EI141</f>
        <v>1504548.57</v>
      </c>
      <c r="EL141" s="671">
        <f t="shared" si="538"/>
        <v>0</v>
      </c>
      <c r="EM141" s="712">
        <v>4888980.9400000004</v>
      </c>
      <c r="EN141" s="502"/>
      <c r="EO141" s="502"/>
      <c r="EP141" s="502"/>
      <c r="EQ141" s="502">
        <f t="shared" ref="EQ141:ER146" si="539">EM141+EO141</f>
        <v>4888980.9400000004</v>
      </c>
      <c r="ER141" s="660">
        <f t="shared" si="539"/>
        <v>0</v>
      </c>
      <c r="ES141" s="1138">
        <f t="shared" ref="ES141:ET146" si="540">DM141+EE141</f>
        <v>240634.4</v>
      </c>
      <c r="ET141" s="536">
        <f t="shared" si="540"/>
        <v>0</v>
      </c>
      <c r="EU141" s="523">
        <f t="shared" ref="EU141:EU146" si="541">EG141+DO141</f>
        <v>3009097.14</v>
      </c>
      <c r="EV141" s="1510">
        <f t="shared" ref="EV141:EZ146" si="542">EH141+DP141</f>
        <v>240634.4</v>
      </c>
      <c r="EW141" s="1513">
        <f t="shared" si="542"/>
        <v>4803944.0199999996</v>
      </c>
      <c r="EX141" s="525">
        <f t="shared" si="542"/>
        <v>1889811.79</v>
      </c>
      <c r="EY141" s="524">
        <f t="shared" si="542"/>
        <v>7813041.1600000001</v>
      </c>
      <c r="EZ141" s="524">
        <f t="shared" si="542"/>
        <v>2130446.19</v>
      </c>
      <c r="FA141" s="526">
        <f t="shared" si="298"/>
        <v>0.10645021550500855</v>
      </c>
      <c r="FB141" s="537">
        <f t="shared" ref="FB141:FB146" si="543">DV141+EM141</f>
        <v>4888980.9400000004</v>
      </c>
      <c r="FC141" s="538">
        <f t="shared" ref="FC141:FG146" si="544">DW141+EN141</f>
        <v>0</v>
      </c>
      <c r="FD141" s="538">
        <f t="shared" si="544"/>
        <v>0</v>
      </c>
      <c r="FE141" s="538">
        <f t="shared" si="544"/>
        <v>0</v>
      </c>
      <c r="FF141" s="538">
        <f t="shared" si="544"/>
        <v>4888980.9400000004</v>
      </c>
      <c r="FG141" s="538">
        <f t="shared" si="544"/>
        <v>0</v>
      </c>
      <c r="FH141" s="539">
        <f>FG141/S141</f>
        <v>0</v>
      </c>
      <c r="FI141" s="883">
        <f>ES141/T141</f>
        <v>5.2094648705966216E-2</v>
      </c>
      <c r="FJ141" s="533">
        <v>1504548.57</v>
      </c>
      <c r="FK141" s="533">
        <v>3114.36</v>
      </c>
      <c r="FL141" s="725"/>
      <c r="FM141" s="498">
        <v>1504548.57</v>
      </c>
      <c r="FN141" s="499">
        <f>3114.36</f>
        <v>3114.36</v>
      </c>
      <c r="FO141" s="531"/>
      <c r="FP141" s="531"/>
      <c r="FQ141" s="499">
        <f t="shared" ref="FQ141:FQ146" si="545">FM141+FO141</f>
        <v>1504548.57</v>
      </c>
      <c r="FR141" s="671">
        <f t="shared" ref="FR141:FR146" si="546">FN141+FP141</f>
        <v>3114.36</v>
      </c>
      <c r="FS141" s="712">
        <v>9079536.0399999991</v>
      </c>
      <c r="FT141" s="502"/>
      <c r="FU141" s="502"/>
      <c r="FV141" s="502"/>
      <c r="FW141" s="502">
        <f t="shared" ref="FW141:FW146" si="547">FS141+FU141</f>
        <v>9079536.0399999991</v>
      </c>
      <c r="FX141" s="660">
        <f t="shared" ref="FX141:FX146" si="548">FT141+FV141</f>
        <v>0</v>
      </c>
      <c r="FY141" s="1138">
        <f t="shared" ref="FY141:FY146" si="549">ES141+FK141</f>
        <v>243748.75999999998</v>
      </c>
      <c r="FZ141" s="536">
        <f t="shared" ref="FZ141:FZ146" si="550">ET141+FL141</f>
        <v>0</v>
      </c>
      <c r="GA141" s="1510">
        <f t="shared" ref="GA141:GA146" si="551">FM141+EU141</f>
        <v>4513645.71</v>
      </c>
      <c r="GB141" s="525">
        <f t="shared" ref="GB141:GB146" si="552">FN141+EV141</f>
        <v>243748.75999999998</v>
      </c>
      <c r="GC141" s="525">
        <f t="shared" ref="GC141:GC146" si="553">FO141+EW141</f>
        <v>4803944.0199999996</v>
      </c>
      <c r="GD141" s="525">
        <f t="shared" ref="GD141:GD146" si="554">FP141+EX141</f>
        <v>1889811.79</v>
      </c>
      <c r="GE141" s="525">
        <f t="shared" ref="GE141:GE146" si="555">FQ141+EY141</f>
        <v>9317589.7300000004</v>
      </c>
      <c r="GF141" s="524">
        <f t="shared" ref="GF141:GF146" si="556">FR141+EZ141</f>
        <v>2133560.5499999998</v>
      </c>
      <c r="GG141" s="526">
        <f>GF141/R141</f>
        <v>0.10660582811551066</v>
      </c>
      <c r="GH141" s="537">
        <f t="shared" ref="GH141:GH146" si="557">FB141+FS141</f>
        <v>13968516.98</v>
      </c>
      <c r="GI141" s="538">
        <f t="shared" ref="GI141:GI146" si="558">FC141+FT141</f>
        <v>0</v>
      </c>
      <c r="GJ141" s="538">
        <f t="shared" ref="GJ141:GJ146" si="559">FD141+FU141</f>
        <v>0</v>
      </c>
      <c r="GK141" s="538">
        <f t="shared" ref="GK141:GK146" si="560">FE141+FV141</f>
        <v>0</v>
      </c>
      <c r="GL141" s="538">
        <f t="shared" ref="GL141:GL146" si="561">FF141+FW141</f>
        <v>13968516.98</v>
      </c>
      <c r="GM141" s="538">
        <f t="shared" ref="GM141:GM146" si="562">FG141+FX141</f>
        <v>0</v>
      </c>
      <c r="GN141" s="539">
        <f>GM141/S141</f>
        <v>0</v>
      </c>
      <c r="GO141" s="540">
        <f>FY141/T141</f>
        <v>5.2768872716099063E-2</v>
      </c>
      <c r="GP141" s="533">
        <v>105531.22</v>
      </c>
      <c r="GQ141" s="533">
        <f>GT141</f>
        <v>176628</v>
      </c>
      <c r="GR141" s="725"/>
      <c r="GS141" s="498">
        <v>1504548.57</v>
      </c>
      <c r="GT141" s="499">
        <f>176628</f>
        <v>176628</v>
      </c>
      <c r="GU141" s="531"/>
      <c r="GV141" s="531"/>
      <c r="GW141" s="499">
        <f t="shared" ref="GW141:GW146" si="563">GS141+GU141</f>
        <v>1504548.57</v>
      </c>
      <c r="GX141" s="671">
        <f t="shared" ref="GX141:GX146" si="564">GT141+GV141</f>
        <v>176628</v>
      </c>
      <c r="GY141" s="712"/>
      <c r="GZ141" s="502">
        <f>0</f>
        <v>0</v>
      </c>
      <c r="HA141" s="502"/>
      <c r="HB141" s="502">
        <v>0</v>
      </c>
      <c r="HC141" s="502">
        <f t="shared" ref="HC141:HC146" si="565">GY141+HA141</f>
        <v>0</v>
      </c>
      <c r="HD141" s="660">
        <f t="shared" ref="HD141:HD146" si="566">GZ141+HB141</f>
        <v>0</v>
      </c>
      <c r="HE141" s="1674">
        <f t="shared" ref="HE141:HE146" si="567">FY141+GQ141</f>
        <v>420376.76</v>
      </c>
      <c r="HF141" s="536">
        <f t="shared" ref="HF141:HF146" si="568">FZ141+GR141</f>
        <v>0</v>
      </c>
      <c r="HG141" s="1510">
        <f t="shared" si="513"/>
        <v>6018194.2800000003</v>
      </c>
      <c r="HH141" s="525">
        <f t="shared" si="514"/>
        <v>420376.76</v>
      </c>
      <c r="HI141" s="525">
        <f t="shared" si="515"/>
        <v>4803944.0199999996</v>
      </c>
      <c r="HJ141" s="525">
        <f t="shared" si="516"/>
        <v>1889811.79</v>
      </c>
      <c r="HK141" s="525">
        <f t="shared" si="517"/>
        <v>10822138.300000001</v>
      </c>
      <c r="HL141" s="524">
        <f t="shared" si="518"/>
        <v>2310188.5499999998</v>
      </c>
      <c r="HM141" s="626">
        <f t="shared" si="519"/>
        <v>0.11543125104920073</v>
      </c>
      <c r="HN141" s="537">
        <f t="shared" si="520"/>
        <v>13968516.98</v>
      </c>
      <c r="HO141" s="538">
        <f t="shared" si="521"/>
        <v>0</v>
      </c>
      <c r="HP141" s="538">
        <f t="shared" si="522"/>
        <v>0</v>
      </c>
      <c r="HQ141" s="538">
        <f t="shared" si="523"/>
        <v>0</v>
      </c>
      <c r="HR141" s="538">
        <f t="shared" si="524"/>
        <v>13968516.98</v>
      </c>
      <c r="HS141" s="538">
        <f t="shared" si="525"/>
        <v>0</v>
      </c>
      <c r="HT141" s="1256">
        <f t="shared" ref="HT141:HT146" si="569">HS141/S141</f>
        <v>0</v>
      </c>
      <c r="HU141" s="1157">
        <f t="shared" ref="HU141:HU146" si="570">HE141/T141</f>
        <v>9.1006853701516788E-2</v>
      </c>
    </row>
    <row r="142" spans="1:231" ht="15" customHeight="1" x14ac:dyDescent="0.2">
      <c r="A142" s="3671"/>
      <c r="B142" s="3678"/>
      <c r="C142" s="475">
        <v>3</v>
      </c>
      <c r="D142" s="655" t="s">
        <v>400</v>
      </c>
      <c r="E142" s="707">
        <v>11</v>
      </c>
      <c r="F142" s="485">
        <v>685.49</v>
      </c>
      <c r="G142" s="708">
        <f t="shared" si="456"/>
        <v>62.31727272727273</v>
      </c>
      <c r="H142" s="702">
        <v>3</v>
      </c>
      <c r="I142" s="485">
        <v>41.53</v>
      </c>
      <c r="J142" s="485">
        <f>I142/H142</f>
        <v>13.843333333333334</v>
      </c>
      <c r="K142" s="702">
        <v>0</v>
      </c>
      <c r="L142" s="485">
        <v>0</v>
      </c>
      <c r="M142" s="485">
        <v>0</v>
      </c>
      <c r="N142" s="703">
        <f t="shared" si="526"/>
        <v>727.02</v>
      </c>
      <c r="O142" s="484">
        <f>(83403.73+7547.93)*7.4</f>
        <v>673042.2840000001</v>
      </c>
      <c r="P142" s="704">
        <f>166530+4559994.81+39406+160099.64+14030+3089.04</f>
        <v>4943149.4899999993</v>
      </c>
      <c r="Q142" s="485">
        <f>21565.52*7.7</f>
        <v>166054.50400000002</v>
      </c>
      <c r="R142" s="485">
        <f t="shared" si="501"/>
        <v>5782246.277999999</v>
      </c>
      <c r="S142" s="709">
        <f t="shared" si="502"/>
        <v>5782246.277999999</v>
      </c>
      <c r="T142" s="710">
        <v>1065767.6988000001</v>
      </c>
      <c r="U142" s="522">
        <v>88489.04</v>
      </c>
      <c r="V142" s="522">
        <v>0</v>
      </c>
      <c r="W142" s="523">
        <v>875007.3899999999</v>
      </c>
      <c r="X142" s="524">
        <v>88489.04</v>
      </c>
      <c r="Y142" s="524">
        <v>1108398.4099999999</v>
      </c>
      <c r="Z142" s="524">
        <v>168346.09</v>
      </c>
      <c r="AA142" s="525">
        <f t="shared" si="527"/>
        <v>1983405.7999999998</v>
      </c>
      <c r="AB142" s="524">
        <f t="shared" si="527"/>
        <v>256835.13</v>
      </c>
      <c r="AC142" s="526">
        <f t="shared" si="333"/>
        <v>4.4417881503455402E-2</v>
      </c>
      <c r="AD142" s="522">
        <v>0</v>
      </c>
      <c r="AE142" s="522">
        <v>0</v>
      </c>
      <c r="AF142" s="522">
        <v>0</v>
      </c>
      <c r="AG142" s="522">
        <v>0</v>
      </c>
      <c r="AH142" s="363">
        <f t="shared" ref="AH142:AI146" si="571">AD142+AF142</f>
        <v>0</v>
      </c>
      <c r="AI142" s="547">
        <f t="shared" si="571"/>
        <v>0</v>
      </c>
      <c r="AJ142" s="550">
        <f t="shared" si="460"/>
        <v>0</v>
      </c>
      <c r="AK142" s="551">
        <f t="shared" si="461"/>
        <v>8.3028449914211253E-2</v>
      </c>
      <c r="AL142" s="1617">
        <v>384537.91</v>
      </c>
      <c r="AM142" s="502">
        <f>AP142</f>
        <v>413887.95</v>
      </c>
      <c r="AN142" s="706">
        <v>0</v>
      </c>
      <c r="AO142" s="711">
        <v>384537.91</v>
      </c>
      <c r="AP142" s="531">
        <f>410399.55+3488.4</f>
        <v>413887.95</v>
      </c>
      <c r="AQ142" s="531"/>
      <c r="AR142" s="531"/>
      <c r="AS142" s="499">
        <f t="shared" si="528"/>
        <v>384537.91</v>
      </c>
      <c r="AT142" s="671">
        <f t="shared" si="528"/>
        <v>413887.95</v>
      </c>
      <c r="AU142" s="712">
        <v>1128018.7</v>
      </c>
      <c r="AV142" s="502"/>
      <c r="AW142" s="502"/>
      <c r="AX142" s="502"/>
      <c r="AY142" s="502">
        <f t="shared" si="529"/>
        <v>1128018.7</v>
      </c>
      <c r="AZ142" s="660">
        <f t="shared" si="529"/>
        <v>0</v>
      </c>
      <c r="BA142" s="535">
        <f t="shared" si="211"/>
        <v>502376.99</v>
      </c>
      <c r="BB142" s="536">
        <f t="shared" si="212"/>
        <v>0</v>
      </c>
      <c r="BC142" s="523">
        <f t="shared" si="213"/>
        <v>1259545.2999999998</v>
      </c>
      <c r="BD142" s="525">
        <f t="shared" si="214"/>
        <v>502376.99</v>
      </c>
      <c r="BE142" s="525">
        <f t="shared" si="215"/>
        <v>1108398.4099999999</v>
      </c>
      <c r="BF142" s="525">
        <f t="shared" si="216"/>
        <v>168346.09</v>
      </c>
      <c r="BG142" s="525">
        <f t="shared" si="217"/>
        <v>2367943.71</v>
      </c>
      <c r="BH142" s="525">
        <f t="shared" si="218"/>
        <v>670723.08000000007</v>
      </c>
      <c r="BI142" s="526">
        <f t="shared" si="219"/>
        <v>0.1159969755269563</v>
      </c>
      <c r="BJ142" s="537">
        <f t="shared" si="220"/>
        <v>1128018.7</v>
      </c>
      <c r="BK142" s="538">
        <f t="shared" si="221"/>
        <v>0</v>
      </c>
      <c r="BL142" s="538">
        <f t="shared" si="222"/>
        <v>0</v>
      </c>
      <c r="BM142" s="538">
        <f t="shared" si="223"/>
        <v>0</v>
      </c>
      <c r="BN142" s="538">
        <f t="shared" si="224"/>
        <v>1128018.7</v>
      </c>
      <c r="BO142" s="538">
        <f t="shared" si="225"/>
        <v>0</v>
      </c>
      <c r="BP142" s="539">
        <f t="shared" si="226"/>
        <v>0</v>
      </c>
      <c r="BQ142" s="540">
        <f t="shared" si="227"/>
        <v>0.47137569525296252</v>
      </c>
      <c r="BR142" s="669">
        <v>51192.25</v>
      </c>
      <c r="BS142" s="502">
        <v>403291.07</v>
      </c>
      <c r="BT142" s="706"/>
      <c r="BU142" s="711">
        <v>384537.91</v>
      </c>
      <c r="BV142" s="531">
        <f>403291.07+143908.3+4651.19</f>
        <v>551850.55999999994</v>
      </c>
      <c r="BW142" s="531"/>
      <c r="BX142" s="531"/>
      <c r="BY142" s="499">
        <f t="shared" si="530"/>
        <v>384537.91</v>
      </c>
      <c r="BZ142" s="671">
        <f t="shared" si="530"/>
        <v>551850.55999999994</v>
      </c>
      <c r="CA142" s="712">
        <v>2094891.87</v>
      </c>
      <c r="CB142" s="502"/>
      <c r="CC142" s="502"/>
      <c r="CD142" s="502"/>
      <c r="CE142" s="502">
        <f t="shared" si="531"/>
        <v>2094891.87</v>
      </c>
      <c r="CF142" s="660">
        <f t="shared" si="531"/>
        <v>0</v>
      </c>
      <c r="CG142" s="1138">
        <f t="shared" si="532"/>
        <v>905668.06</v>
      </c>
      <c r="CH142" s="536">
        <f t="shared" si="532"/>
        <v>0</v>
      </c>
      <c r="CI142" s="523">
        <f t="shared" si="532"/>
        <v>1644083.2099999997</v>
      </c>
      <c r="CJ142" s="525">
        <f t="shared" si="532"/>
        <v>1054227.5499999998</v>
      </c>
      <c r="CK142" s="525">
        <f t="shared" si="532"/>
        <v>1108398.4099999999</v>
      </c>
      <c r="CL142" s="525">
        <f t="shared" si="532"/>
        <v>168346.09</v>
      </c>
      <c r="CM142" s="525">
        <f t="shared" si="532"/>
        <v>2752481.62</v>
      </c>
      <c r="CN142" s="525">
        <f t="shared" si="532"/>
        <v>1222573.6400000001</v>
      </c>
      <c r="CO142" s="526">
        <f t="shared" si="338"/>
        <v>0.21143576064056405</v>
      </c>
      <c r="CP142" s="537">
        <f t="shared" si="533"/>
        <v>3222910.5700000003</v>
      </c>
      <c r="CQ142" s="538">
        <f t="shared" si="533"/>
        <v>0</v>
      </c>
      <c r="CR142" s="538">
        <f t="shared" si="533"/>
        <v>0</v>
      </c>
      <c r="CS142" s="538">
        <f t="shared" si="533"/>
        <v>0</v>
      </c>
      <c r="CT142" s="538">
        <f t="shared" si="533"/>
        <v>3222910.5700000003</v>
      </c>
      <c r="CU142" s="538">
        <f t="shared" si="533"/>
        <v>0</v>
      </c>
      <c r="CV142" s="539">
        <f t="shared" si="340"/>
        <v>0</v>
      </c>
      <c r="CW142" s="540">
        <f t="shared" si="467"/>
        <v>0.84977998584469761</v>
      </c>
      <c r="CX142" s="669"/>
      <c r="CY142" s="502"/>
      <c r="CZ142" s="706"/>
      <c r="DA142" s="711">
        <v>384537.91</v>
      </c>
      <c r="DB142" s="531">
        <f>321816.03+2735.43</f>
        <v>324551.46000000002</v>
      </c>
      <c r="DC142" s="531"/>
      <c r="DD142" s="531"/>
      <c r="DE142" s="499">
        <f t="shared" si="534"/>
        <v>384537.91</v>
      </c>
      <c r="DF142" s="671">
        <f t="shared" si="534"/>
        <v>324551.46000000002</v>
      </c>
      <c r="DG142" s="712"/>
      <c r="DH142" s="502"/>
      <c r="DI142" s="502"/>
      <c r="DJ142" s="502"/>
      <c r="DK142" s="502">
        <f t="shared" si="535"/>
        <v>0</v>
      </c>
      <c r="DL142" s="660">
        <f t="shared" si="535"/>
        <v>0</v>
      </c>
      <c r="DM142" s="1138">
        <f t="shared" si="536"/>
        <v>905668.06</v>
      </c>
      <c r="DN142" s="536">
        <f t="shared" si="536"/>
        <v>0</v>
      </c>
      <c r="DO142" s="523">
        <f t="shared" si="536"/>
        <v>2028621.1199999996</v>
      </c>
      <c r="DP142" s="525">
        <f t="shared" si="536"/>
        <v>1378779.0099999998</v>
      </c>
      <c r="DQ142" s="525">
        <f t="shared" si="536"/>
        <v>1108398.4099999999</v>
      </c>
      <c r="DR142" s="525">
        <f t="shared" si="536"/>
        <v>168346.09</v>
      </c>
      <c r="DS142" s="525">
        <f t="shared" si="536"/>
        <v>3137019.5300000003</v>
      </c>
      <c r="DT142" s="525">
        <f t="shared" si="536"/>
        <v>1547125.1</v>
      </c>
      <c r="DU142" s="526">
        <f t="shared" si="469"/>
        <v>0.26756471890282918</v>
      </c>
      <c r="DV142" s="537">
        <f t="shared" si="537"/>
        <v>3222910.5700000003</v>
      </c>
      <c r="DW142" s="538">
        <f t="shared" si="537"/>
        <v>0</v>
      </c>
      <c r="DX142" s="538">
        <f t="shared" si="537"/>
        <v>0</v>
      </c>
      <c r="DY142" s="538">
        <f t="shared" si="537"/>
        <v>0</v>
      </c>
      <c r="DZ142" s="538">
        <f t="shared" si="537"/>
        <v>3222910.5700000003</v>
      </c>
      <c r="EA142" s="538">
        <f t="shared" si="537"/>
        <v>0</v>
      </c>
      <c r="EB142" s="539">
        <f t="shared" si="313"/>
        <v>0</v>
      </c>
      <c r="EC142" s="540">
        <f t="shared" si="471"/>
        <v>0.84977998584469761</v>
      </c>
      <c r="ED142" s="669">
        <v>0</v>
      </c>
      <c r="EE142" s="502">
        <f>EH142</f>
        <v>9560</v>
      </c>
      <c r="EF142" s="706"/>
      <c r="EG142" s="711">
        <v>384537.91</v>
      </c>
      <c r="EH142" s="531">
        <v>9560</v>
      </c>
      <c r="EI142" s="531"/>
      <c r="EJ142" s="531"/>
      <c r="EK142" s="499">
        <f t="shared" si="538"/>
        <v>384537.91</v>
      </c>
      <c r="EL142" s="671">
        <f t="shared" si="538"/>
        <v>9560</v>
      </c>
      <c r="EM142" s="712"/>
      <c r="EN142" s="502"/>
      <c r="EO142" s="502"/>
      <c r="EP142" s="502"/>
      <c r="EQ142" s="502">
        <f t="shared" si="539"/>
        <v>0</v>
      </c>
      <c r="ER142" s="660">
        <f t="shared" si="539"/>
        <v>0</v>
      </c>
      <c r="ES142" s="1138">
        <f t="shared" si="540"/>
        <v>915228.06</v>
      </c>
      <c r="ET142" s="536">
        <f t="shared" si="540"/>
        <v>0</v>
      </c>
      <c r="EU142" s="523">
        <f t="shared" si="541"/>
        <v>2413159.0299999998</v>
      </c>
      <c r="EV142" s="1510">
        <f t="shared" si="542"/>
        <v>1388339.0099999998</v>
      </c>
      <c r="EW142" s="1513">
        <f t="shared" si="542"/>
        <v>1108398.4099999999</v>
      </c>
      <c r="EX142" s="525">
        <f t="shared" si="542"/>
        <v>168346.09</v>
      </c>
      <c r="EY142" s="524">
        <f t="shared" si="542"/>
        <v>3521557.4400000004</v>
      </c>
      <c r="EZ142" s="524">
        <f t="shared" si="542"/>
        <v>1556685.1</v>
      </c>
      <c r="FA142" s="526">
        <f t="shared" si="298"/>
        <v>0.26921805560631301</v>
      </c>
      <c r="FB142" s="537">
        <f t="shared" si="543"/>
        <v>3222910.5700000003</v>
      </c>
      <c r="FC142" s="538">
        <f t="shared" si="544"/>
        <v>0</v>
      </c>
      <c r="FD142" s="538">
        <f t="shared" si="544"/>
        <v>0</v>
      </c>
      <c r="FE142" s="538">
        <f t="shared" si="544"/>
        <v>0</v>
      </c>
      <c r="FF142" s="538">
        <f t="shared" si="544"/>
        <v>3222910.5700000003</v>
      </c>
      <c r="FG142" s="538">
        <f t="shared" si="544"/>
        <v>0</v>
      </c>
      <c r="FH142" s="539">
        <f t="shared" si="315"/>
        <v>0</v>
      </c>
      <c r="FI142" s="883">
        <f t="shared" si="494"/>
        <v>0.85875004565300672</v>
      </c>
      <c r="FJ142" s="669"/>
      <c r="FK142" s="502"/>
      <c r="FL142" s="530"/>
      <c r="FM142" s="711">
        <v>384537.91</v>
      </c>
      <c r="FN142" s="531">
        <f>4806.55+525893.38+39583.38</f>
        <v>570283.31000000006</v>
      </c>
      <c r="FO142" s="531"/>
      <c r="FP142" s="531"/>
      <c r="FQ142" s="499">
        <f t="shared" si="545"/>
        <v>384537.91</v>
      </c>
      <c r="FR142" s="671">
        <f t="shared" si="546"/>
        <v>570283.31000000006</v>
      </c>
      <c r="FS142" s="712">
        <v>358101.17</v>
      </c>
      <c r="FT142" s="502"/>
      <c r="FU142" s="502"/>
      <c r="FV142" s="502"/>
      <c r="FW142" s="502">
        <f t="shared" si="547"/>
        <v>358101.17</v>
      </c>
      <c r="FX142" s="660">
        <f t="shared" si="548"/>
        <v>0</v>
      </c>
      <c r="FY142" s="1138">
        <f t="shared" si="549"/>
        <v>915228.06</v>
      </c>
      <c r="FZ142" s="536">
        <f t="shared" si="550"/>
        <v>0</v>
      </c>
      <c r="GA142" s="1510">
        <f t="shared" si="551"/>
        <v>2797696.94</v>
      </c>
      <c r="GB142" s="525">
        <f t="shared" si="552"/>
        <v>1958622.3199999998</v>
      </c>
      <c r="GC142" s="525">
        <f t="shared" si="553"/>
        <v>1108398.4099999999</v>
      </c>
      <c r="GD142" s="525">
        <f t="shared" si="554"/>
        <v>168346.09</v>
      </c>
      <c r="GE142" s="525">
        <f t="shared" si="555"/>
        <v>3906095.3500000006</v>
      </c>
      <c r="GF142" s="524">
        <f t="shared" si="556"/>
        <v>2126968.41</v>
      </c>
      <c r="GG142" s="526">
        <f t="shared" si="347"/>
        <v>0.36784465893342921</v>
      </c>
      <c r="GH142" s="537">
        <f t="shared" si="557"/>
        <v>3581011.74</v>
      </c>
      <c r="GI142" s="538">
        <f t="shared" si="558"/>
        <v>0</v>
      </c>
      <c r="GJ142" s="538">
        <f t="shared" si="559"/>
        <v>0</v>
      </c>
      <c r="GK142" s="538">
        <f t="shared" si="560"/>
        <v>0</v>
      </c>
      <c r="GL142" s="538">
        <f t="shared" si="561"/>
        <v>3581011.74</v>
      </c>
      <c r="GM142" s="538">
        <f t="shared" si="562"/>
        <v>0</v>
      </c>
      <c r="GN142" s="539">
        <f t="shared" si="302"/>
        <v>0</v>
      </c>
      <c r="GO142" s="540">
        <f t="shared" si="476"/>
        <v>0.85875004565300672</v>
      </c>
      <c r="GP142" s="669">
        <v>0</v>
      </c>
      <c r="GQ142" s="502"/>
      <c r="GR142" s="530"/>
      <c r="GS142" s="711">
        <v>384537.91</v>
      </c>
      <c r="GT142" s="531">
        <f>822929.53+6994.9+155902.5+1895.27+9840+222973</f>
        <v>1220535.2000000002</v>
      </c>
      <c r="GU142" s="531"/>
      <c r="GV142" s="531"/>
      <c r="GW142" s="499">
        <f t="shared" si="563"/>
        <v>384537.91</v>
      </c>
      <c r="GX142" s="671">
        <f t="shared" si="564"/>
        <v>1220535.2000000002</v>
      </c>
      <c r="GY142" s="712"/>
      <c r="GZ142" s="502">
        <v>0</v>
      </c>
      <c r="HA142" s="502"/>
      <c r="HB142" s="502">
        <v>0</v>
      </c>
      <c r="HC142" s="502">
        <f t="shared" si="565"/>
        <v>0</v>
      </c>
      <c r="HD142" s="660">
        <f t="shared" si="566"/>
        <v>0</v>
      </c>
      <c r="HE142" s="1674">
        <f t="shared" si="567"/>
        <v>915228.06</v>
      </c>
      <c r="HF142" s="536">
        <f t="shared" si="568"/>
        <v>0</v>
      </c>
      <c r="HG142" s="1510">
        <f t="shared" si="513"/>
        <v>3182234.85</v>
      </c>
      <c r="HH142" s="525">
        <f t="shared" si="514"/>
        <v>3179157.52</v>
      </c>
      <c r="HI142" s="525">
        <f t="shared" si="515"/>
        <v>1108398.4099999999</v>
      </c>
      <c r="HJ142" s="525">
        <f t="shared" si="516"/>
        <v>168346.09</v>
      </c>
      <c r="HK142" s="525">
        <f t="shared" si="517"/>
        <v>4290633.2600000007</v>
      </c>
      <c r="HL142" s="524">
        <f t="shared" si="518"/>
        <v>3347503.6100000003</v>
      </c>
      <c r="HM142" s="626">
        <f t="shared" si="519"/>
        <v>0.57892788529890438</v>
      </c>
      <c r="HN142" s="537">
        <f t="shared" si="520"/>
        <v>3581011.74</v>
      </c>
      <c r="HO142" s="538">
        <f t="shared" si="521"/>
        <v>0</v>
      </c>
      <c r="HP142" s="538">
        <f t="shared" si="522"/>
        <v>0</v>
      </c>
      <c r="HQ142" s="538">
        <f t="shared" si="523"/>
        <v>0</v>
      </c>
      <c r="HR142" s="538">
        <f t="shared" si="524"/>
        <v>3581011.74</v>
      </c>
      <c r="HS142" s="538">
        <f t="shared" si="525"/>
        <v>0</v>
      </c>
      <c r="HT142" s="1256">
        <f t="shared" si="569"/>
        <v>0</v>
      </c>
      <c r="HU142" s="1157">
        <f t="shared" si="570"/>
        <v>0.85875004565300672</v>
      </c>
    </row>
    <row r="143" spans="1:231" ht="12.75" customHeight="1" x14ac:dyDescent="0.2">
      <c r="A143" s="3671"/>
      <c r="B143" s="3678"/>
      <c r="C143" s="511">
        <v>4</v>
      </c>
      <c r="D143" s="585" t="s">
        <v>392</v>
      </c>
      <c r="E143" s="663">
        <v>18</v>
      </c>
      <c r="F143" s="258">
        <v>1047.93</v>
      </c>
      <c r="G143" s="728">
        <f t="shared" si="456"/>
        <v>58.218333333333334</v>
      </c>
      <c r="H143" s="516">
        <v>0</v>
      </c>
      <c r="I143" s="258">
        <v>0</v>
      </c>
      <c r="J143" s="258">
        <v>0</v>
      </c>
      <c r="K143" s="516">
        <v>1</v>
      </c>
      <c r="L143" s="258">
        <v>289.64999999999998</v>
      </c>
      <c r="M143" s="258">
        <f>L143/K143</f>
        <v>289.64999999999998</v>
      </c>
      <c r="N143" s="679">
        <f t="shared" si="526"/>
        <v>1337.58</v>
      </c>
      <c r="O143" s="518">
        <v>1179162.2624319999</v>
      </c>
      <c r="P143" s="340">
        <v>8422693.8809200004</v>
      </c>
      <c r="Q143" s="705">
        <v>2189872.7730880002</v>
      </c>
      <c r="R143" s="485">
        <f t="shared" si="501"/>
        <v>11791728.916440001</v>
      </c>
      <c r="S143" s="713">
        <f t="shared" si="502"/>
        <v>11791728.916440001</v>
      </c>
      <c r="T143" s="726">
        <v>1516040.41</v>
      </c>
      <c r="U143" s="547">
        <v>0</v>
      </c>
      <c r="V143" s="547">
        <v>0</v>
      </c>
      <c r="W143" s="548">
        <v>0</v>
      </c>
      <c r="X143" s="549">
        <v>0</v>
      </c>
      <c r="Y143" s="549">
        <v>2189872.77</v>
      </c>
      <c r="Z143" s="549">
        <v>0</v>
      </c>
      <c r="AA143" s="525">
        <f t="shared" si="527"/>
        <v>2189872.77</v>
      </c>
      <c r="AB143" s="524">
        <f t="shared" si="527"/>
        <v>0</v>
      </c>
      <c r="AC143" s="526">
        <f t="shared" si="333"/>
        <v>0</v>
      </c>
      <c r="AD143" s="547">
        <v>0</v>
      </c>
      <c r="AE143" s="547">
        <v>0</v>
      </c>
      <c r="AF143" s="547">
        <v>0</v>
      </c>
      <c r="AG143" s="547">
        <v>0</v>
      </c>
      <c r="AH143" s="363">
        <f t="shared" si="571"/>
        <v>0</v>
      </c>
      <c r="AI143" s="547">
        <f t="shared" si="571"/>
        <v>0</v>
      </c>
      <c r="AJ143" s="550">
        <f t="shared" si="460"/>
        <v>0</v>
      </c>
      <c r="AK143" s="551">
        <f t="shared" si="461"/>
        <v>0</v>
      </c>
      <c r="AL143" s="1617"/>
      <c r="AM143" s="502"/>
      <c r="AN143" s="725">
        <v>0</v>
      </c>
      <c r="AO143" s="498"/>
      <c r="AP143" s="531"/>
      <c r="AQ143" s="499"/>
      <c r="AR143" s="499"/>
      <c r="AS143" s="499">
        <f t="shared" si="528"/>
        <v>0</v>
      </c>
      <c r="AT143" s="671">
        <f t="shared" si="528"/>
        <v>0</v>
      </c>
      <c r="AU143" s="712"/>
      <c r="AV143" s="502"/>
      <c r="AW143" s="502"/>
      <c r="AX143" s="502"/>
      <c r="AY143" s="502">
        <f t="shared" si="529"/>
        <v>0</v>
      </c>
      <c r="AZ143" s="660">
        <f t="shared" si="529"/>
        <v>0</v>
      </c>
      <c r="BA143" s="535">
        <f t="shared" si="211"/>
        <v>0</v>
      </c>
      <c r="BB143" s="536">
        <f t="shared" si="212"/>
        <v>0</v>
      </c>
      <c r="BC143" s="523">
        <f t="shared" si="213"/>
        <v>0</v>
      </c>
      <c r="BD143" s="525">
        <f t="shared" si="214"/>
        <v>0</v>
      </c>
      <c r="BE143" s="525">
        <f t="shared" si="215"/>
        <v>2189872.77</v>
      </c>
      <c r="BF143" s="525">
        <f t="shared" si="216"/>
        <v>0</v>
      </c>
      <c r="BG143" s="525">
        <f t="shared" si="217"/>
        <v>2189872.77</v>
      </c>
      <c r="BH143" s="525">
        <f t="shared" si="218"/>
        <v>0</v>
      </c>
      <c r="BI143" s="526">
        <f t="shared" si="219"/>
        <v>0</v>
      </c>
      <c r="BJ143" s="537">
        <f t="shared" si="220"/>
        <v>0</v>
      </c>
      <c r="BK143" s="538">
        <f t="shared" si="221"/>
        <v>0</v>
      </c>
      <c r="BL143" s="538">
        <f t="shared" si="222"/>
        <v>0</v>
      </c>
      <c r="BM143" s="538">
        <f t="shared" si="223"/>
        <v>0</v>
      </c>
      <c r="BN143" s="538">
        <f t="shared" si="224"/>
        <v>0</v>
      </c>
      <c r="BO143" s="538">
        <f t="shared" si="225"/>
        <v>0</v>
      </c>
      <c r="BP143" s="539">
        <f t="shared" si="226"/>
        <v>0</v>
      </c>
      <c r="BQ143" s="540">
        <f t="shared" si="227"/>
        <v>0</v>
      </c>
      <c r="BR143" s="669">
        <v>796576.01</v>
      </c>
      <c r="BS143" s="669"/>
      <c r="BT143" s="725"/>
      <c r="BU143" s="498">
        <v>796576.01</v>
      </c>
      <c r="BV143" s="531"/>
      <c r="BW143" s="499"/>
      <c r="BX143" s="499"/>
      <c r="BY143" s="499">
        <f t="shared" si="530"/>
        <v>796576.01</v>
      </c>
      <c r="BZ143" s="671">
        <f t="shared" si="530"/>
        <v>0</v>
      </c>
      <c r="CA143" s="712"/>
      <c r="CB143" s="502"/>
      <c r="CC143" s="502"/>
      <c r="CD143" s="502"/>
      <c r="CE143" s="502">
        <f t="shared" si="531"/>
        <v>0</v>
      </c>
      <c r="CF143" s="660">
        <f t="shared" si="531"/>
        <v>0</v>
      </c>
      <c r="CG143" s="1138">
        <f t="shared" si="532"/>
        <v>0</v>
      </c>
      <c r="CH143" s="536">
        <f t="shared" si="532"/>
        <v>0</v>
      </c>
      <c r="CI143" s="523">
        <f t="shared" si="532"/>
        <v>796576.01</v>
      </c>
      <c r="CJ143" s="525">
        <f t="shared" si="532"/>
        <v>0</v>
      </c>
      <c r="CK143" s="525">
        <f t="shared" si="532"/>
        <v>2189872.77</v>
      </c>
      <c r="CL143" s="525">
        <f t="shared" si="532"/>
        <v>0</v>
      </c>
      <c r="CM143" s="525">
        <f t="shared" si="532"/>
        <v>2986448.7800000003</v>
      </c>
      <c r="CN143" s="525">
        <f t="shared" si="532"/>
        <v>0</v>
      </c>
      <c r="CO143" s="526">
        <f t="shared" si="338"/>
        <v>0</v>
      </c>
      <c r="CP143" s="537">
        <f t="shared" si="533"/>
        <v>0</v>
      </c>
      <c r="CQ143" s="538">
        <f t="shared" si="533"/>
        <v>0</v>
      </c>
      <c r="CR143" s="538">
        <f t="shared" si="533"/>
        <v>0</v>
      </c>
      <c r="CS143" s="538">
        <f t="shared" si="533"/>
        <v>0</v>
      </c>
      <c r="CT143" s="538">
        <f t="shared" si="533"/>
        <v>0</v>
      </c>
      <c r="CU143" s="538">
        <f t="shared" si="533"/>
        <v>0</v>
      </c>
      <c r="CV143" s="539">
        <f t="shared" si="340"/>
        <v>0</v>
      </c>
      <c r="CW143" s="540">
        <f t="shared" si="467"/>
        <v>0</v>
      </c>
      <c r="CX143" s="502">
        <v>796576.01</v>
      </c>
      <c r="CY143" s="502">
        <v>64944</v>
      </c>
      <c r="CZ143" s="725"/>
      <c r="DA143" s="498">
        <v>796576.01</v>
      </c>
      <c r="DB143" s="531">
        <f>64944</f>
        <v>64944</v>
      </c>
      <c r="DC143" s="499"/>
      <c r="DD143" s="499"/>
      <c r="DE143" s="499">
        <f t="shared" si="534"/>
        <v>796576.01</v>
      </c>
      <c r="DF143" s="671">
        <f t="shared" si="534"/>
        <v>64944</v>
      </c>
      <c r="DG143" s="712">
        <v>2228636.77</v>
      </c>
      <c r="DH143" s="502"/>
      <c r="DI143" s="502"/>
      <c r="DJ143" s="502"/>
      <c r="DK143" s="502">
        <f t="shared" si="535"/>
        <v>2228636.77</v>
      </c>
      <c r="DL143" s="660">
        <f t="shared" si="535"/>
        <v>0</v>
      </c>
      <c r="DM143" s="1138">
        <f t="shared" si="536"/>
        <v>64944</v>
      </c>
      <c r="DN143" s="536">
        <f t="shared" si="536"/>
        <v>0</v>
      </c>
      <c r="DO143" s="523">
        <f t="shared" si="536"/>
        <v>1593152.02</v>
      </c>
      <c r="DP143" s="525">
        <f t="shared" si="536"/>
        <v>64944</v>
      </c>
      <c r="DQ143" s="525">
        <f t="shared" si="536"/>
        <v>2189872.77</v>
      </c>
      <c r="DR143" s="525">
        <f t="shared" si="536"/>
        <v>0</v>
      </c>
      <c r="DS143" s="525">
        <f t="shared" si="536"/>
        <v>3783024.79</v>
      </c>
      <c r="DT143" s="525">
        <f t="shared" si="536"/>
        <v>64944</v>
      </c>
      <c r="DU143" s="526">
        <f t="shared" si="469"/>
        <v>5.5075892992634207E-3</v>
      </c>
      <c r="DV143" s="537">
        <f t="shared" si="537"/>
        <v>2228636.77</v>
      </c>
      <c r="DW143" s="538">
        <f t="shared" si="537"/>
        <v>0</v>
      </c>
      <c r="DX143" s="538">
        <f t="shared" si="537"/>
        <v>0</v>
      </c>
      <c r="DY143" s="538">
        <f t="shared" si="537"/>
        <v>0</v>
      </c>
      <c r="DZ143" s="538">
        <f t="shared" si="537"/>
        <v>2228636.77</v>
      </c>
      <c r="EA143" s="538">
        <f t="shared" si="537"/>
        <v>0</v>
      </c>
      <c r="EB143" s="539">
        <f t="shared" si="313"/>
        <v>0</v>
      </c>
      <c r="EC143" s="540">
        <f t="shared" si="471"/>
        <v>4.2837908258659151E-2</v>
      </c>
      <c r="ED143" s="502">
        <v>132384.67000000001</v>
      </c>
      <c r="EE143" s="502"/>
      <c r="EF143" s="725"/>
      <c r="EG143" s="498">
        <v>796576.01</v>
      </c>
      <c r="EH143" s="531"/>
      <c r="EI143" s="499"/>
      <c r="EJ143" s="499"/>
      <c r="EK143" s="499">
        <f t="shared" si="538"/>
        <v>796576.01</v>
      </c>
      <c r="EL143" s="671">
        <f t="shared" si="538"/>
        <v>0</v>
      </c>
      <c r="EM143" s="712">
        <v>4138896.85</v>
      </c>
      <c r="EN143" s="502"/>
      <c r="EO143" s="502"/>
      <c r="EP143" s="502"/>
      <c r="EQ143" s="502">
        <f t="shared" si="539"/>
        <v>4138896.85</v>
      </c>
      <c r="ER143" s="660">
        <f t="shared" si="539"/>
        <v>0</v>
      </c>
      <c r="ES143" s="1138">
        <f t="shared" si="540"/>
        <v>64944</v>
      </c>
      <c r="ET143" s="536">
        <f t="shared" si="540"/>
        <v>0</v>
      </c>
      <c r="EU143" s="523">
        <f t="shared" si="541"/>
        <v>2389728.0300000003</v>
      </c>
      <c r="EV143" s="1510">
        <f t="shared" si="542"/>
        <v>64944</v>
      </c>
      <c r="EW143" s="1513">
        <f t="shared" si="542"/>
        <v>2189872.77</v>
      </c>
      <c r="EX143" s="525">
        <f t="shared" si="542"/>
        <v>0</v>
      </c>
      <c r="EY143" s="524">
        <f t="shared" si="542"/>
        <v>4579600.8</v>
      </c>
      <c r="EZ143" s="524">
        <f t="shared" si="542"/>
        <v>64944</v>
      </c>
      <c r="FA143" s="526">
        <f t="shared" si="298"/>
        <v>5.5075892992634207E-3</v>
      </c>
      <c r="FB143" s="537">
        <f t="shared" si="543"/>
        <v>6367533.6200000001</v>
      </c>
      <c r="FC143" s="538">
        <f t="shared" si="544"/>
        <v>0</v>
      </c>
      <c r="FD143" s="538">
        <f t="shared" si="544"/>
        <v>0</v>
      </c>
      <c r="FE143" s="538">
        <f t="shared" si="544"/>
        <v>0</v>
      </c>
      <c r="FF143" s="538">
        <f t="shared" si="544"/>
        <v>6367533.6200000001</v>
      </c>
      <c r="FG143" s="538">
        <f t="shared" si="544"/>
        <v>0</v>
      </c>
      <c r="FH143" s="539">
        <f>FG143/S143</f>
        <v>0</v>
      </c>
      <c r="FI143" s="883">
        <f>ES143/T143</f>
        <v>4.2837908258659151E-2</v>
      </c>
      <c r="FJ143" s="502"/>
      <c r="FK143" s="502">
        <f>97416+3114.36</f>
        <v>100530.36</v>
      </c>
      <c r="FL143" s="725"/>
      <c r="FM143" s="498">
        <v>796576.01</v>
      </c>
      <c r="FN143" s="499">
        <f>97416+3114.36</f>
        <v>100530.36</v>
      </c>
      <c r="FO143" s="499"/>
      <c r="FP143" s="499"/>
      <c r="FQ143" s="499">
        <f t="shared" si="545"/>
        <v>796576.01</v>
      </c>
      <c r="FR143" s="671">
        <f t="shared" si="546"/>
        <v>100530.36</v>
      </c>
      <c r="FS143" s="712"/>
      <c r="FT143" s="502"/>
      <c r="FU143" s="502"/>
      <c r="FV143" s="502"/>
      <c r="FW143" s="502">
        <f t="shared" si="547"/>
        <v>0</v>
      </c>
      <c r="FX143" s="660">
        <f t="shared" si="548"/>
        <v>0</v>
      </c>
      <c r="FY143" s="1138">
        <f t="shared" si="549"/>
        <v>165474.35999999999</v>
      </c>
      <c r="FZ143" s="536">
        <f t="shared" si="550"/>
        <v>0</v>
      </c>
      <c r="GA143" s="1510">
        <f t="shared" si="551"/>
        <v>3186304.04</v>
      </c>
      <c r="GB143" s="525">
        <f t="shared" si="552"/>
        <v>165474.35999999999</v>
      </c>
      <c r="GC143" s="525">
        <f t="shared" si="553"/>
        <v>2189872.77</v>
      </c>
      <c r="GD143" s="525">
        <f t="shared" si="554"/>
        <v>0</v>
      </c>
      <c r="GE143" s="525">
        <f t="shared" si="555"/>
        <v>5376176.8099999996</v>
      </c>
      <c r="GF143" s="524">
        <f t="shared" si="556"/>
        <v>165474.35999999999</v>
      </c>
      <c r="GG143" s="526">
        <f t="shared" si="347"/>
        <v>1.4033087189555047E-2</v>
      </c>
      <c r="GH143" s="537">
        <f t="shared" si="557"/>
        <v>6367533.6200000001</v>
      </c>
      <c r="GI143" s="538">
        <f t="shared" si="558"/>
        <v>0</v>
      </c>
      <c r="GJ143" s="538">
        <f t="shared" si="559"/>
        <v>0</v>
      </c>
      <c r="GK143" s="538">
        <f t="shared" si="560"/>
        <v>0</v>
      </c>
      <c r="GL143" s="538">
        <f t="shared" si="561"/>
        <v>6367533.6200000001</v>
      </c>
      <c r="GM143" s="538">
        <f t="shared" si="562"/>
        <v>0</v>
      </c>
      <c r="GN143" s="539">
        <f t="shared" si="302"/>
        <v>0</v>
      </c>
      <c r="GO143" s="540">
        <f t="shared" si="476"/>
        <v>0.10914904306541538</v>
      </c>
      <c r="GP143" s="502">
        <v>0</v>
      </c>
      <c r="GQ143" s="502">
        <f>GT143</f>
        <v>741243.67</v>
      </c>
      <c r="GR143" s="725"/>
      <c r="GS143" s="498">
        <v>796576.01</v>
      </c>
      <c r="GT143" s="499">
        <f>15006+7546.26+718691.41</f>
        <v>741243.67</v>
      </c>
      <c r="GU143" s="499"/>
      <c r="GV143" s="499"/>
      <c r="GW143" s="499">
        <f t="shared" si="563"/>
        <v>796576.01</v>
      </c>
      <c r="GX143" s="671">
        <f t="shared" si="564"/>
        <v>741243.67</v>
      </c>
      <c r="GY143" s="712"/>
      <c r="GZ143" s="502">
        <f>neprodano!DC94</f>
        <v>434729</v>
      </c>
      <c r="HA143" s="502"/>
      <c r="HB143" s="502">
        <f>neprodano!DF94</f>
        <v>0</v>
      </c>
      <c r="HC143" s="502">
        <f t="shared" si="565"/>
        <v>0</v>
      </c>
      <c r="HD143" s="660">
        <f t="shared" si="566"/>
        <v>434729</v>
      </c>
      <c r="HE143" s="1674">
        <f t="shared" si="567"/>
        <v>906718.03</v>
      </c>
      <c r="HF143" s="536">
        <f t="shared" si="568"/>
        <v>0</v>
      </c>
      <c r="HG143" s="1510">
        <f t="shared" si="513"/>
        <v>3982880.05</v>
      </c>
      <c r="HH143" s="525">
        <f t="shared" si="514"/>
        <v>906718.03</v>
      </c>
      <c r="HI143" s="525">
        <f t="shared" si="515"/>
        <v>2189872.77</v>
      </c>
      <c r="HJ143" s="525">
        <f t="shared" si="516"/>
        <v>0</v>
      </c>
      <c r="HK143" s="525">
        <f t="shared" si="517"/>
        <v>6172752.8199999994</v>
      </c>
      <c r="HL143" s="524">
        <f t="shared" si="518"/>
        <v>906718.03</v>
      </c>
      <c r="HM143" s="626">
        <f t="shared" si="519"/>
        <v>7.6894409329225324E-2</v>
      </c>
      <c r="HN143" s="537">
        <f t="shared" si="520"/>
        <v>6367533.6200000001</v>
      </c>
      <c r="HO143" s="538">
        <f t="shared" si="521"/>
        <v>434729</v>
      </c>
      <c r="HP143" s="538">
        <f t="shared" si="522"/>
        <v>0</v>
      </c>
      <c r="HQ143" s="538">
        <f t="shared" si="523"/>
        <v>0</v>
      </c>
      <c r="HR143" s="538">
        <f t="shared" si="524"/>
        <v>6367533.6200000001</v>
      </c>
      <c r="HS143" s="538">
        <f t="shared" si="525"/>
        <v>434729</v>
      </c>
      <c r="HT143" s="1256">
        <f t="shared" si="569"/>
        <v>3.6867282404525248E-2</v>
      </c>
      <c r="HU143" s="1157">
        <f t="shared" si="570"/>
        <v>0.59808302207458974</v>
      </c>
    </row>
    <row r="144" spans="1:231" ht="15" customHeight="1" x14ac:dyDescent="0.2">
      <c r="A144" s="3671"/>
      <c r="B144" s="3678"/>
      <c r="C144" s="475">
        <v>5</v>
      </c>
      <c r="D144" s="655" t="s">
        <v>323</v>
      </c>
      <c r="E144" s="707">
        <v>20</v>
      </c>
      <c r="F144" s="485">
        <v>1250</v>
      </c>
      <c r="G144" s="708">
        <f t="shared" si="456"/>
        <v>62.5</v>
      </c>
      <c r="H144" s="702">
        <v>0</v>
      </c>
      <c r="I144" s="485">
        <v>0</v>
      </c>
      <c r="J144" s="485">
        <v>0</v>
      </c>
      <c r="K144" s="702">
        <v>0</v>
      </c>
      <c r="L144" s="485">
        <v>0</v>
      </c>
      <c r="M144" s="485">
        <v>0</v>
      </c>
      <c r="N144" s="703">
        <f t="shared" si="526"/>
        <v>1250</v>
      </c>
      <c r="O144" s="484">
        <f>1860237.23*0.35</f>
        <v>651083.03049999999</v>
      </c>
      <c r="P144" s="704">
        <f>3089.04+100650+6083177.18+274500</f>
        <v>6461416.2199999997</v>
      </c>
      <c r="Q144" s="485">
        <f>1860237.23*0.65</f>
        <v>1209154.1995000001</v>
      </c>
      <c r="R144" s="485">
        <f t="shared" si="501"/>
        <v>8321653.4500000002</v>
      </c>
      <c r="S144" s="713">
        <f t="shared" si="502"/>
        <v>8321653.4500000002</v>
      </c>
      <c r="T144" s="714">
        <v>1832425</v>
      </c>
      <c r="U144" s="547">
        <v>263864.04000000004</v>
      </c>
      <c r="V144" s="547">
        <v>0</v>
      </c>
      <c r="W144" s="548">
        <v>759235.46</v>
      </c>
      <c r="X144" s="549">
        <v>263864.04000000004</v>
      </c>
      <c r="Y144" s="549">
        <v>1905722</v>
      </c>
      <c r="Z144" s="549">
        <v>1860237.23</v>
      </c>
      <c r="AA144" s="525">
        <f t="shared" si="527"/>
        <v>2664957.46</v>
      </c>
      <c r="AB144" s="524">
        <f t="shared" si="527"/>
        <v>2124101.27</v>
      </c>
      <c r="AC144" s="626">
        <f t="shared" si="333"/>
        <v>0.25524990709628748</v>
      </c>
      <c r="AD144" s="547">
        <v>0</v>
      </c>
      <c r="AE144" s="547">
        <v>0</v>
      </c>
      <c r="AF144" s="547">
        <v>0</v>
      </c>
      <c r="AG144" s="547">
        <v>0</v>
      </c>
      <c r="AH144" s="363">
        <f t="shared" si="571"/>
        <v>0</v>
      </c>
      <c r="AI144" s="547">
        <f t="shared" si="571"/>
        <v>0</v>
      </c>
      <c r="AJ144" s="550">
        <f t="shared" si="460"/>
        <v>0</v>
      </c>
      <c r="AK144" s="551">
        <f t="shared" si="461"/>
        <v>0.14399718405937489</v>
      </c>
      <c r="AL144" s="1617">
        <v>690610.46</v>
      </c>
      <c r="AM144" s="502">
        <f>AP144</f>
        <v>1298573.21</v>
      </c>
      <c r="AN144" s="706">
        <v>0</v>
      </c>
      <c r="AO144" s="711">
        <v>690610.46</v>
      </c>
      <c r="AP144" s="531">
        <f>1277467.21+21106</f>
        <v>1298573.21</v>
      </c>
      <c r="AQ144" s="531"/>
      <c r="AR144" s="531"/>
      <c r="AS144" s="499">
        <f t="shared" si="528"/>
        <v>690610.46</v>
      </c>
      <c r="AT144" s="671">
        <f t="shared" si="528"/>
        <v>1298573.21</v>
      </c>
      <c r="AU144" s="712">
        <v>1939456.1</v>
      </c>
      <c r="AV144" s="502"/>
      <c r="AW144" s="502"/>
      <c r="AX144" s="502"/>
      <c r="AY144" s="502">
        <f t="shared" si="529"/>
        <v>1939456.1</v>
      </c>
      <c r="AZ144" s="660">
        <f t="shared" si="529"/>
        <v>0</v>
      </c>
      <c r="BA144" s="535">
        <f t="shared" si="211"/>
        <v>1562437.25</v>
      </c>
      <c r="BB144" s="536">
        <f t="shared" si="212"/>
        <v>0</v>
      </c>
      <c r="BC144" s="523">
        <f t="shared" si="213"/>
        <v>1449845.92</v>
      </c>
      <c r="BD144" s="525">
        <f t="shared" si="214"/>
        <v>1562437.25</v>
      </c>
      <c r="BE144" s="525">
        <f t="shared" si="215"/>
        <v>1905722</v>
      </c>
      <c r="BF144" s="525">
        <f t="shared" si="216"/>
        <v>1860237.23</v>
      </c>
      <c r="BG144" s="525">
        <f t="shared" si="217"/>
        <v>3355567.92</v>
      </c>
      <c r="BH144" s="525">
        <f t="shared" si="218"/>
        <v>3422674.48</v>
      </c>
      <c r="BI144" s="526">
        <f t="shared" si="219"/>
        <v>0.41129740628648742</v>
      </c>
      <c r="BJ144" s="537">
        <f t="shared" si="220"/>
        <v>1939456.1</v>
      </c>
      <c r="BK144" s="538">
        <f t="shared" si="221"/>
        <v>0</v>
      </c>
      <c r="BL144" s="538">
        <f t="shared" si="222"/>
        <v>0</v>
      </c>
      <c r="BM144" s="538">
        <f t="shared" si="223"/>
        <v>0</v>
      </c>
      <c r="BN144" s="538">
        <f t="shared" si="224"/>
        <v>1939456.1</v>
      </c>
      <c r="BO144" s="538">
        <f t="shared" si="225"/>
        <v>0</v>
      </c>
      <c r="BP144" s="539">
        <f t="shared" si="226"/>
        <v>0</v>
      </c>
      <c r="BQ144" s="540">
        <f t="shared" si="227"/>
        <v>0.85266095474576042</v>
      </c>
      <c r="BR144" s="669">
        <v>382579.08</v>
      </c>
      <c r="BS144" s="502">
        <f>BV144</f>
        <v>182495.31</v>
      </c>
      <c r="BT144" s="706"/>
      <c r="BU144" s="711">
        <v>690610.46</v>
      </c>
      <c r="BV144" s="531">
        <v>182495.31</v>
      </c>
      <c r="BW144" s="531"/>
      <c r="BX144" s="531"/>
      <c r="BY144" s="499">
        <f t="shared" si="530"/>
        <v>690610.46</v>
      </c>
      <c r="BZ144" s="671">
        <f t="shared" si="530"/>
        <v>182495.31</v>
      </c>
      <c r="CA144" s="712">
        <v>3601847.05</v>
      </c>
      <c r="CB144" s="502">
        <f>neprodano!BW96</f>
        <v>170085.15</v>
      </c>
      <c r="CC144" s="502"/>
      <c r="CD144" s="502">
        <f>neprodano!BZ96</f>
        <v>0</v>
      </c>
      <c r="CE144" s="502">
        <f t="shared" si="531"/>
        <v>3601847.05</v>
      </c>
      <c r="CF144" s="660">
        <f t="shared" si="531"/>
        <v>170085.15</v>
      </c>
      <c r="CG144" s="1138">
        <f t="shared" si="532"/>
        <v>1744932.56</v>
      </c>
      <c r="CH144" s="536">
        <f t="shared" si="532"/>
        <v>0</v>
      </c>
      <c r="CI144" s="523">
        <f t="shared" si="532"/>
        <v>2140456.38</v>
      </c>
      <c r="CJ144" s="525">
        <f t="shared" si="532"/>
        <v>1744932.56</v>
      </c>
      <c r="CK144" s="525">
        <f t="shared" si="532"/>
        <v>1905722</v>
      </c>
      <c r="CL144" s="525">
        <f t="shared" si="532"/>
        <v>1860237.23</v>
      </c>
      <c r="CM144" s="525">
        <f t="shared" si="532"/>
        <v>4046178.38</v>
      </c>
      <c r="CN144" s="525">
        <f t="shared" si="532"/>
        <v>3605169.79</v>
      </c>
      <c r="CO144" s="526">
        <f t="shared" si="338"/>
        <v>0.43322758051165899</v>
      </c>
      <c r="CP144" s="537">
        <f t="shared" si="533"/>
        <v>5541303.1500000004</v>
      </c>
      <c r="CQ144" s="538">
        <f t="shared" si="533"/>
        <v>170085.15</v>
      </c>
      <c r="CR144" s="538">
        <f t="shared" si="533"/>
        <v>0</v>
      </c>
      <c r="CS144" s="538">
        <f t="shared" si="533"/>
        <v>0</v>
      </c>
      <c r="CT144" s="538">
        <f t="shared" si="533"/>
        <v>5541303.1500000004</v>
      </c>
      <c r="CU144" s="538">
        <f t="shared" si="533"/>
        <v>170085.15</v>
      </c>
      <c r="CV144" s="539">
        <f t="shared" si="340"/>
        <v>2.0438864826797132E-2</v>
      </c>
      <c r="CW144" s="540">
        <f t="shared" si="467"/>
        <v>0.95225319453729351</v>
      </c>
      <c r="CX144" s="669"/>
      <c r="CY144" s="502">
        <v>87492.44</v>
      </c>
      <c r="CZ144" s="706">
        <f>neprodano!CF96</f>
        <v>0</v>
      </c>
      <c r="DA144" s="711">
        <v>690610.46</v>
      </c>
      <c r="DB144" s="531">
        <f>87492.44+280489.92+9163.5</f>
        <v>377145.86</v>
      </c>
      <c r="DC144" s="531"/>
      <c r="DD144" s="531"/>
      <c r="DE144" s="499">
        <f t="shared" si="534"/>
        <v>690610.46</v>
      </c>
      <c r="DF144" s="671">
        <f t="shared" si="534"/>
        <v>377145.86</v>
      </c>
      <c r="DG144" s="712"/>
      <c r="DH144" s="502">
        <f>neprodano!CE96</f>
        <v>472.68999999998778</v>
      </c>
      <c r="DI144" s="502"/>
      <c r="DJ144" s="502">
        <f>neprodano!CH96</f>
        <v>0</v>
      </c>
      <c r="DK144" s="502">
        <f t="shared" si="535"/>
        <v>0</v>
      </c>
      <c r="DL144" s="660">
        <f t="shared" si="535"/>
        <v>472.68999999998778</v>
      </c>
      <c r="DM144" s="1138">
        <f t="shared" si="536"/>
        <v>1832425</v>
      </c>
      <c r="DN144" s="536">
        <f t="shared" si="536"/>
        <v>0</v>
      </c>
      <c r="DO144" s="523">
        <f t="shared" si="536"/>
        <v>2831066.84</v>
      </c>
      <c r="DP144" s="525">
        <f t="shared" si="536"/>
        <v>2122078.42</v>
      </c>
      <c r="DQ144" s="525">
        <f t="shared" si="536"/>
        <v>1905722</v>
      </c>
      <c r="DR144" s="525">
        <f t="shared" si="536"/>
        <v>1860237.23</v>
      </c>
      <c r="DS144" s="525">
        <f t="shared" si="536"/>
        <v>4736788.84</v>
      </c>
      <c r="DT144" s="525">
        <f t="shared" si="536"/>
        <v>3982315.65</v>
      </c>
      <c r="DU144" s="526">
        <f t="shared" si="469"/>
        <v>0.4785486050251227</v>
      </c>
      <c r="DV144" s="537">
        <f t="shared" si="537"/>
        <v>5541303.1500000004</v>
      </c>
      <c r="DW144" s="538">
        <f t="shared" si="537"/>
        <v>170557.83999999997</v>
      </c>
      <c r="DX144" s="538">
        <f t="shared" si="537"/>
        <v>0</v>
      </c>
      <c r="DY144" s="538">
        <f t="shared" si="537"/>
        <v>0</v>
      </c>
      <c r="DZ144" s="538">
        <f t="shared" si="537"/>
        <v>5541303.1500000004</v>
      </c>
      <c r="EA144" s="538">
        <f t="shared" si="537"/>
        <v>170557.83999999997</v>
      </c>
      <c r="EB144" s="539">
        <f t="shared" si="313"/>
        <v>2.0495667240264609E-2</v>
      </c>
      <c r="EC144" s="540">
        <f t="shared" si="471"/>
        <v>1</v>
      </c>
      <c r="ED144" s="669">
        <v>0</v>
      </c>
      <c r="EE144" s="502"/>
      <c r="EF144" s="706">
        <f>neprodano!CN96</f>
        <v>0</v>
      </c>
      <c r="EG144" s="711">
        <v>690610.46</v>
      </c>
      <c r="EH144" s="531">
        <f>6088.5+367982.36</f>
        <v>374070.86</v>
      </c>
      <c r="EI144" s="531"/>
      <c r="EJ144" s="531"/>
      <c r="EK144" s="499">
        <f t="shared" si="538"/>
        <v>690610.46</v>
      </c>
      <c r="EL144" s="671">
        <f t="shared" si="538"/>
        <v>374070.86</v>
      </c>
      <c r="EM144" s="712"/>
      <c r="EN144" s="502">
        <f>neprodano!CM96</f>
        <v>0</v>
      </c>
      <c r="EO144" s="502"/>
      <c r="EP144" s="502">
        <f>neprodano!CP96</f>
        <v>0</v>
      </c>
      <c r="EQ144" s="502">
        <f t="shared" si="539"/>
        <v>0</v>
      </c>
      <c r="ER144" s="660">
        <f t="shared" si="539"/>
        <v>0</v>
      </c>
      <c r="ES144" s="1138">
        <f t="shared" si="540"/>
        <v>1832425</v>
      </c>
      <c r="ET144" s="536">
        <f t="shared" si="540"/>
        <v>0</v>
      </c>
      <c r="EU144" s="523">
        <f t="shared" si="541"/>
        <v>3521677.3</v>
      </c>
      <c r="EV144" s="1510">
        <f t="shared" si="542"/>
        <v>2496149.2799999998</v>
      </c>
      <c r="EW144" s="1513">
        <f t="shared" si="542"/>
        <v>1905722</v>
      </c>
      <c r="EX144" s="525">
        <f t="shared" si="542"/>
        <v>1860237.23</v>
      </c>
      <c r="EY144" s="524">
        <f t="shared" si="542"/>
        <v>5427399.2999999998</v>
      </c>
      <c r="EZ144" s="524">
        <f t="shared" si="542"/>
        <v>4356386.51</v>
      </c>
      <c r="FA144" s="526">
        <f t="shared" si="298"/>
        <v>0.52350011162745547</v>
      </c>
      <c r="FB144" s="537">
        <f t="shared" si="543"/>
        <v>5541303.1500000004</v>
      </c>
      <c r="FC144" s="538">
        <f t="shared" si="544"/>
        <v>170557.83999999997</v>
      </c>
      <c r="FD144" s="538">
        <f t="shared" si="544"/>
        <v>0</v>
      </c>
      <c r="FE144" s="538">
        <f t="shared" si="544"/>
        <v>0</v>
      </c>
      <c r="FF144" s="538">
        <f t="shared" si="544"/>
        <v>5541303.1500000004</v>
      </c>
      <c r="FG144" s="538">
        <f t="shared" si="544"/>
        <v>170557.83999999997</v>
      </c>
      <c r="FH144" s="539">
        <f t="shared" si="315"/>
        <v>2.0495667240264609E-2</v>
      </c>
      <c r="FI144" s="883">
        <f t="shared" si="494"/>
        <v>1</v>
      </c>
      <c r="FJ144" s="669"/>
      <c r="FK144" s="502"/>
      <c r="FL144" s="530"/>
      <c r="FM144" s="711">
        <v>690610.46</v>
      </c>
      <c r="FN144" s="531">
        <f>613303.93+10147.5</f>
        <v>623451.43000000005</v>
      </c>
      <c r="FO144" s="531"/>
      <c r="FP144" s="531"/>
      <c r="FQ144" s="499">
        <f t="shared" si="545"/>
        <v>690610.46</v>
      </c>
      <c r="FR144" s="671">
        <f t="shared" si="546"/>
        <v>623451.43000000005</v>
      </c>
      <c r="FS144" s="712">
        <v>615700.35</v>
      </c>
      <c r="FT144" s="502">
        <f>neprodano!CU96</f>
        <v>46958.53</v>
      </c>
      <c r="FU144" s="502"/>
      <c r="FV144" s="502"/>
      <c r="FW144" s="502">
        <f t="shared" si="547"/>
        <v>615700.35</v>
      </c>
      <c r="FX144" s="660">
        <f t="shared" si="548"/>
        <v>46958.53</v>
      </c>
      <c r="FY144" s="1138">
        <f t="shared" si="549"/>
        <v>1832425</v>
      </c>
      <c r="FZ144" s="536">
        <f t="shared" si="550"/>
        <v>0</v>
      </c>
      <c r="GA144" s="1510">
        <f t="shared" si="551"/>
        <v>4212287.76</v>
      </c>
      <c r="GB144" s="525">
        <f t="shared" si="552"/>
        <v>3119600.71</v>
      </c>
      <c r="GC144" s="525">
        <f t="shared" si="553"/>
        <v>1905722</v>
      </c>
      <c r="GD144" s="525">
        <f t="shared" si="554"/>
        <v>1860237.23</v>
      </c>
      <c r="GE144" s="525">
        <f t="shared" si="555"/>
        <v>6118009.7599999998</v>
      </c>
      <c r="GF144" s="524">
        <f t="shared" si="556"/>
        <v>4979837.9399999995</v>
      </c>
      <c r="GG144" s="526">
        <f t="shared" si="347"/>
        <v>0.59841928889744855</v>
      </c>
      <c r="GH144" s="537">
        <f t="shared" si="557"/>
        <v>6157003.5</v>
      </c>
      <c r="GI144" s="538">
        <f t="shared" si="558"/>
        <v>217516.36999999997</v>
      </c>
      <c r="GJ144" s="538">
        <f t="shared" si="559"/>
        <v>0</v>
      </c>
      <c r="GK144" s="538">
        <f t="shared" si="560"/>
        <v>0</v>
      </c>
      <c r="GL144" s="538">
        <f t="shared" si="561"/>
        <v>6157003.5</v>
      </c>
      <c r="GM144" s="538">
        <f t="shared" si="562"/>
        <v>217516.36999999997</v>
      </c>
      <c r="GN144" s="539">
        <f t="shared" si="302"/>
        <v>2.6138599895673374E-2</v>
      </c>
      <c r="GO144" s="540">
        <f t="shared" si="476"/>
        <v>1</v>
      </c>
      <c r="GP144" s="669">
        <v>0</v>
      </c>
      <c r="GQ144" s="502"/>
      <c r="GR144" s="530"/>
      <c r="GS144" s="711">
        <v>690610.46</v>
      </c>
      <c r="GT144" s="531">
        <f>14206.5+1042616.67</f>
        <v>1056823.17</v>
      </c>
      <c r="GU144" s="531"/>
      <c r="GV144" s="531"/>
      <c r="GW144" s="499">
        <f t="shared" si="563"/>
        <v>690610.46</v>
      </c>
      <c r="GX144" s="671">
        <f t="shared" si="564"/>
        <v>1056823.17</v>
      </c>
      <c r="GY144" s="712"/>
      <c r="GZ144" s="502">
        <f>neprodano!DC96</f>
        <v>0</v>
      </c>
      <c r="HA144" s="502"/>
      <c r="HB144" s="502">
        <f>neprodano!DF96</f>
        <v>0</v>
      </c>
      <c r="HC144" s="502">
        <f t="shared" si="565"/>
        <v>0</v>
      </c>
      <c r="HD144" s="660">
        <f t="shared" si="566"/>
        <v>0</v>
      </c>
      <c r="HE144" s="1674">
        <f t="shared" si="567"/>
        <v>1832425</v>
      </c>
      <c r="HF144" s="536">
        <f t="shared" si="568"/>
        <v>0</v>
      </c>
      <c r="HG144" s="1510">
        <f t="shared" si="513"/>
        <v>4902898.22</v>
      </c>
      <c r="HH144" s="525">
        <f t="shared" si="514"/>
        <v>4176423.88</v>
      </c>
      <c r="HI144" s="525">
        <f t="shared" si="515"/>
        <v>1905722</v>
      </c>
      <c r="HJ144" s="525">
        <f t="shared" si="516"/>
        <v>1860237.23</v>
      </c>
      <c r="HK144" s="525">
        <f t="shared" si="517"/>
        <v>6808620.2199999997</v>
      </c>
      <c r="HL144" s="524">
        <f t="shared" si="518"/>
        <v>6036661.1099999994</v>
      </c>
      <c r="HM144" s="626">
        <f t="shared" si="519"/>
        <v>0.72541606620256449</v>
      </c>
      <c r="HN144" s="537">
        <f t="shared" si="520"/>
        <v>6157003.5</v>
      </c>
      <c r="HO144" s="538">
        <f t="shared" si="521"/>
        <v>217516.36999999997</v>
      </c>
      <c r="HP144" s="538">
        <f t="shared" si="522"/>
        <v>0</v>
      </c>
      <c r="HQ144" s="538">
        <f t="shared" si="523"/>
        <v>0</v>
      </c>
      <c r="HR144" s="538">
        <f t="shared" si="524"/>
        <v>6157003.5</v>
      </c>
      <c r="HS144" s="538">
        <f t="shared" si="525"/>
        <v>217516.36999999997</v>
      </c>
      <c r="HT144" s="1256">
        <f t="shared" si="569"/>
        <v>2.6138599895673374E-2</v>
      </c>
      <c r="HU144" s="1157">
        <f t="shared" si="570"/>
        <v>1</v>
      </c>
    </row>
    <row r="145" spans="1:229" ht="15" customHeight="1" x14ac:dyDescent="0.2">
      <c r="A145" s="3671"/>
      <c r="B145" s="3678"/>
      <c r="C145" s="475">
        <v>6</v>
      </c>
      <c r="D145" s="655" t="s">
        <v>319</v>
      </c>
      <c r="E145" s="707">
        <v>18</v>
      </c>
      <c r="F145" s="485">
        <v>1233.4000000000001</v>
      </c>
      <c r="G145" s="708">
        <f t="shared" si="456"/>
        <v>68.522222222222226</v>
      </c>
      <c r="H145" s="702">
        <v>0</v>
      </c>
      <c r="I145" s="485">
        <v>0</v>
      </c>
      <c r="J145" s="485">
        <v>0</v>
      </c>
      <c r="K145" s="702">
        <v>0</v>
      </c>
      <c r="L145" s="485">
        <v>0</v>
      </c>
      <c r="M145" s="485">
        <v>0</v>
      </c>
      <c r="N145" s="703">
        <f t="shared" si="526"/>
        <v>1233.4000000000001</v>
      </c>
      <c r="O145" s="484">
        <f>1459558.98*0.35</f>
        <v>510845.64299999998</v>
      </c>
      <c r="P145" s="704">
        <f>3089.04+58090.3+6021697.23+256200+52643</f>
        <v>6391719.5700000003</v>
      </c>
      <c r="Q145" s="485">
        <f>1459558.98*0.65</f>
        <v>948713.33700000006</v>
      </c>
      <c r="R145" s="485">
        <f t="shared" si="501"/>
        <v>7851278.5500000007</v>
      </c>
      <c r="S145" s="713">
        <f t="shared" si="502"/>
        <v>7851278.5500000007</v>
      </c>
      <c r="T145" s="714">
        <v>1808090.3960000002</v>
      </c>
      <c r="U145" s="547">
        <v>247882.03999999998</v>
      </c>
      <c r="V145" s="547">
        <v>0</v>
      </c>
      <c r="W145" s="548">
        <v>1484454</v>
      </c>
      <c r="X145" s="549">
        <v>247882.03999999998</v>
      </c>
      <c r="Y145" s="549">
        <v>1880414.01</v>
      </c>
      <c r="Z145" s="549">
        <v>1459558.98</v>
      </c>
      <c r="AA145" s="525">
        <f t="shared" si="527"/>
        <v>3364868.01</v>
      </c>
      <c r="AB145" s="524">
        <f t="shared" si="527"/>
        <v>1707441.02</v>
      </c>
      <c r="AC145" s="626">
        <f t="shared" si="333"/>
        <v>0.21747298979731139</v>
      </c>
      <c r="AD145" s="547">
        <v>0</v>
      </c>
      <c r="AE145" s="547">
        <v>0</v>
      </c>
      <c r="AF145" s="547">
        <v>0</v>
      </c>
      <c r="AG145" s="547">
        <v>0</v>
      </c>
      <c r="AH145" s="363">
        <f t="shared" si="571"/>
        <v>0</v>
      </c>
      <c r="AI145" s="547">
        <f t="shared" si="571"/>
        <v>0</v>
      </c>
      <c r="AJ145" s="550">
        <f t="shared" si="460"/>
        <v>0</v>
      </c>
      <c r="AK145" s="551">
        <f t="shared" si="461"/>
        <v>0.13709604373121173</v>
      </c>
      <c r="AL145" s="1617">
        <v>678425.04</v>
      </c>
      <c r="AM145" s="502"/>
      <c r="AN145" s="706">
        <v>0</v>
      </c>
      <c r="AO145" s="711">
        <v>678425.04</v>
      </c>
      <c r="AP145" s="531"/>
      <c r="AQ145" s="531"/>
      <c r="AR145" s="531"/>
      <c r="AS145" s="499">
        <f t="shared" si="528"/>
        <v>678425.04</v>
      </c>
      <c r="AT145" s="671">
        <f t="shared" si="528"/>
        <v>0</v>
      </c>
      <c r="AU145" s="712">
        <v>1913700.13</v>
      </c>
      <c r="AV145" s="502"/>
      <c r="AW145" s="502"/>
      <c r="AX145" s="502"/>
      <c r="AY145" s="502">
        <f t="shared" si="529"/>
        <v>1913700.13</v>
      </c>
      <c r="AZ145" s="660">
        <f t="shared" si="529"/>
        <v>0</v>
      </c>
      <c r="BA145" s="535">
        <f t="shared" si="211"/>
        <v>247882.03999999998</v>
      </c>
      <c r="BB145" s="536">
        <f t="shared" si="212"/>
        <v>0</v>
      </c>
      <c r="BC145" s="523">
        <f t="shared" si="213"/>
        <v>2162879.04</v>
      </c>
      <c r="BD145" s="525">
        <f t="shared" si="214"/>
        <v>247882.03999999998</v>
      </c>
      <c r="BE145" s="525">
        <f t="shared" si="215"/>
        <v>1880414.01</v>
      </c>
      <c r="BF145" s="525">
        <f t="shared" si="216"/>
        <v>1459558.98</v>
      </c>
      <c r="BG145" s="525">
        <f t="shared" si="217"/>
        <v>4043293.05</v>
      </c>
      <c r="BH145" s="525">
        <f t="shared" si="218"/>
        <v>1707441.02</v>
      </c>
      <c r="BI145" s="526">
        <f t="shared" si="219"/>
        <v>0.21747298979731139</v>
      </c>
      <c r="BJ145" s="537">
        <f t="shared" si="220"/>
        <v>1913700.13</v>
      </c>
      <c r="BK145" s="538">
        <f t="shared" si="221"/>
        <v>0</v>
      </c>
      <c r="BL145" s="538">
        <f t="shared" si="222"/>
        <v>0</v>
      </c>
      <c r="BM145" s="538">
        <f t="shared" si="223"/>
        <v>0</v>
      </c>
      <c r="BN145" s="538">
        <f t="shared" si="224"/>
        <v>1913700.13</v>
      </c>
      <c r="BO145" s="538">
        <f t="shared" si="225"/>
        <v>0</v>
      </c>
      <c r="BP145" s="539">
        <f t="shared" si="226"/>
        <v>0</v>
      </c>
      <c r="BQ145" s="540">
        <f t="shared" si="227"/>
        <v>0.13709604373121173</v>
      </c>
      <c r="BR145" s="669">
        <v>347357.32</v>
      </c>
      <c r="BS145" s="502">
        <f>BV145</f>
        <v>516399.68</v>
      </c>
      <c r="BT145" s="706"/>
      <c r="BU145" s="711">
        <v>678425.04</v>
      </c>
      <c r="BV145" s="531">
        <f>511844.26+4555.42</f>
        <v>516399.68</v>
      </c>
      <c r="BW145" s="531"/>
      <c r="BX145" s="531"/>
      <c r="BY145" s="499">
        <f t="shared" si="530"/>
        <v>678425.04</v>
      </c>
      <c r="BZ145" s="671">
        <f t="shared" si="530"/>
        <v>516399.68</v>
      </c>
      <c r="CA145" s="712">
        <v>3554014.52</v>
      </c>
      <c r="CB145" s="502"/>
      <c r="CC145" s="502"/>
      <c r="CD145" s="502"/>
      <c r="CE145" s="502">
        <f t="shared" si="531"/>
        <v>3554014.52</v>
      </c>
      <c r="CF145" s="660">
        <f t="shared" si="531"/>
        <v>0</v>
      </c>
      <c r="CG145" s="1138">
        <f t="shared" si="532"/>
        <v>764281.72</v>
      </c>
      <c r="CH145" s="536">
        <f t="shared" si="532"/>
        <v>0</v>
      </c>
      <c r="CI145" s="523">
        <f t="shared" si="532"/>
        <v>2841304.08</v>
      </c>
      <c r="CJ145" s="525">
        <f t="shared" si="532"/>
        <v>764281.72</v>
      </c>
      <c r="CK145" s="525">
        <f t="shared" si="532"/>
        <v>1880414.01</v>
      </c>
      <c r="CL145" s="525">
        <f t="shared" si="532"/>
        <v>1459558.98</v>
      </c>
      <c r="CM145" s="525">
        <f t="shared" si="532"/>
        <v>4721718.09</v>
      </c>
      <c r="CN145" s="525">
        <f t="shared" si="532"/>
        <v>2223840.7000000002</v>
      </c>
      <c r="CO145" s="526">
        <f t="shared" si="338"/>
        <v>0.28324567595426864</v>
      </c>
      <c r="CP145" s="537">
        <f t="shared" si="533"/>
        <v>5467714.6500000004</v>
      </c>
      <c r="CQ145" s="538">
        <f t="shared" si="533"/>
        <v>0</v>
      </c>
      <c r="CR145" s="538">
        <f t="shared" si="533"/>
        <v>0</v>
      </c>
      <c r="CS145" s="538">
        <f t="shared" si="533"/>
        <v>0</v>
      </c>
      <c r="CT145" s="538">
        <f t="shared" si="533"/>
        <v>5467714.6500000004</v>
      </c>
      <c r="CU145" s="538">
        <f t="shared" si="533"/>
        <v>0</v>
      </c>
      <c r="CV145" s="539">
        <f t="shared" si="340"/>
        <v>0</v>
      </c>
      <c r="CW145" s="540">
        <f t="shared" si="467"/>
        <v>0.42270105614785858</v>
      </c>
      <c r="CX145" s="669"/>
      <c r="CY145" s="502">
        <f>DB145</f>
        <v>545132.81000000006</v>
      </c>
      <c r="CZ145" s="706"/>
      <c r="DA145" s="711">
        <v>678425.04</v>
      </c>
      <c r="DB145" s="531">
        <f>540323.93+4808.88</f>
        <v>545132.81000000006</v>
      </c>
      <c r="DC145" s="531"/>
      <c r="DD145" s="531"/>
      <c r="DE145" s="499">
        <f t="shared" si="534"/>
        <v>678425.04</v>
      </c>
      <c r="DF145" s="671">
        <f t="shared" si="534"/>
        <v>545132.81000000006</v>
      </c>
      <c r="DG145" s="712"/>
      <c r="DH145" s="502"/>
      <c r="DI145" s="502"/>
      <c r="DJ145" s="502"/>
      <c r="DK145" s="502">
        <f t="shared" si="535"/>
        <v>0</v>
      </c>
      <c r="DL145" s="660">
        <f t="shared" si="535"/>
        <v>0</v>
      </c>
      <c r="DM145" s="1138">
        <f t="shared" si="536"/>
        <v>1309414.53</v>
      </c>
      <c r="DN145" s="536">
        <f t="shared" si="536"/>
        <v>0</v>
      </c>
      <c r="DO145" s="523">
        <f t="shared" si="536"/>
        <v>3519729.12</v>
      </c>
      <c r="DP145" s="525">
        <f t="shared" si="536"/>
        <v>1309414.53</v>
      </c>
      <c r="DQ145" s="525">
        <f t="shared" si="536"/>
        <v>1880414.01</v>
      </c>
      <c r="DR145" s="525">
        <f t="shared" si="536"/>
        <v>1459558.98</v>
      </c>
      <c r="DS145" s="525">
        <f t="shared" si="536"/>
        <v>5400143.1299999999</v>
      </c>
      <c r="DT145" s="525">
        <f t="shared" si="536"/>
        <v>2768973.5100000002</v>
      </c>
      <c r="DU145" s="526">
        <f t="shared" si="469"/>
        <v>0.35267803738793602</v>
      </c>
      <c r="DV145" s="537">
        <f t="shared" si="537"/>
        <v>5467714.6500000004</v>
      </c>
      <c r="DW145" s="538">
        <f t="shared" si="537"/>
        <v>0</v>
      </c>
      <c r="DX145" s="538">
        <f t="shared" si="537"/>
        <v>0</v>
      </c>
      <c r="DY145" s="538">
        <f t="shared" si="537"/>
        <v>0</v>
      </c>
      <c r="DZ145" s="538">
        <f t="shared" si="537"/>
        <v>5467714.6500000004</v>
      </c>
      <c r="EA145" s="538">
        <f t="shared" si="537"/>
        <v>0</v>
      </c>
      <c r="EB145" s="539">
        <f t="shared" si="313"/>
        <v>0</v>
      </c>
      <c r="EC145" s="540">
        <f t="shared" si="471"/>
        <v>0.7241974919488483</v>
      </c>
      <c r="ED145" s="669">
        <v>0</v>
      </c>
      <c r="EE145" s="502">
        <f>447435.87</f>
        <v>447435.87</v>
      </c>
      <c r="EF145" s="706">
        <f>neprodano!CN98</f>
        <v>0</v>
      </c>
      <c r="EG145" s="711">
        <v>678425.04</v>
      </c>
      <c r="EH145" s="531">
        <f>447435.87+262877.6</f>
        <v>710313.47</v>
      </c>
      <c r="EI145" s="531"/>
      <c r="EJ145" s="531"/>
      <c r="EK145" s="499">
        <f t="shared" si="538"/>
        <v>678425.04</v>
      </c>
      <c r="EL145" s="671">
        <f t="shared" si="538"/>
        <v>710313.47</v>
      </c>
      <c r="EM145" s="712"/>
      <c r="EN145" s="502">
        <f>neprodano!CM98</f>
        <v>275632.90999999997</v>
      </c>
      <c r="EO145" s="502"/>
      <c r="EP145" s="502">
        <f>neprodano!CP98</f>
        <v>0</v>
      </c>
      <c r="EQ145" s="502">
        <f t="shared" si="539"/>
        <v>0</v>
      </c>
      <c r="ER145" s="660">
        <f t="shared" si="539"/>
        <v>275632.90999999997</v>
      </c>
      <c r="ES145" s="1138">
        <f t="shared" si="540"/>
        <v>1756850.4</v>
      </c>
      <c r="ET145" s="536">
        <f t="shared" si="540"/>
        <v>0</v>
      </c>
      <c r="EU145" s="523">
        <f t="shared" si="541"/>
        <v>4198154.16</v>
      </c>
      <c r="EV145" s="1510">
        <f t="shared" si="542"/>
        <v>2019728</v>
      </c>
      <c r="EW145" s="1513">
        <f t="shared" si="542"/>
        <v>1880414.01</v>
      </c>
      <c r="EX145" s="525">
        <f t="shared" si="542"/>
        <v>1459558.98</v>
      </c>
      <c r="EY145" s="524">
        <f t="shared" si="542"/>
        <v>6078568.1699999999</v>
      </c>
      <c r="EZ145" s="524">
        <f t="shared" si="542"/>
        <v>3479286.9800000004</v>
      </c>
      <c r="FA145" s="526">
        <f t="shared" si="298"/>
        <v>0.44314909448729217</v>
      </c>
      <c r="FB145" s="537">
        <f t="shared" si="543"/>
        <v>5467714.6500000004</v>
      </c>
      <c r="FC145" s="538">
        <f t="shared" si="544"/>
        <v>275632.90999999997</v>
      </c>
      <c r="FD145" s="538">
        <f t="shared" si="544"/>
        <v>0</v>
      </c>
      <c r="FE145" s="538">
        <f t="shared" si="544"/>
        <v>0</v>
      </c>
      <c r="FF145" s="538">
        <f t="shared" si="544"/>
        <v>5467714.6500000004</v>
      </c>
      <c r="FG145" s="538">
        <f t="shared" si="544"/>
        <v>275632.90999999997</v>
      </c>
      <c r="FH145" s="539">
        <f t="shared" si="315"/>
        <v>3.5106754682649739E-2</v>
      </c>
      <c r="FI145" s="883">
        <f t="shared" si="494"/>
        <v>0.97166071114953245</v>
      </c>
      <c r="FJ145" s="669"/>
      <c r="FK145" s="502"/>
      <c r="FL145" s="530"/>
      <c r="FM145" s="711">
        <v>678425.04</v>
      </c>
      <c r="FN145" s="531">
        <f>6321.8+783166.15</f>
        <v>789487.95000000007</v>
      </c>
      <c r="FO145" s="531"/>
      <c r="FP145" s="531"/>
      <c r="FQ145" s="499">
        <f t="shared" si="545"/>
        <v>678425.04</v>
      </c>
      <c r="FR145" s="671">
        <f t="shared" si="546"/>
        <v>789487.95000000007</v>
      </c>
      <c r="FS145" s="712">
        <v>607523.85</v>
      </c>
      <c r="FT145" s="502">
        <f>neprodano!CU98</f>
        <v>163464</v>
      </c>
      <c r="FU145" s="502"/>
      <c r="FV145" s="502"/>
      <c r="FW145" s="502">
        <f t="shared" si="547"/>
        <v>607523.85</v>
      </c>
      <c r="FX145" s="660">
        <f t="shared" si="548"/>
        <v>163464</v>
      </c>
      <c r="FY145" s="1138">
        <f t="shared" si="549"/>
        <v>1756850.4</v>
      </c>
      <c r="FZ145" s="536">
        <f t="shared" si="550"/>
        <v>0</v>
      </c>
      <c r="GA145" s="1510">
        <f t="shared" si="551"/>
        <v>4876579.2</v>
      </c>
      <c r="GB145" s="525">
        <f t="shared" si="552"/>
        <v>2809215.95</v>
      </c>
      <c r="GC145" s="525">
        <f t="shared" si="553"/>
        <v>1880414.01</v>
      </c>
      <c r="GD145" s="525">
        <f t="shared" si="554"/>
        <v>1459558.98</v>
      </c>
      <c r="GE145" s="525">
        <f t="shared" si="555"/>
        <v>6756993.21</v>
      </c>
      <c r="GF145" s="524">
        <f t="shared" si="556"/>
        <v>4268774.9300000006</v>
      </c>
      <c r="GG145" s="526">
        <f t="shared" si="347"/>
        <v>0.54370443015297176</v>
      </c>
      <c r="GH145" s="537">
        <f t="shared" si="557"/>
        <v>6075238.5</v>
      </c>
      <c r="GI145" s="538">
        <f t="shared" si="558"/>
        <v>439096.91</v>
      </c>
      <c r="GJ145" s="538">
        <f t="shared" si="559"/>
        <v>0</v>
      </c>
      <c r="GK145" s="538">
        <f t="shared" si="560"/>
        <v>0</v>
      </c>
      <c r="GL145" s="538">
        <f t="shared" si="561"/>
        <v>6075238.5</v>
      </c>
      <c r="GM145" s="538">
        <f t="shared" si="562"/>
        <v>439096.91</v>
      </c>
      <c r="GN145" s="539">
        <f t="shared" si="302"/>
        <v>5.5926803157429684E-2</v>
      </c>
      <c r="GO145" s="540">
        <f t="shared" si="476"/>
        <v>0.97166071114953245</v>
      </c>
      <c r="GP145" s="669">
        <v>0</v>
      </c>
      <c r="GQ145" s="502"/>
      <c r="GR145" s="530"/>
      <c r="GS145" s="711">
        <v>678425.04</v>
      </c>
      <c r="GT145" s="531">
        <f>6970.18+10806.47+1214211.08</f>
        <v>1231987.73</v>
      </c>
      <c r="GU145" s="531"/>
      <c r="GV145" s="531"/>
      <c r="GW145" s="499">
        <f t="shared" si="563"/>
        <v>678425.04</v>
      </c>
      <c r="GX145" s="671">
        <f t="shared" si="564"/>
        <v>1231987.73</v>
      </c>
      <c r="GY145" s="712"/>
      <c r="GZ145" s="502">
        <f>neprodano!DC98</f>
        <v>67315.78</v>
      </c>
      <c r="HA145" s="502"/>
      <c r="HB145" s="502">
        <f>neprodano!DF98</f>
        <v>0</v>
      </c>
      <c r="HC145" s="502">
        <f t="shared" si="565"/>
        <v>0</v>
      </c>
      <c r="HD145" s="660">
        <f t="shared" si="566"/>
        <v>67315.78</v>
      </c>
      <c r="HE145" s="1674">
        <f t="shared" si="567"/>
        <v>1756850.4</v>
      </c>
      <c r="HF145" s="536">
        <f t="shared" si="568"/>
        <v>0</v>
      </c>
      <c r="HG145" s="1510">
        <f t="shared" si="513"/>
        <v>5555004.2400000002</v>
      </c>
      <c r="HH145" s="525">
        <f t="shared" si="514"/>
        <v>4041203.68</v>
      </c>
      <c r="HI145" s="525">
        <f t="shared" si="515"/>
        <v>1880414.01</v>
      </c>
      <c r="HJ145" s="525">
        <f t="shared" si="516"/>
        <v>1459558.98</v>
      </c>
      <c r="HK145" s="525">
        <f t="shared" si="517"/>
        <v>7435418.25</v>
      </c>
      <c r="HL145" s="524">
        <f t="shared" si="518"/>
        <v>5500762.6600000001</v>
      </c>
      <c r="HM145" s="626">
        <f t="shared" si="519"/>
        <v>0.70061998500868361</v>
      </c>
      <c r="HN145" s="537">
        <f t="shared" si="520"/>
        <v>6075238.5</v>
      </c>
      <c r="HO145" s="538">
        <f t="shared" si="521"/>
        <v>506412.68999999994</v>
      </c>
      <c r="HP145" s="538">
        <f t="shared" si="522"/>
        <v>0</v>
      </c>
      <c r="HQ145" s="538">
        <f t="shared" si="523"/>
        <v>0</v>
      </c>
      <c r="HR145" s="538">
        <f t="shared" si="524"/>
        <v>6075238.5</v>
      </c>
      <c r="HS145" s="538">
        <f t="shared" si="525"/>
        <v>506412.68999999994</v>
      </c>
      <c r="HT145" s="1256">
        <f t="shared" si="569"/>
        <v>6.4500665308836858E-2</v>
      </c>
      <c r="HU145" s="1157">
        <f t="shared" si="570"/>
        <v>0.97166071114953245</v>
      </c>
    </row>
    <row r="146" spans="1:229" ht="15" customHeight="1" thickBot="1" x14ac:dyDescent="0.25">
      <c r="A146" s="3671"/>
      <c r="B146" s="3678"/>
      <c r="C146" s="716">
        <v>7</v>
      </c>
      <c r="D146" s="717" t="s">
        <v>316</v>
      </c>
      <c r="E146" s="718">
        <v>72</v>
      </c>
      <c r="F146" s="630">
        <v>5586</v>
      </c>
      <c r="G146" s="631">
        <f t="shared" si="456"/>
        <v>77.583333333333329</v>
      </c>
      <c r="H146" s="632">
        <v>26</v>
      </c>
      <c r="I146" s="630">
        <v>240.12</v>
      </c>
      <c r="J146" s="630">
        <f>I146/H146</f>
        <v>9.235384615384616</v>
      </c>
      <c r="K146" s="632">
        <v>0</v>
      </c>
      <c r="L146" s="630">
        <v>0</v>
      </c>
      <c r="M146" s="630">
        <v>0</v>
      </c>
      <c r="N146" s="633">
        <f t="shared" si="526"/>
        <v>5826.12</v>
      </c>
      <c r="O146" s="634">
        <v>0</v>
      </c>
      <c r="P146" s="635">
        <v>30116637.66</v>
      </c>
      <c r="Q146" s="630">
        <v>8680644</v>
      </c>
      <c r="R146" s="630">
        <f t="shared" si="501"/>
        <v>38797281.659999996</v>
      </c>
      <c r="S146" s="719">
        <f t="shared" si="502"/>
        <v>38797281.659999996</v>
      </c>
      <c r="T146" s="636">
        <v>7544825.4000000004</v>
      </c>
      <c r="U146" s="595">
        <v>0</v>
      </c>
      <c r="V146" s="595">
        <v>0</v>
      </c>
      <c r="W146" s="596">
        <v>4452956.08</v>
      </c>
      <c r="X146" s="597">
        <v>29055.14</v>
      </c>
      <c r="Y146" s="597">
        <v>0</v>
      </c>
      <c r="Z146" s="597">
        <v>0</v>
      </c>
      <c r="AA146" s="598">
        <f t="shared" si="527"/>
        <v>4452956.08</v>
      </c>
      <c r="AB146" s="599">
        <f t="shared" si="527"/>
        <v>29055.14</v>
      </c>
      <c r="AC146" s="720">
        <f t="shared" si="333"/>
        <v>7.4889628233814774E-4</v>
      </c>
      <c r="AD146" s="595">
        <v>1386333.4700000002</v>
      </c>
      <c r="AE146" s="595">
        <v>1507927.54</v>
      </c>
      <c r="AF146" s="595">
        <v>0</v>
      </c>
      <c r="AG146" s="595">
        <v>0</v>
      </c>
      <c r="AH146" s="638">
        <f t="shared" si="571"/>
        <v>1386333.4700000002</v>
      </c>
      <c r="AI146" s="637">
        <f t="shared" si="571"/>
        <v>1507927.54</v>
      </c>
      <c r="AJ146" s="550">
        <f t="shared" si="460"/>
        <v>3.886683487814234E-2</v>
      </c>
      <c r="AK146" s="551">
        <f t="shared" si="461"/>
        <v>0</v>
      </c>
      <c r="AL146" s="639"/>
      <c r="AM146" s="607"/>
      <c r="AN146" s="721">
        <f>neprodano!BP78</f>
        <v>0</v>
      </c>
      <c r="AO146" s="641">
        <v>1423220.16</v>
      </c>
      <c r="AP146" s="604">
        <f>549+1464+35256</f>
        <v>37269</v>
      </c>
      <c r="AQ146" s="604"/>
      <c r="AR146" s="604"/>
      <c r="AS146" s="604">
        <f t="shared" si="528"/>
        <v>1423220.16</v>
      </c>
      <c r="AT146" s="605">
        <f t="shared" si="528"/>
        <v>37269</v>
      </c>
      <c r="AU146" s="642">
        <v>238889.63</v>
      </c>
      <c r="AV146" s="607">
        <f>neprodano!BO78</f>
        <v>0</v>
      </c>
      <c r="AW146" s="722"/>
      <c r="AX146" s="607"/>
      <c r="AY146" s="607">
        <f t="shared" si="529"/>
        <v>238889.63</v>
      </c>
      <c r="AZ146" s="608">
        <f t="shared" si="529"/>
        <v>0</v>
      </c>
      <c r="BA146" s="609">
        <f t="shared" ref="BA146:BF146" si="572">U146+AM146</f>
        <v>0</v>
      </c>
      <c r="BB146" s="610">
        <f t="shared" si="572"/>
        <v>0</v>
      </c>
      <c r="BC146" s="611">
        <f t="shared" si="572"/>
        <v>5876176.2400000002</v>
      </c>
      <c r="BD146" s="598">
        <f t="shared" si="572"/>
        <v>66324.14</v>
      </c>
      <c r="BE146" s="598">
        <f t="shared" si="572"/>
        <v>0</v>
      </c>
      <c r="BF146" s="598">
        <f t="shared" si="572"/>
        <v>0</v>
      </c>
      <c r="BG146" s="598">
        <f>AA146+AS146</f>
        <v>5876176.2400000002</v>
      </c>
      <c r="BH146" s="598">
        <f>AB146+AT146</f>
        <v>66324.14</v>
      </c>
      <c r="BI146" s="600">
        <f t="shared" ref="BI146:BI161" si="573">BH146/R146</f>
        <v>1.7095048199827927E-3</v>
      </c>
      <c r="BJ146" s="612">
        <f t="shared" ref="BJ146:BO146" si="574">AD146+AU146</f>
        <v>1625223.1</v>
      </c>
      <c r="BK146" s="613">
        <f t="shared" si="574"/>
        <v>1507927.54</v>
      </c>
      <c r="BL146" s="613">
        <f t="shared" si="574"/>
        <v>0</v>
      </c>
      <c r="BM146" s="613">
        <f t="shared" si="574"/>
        <v>0</v>
      </c>
      <c r="BN146" s="613">
        <f t="shared" si="574"/>
        <v>1625223.1</v>
      </c>
      <c r="BO146" s="613">
        <f t="shared" si="574"/>
        <v>1507927.54</v>
      </c>
      <c r="BP146" s="614">
        <f t="shared" ref="BP146:BP161" si="575">BO146/S146</f>
        <v>3.886683487814234E-2</v>
      </c>
      <c r="BQ146" s="615">
        <f t="shared" ref="BQ146:BQ160" si="576">BA146/T146</f>
        <v>0</v>
      </c>
      <c r="BR146" s="639"/>
      <c r="BS146" s="607"/>
      <c r="BT146" s="721"/>
      <c r="BU146" s="641">
        <v>1423220.16</v>
      </c>
      <c r="BV146" s="604">
        <f>1464+549+36547.2</f>
        <v>38560.199999999997</v>
      </c>
      <c r="BW146" s="604"/>
      <c r="BX146" s="604"/>
      <c r="BY146" s="604">
        <f t="shared" si="530"/>
        <v>1423220.16</v>
      </c>
      <c r="BZ146" s="605">
        <f t="shared" si="530"/>
        <v>38560.199999999997</v>
      </c>
      <c r="CA146" s="642">
        <v>238889.63</v>
      </c>
      <c r="CB146" s="607">
        <f>neprodano!BW78</f>
        <v>-252949.42000000004</v>
      </c>
      <c r="CC146" s="722"/>
      <c r="CD146" s="607">
        <f>neprodano!BZ78</f>
        <v>0</v>
      </c>
      <c r="CE146" s="607">
        <f t="shared" si="531"/>
        <v>238889.63</v>
      </c>
      <c r="CF146" s="608">
        <f t="shared" si="531"/>
        <v>-252949.42000000004</v>
      </c>
      <c r="CG146" s="1141">
        <f t="shared" si="532"/>
        <v>0</v>
      </c>
      <c r="CH146" s="610">
        <f t="shared" si="532"/>
        <v>0</v>
      </c>
      <c r="CI146" s="611">
        <f t="shared" si="532"/>
        <v>7299396.4000000004</v>
      </c>
      <c r="CJ146" s="598">
        <f t="shared" si="532"/>
        <v>104884.34</v>
      </c>
      <c r="CK146" s="598">
        <f t="shared" si="532"/>
        <v>0</v>
      </c>
      <c r="CL146" s="598">
        <f t="shared" si="532"/>
        <v>0</v>
      </c>
      <c r="CM146" s="598">
        <f t="shared" si="532"/>
        <v>7299396.4000000004</v>
      </c>
      <c r="CN146" s="598">
        <f t="shared" si="532"/>
        <v>104884.34</v>
      </c>
      <c r="CO146" s="600">
        <f t="shared" si="338"/>
        <v>2.7033940397977875E-3</v>
      </c>
      <c r="CP146" s="612">
        <f t="shared" si="533"/>
        <v>1864112.73</v>
      </c>
      <c r="CQ146" s="613">
        <f t="shared" si="533"/>
        <v>1254978.1200000001</v>
      </c>
      <c r="CR146" s="613">
        <f t="shared" si="533"/>
        <v>0</v>
      </c>
      <c r="CS146" s="613">
        <f t="shared" si="533"/>
        <v>0</v>
      </c>
      <c r="CT146" s="613">
        <f t="shared" si="533"/>
        <v>1864112.73</v>
      </c>
      <c r="CU146" s="613">
        <f t="shared" si="533"/>
        <v>1254978.1200000001</v>
      </c>
      <c r="CV146" s="614">
        <f t="shared" si="340"/>
        <v>3.2347063152465209E-2</v>
      </c>
      <c r="CW146" s="615">
        <f t="shared" si="467"/>
        <v>0</v>
      </c>
      <c r="CX146" s="639"/>
      <c r="CY146" s="607"/>
      <c r="CZ146" s="721">
        <f>neprodano!CF78</f>
        <v>0</v>
      </c>
      <c r="DA146" s="641">
        <v>1423220.16</v>
      </c>
      <c r="DB146" s="604">
        <f>1476+553.5+12+36844.8+553.5</f>
        <v>39439.800000000003</v>
      </c>
      <c r="DC146" s="604"/>
      <c r="DD146" s="604"/>
      <c r="DE146" s="604">
        <f t="shared" si="534"/>
        <v>1423220.16</v>
      </c>
      <c r="DF146" s="605">
        <f t="shared" si="534"/>
        <v>39439.800000000003</v>
      </c>
      <c r="DG146" s="642">
        <v>238889.63</v>
      </c>
      <c r="DH146" s="607">
        <f>neprodano!CE78</f>
        <v>0</v>
      </c>
      <c r="DI146" s="722"/>
      <c r="DJ146" s="607">
        <f>neprodano!CH78</f>
        <v>0</v>
      </c>
      <c r="DK146" s="607">
        <f t="shared" si="535"/>
        <v>238889.63</v>
      </c>
      <c r="DL146" s="608">
        <f t="shared" si="535"/>
        <v>0</v>
      </c>
      <c r="DM146" s="1141">
        <f t="shared" si="536"/>
        <v>0</v>
      </c>
      <c r="DN146" s="610">
        <f t="shared" si="536"/>
        <v>0</v>
      </c>
      <c r="DO146" s="611">
        <f t="shared" si="536"/>
        <v>8722616.5600000005</v>
      </c>
      <c r="DP146" s="598">
        <f t="shared" si="536"/>
        <v>144324.14000000001</v>
      </c>
      <c r="DQ146" s="598">
        <f t="shared" si="536"/>
        <v>0</v>
      </c>
      <c r="DR146" s="598">
        <f t="shared" si="536"/>
        <v>0</v>
      </c>
      <c r="DS146" s="598">
        <f t="shared" si="536"/>
        <v>8722616.5600000005</v>
      </c>
      <c r="DT146" s="598">
        <f t="shared" si="536"/>
        <v>144324.14000000001</v>
      </c>
      <c r="DU146" s="600">
        <f t="shared" si="469"/>
        <v>3.7199549510912827E-3</v>
      </c>
      <c r="DV146" s="612">
        <f t="shared" si="537"/>
        <v>2103002.36</v>
      </c>
      <c r="DW146" s="613">
        <f t="shared" si="537"/>
        <v>1254978.1200000001</v>
      </c>
      <c r="DX146" s="613">
        <f t="shared" si="537"/>
        <v>0</v>
      </c>
      <c r="DY146" s="613">
        <f t="shared" si="537"/>
        <v>0</v>
      </c>
      <c r="DZ146" s="613">
        <f t="shared" si="537"/>
        <v>2103002.36</v>
      </c>
      <c r="EA146" s="613">
        <f t="shared" si="537"/>
        <v>1254978.1200000001</v>
      </c>
      <c r="EB146" s="614">
        <f t="shared" si="313"/>
        <v>3.2347063152465209E-2</v>
      </c>
      <c r="EC146" s="615">
        <f t="shared" si="471"/>
        <v>0</v>
      </c>
      <c r="ED146" s="639"/>
      <c r="EE146" s="607"/>
      <c r="EF146" s="721">
        <f>neprodano!CN78</f>
        <v>0</v>
      </c>
      <c r="EG146" s="641"/>
      <c r="EH146" s="604">
        <f>35544+553.5</f>
        <v>36097.5</v>
      </c>
      <c r="EI146" s="604"/>
      <c r="EJ146" s="604"/>
      <c r="EK146" s="604">
        <f t="shared" si="538"/>
        <v>0</v>
      </c>
      <c r="EL146" s="605">
        <f t="shared" si="538"/>
        <v>36097.5</v>
      </c>
      <c r="EM146" s="642">
        <v>238889.63</v>
      </c>
      <c r="EN146" s="607">
        <f>neprodano!CM78</f>
        <v>-317201.84999999998</v>
      </c>
      <c r="EO146" s="722">
        <v>16598615.880000001</v>
      </c>
      <c r="EP146" s="607"/>
      <c r="EQ146" s="607">
        <f t="shared" si="539"/>
        <v>16837505.510000002</v>
      </c>
      <c r="ER146" s="608">
        <f t="shared" si="539"/>
        <v>-317201.84999999998</v>
      </c>
      <c r="ES146" s="1141">
        <f t="shared" si="540"/>
        <v>0</v>
      </c>
      <c r="ET146" s="610">
        <f t="shared" si="540"/>
        <v>0</v>
      </c>
      <c r="EU146" s="611">
        <f t="shared" si="541"/>
        <v>8722616.5600000005</v>
      </c>
      <c r="EV146" s="1511">
        <f t="shared" si="542"/>
        <v>180421.64</v>
      </c>
      <c r="EW146" s="1514">
        <f t="shared" si="542"/>
        <v>0</v>
      </c>
      <c r="EX146" s="598">
        <f t="shared" si="542"/>
        <v>0</v>
      </c>
      <c r="EY146" s="599">
        <f t="shared" si="542"/>
        <v>8722616.5600000005</v>
      </c>
      <c r="EZ146" s="599">
        <f t="shared" si="542"/>
        <v>180421.64</v>
      </c>
      <c r="FA146" s="600">
        <f t="shared" si="298"/>
        <v>4.6503680742667796E-3</v>
      </c>
      <c r="FB146" s="612">
        <f t="shared" si="543"/>
        <v>2341891.9899999998</v>
      </c>
      <c r="FC146" s="613">
        <f t="shared" si="544"/>
        <v>937776.27000000014</v>
      </c>
      <c r="FD146" s="613">
        <f t="shared" si="544"/>
        <v>16598615.880000001</v>
      </c>
      <c r="FE146" s="613">
        <f t="shared" si="544"/>
        <v>0</v>
      </c>
      <c r="FF146" s="613">
        <f t="shared" si="544"/>
        <v>18940507.870000001</v>
      </c>
      <c r="FG146" s="613">
        <f t="shared" si="544"/>
        <v>937776.27000000014</v>
      </c>
      <c r="FH146" s="614">
        <f>FG146/S146</f>
        <v>2.4171184935537573E-2</v>
      </c>
      <c r="FI146" s="955">
        <f t="shared" si="494"/>
        <v>0</v>
      </c>
      <c r="FJ146" s="639"/>
      <c r="FK146" s="607"/>
      <c r="FL146" s="640"/>
      <c r="FM146" s="641"/>
      <c r="FN146" s="604" t="e">
        <f>#REF!</f>
        <v>#REF!</v>
      </c>
      <c r="FO146" s="604"/>
      <c r="FP146" s="604"/>
      <c r="FQ146" s="604">
        <f t="shared" si="545"/>
        <v>0</v>
      </c>
      <c r="FR146" s="605" t="e">
        <f t="shared" si="546"/>
        <v>#REF!</v>
      </c>
      <c r="FS146" s="642">
        <v>238889.63</v>
      </c>
      <c r="FT146" s="607" t="e">
        <f>neprodano!CU78+#REF!</f>
        <v>#REF!</v>
      </c>
      <c r="FU146" s="722"/>
      <c r="FV146" s="607"/>
      <c r="FW146" s="607">
        <f t="shared" si="547"/>
        <v>238889.63</v>
      </c>
      <c r="FX146" s="608" t="e">
        <f t="shared" si="548"/>
        <v>#REF!</v>
      </c>
      <c r="FY146" s="1141">
        <f t="shared" si="549"/>
        <v>0</v>
      </c>
      <c r="FZ146" s="610">
        <f t="shared" si="550"/>
        <v>0</v>
      </c>
      <c r="GA146" s="1511">
        <f t="shared" si="551"/>
        <v>8722616.5600000005</v>
      </c>
      <c r="GB146" s="598" t="e">
        <f t="shared" si="552"/>
        <v>#REF!</v>
      </c>
      <c r="GC146" s="598">
        <f t="shared" si="553"/>
        <v>0</v>
      </c>
      <c r="GD146" s="598">
        <f t="shared" si="554"/>
        <v>0</v>
      </c>
      <c r="GE146" s="598">
        <f t="shared" si="555"/>
        <v>8722616.5600000005</v>
      </c>
      <c r="GF146" s="599" t="e">
        <f t="shared" si="556"/>
        <v>#REF!</v>
      </c>
      <c r="GG146" s="600" t="e">
        <f t="shared" si="347"/>
        <v>#REF!</v>
      </c>
      <c r="GH146" s="612">
        <f t="shared" si="557"/>
        <v>2580781.6199999996</v>
      </c>
      <c r="GI146" s="613" t="e">
        <f t="shared" si="558"/>
        <v>#REF!</v>
      </c>
      <c r="GJ146" s="613">
        <f t="shared" si="559"/>
        <v>16598615.880000001</v>
      </c>
      <c r="GK146" s="613">
        <f t="shared" si="560"/>
        <v>0</v>
      </c>
      <c r="GL146" s="613">
        <f t="shared" si="561"/>
        <v>19179397.5</v>
      </c>
      <c r="GM146" s="613" t="e">
        <f t="shared" si="562"/>
        <v>#REF!</v>
      </c>
      <c r="GN146" s="614" t="e">
        <f t="shared" si="302"/>
        <v>#REF!</v>
      </c>
      <c r="GO146" s="615">
        <f t="shared" si="476"/>
        <v>0</v>
      </c>
      <c r="GP146" s="639">
        <v>0</v>
      </c>
      <c r="GQ146" s="607"/>
      <c r="GR146" s="640"/>
      <c r="GS146" s="641">
        <v>0</v>
      </c>
      <c r="GT146" s="604">
        <f>26518.8+298116.58+1136220.21</f>
        <v>1460855.5899999999</v>
      </c>
      <c r="GU146" s="604"/>
      <c r="GV146" s="604"/>
      <c r="GW146" s="604">
        <f t="shared" si="563"/>
        <v>0</v>
      </c>
      <c r="GX146" s="605">
        <f t="shared" si="564"/>
        <v>1460855.5899999999</v>
      </c>
      <c r="GY146" s="642"/>
      <c r="GZ146" s="607" t="e">
        <f>neprodano!DC78+#REF!</f>
        <v>#REF!</v>
      </c>
      <c r="HA146" s="722"/>
      <c r="HB146" s="607">
        <f>neprodano!DF78</f>
        <v>0</v>
      </c>
      <c r="HC146" s="607">
        <f t="shared" si="565"/>
        <v>0</v>
      </c>
      <c r="HD146" s="608" t="e">
        <f t="shared" si="566"/>
        <v>#REF!</v>
      </c>
      <c r="HE146" s="1676">
        <f t="shared" si="567"/>
        <v>0</v>
      </c>
      <c r="HF146" s="610">
        <f t="shared" si="568"/>
        <v>0</v>
      </c>
      <c r="HG146" s="1511">
        <f t="shared" si="513"/>
        <v>8722616.5600000005</v>
      </c>
      <c r="HH146" s="598" t="e">
        <f t="shared" si="514"/>
        <v>#REF!</v>
      </c>
      <c r="HI146" s="598">
        <f t="shared" si="515"/>
        <v>0</v>
      </c>
      <c r="HJ146" s="598">
        <f t="shared" si="516"/>
        <v>0</v>
      </c>
      <c r="HK146" s="598">
        <f t="shared" si="517"/>
        <v>8722616.5600000005</v>
      </c>
      <c r="HL146" s="599" t="e">
        <f t="shared" si="518"/>
        <v>#REF!</v>
      </c>
      <c r="HM146" s="720" t="e">
        <f t="shared" si="519"/>
        <v>#REF!</v>
      </c>
      <c r="HN146" s="612">
        <f t="shared" si="520"/>
        <v>2580781.6199999996</v>
      </c>
      <c r="HO146" s="613" t="e">
        <f t="shared" si="521"/>
        <v>#REF!</v>
      </c>
      <c r="HP146" s="613">
        <f t="shared" si="522"/>
        <v>16598615.880000001</v>
      </c>
      <c r="HQ146" s="613">
        <f t="shared" si="523"/>
        <v>0</v>
      </c>
      <c r="HR146" s="613">
        <f t="shared" si="524"/>
        <v>19179397.5</v>
      </c>
      <c r="HS146" s="613" t="e">
        <f t="shared" si="525"/>
        <v>#REF!</v>
      </c>
      <c r="HT146" s="1166" t="e">
        <f t="shared" si="569"/>
        <v>#REF!</v>
      </c>
      <c r="HU146" s="1622">
        <f t="shared" si="570"/>
        <v>0</v>
      </c>
    </row>
    <row r="147" spans="1:229" s="101" customFormat="1" ht="21" customHeight="1" thickBot="1" x14ac:dyDescent="0.25">
      <c r="A147" s="3679"/>
      <c r="B147" s="3680"/>
      <c r="C147" s="723"/>
      <c r="D147" s="724" t="s">
        <v>376</v>
      </c>
      <c r="E147" s="699">
        <f>SUM(E140:E146)</f>
        <v>215</v>
      </c>
      <c r="F147" s="189">
        <f>SUM(F140:F146)</f>
        <v>13985.11</v>
      </c>
      <c r="G147" s="700">
        <f t="shared" si="456"/>
        <v>65.047023255813954</v>
      </c>
      <c r="H147" s="699">
        <f>SUM(H140:H146)</f>
        <v>29</v>
      </c>
      <c r="I147" s="189">
        <f>SUM(I140:I146)</f>
        <v>281.64999999999998</v>
      </c>
      <c r="J147" s="189">
        <f>I147/H147</f>
        <v>9.7120689655172399</v>
      </c>
      <c r="K147" s="699">
        <f>SUM(K140:K146)</f>
        <v>1</v>
      </c>
      <c r="L147" s="189">
        <f>SUM(L140:L146)</f>
        <v>289.64999999999998</v>
      </c>
      <c r="M147" s="189">
        <v>0</v>
      </c>
      <c r="N147" s="648">
        <f t="shared" ref="N147:V147" si="577">SUM(N140:N146)</f>
        <v>14556.41</v>
      </c>
      <c r="O147" s="189">
        <f t="shared" si="577"/>
        <v>6447485.4933879999</v>
      </c>
      <c r="P147" s="189">
        <f t="shared" si="577"/>
        <v>80859871.120780006</v>
      </c>
      <c r="Q147" s="189">
        <f t="shared" si="577"/>
        <v>19570664.464291997</v>
      </c>
      <c r="R147" s="189">
        <f t="shared" si="577"/>
        <v>106878021.07846001</v>
      </c>
      <c r="S147" s="189">
        <f t="shared" si="577"/>
        <v>106878021.07846001</v>
      </c>
      <c r="T147" s="648">
        <f t="shared" si="577"/>
        <v>20904384.6448</v>
      </c>
      <c r="U147" s="189">
        <f t="shared" si="577"/>
        <v>797570.12000000011</v>
      </c>
      <c r="V147" s="189">
        <f t="shared" si="577"/>
        <v>0</v>
      </c>
      <c r="W147" s="189">
        <f t="shared" ref="W147:AB147" si="578">SUM(W140:W146)</f>
        <v>7571652.9299999997</v>
      </c>
      <c r="X147" s="189">
        <f t="shared" si="578"/>
        <v>826625.26000000013</v>
      </c>
      <c r="Y147" s="189">
        <f t="shared" si="578"/>
        <v>7084407.1899999995</v>
      </c>
      <c r="Z147" s="189">
        <f t="shared" si="578"/>
        <v>3488142.3</v>
      </c>
      <c r="AA147" s="189">
        <f t="shared" si="578"/>
        <v>14656060.119999999</v>
      </c>
      <c r="AB147" s="189">
        <f t="shared" si="578"/>
        <v>4314767.5599999996</v>
      </c>
      <c r="AC147" s="649">
        <f t="shared" si="333"/>
        <v>4.0370952946747529E-2</v>
      </c>
      <c r="AD147" s="189">
        <f t="shared" ref="AD147:AI147" si="579">SUM(AD140:AD146)</f>
        <v>1386333.4700000002</v>
      </c>
      <c r="AE147" s="189">
        <f t="shared" si="579"/>
        <v>1507927.54</v>
      </c>
      <c r="AF147" s="189">
        <f t="shared" si="579"/>
        <v>0</v>
      </c>
      <c r="AG147" s="189">
        <f t="shared" si="579"/>
        <v>0</v>
      </c>
      <c r="AH147" s="189">
        <f t="shared" si="579"/>
        <v>1386333.4700000002</v>
      </c>
      <c r="AI147" s="189">
        <f t="shared" si="579"/>
        <v>1507927.54</v>
      </c>
      <c r="AJ147" s="621">
        <f t="shared" si="460"/>
        <v>1.4108864711230183E-2</v>
      </c>
      <c r="AK147" s="623">
        <f t="shared" si="461"/>
        <v>3.8153245529683508E-2</v>
      </c>
      <c r="AL147" s="189">
        <f>SUM(AL140:AL146)</f>
        <v>1753573.41</v>
      </c>
      <c r="AM147" s="189">
        <f>SUM(AM140:AM146)</f>
        <v>1843600.56</v>
      </c>
      <c r="AN147" s="189">
        <f t="shared" ref="AN147:AY147" si="580">SUM(AN140:AN146)</f>
        <v>0</v>
      </c>
      <c r="AO147" s="189">
        <f t="shared" si="580"/>
        <v>3176793.57</v>
      </c>
      <c r="AP147" s="189">
        <f t="shared" si="580"/>
        <v>1880869.56</v>
      </c>
      <c r="AQ147" s="189">
        <f t="shared" si="580"/>
        <v>4803944.0199999996</v>
      </c>
      <c r="AR147" s="189">
        <f t="shared" si="580"/>
        <v>0</v>
      </c>
      <c r="AS147" s="189">
        <f t="shared" si="580"/>
        <v>7980737.5899999999</v>
      </c>
      <c r="AT147" s="189">
        <f t="shared" si="580"/>
        <v>1880869.56</v>
      </c>
      <c r="AU147" s="189">
        <f t="shared" si="580"/>
        <v>5220064.5599999996</v>
      </c>
      <c r="AV147" s="189">
        <f t="shared" si="580"/>
        <v>0</v>
      </c>
      <c r="AW147" s="189">
        <f t="shared" si="580"/>
        <v>0</v>
      </c>
      <c r="AX147" s="189">
        <f t="shared" si="580"/>
        <v>0</v>
      </c>
      <c r="AY147" s="189">
        <f t="shared" si="580"/>
        <v>5220064.5599999996</v>
      </c>
      <c r="AZ147" s="648">
        <f>SUM(AZ140:AZ146)</f>
        <v>0</v>
      </c>
      <c r="BA147" s="189">
        <f>SUM(BA140:BA146)</f>
        <v>2641170.6800000002</v>
      </c>
      <c r="BB147" s="189">
        <f>SUM(BB140:BB146)</f>
        <v>0</v>
      </c>
      <c r="BC147" s="189">
        <f t="shared" ref="BC147:BJ147" si="581">SUM(BC140:BC146)</f>
        <v>10748446.5</v>
      </c>
      <c r="BD147" s="189">
        <f t="shared" si="581"/>
        <v>2707494.8200000003</v>
      </c>
      <c r="BE147" s="189">
        <f t="shared" si="581"/>
        <v>11888351.209999999</v>
      </c>
      <c r="BF147" s="189">
        <f t="shared" si="581"/>
        <v>3488142.3</v>
      </c>
      <c r="BG147" s="189">
        <f t="shared" si="581"/>
        <v>22636797.710000001</v>
      </c>
      <c r="BH147" s="189">
        <f t="shared" si="581"/>
        <v>6195637.1200000001</v>
      </c>
      <c r="BI147" s="649">
        <f t="shared" si="573"/>
        <v>5.7969234997827412E-2</v>
      </c>
      <c r="BJ147" s="189">
        <f t="shared" si="581"/>
        <v>6606398.0299999993</v>
      </c>
      <c r="BK147" s="189">
        <f>SUM(BK140:BK146)</f>
        <v>1507927.54</v>
      </c>
      <c r="BL147" s="189">
        <f>SUM(BL140:BL146)</f>
        <v>0</v>
      </c>
      <c r="BM147" s="189">
        <f>SUM(BM140:BM146)</f>
        <v>0</v>
      </c>
      <c r="BN147" s="189">
        <f>SUM(BN140:BN146)</f>
        <v>6606398.0299999993</v>
      </c>
      <c r="BO147" s="189">
        <f>SUM(BO140:BO146)</f>
        <v>1507927.54</v>
      </c>
      <c r="BP147" s="649">
        <f t="shared" si="575"/>
        <v>1.4108864711230183E-2</v>
      </c>
      <c r="BQ147" s="697">
        <f t="shared" si="576"/>
        <v>0.12634529668669275</v>
      </c>
      <c r="BR147" s="189">
        <f t="shared" ref="BR147:CN147" si="582">SUM(BR140:BR146)</f>
        <v>1577704.6600000001</v>
      </c>
      <c r="BS147" s="189">
        <f t="shared" si="582"/>
        <v>1112846.06</v>
      </c>
      <c r="BT147" s="189">
        <f t="shared" si="582"/>
        <v>0</v>
      </c>
      <c r="BU147" s="189">
        <f t="shared" si="582"/>
        <v>3973369.58</v>
      </c>
      <c r="BV147" s="189">
        <f t="shared" si="582"/>
        <v>1299965.7499999998</v>
      </c>
      <c r="BW147" s="189">
        <f t="shared" si="582"/>
        <v>1566503.48</v>
      </c>
      <c r="BX147" s="189">
        <f t="shared" si="582"/>
        <v>1889811.79</v>
      </c>
      <c r="BY147" s="189">
        <f t="shared" si="582"/>
        <v>5539873.0599999996</v>
      </c>
      <c r="BZ147" s="189">
        <f t="shared" si="582"/>
        <v>3189777.5400000005</v>
      </c>
      <c r="CA147" s="189">
        <f t="shared" si="582"/>
        <v>9489643.0700000003</v>
      </c>
      <c r="CB147" s="189">
        <f t="shared" si="582"/>
        <v>-82864.270000000048</v>
      </c>
      <c r="CC147" s="189">
        <f t="shared" si="582"/>
        <v>0</v>
      </c>
      <c r="CD147" s="189">
        <f t="shared" si="582"/>
        <v>0</v>
      </c>
      <c r="CE147" s="189">
        <f t="shared" si="582"/>
        <v>9489643.0700000003</v>
      </c>
      <c r="CF147" s="648">
        <f t="shared" si="582"/>
        <v>-82864.270000000048</v>
      </c>
      <c r="CG147" s="189">
        <f t="shared" si="582"/>
        <v>3754016.74</v>
      </c>
      <c r="CH147" s="189">
        <f t="shared" si="582"/>
        <v>0</v>
      </c>
      <c r="CI147" s="189">
        <f t="shared" si="582"/>
        <v>14721816.08</v>
      </c>
      <c r="CJ147" s="189">
        <f t="shared" si="582"/>
        <v>4007460.5699999994</v>
      </c>
      <c r="CK147" s="189">
        <f t="shared" si="582"/>
        <v>13454854.689999999</v>
      </c>
      <c r="CL147" s="189">
        <f t="shared" si="582"/>
        <v>5377954.0899999999</v>
      </c>
      <c r="CM147" s="189">
        <f t="shared" si="582"/>
        <v>28176670.770000003</v>
      </c>
      <c r="CN147" s="189">
        <f t="shared" si="582"/>
        <v>9385414.6600000001</v>
      </c>
      <c r="CO147" s="649" t="e">
        <f>CN147/AX147</f>
        <v>#DIV/0!</v>
      </c>
      <c r="CP147" s="189">
        <f t="shared" ref="CP147:CU147" si="583">SUM(CP140:CP146)</f>
        <v>16096041.100000001</v>
      </c>
      <c r="CQ147" s="189">
        <f t="shared" si="583"/>
        <v>1425063.27</v>
      </c>
      <c r="CR147" s="189">
        <f t="shared" si="583"/>
        <v>0</v>
      </c>
      <c r="CS147" s="189">
        <f t="shared" si="583"/>
        <v>0</v>
      </c>
      <c r="CT147" s="189">
        <f t="shared" si="583"/>
        <v>16096041.100000001</v>
      </c>
      <c r="CU147" s="189">
        <f t="shared" si="583"/>
        <v>1425063.27</v>
      </c>
      <c r="CV147" s="649">
        <f>CU147/AY147</f>
        <v>0.27299725005699932</v>
      </c>
      <c r="CW147" s="697" t="e">
        <f>CG147/AZ147</f>
        <v>#DIV/0!</v>
      </c>
      <c r="CX147" s="189">
        <f t="shared" ref="CX147:DT147" si="584">SUM(CX140:CX146)</f>
        <v>2301124.58</v>
      </c>
      <c r="CY147" s="189">
        <f t="shared" si="584"/>
        <v>802977.25</v>
      </c>
      <c r="CZ147" s="189">
        <f t="shared" si="584"/>
        <v>0</v>
      </c>
      <c r="DA147" s="189">
        <f t="shared" si="584"/>
        <v>5477918.1500000004</v>
      </c>
      <c r="DB147" s="189">
        <f t="shared" si="584"/>
        <v>1456621.9300000002</v>
      </c>
      <c r="DC147" s="189">
        <f t="shared" si="584"/>
        <v>0</v>
      </c>
      <c r="DD147" s="189">
        <f t="shared" si="584"/>
        <v>2012772.87</v>
      </c>
      <c r="DE147" s="189">
        <f t="shared" si="584"/>
        <v>5477918.1500000004</v>
      </c>
      <c r="DF147" s="189">
        <f t="shared" si="584"/>
        <v>3469394.8</v>
      </c>
      <c r="DG147" s="189">
        <f t="shared" si="584"/>
        <v>2467526.4</v>
      </c>
      <c r="DH147" s="189">
        <f t="shared" si="584"/>
        <v>472.68999999998778</v>
      </c>
      <c r="DI147" s="189">
        <f t="shared" si="584"/>
        <v>0</v>
      </c>
      <c r="DJ147" s="189">
        <f t="shared" si="584"/>
        <v>0</v>
      </c>
      <c r="DK147" s="189">
        <f t="shared" si="584"/>
        <v>2467526.4</v>
      </c>
      <c r="DL147" s="648">
        <f t="shared" si="584"/>
        <v>472.68999999998778</v>
      </c>
      <c r="DM147" s="189">
        <f t="shared" si="584"/>
        <v>4556993.99</v>
      </c>
      <c r="DN147" s="189">
        <f t="shared" si="584"/>
        <v>0</v>
      </c>
      <c r="DO147" s="189">
        <f t="shared" si="584"/>
        <v>20199734.229999997</v>
      </c>
      <c r="DP147" s="189">
        <f t="shared" si="584"/>
        <v>5464082.4999999991</v>
      </c>
      <c r="DQ147" s="189">
        <f t="shared" si="584"/>
        <v>13454854.689999999</v>
      </c>
      <c r="DR147" s="189">
        <f t="shared" si="584"/>
        <v>7390726.9600000009</v>
      </c>
      <c r="DS147" s="189">
        <f t="shared" si="584"/>
        <v>33654588.920000002</v>
      </c>
      <c r="DT147" s="189">
        <f t="shared" si="584"/>
        <v>12854809.460000001</v>
      </c>
      <c r="DU147" s="649" t="e">
        <f>DT147/CD147</f>
        <v>#DIV/0!</v>
      </c>
      <c r="DV147" s="189">
        <f t="shared" ref="DV147:EA147" si="585">SUM(DV140:DV146)</f>
        <v>18563567.5</v>
      </c>
      <c r="DW147" s="189">
        <f t="shared" si="585"/>
        <v>1425535.96</v>
      </c>
      <c r="DX147" s="189">
        <f t="shared" si="585"/>
        <v>0</v>
      </c>
      <c r="DY147" s="189">
        <f t="shared" si="585"/>
        <v>0</v>
      </c>
      <c r="DZ147" s="189">
        <f t="shared" si="585"/>
        <v>18563567.5</v>
      </c>
      <c r="EA147" s="189">
        <f t="shared" si="585"/>
        <v>1425535.96</v>
      </c>
      <c r="EB147" s="649">
        <f>EA147/CE147</f>
        <v>0.15022018736474985</v>
      </c>
      <c r="EC147" s="697">
        <f>DM147/CF147</f>
        <v>-54.993472940749946</v>
      </c>
      <c r="ED147" s="189">
        <f t="shared" ref="ED147:EZ147" si="586">SUM(ED140:ED146)</f>
        <v>2209315.85</v>
      </c>
      <c r="EE147" s="189">
        <f t="shared" si="586"/>
        <v>456995.87</v>
      </c>
      <c r="EF147" s="189">
        <f t="shared" si="586"/>
        <v>0</v>
      </c>
      <c r="EG147" s="189">
        <f t="shared" si="586"/>
        <v>4627080.6000000006</v>
      </c>
      <c r="EH147" s="189">
        <f t="shared" si="586"/>
        <v>1130041.83</v>
      </c>
      <c r="EI147" s="189">
        <f t="shared" si="586"/>
        <v>0</v>
      </c>
      <c r="EJ147" s="189">
        <f t="shared" si="586"/>
        <v>0</v>
      </c>
      <c r="EK147" s="189">
        <f t="shared" si="586"/>
        <v>4627080.6000000006</v>
      </c>
      <c r="EL147" s="189">
        <f t="shared" si="586"/>
        <v>1130041.83</v>
      </c>
      <c r="EM147" s="189">
        <f t="shared" si="586"/>
        <v>9266767.4200000018</v>
      </c>
      <c r="EN147" s="189">
        <f t="shared" si="586"/>
        <v>-41568.94</v>
      </c>
      <c r="EO147" s="189">
        <f t="shared" si="586"/>
        <v>16598615.880000001</v>
      </c>
      <c r="EP147" s="189">
        <f t="shared" si="586"/>
        <v>0</v>
      </c>
      <c r="EQ147" s="189">
        <f t="shared" si="586"/>
        <v>25865383.300000004</v>
      </c>
      <c r="ER147" s="648">
        <f t="shared" si="586"/>
        <v>-41568.94</v>
      </c>
      <c r="ES147" s="189">
        <f t="shared" si="586"/>
        <v>5013989.8599999994</v>
      </c>
      <c r="ET147" s="189">
        <f t="shared" si="586"/>
        <v>0</v>
      </c>
      <c r="EU147" s="189">
        <f t="shared" si="586"/>
        <v>24826814.829999998</v>
      </c>
      <c r="EV147" s="189">
        <f t="shared" si="586"/>
        <v>6594124.3299999991</v>
      </c>
      <c r="EW147" s="189">
        <f t="shared" si="586"/>
        <v>13454854.689999999</v>
      </c>
      <c r="EX147" s="189">
        <f t="shared" si="586"/>
        <v>7390726.9600000009</v>
      </c>
      <c r="EY147" s="189">
        <f t="shared" si="586"/>
        <v>38281669.520000003</v>
      </c>
      <c r="EZ147" s="189">
        <f t="shared" si="586"/>
        <v>13984851.290000001</v>
      </c>
      <c r="FA147" s="649" t="e">
        <f>EZ147/DJ147</f>
        <v>#DIV/0!</v>
      </c>
      <c r="FB147" s="189">
        <f t="shared" ref="FB147:FG147" si="587">SUM(FB140:FB146)</f>
        <v>27830334.919999998</v>
      </c>
      <c r="FC147" s="189">
        <f t="shared" si="587"/>
        <v>1383967.02</v>
      </c>
      <c r="FD147" s="189">
        <f t="shared" si="587"/>
        <v>16598615.880000001</v>
      </c>
      <c r="FE147" s="189">
        <f t="shared" si="587"/>
        <v>0</v>
      </c>
      <c r="FF147" s="189">
        <f t="shared" si="587"/>
        <v>44428950.799999997</v>
      </c>
      <c r="FG147" s="189">
        <f t="shared" si="587"/>
        <v>1383967.02</v>
      </c>
      <c r="FH147" s="649">
        <f>FG147/DK147</f>
        <v>0.56087222410264792</v>
      </c>
      <c r="FI147" s="697">
        <f>ES147/DL147</f>
        <v>10607.353360553701</v>
      </c>
      <c r="FJ147" s="189">
        <f t="shared" ref="FJ147:GF147" si="588">SUM(FJ140:FJ146)</f>
        <v>2076931.1800000002</v>
      </c>
      <c r="FK147" s="189">
        <f t="shared" si="588"/>
        <v>106759.08</v>
      </c>
      <c r="FL147" s="189">
        <f t="shared" si="588"/>
        <v>0</v>
      </c>
      <c r="FM147" s="189">
        <f t="shared" si="588"/>
        <v>4627080.6000000006</v>
      </c>
      <c r="FN147" s="189" t="e">
        <f t="shared" si="588"/>
        <v>#REF!</v>
      </c>
      <c r="FO147" s="189">
        <f t="shared" si="588"/>
        <v>0</v>
      </c>
      <c r="FP147" s="189">
        <f t="shared" si="588"/>
        <v>0</v>
      </c>
      <c r="FQ147" s="189">
        <f t="shared" si="588"/>
        <v>4627080.6000000006</v>
      </c>
      <c r="FR147" s="189" t="e">
        <f t="shared" si="588"/>
        <v>#REF!</v>
      </c>
      <c r="FS147" s="189">
        <f t="shared" si="588"/>
        <v>12493983.959999999</v>
      </c>
      <c r="FT147" s="189" t="e">
        <f t="shared" si="588"/>
        <v>#REF!</v>
      </c>
      <c r="FU147" s="189">
        <f t="shared" si="588"/>
        <v>0</v>
      </c>
      <c r="FV147" s="189">
        <f t="shared" si="588"/>
        <v>0</v>
      </c>
      <c r="FW147" s="189">
        <f t="shared" si="588"/>
        <v>12493983.959999999</v>
      </c>
      <c r="FX147" s="648" t="e">
        <f t="shared" si="588"/>
        <v>#REF!</v>
      </c>
      <c r="FY147" s="189">
        <f t="shared" si="588"/>
        <v>5120748.9399999995</v>
      </c>
      <c r="FZ147" s="189">
        <f t="shared" si="588"/>
        <v>0</v>
      </c>
      <c r="GA147" s="189">
        <f t="shared" si="588"/>
        <v>29453895.43</v>
      </c>
      <c r="GB147" s="189" t="e">
        <f t="shared" si="588"/>
        <v>#REF!</v>
      </c>
      <c r="GC147" s="189">
        <f t="shared" si="588"/>
        <v>13454854.689999999</v>
      </c>
      <c r="GD147" s="189">
        <f t="shared" si="588"/>
        <v>7390726.9600000009</v>
      </c>
      <c r="GE147" s="189">
        <f t="shared" si="588"/>
        <v>42908750.120000005</v>
      </c>
      <c r="GF147" s="189" t="e">
        <f t="shared" si="588"/>
        <v>#REF!</v>
      </c>
      <c r="GG147" s="649" t="e">
        <f>GF147/R147</f>
        <v>#REF!</v>
      </c>
      <c r="GH147" s="189">
        <f t="shared" ref="GH147:GM147" si="589">SUM(GH140:GH146)</f>
        <v>40324318.880000003</v>
      </c>
      <c r="GI147" s="189" t="e">
        <f t="shared" si="589"/>
        <v>#REF!</v>
      </c>
      <c r="GJ147" s="189">
        <f t="shared" si="589"/>
        <v>16598615.880000001</v>
      </c>
      <c r="GK147" s="189">
        <f t="shared" si="589"/>
        <v>0</v>
      </c>
      <c r="GL147" s="189">
        <f t="shared" si="589"/>
        <v>56922934.760000005</v>
      </c>
      <c r="GM147" s="189" t="e">
        <f t="shared" si="589"/>
        <v>#REF!</v>
      </c>
      <c r="GN147" s="649" t="e">
        <f>GM147/S147</f>
        <v>#REF!</v>
      </c>
      <c r="GO147" s="697">
        <f>FY147/T147</f>
        <v>0.24496052034106605</v>
      </c>
      <c r="GP147" s="189">
        <f t="shared" ref="GP147:HL147" si="590">SUM(GP140:GP146)</f>
        <v>467019.35</v>
      </c>
      <c r="GQ147" s="189">
        <f t="shared" si="590"/>
        <v>1553833.3</v>
      </c>
      <c r="GR147" s="189">
        <f t="shared" si="590"/>
        <v>0</v>
      </c>
      <c r="GS147" s="189">
        <f t="shared" si="590"/>
        <v>4627080.6000000006</v>
      </c>
      <c r="GT147" s="189">
        <f t="shared" si="590"/>
        <v>6524034.9900000002</v>
      </c>
      <c r="GU147" s="189">
        <f t="shared" si="590"/>
        <v>0</v>
      </c>
      <c r="GV147" s="189">
        <f t="shared" si="590"/>
        <v>0</v>
      </c>
      <c r="GW147" s="189">
        <f t="shared" si="590"/>
        <v>4627080.6000000006</v>
      </c>
      <c r="GX147" s="189">
        <f t="shared" si="590"/>
        <v>6524034.9900000002</v>
      </c>
      <c r="GY147" s="189">
        <f t="shared" si="590"/>
        <v>2960718.27</v>
      </c>
      <c r="GZ147" s="189" t="e">
        <f t="shared" si="590"/>
        <v>#REF!</v>
      </c>
      <c r="HA147" s="189">
        <f t="shared" si="590"/>
        <v>0</v>
      </c>
      <c r="HB147" s="189">
        <f t="shared" si="590"/>
        <v>0</v>
      </c>
      <c r="HC147" s="189">
        <f t="shared" si="590"/>
        <v>2960718.27</v>
      </c>
      <c r="HD147" s="648" t="e">
        <f t="shared" si="590"/>
        <v>#REF!</v>
      </c>
      <c r="HE147" s="1683">
        <f t="shared" si="590"/>
        <v>6674582.2400000002</v>
      </c>
      <c r="HF147" s="189">
        <f t="shared" si="590"/>
        <v>0</v>
      </c>
      <c r="HG147" s="189">
        <f t="shared" si="590"/>
        <v>34080976.030000001</v>
      </c>
      <c r="HH147" s="189" t="e">
        <f t="shared" si="590"/>
        <v>#REF!</v>
      </c>
      <c r="HI147" s="189">
        <f t="shared" si="590"/>
        <v>13454854.689999999</v>
      </c>
      <c r="HJ147" s="189">
        <f t="shared" si="590"/>
        <v>7390726.9600000009</v>
      </c>
      <c r="HK147" s="189">
        <f t="shared" si="590"/>
        <v>47535830.719999999</v>
      </c>
      <c r="HL147" s="189" t="e">
        <f t="shared" si="590"/>
        <v>#REF!</v>
      </c>
      <c r="HM147" s="1449" t="e">
        <f>HL147/R147</f>
        <v>#REF!</v>
      </c>
      <c r="HN147" s="189">
        <f t="shared" ref="HN147:HS147" si="591">SUM(HN140:HN146)</f>
        <v>43285037.149999999</v>
      </c>
      <c r="HO147" s="189" t="e">
        <f t="shared" si="591"/>
        <v>#REF!</v>
      </c>
      <c r="HP147" s="189">
        <f t="shared" si="591"/>
        <v>16598615.880000001</v>
      </c>
      <c r="HQ147" s="189">
        <f t="shared" si="591"/>
        <v>0</v>
      </c>
      <c r="HR147" s="189">
        <f t="shared" si="591"/>
        <v>59883653.030000001</v>
      </c>
      <c r="HS147" s="189" t="e">
        <f t="shared" si="591"/>
        <v>#REF!</v>
      </c>
      <c r="HT147" s="1507" t="e">
        <f t="shared" ref="HT147:HT161" si="592">HS147/S147</f>
        <v>#REF!</v>
      </c>
      <c r="HU147" s="697">
        <f t="shared" ref="HU147:HU160" si="593">HE147/T147</f>
        <v>0.31929101733498355</v>
      </c>
    </row>
    <row r="148" spans="1:229" ht="12.75" customHeight="1" x14ac:dyDescent="0.2">
      <c r="A148" s="3671" t="s">
        <v>533</v>
      </c>
      <c r="B148" s="3678"/>
      <c r="C148" s="511">
        <v>1</v>
      </c>
      <c r="D148" s="585" t="s">
        <v>391</v>
      </c>
      <c r="E148" s="663">
        <v>19</v>
      </c>
      <c r="F148" s="485">
        <v>1001.77</v>
      </c>
      <c r="G148" s="701">
        <f t="shared" ref="G148:G153" si="594">F148/E148</f>
        <v>52.724736842105266</v>
      </c>
      <c r="H148" s="516">
        <v>0</v>
      </c>
      <c r="I148" s="485">
        <v>0</v>
      </c>
      <c r="J148" s="485">
        <v>0</v>
      </c>
      <c r="K148" s="516">
        <v>0</v>
      </c>
      <c r="L148" s="485">
        <f>M148*K148</f>
        <v>0</v>
      </c>
      <c r="M148" s="258">
        <v>0</v>
      </c>
      <c r="N148" s="703">
        <f t="shared" ref="N148:N153" si="595">F148+I148+L148</f>
        <v>1001.77</v>
      </c>
      <c r="O148" s="518">
        <v>900195.05318399984</v>
      </c>
      <c r="P148" s="340">
        <v>6430045.8110400001</v>
      </c>
      <c r="Q148" s="705">
        <v>1671790.813056</v>
      </c>
      <c r="R148" s="485">
        <f>SUM(O148:Q148)</f>
        <v>9002031.6772799995</v>
      </c>
      <c r="S148" s="713">
        <f t="shared" ref="S148:S153" si="596">R148</f>
        <v>9002031.6772799995</v>
      </c>
      <c r="T148" s="726">
        <v>1446073.28</v>
      </c>
      <c r="U148" s="547">
        <v>0</v>
      </c>
      <c r="V148" s="547">
        <v>0</v>
      </c>
      <c r="W148" s="548">
        <v>0</v>
      </c>
      <c r="X148" s="549">
        <v>0</v>
      </c>
      <c r="Y148" s="549">
        <v>0</v>
      </c>
      <c r="Z148" s="549">
        <v>0</v>
      </c>
      <c r="AA148" s="525">
        <f>W148+Y148</f>
        <v>0</v>
      </c>
      <c r="AB148" s="524">
        <f>X148+Z148</f>
        <v>0</v>
      </c>
      <c r="AC148" s="526">
        <f t="shared" si="333"/>
        <v>0</v>
      </c>
      <c r="AD148" s="547">
        <v>0</v>
      </c>
      <c r="AE148" s="547">
        <v>0</v>
      </c>
      <c r="AF148" s="547">
        <v>0</v>
      </c>
      <c r="AG148" s="547">
        <v>0</v>
      </c>
      <c r="AH148" s="363">
        <f t="shared" ref="AH148:AH153" si="597">AD148+AF148</f>
        <v>0</v>
      </c>
      <c r="AI148" s="547">
        <f t="shared" ref="AI148:AI153" si="598">AE148+AG148</f>
        <v>0</v>
      </c>
      <c r="AJ148" s="550">
        <f t="shared" ref="AJ148:AJ153" si="599">AI148/S148</f>
        <v>0</v>
      </c>
      <c r="AK148" s="551">
        <f t="shared" ref="AK148:AK153" si="600">U148/T148</f>
        <v>0</v>
      </c>
      <c r="AL148" s="669"/>
      <c r="AM148" s="502">
        <f>AP148</f>
        <v>13621.3</v>
      </c>
      <c r="AN148" s="725">
        <v>0</v>
      </c>
      <c r="AO148" s="498"/>
      <c r="AP148" s="499">
        <v>13621.3</v>
      </c>
      <c r="AQ148" s="531"/>
      <c r="AR148" s="531"/>
      <c r="AS148" s="499">
        <f t="shared" ref="AS148:AS153" si="601">AO148+AQ148</f>
        <v>0</v>
      </c>
      <c r="AT148" s="671">
        <f t="shared" ref="AT148:AT153" si="602">AP148+AR148</f>
        <v>13621.3</v>
      </c>
      <c r="AU148" s="712"/>
      <c r="AV148" s="502"/>
      <c r="AW148" s="502"/>
      <c r="AX148" s="502"/>
      <c r="AY148" s="502">
        <f t="shared" ref="AY148:AY153" si="603">AU148+AW148</f>
        <v>0</v>
      </c>
      <c r="AZ148" s="660">
        <f t="shared" ref="AZ148:AZ153" si="604">AV148+AX148</f>
        <v>0</v>
      </c>
      <c r="BA148" s="535">
        <f t="shared" ref="BA148:BA153" si="605">U148+AM148</f>
        <v>13621.3</v>
      </c>
      <c r="BB148" s="536">
        <f t="shared" ref="BB148:BB153" si="606">V148+AN148</f>
        <v>0</v>
      </c>
      <c r="BC148" s="523">
        <f t="shared" ref="BC148:BC153" si="607">W148+AO148</f>
        <v>0</v>
      </c>
      <c r="BD148" s="525">
        <f t="shared" ref="BD148:BD153" si="608">X148+AP148</f>
        <v>13621.3</v>
      </c>
      <c r="BE148" s="525">
        <f t="shared" ref="BE148:BE153" si="609">Y148+AQ148</f>
        <v>0</v>
      </c>
      <c r="BF148" s="525">
        <f t="shared" ref="BF148:BF153" si="610">Z148+AR148</f>
        <v>0</v>
      </c>
      <c r="BG148" s="525">
        <f t="shared" ref="BG148:BG153" si="611">AA148+AS148</f>
        <v>0</v>
      </c>
      <c r="BH148" s="525">
        <f t="shared" ref="BH148:BH153" si="612">AB148+AT148</f>
        <v>13621.3</v>
      </c>
      <c r="BI148" s="526">
        <f t="shared" si="573"/>
        <v>1.5131361995068795E-3</v>
      </c>
      <c r="BJ148" s="537">
        <f t="shared" ref="BJ148:BJ153" si="613">AD148+AU148</f>
        <v>0</v>
      </c>
      <c r="BK148" s="538">
        <f t="shared" ref="BK148:BK153" si="614">AE148+AV148</f>
        <v>0</v>
      </c>
      <c r="BL148" s="538">
        <f t="shared" ref="BL148:BL153" si="615">AF148+AW148</f>
        <v>0</v>
      </c>
      <c r="BM148" s="538">
        <f t="shared" ref="BM148:BM153" si="616">AG148+AX148</f>
        <v>0</v>
      </c>
      <c r="BN148" s="538">
        <f t="shared" ref="BN148:BN153" si="617">AH148+AY148</f>
        <v>0</v>
      </c>
      <c r="BO148" s="538">
        <f t="shared" ref="BO148:BO153" si="618">AI148+AZ148</f>
        <v>0</v>
      </c>
      <c r="BP148" s="539">
        <f t="shared" si="575"/>
        <v>0</v>
      </c>
      <c r="BQ148" s="540">
        <f t="shared" si="576"/>
        <v>9.4195088094014157E-3</v>
      </c>
      <c r="BR148" s="669"/>
      <c r="BS148" s="502"/>
      <c r="BT148" s="725"/>
      <c r="BU148" s="498"/>
      <c r="BV148" s="499"/>
      <c r="BW148" s="531">
        <v>1671790.81</v>
      </c>
      <c r="BX148" s="531"/>
      <c r="BY148" s="499">
        <f t="shared" ref="BY148:BY153" si="619">BU148+BW148</f>
        <v>1671790.81</v>
      </c>
      <c r="BZ148" s="671">
        <f t="shared" ref="BZ148:BZ153" si="620">BV148+BX148</f>
        <v>0</v>
      </c>
      <c r="CA148" s="712"/>
      <c r="CB148" s="502"/>
      <c r="CC148" s="502"/>
      <c r="CD148" s="502"/>
      <c r="CE148" s="502">
        <f t="shared" ref="CE148:CE153" si="621">CA148+CC148</f>
        <v>0</v>
      </c>
      <c r="CF148" s="660">
        <f t="shared" ref="CF148:CF153" si="622">CB148+CD148</f>
        <v>0</v>
      </c>
      <c r="CG148" s="1138">
        <f t="shared" ref="CG148:CG153" si="623">BA148+BS148</f>
        <v>13621.3</v>
      </c>
      <c r="CH148" s="536">
        <f t="shared" ref="CH148:CH153" si="624">BB148+BT148</f>
        <v>0</v>
      </c>
      <c r="CI148" s="523">
        <f t="shared" ref="CI148:CI153" si="625">BC148+BU148</f>
        <v>0</v>
      </c>
      <c r="CJ148" s="525">
        <f t="shared" ref="CJ148:CJ153" si="626">BD148+BV148</f>
        <v>13621.3</v>
      </c>
      <c r="CK148" s="525">
        <f t="shared" ref="CK148:CK153" si="627">BE148+BW148</f>
        <v>1671790.81</v>
      </c>
      <c r="CL148" s="525">
        <f t="shared" ref="CL148:CL153" si="628">BF148+BX148</f>
        <v>0</v>
      </c>
      <c r="CM148" s="525">
        <f t="shared" ref="CM148:CM153" si="629">BG148+BY148</f>
        <v>1671790.81</v>
      </c>
      <c r="CN148" s="525">
        <f t="shared" ref="CN148:CN153" si="630">BH148+BZ148</f>
        <v>13621.3</v>
      </c>
      <c r="CO148" s="526">
        <f t="shared" ref="CO148:CO153" si="631">CN148/R148</f>
        <v>1.5131361995068795E-3</v>
      </c>
      <c r="CP148" s="537">
        <f t="shared" ref="CP148:CP153" si="632">BJ148+CA148</f>
        <v>0</v>
      </c>
      <c r="CQ148" s="538">
        <f t="shared" ref="CQ148:CQ153" si="633">BK148+CB148</f>
        <v>0</v>
      </c>
      <c r="CR148" s="538">
        <f t="shared" ref="CR148:CR153" si="634">BL148+CC148</f>
        <v>0</v>
      </c>
      <c r="CS148" s="538">
        <f t="shared" ref="CS148:CS153" si="635">BM148+CD148</f>
        <v>0</v>
      </c>
      <c r="CT148" s="538">
        <f t="shared" ref="CT148:CT153" si="636">BN148+CE148</f>
        <v>0</v>
      </c>
      <c r="CU148" s="538">
        <f t="shared" ref="CU148:CU153" si="637">BO148+CF148</f>
        <v>0</v>
      </c>
      <c r="CV148" s="539">
        <f t="shared" ref="CV148:CV153" si="638">CU148/S148</f>
        <v>0</v>
      </c>
      <c r="CW148" s="540">
        <f t="shared" ref="CW148:CW153" si="639">CG148/T148</f>
        <v>9.4195088094014157E-3</v>
      </c>
      <c r="CX148" s="669"/>
      <c r="CY148" s="502">
        <f>DB148</f>
        <v>7626</v>
      </c>
      <c r="CZ148" s="725"/>
      <c r="DA148" s="498"/>
      <c r="DB148" s="499">
        <v>7626</v>
      </c>
      <c r="DC148" s="531"/>
      <c r="DD148" s="531"/>
      <c r="DE148" s="499">
        <f t="shared" ref="DE148:DE153" si="640">DA148+DC148</f>
        <v>0</v>
      </c>
      <c r="DF148" s="671">
        <f t="shared" ref="DF148:DF153" si="641">DB148+DD148</f>
        <v>7626</v>
      </c>
      <c r="DG148" s="712"/>
      <c r="DH148" s="502"/>
      <c r="DI148" s="502"/>
      <c r="DJ148" s="502"/>
      <c r="DK148" s="502">
        <f t="shared" ref="DK148:DK153" si="642">DG148+DI148</f>
        <v>0</v>
      </c>
      <c r="DL148" s="660">
        <f t="shared" ref="DL148:DL153" si="643">DH148+DJ148</f>
        <v>0</v>
      </c>
      <c r="DM148" s="1138">
        <f t="shared" ref="DM148:DM153" si="644">CG148+CY148</f>
        <v>21247.3</v>
      </c>
      <c r="DN148" s="536">
        <f t="shared" ref="DN148:DN153" si="645">CH148+CZ148</f>
        <v>0</v>
      </c>
      <c r="DO148" s="523">
        <f t="shared" ref="DO148:DO153" si="646">CI148+DA148</f>
        <v>0</v>
      </c>
      <c r="DP148" s="525">
        <f t="shared" ref="DP148:DP153" si="647">CJ148+DB148</f>
        <v>21247.3</v>
      </c>
      <c r="DQ148" s="525">
        <f t="shared" ref="DQ148:DQ153" si="648">CK148+DC148</f>
        <v>1671790.81</v>
      </c>
      <c r="DR148" s="525">
        <f t="shared" ref="DR148:DR153" si="649">CL148+DD148</f>
        <v>0</v>
      </c>
      <c r="DS148" s="525">
        <f t="shared" ref="DS148:DS153" si="650">CM148+DE148</f>
        <v>1671790.81</v>
      </c>
      <c r="DT148" s="525">
        <f t="shared" ref="DT148:DT153" si="651">CN148+DF148</f>
        <v>21247.3</v>
      </c>
      <c r="DU148" s="526">
        <f t="shared" ref="DU148:DU153" si="652">DT148/R148</f>
        <v>2.3602782973565317E-3</v>
      </c>
      <c r="DV148" s="537">
        <f t="shared" ref="DV148:DV153" si="653">CP148+DG148</f>
        <v>0</v>
      </c>
      <c r="DW148" s="538">
        <f t="shared" ref="DW148:DW153" si="654">CQ148+DH148</f>
        <v>0</v>
      </c>
      <c r="DX148" s="538">
        <f t="shared" ref="DX148:DX153" si="655">CR148+DI148</f>
        <v>0</v>
      </c>
      <c r="DY148" s="538">
        <f t="shared" ref="DY148:DY153" si="656">CS148+DJ148</f>
        <v>0</v>
      </c>
      <c r="DZ148" s="538">
        <f t="shared" ref="DZ148:DZ153" si="657">CT148+DK148</f>
        <v>0</v>
      </c>
      <c r="EA148" s="538">
        <f t="shared" ref="EA148:EA153" si="658">CU148+DL148</f>
        <v>0</v>
      </c>
      <c r="EB148" s="539">
        <f t="shared" ref="EB148:EB155" si="659">EA148/S148</f>
        <v>0</v>
      </c>
      <c r="EC148" s="540">
        <f>DM148/T148</f>
        <v>1.469310047689976E-2</v>
      </c>
      <c r="ED148" s="669">
        <v>606312.97</v>
      </c>
      <c r="EE148" s="502"/>
      <c r="EF148" s="725"/>
      <c r="EG148" s="498">
        <v>606312.97</v>
      </c>
      <c r="EH148" s="499"/>
      <c r="EI148" s="531"/>
      <c r="EJ148" s="531"/>
      <c r="EK148" s="499">
        <f t="shared" ref="EK148:EK153" si="660">EG148+EI148</f>
        <v>606312.97</v>
      </c>
      <c r="EL148" s="671">
        <f t="shared" ref="EL148:EL153" si="661">EH148+EJ148</f>
        <v>0</v>
      </c>
      <c r="EM148" s="712"/>
      <c r="EN148" s="502"/>
      <c r="EO148" s="502"/>
      <c r="EP148" s="502"/>
      <c r="EQ148" s="502">
        <f t="shared" ref="EQ148:EQ153" si="662">EM148+EO148</f>
        <v>0</v>
      </c>
      <c r="ER148" s="660">
        <f t="shared" ref="ER148:ER153" si="663">EN148+EP148</f>
        <v>0</v>
      </c>
      <c r="ES148" s="1138">
        <f t="shared" ref="ES148:ES153" si="664">DM148+EE148</f>
        <v>21247.3</v>
      </c>
      <c r="ET148" s="536">
        <f t="shared" ref="ET148:ET153" si="665">DN148+EF148</f>
        <v>0</v>
      </c>
      <c r="EU148" s="523">
        <f t="shared" ref="EU148:EU153" si="666">EG148+DO148</f>
        <v>606312.97</v>
      </c>
      <c r="EV148" s="1510">
        <f t="shared" ref="EV148:EZ153" si="667">EH148+DP148</f>
        <v>21247.3</v>
      </c>
      <c r="EW148" s="1513">
        <f t="shared" si="667"/>
        <v>1671790.81</v>
      </c>
      <c r="EX148" s="525">
        <f t="shared" si="667"/>
        <v>0</v>
      </c>
      <c r="EY148" s="524">
        <f t="shared" si="667"/>
        <v>2278103.7800000003</v>
      </c>
      <c r="EZ148" s="524">
        <f t="shared" si="667"/>
        <v>21247.3</v>
      </c>
      <c r="FA148" s="526">
        <f t="shared" ref="FA148:FA154" si="668">EZ148/R148</f>
        <v>2.3602782973565317E-3</v>
      </c>
      <c r="FB148" s="537">
        <f t="shared" ref="FB148:FB153" si="669">DV148+EM148</f>
        <v>0</v>
      </c>
      <c r="FC148" s="538">
        <f t="shared" ref="FC148:FG153" si="670">DW148+EN148</f>
        <v>0</v>
      </c>
      <c r="FD148" s="538">
        <f t="shared" si="670"/>
        <v>0</v>
      </c>
      <c r="FE148" s="538">
        <f t="shared" si="670"/>
        <v>0</v>
      </c>
      <c r="FF148" s="538">
        <f t="shared" si="670"/>
        <v>0</v>
      </c>
      <c r="FG148" s="538">
        <f t="shared" si="670"/>
        <v>0</v>
      </c>
      <c r="FH148" s="539">
        <f t="shared" si="315"/>
        <v>0</v>
      </c>
      <c r="FI148" s="883">
        <f t="shared" si="494"/>
        <v>1.469310047689976E-2</v>
      </c>
      <c r="FJ148" s="669">
        <v>606312.97</v>
      </c>
      <c r="FK148" s="502"/>
      <c r="FL148" s="725"/>
      <c r="FM148" s="498">
        <v>606312.97</v>
      </c>
      <c r="FN148" s="499"/>
      <c r="FO148" s="531"/>
      <c r="FP148" s="531"/>
      <c r="FQ148" s="499">
        <f t="shared" ref="FQ148:FQ153" si="671">FM148+FO148</f>
        <v>606312.97</v>
      </c>
      <c r="FR148" s="671">
        <f t="shared" ref="FR148:FR153" si="672">FN148+FP148</f>
        <v>0</v>
      </c>
      <c r="FS148" s="712">
        <v>10701383.99</v>
      </c>
      <c r="FT148" s="502"/>
      <c r="FU148" s="502"/>
      <c r="FV148" s="502"/>
      <c r="FW148" s="502">
        <f t="shared" ref="FW148:FW153" si="673">FS148+FU148</f>
        <v>10701383.99</v>
      </c>
      <c r="FX148" s="660">
        <f t="shared" ref="FX148:FX153" si="674">FT148+FV148</f>
        <v>0</v>
      </c>
      <c r="FY148" s="1138">
        <f t="shared" ref="FY148:FY153" si="675">ES148+FK148</f>
        <v>21247.3</v>
      </c>
      <c r="FZ148" s="536">
        <f t="shared" ref="FZ148:FZ153" si="676">ET148+FL148</f>
        <v>0</v>
      </c>
      <c r="GA148" s="1510">
        <f t="shared" ref="GA148:GA153" si="677">FM148+EU148</f>
        <v>1212625.94</v>
      </c>
      <c r="GB148" s="525">
        <f t="shared" ref="GB148:GB153" si="678">FN148+EV148</f>
        <v>21247.3</v>
      </c>
      <c r="GC148" s="525">
        <f t="shared" ref="GC148:GC153" si="679">FO148+EW148</f>
        <v>1671790.81</v>
      </c>
      <c r="GD148" s="525">
        <f t="shared" ref="GD148:GD153" si="680">FP148+EX148</f>
        <v>0</v>
      </c>
      <c r="GE148" s="525">
        <f t="shared" ref="GE148:GE153" si="681">FQ148+EY148</f>
        <v>2884416.75</v>
      </c>
      <c r="GF148" s="524">
        <f t="shared" ref="GF148:GF153" si="682">FR148+EZ148</f>
        <v>21247.3</v>
      </c>
      <c r="GG148" s="526">
        <f t="shared" ref="GG148:GG153" si="683">GF148/R148</f>
        <v>2.3602782973565317E-3</v>
      </c>
      <c r="GH148" s="537">
        <f t="shared" ref="GH148:GH153" si="684">FB148+FS148</f>
        <v>10701383.99</v>
      </c>
      <c r="GI148" s="538">
        <f t="shared" ref="GI148:GI153" si="685">FC148+FT148</f>
        <v>0</v>
      </c>
      <c r="GJ148" s="538">
        <f t="shared" ref="GJ148:GJ153" si="686">FD148+FU148</f>
        <v>0</v>
      </c>
      <c r="GK148" s="538">
        <f t="shared" ref="GK148:GK153" si="687">FE148+FV148</f>
        <v>0</v>
      </c>
      <c r="GL148" s="538">
        <f t="shared" ref="GL148:GL153" si="688">FF148+FW148</f>
        <v>10701383.99</v>
      </c>
      <c r="GM148" s="538">
        <f t="shared" ref="GM148:GM153" si="689">FG148+FX148</f>
        <v>0</v>
      </c>
      <c r="GN148" s="539">
        <f t="shared" ref="GN148:GN153" si="690">GM148/S148</f>
        <v>0</v>
      </c>
      <c r="GO148" s="540">
        <f t="shared" ref="GO148:GO153" si="691">FY148/T148</f>
        <v>1.469310047689976E-2</v>
      </c>
      <c r="GP148" s="669">
        <v>340380.02</v>
      </c>
      <c r="GQ148" s="502"/>
      <c r="GR148" s="725"/>
      <c r="GS148" s="498">
        <v>606312.97</v>
      </c>
      <c r="GT148" s="499"/>
      <c r="GU148" s="531"/>
      <c r="GV148" s="531"/>
      <c r="GW148" s="499">
        <f t="shared" ref="GW148:GW153" si="692">GS148+GU148</f>
        <v>606312.97</v>
      </c>
      <c r="GX148" s="671">
        <f t="shared" ref="GX148:GX153" si="693">GT148+GV148</f>
        <v>0</v>
      </c>
      <c r="GY148" s="712">
        <v>3159713.12</v>
      </c>
      <c r="GZ148" s="502">
        <v>0</v>
      </c>
      <c r="HA148" s="502"/>
      <c r="HB148" s="502">
        <v>0</v>
      </c>
      <c r="HC148" s="502">
        <f t="shared" ref="HC148:HC153" si="694">GY148+HA148</f>
        <v>3159713.12</v>
      </c>
      <c r="HD148" s="660">
        <f t="shared" ref="HD148:HD153" si="695">GZ148+HB148</f>
        <v>0</v>
      </c>
      <c r="HE148" s="1674">
        <f t="shared" ref="HE148:HE153" si="696">FY148+GQ148</f>
        <v>21247.3</v>
      </c>
      <c r="HF148" s="536">
        <f t="shared" ref="HF148:HF153" si="697">FZ148+GR148</f>
        <v>0</v>
      </c>
      <c r="HG148" s="1510">
        <f t="shared" ref="HG148:HG153" si="698">GS148+GA148</f>
        <v>1818938.91</v>
      </c>
      <c r="HH148" s="525">
        <f t="shared" ref="HH148:HH153" si="699">GT148+GB148</f>
        <v>21247.3</v>
      </c>
      <c r="HI148" s="525">
        <f t="shared" ref="HI148:HI153" si="700">GU148+GC148</f>
        <v>1671790.81</v>
      </c>
      <c r="HJ148" s="525">
        <f t="shared" ref="HJ148:HJ153" si="701">GV148+GD148</f>
        <v>0</v>
      </c>
      <c r="HK148" s="525">
        <f t="shared" ref="HK148:HK153" si="702">GW148+GE148</f>
        <v>3490729.7199999997</v>
      </c>
      <c r="HL148" s="524">
        <f t="shared" ref="HL148:HL153" si="703">GX148+GF148</f>
        <v>21247.3</v>
      </c>
      <c r="HM148" s="626">
        <f t="shared" si="519"/>
        <v>2.3602782973565317E-3</v>
      </c>
      <c r="HN148" s="537">
        <f t="shared" ref="HN148:HN153" si="704">GH148+GY148</f>
        <v>13861097.109999999</v>
      </c>
      <c r="HO148" s="538">
        <f t="shared" ref="HO148:HO153" si="705">GI148+GZ148</f>
        <v>0</v>
      </c>
      <c r="HP148" s="538">
        <f t="shared" ref="HP148:HP153" si="706">GJ148+HA148</f>
        <v>0</v>
      </c>
      <c r="HQ148" s="538">
        <f t="shared" ref="HQ148:HQ153" si="707">GK148+HB148</f>
        <v>0</v>
      </c>
      <c r="HR148" s="538">
        <f t="shared" ref="HR148:HR153" si="708">GL148+HC148</f>
        <v>13861097.109999999</v>
      </c>
      <c r="HS148" s="538">
        <f t="shared" ref="HS148:HS153" si="709">GM148+HD148</f>
        <v>0</v>
      </c>
      <c r="HT148" s="539">
        <f t="shared" si="592"/>
        <v>0</v>
      </c>
      <c r="HU148" s="540">
        <f t="shared" si="593"/>
        <v>1.469310047689976E-2</v>
      </c>
    </row>
    <row r="149" spans="1:229" ht="12.75" customHeight="1" x14ac:dyDescent="0.2">
      <c r="A149" s="3671"/>
      <c r="B149" s="3678"/>
      <c r="C149" s="511">
        <v>2</v>
      </c>
      <c r="D149" s="585" t="s">
        <v>341</v>
      </c>
      <c r="E149" s="663">
        <v>12</v>
      </c>
      <c r="F149" s="258">
        <v>780</v>
      </c>
      <c r="G149" s="178">
        <f t="shared" si="594"/>
        <v>65</v>
      </c>
      <c r="H149" s="516">
        <v>0</v>
      </c>
      <c r="I149" s="258">
        <v>0</v>
      </c>
      <c r="J149" s="258">
        <v>0</v>
      </c>
      <c r="K149" s="516">
        <v>0</v>
      </c>
      <c r="L149" s="258">
        <v>0</v>
      </c>
      <c r="M149" s="258">
        <v>0</v>
      </c>
      <c r="N149" s="703">
        <f t="shared" si="595"/>
        <v>780</v>
      </c>
      <c r="O149" s="518">
        <v>747798.27628800005</v>
      </c>
      <c r="P149" s="340">
        <v>5341483.6672800006</v>
      </c>
      <c r="Q149" s="727">
        <v>1388768.2273920001</v>
      </c>
      <c r="R149" s="258">
        <f>SUM(O149:Q149)</f>
        <v>7478050.1709600007</v>
      </c>
      <c r="S149" s="713">
        <f t="shared" si="596"/>
        <v>7478050.1709600007</v>
      </c>
      <c r="T149" s="521">
        <v>1335354.0647999998</v>
      </c>
      <c r="U149" s="547">
        <v>0</v>
      </c>
      <c r="V149" s="547">
        <v>0</v>
      </c>
      <c r="W149" s="548">
        <v>0</v>
      </c>
      <c r="X149" s="549">
        <v>0</v>
      </c>
      <c r="Y149" s="549">
        <v>0</v>
      </c>
      <c r="Z149" s="549">
        <v>0</v>
      </c>
      <c r="AA149" s="525">
        <f t="shared" ref="AA149:AB153" si="710">W149+Y149</f>
        <v>0</v>
      </c>
      <c r="AB149" s="524">
        <f t="shared" si="710"/>
        <v>0</v>
      </c>
      <c r="AC149" s="526">
        <f>AB149/R149</f>
        <v>0</v>
      </c>
      <c r="AD149" s="547">
        <v>0</v>
      </c>
      <c r="AE149" s="547">
        <v>0</v>
      </c>
      <c r="AF149" s="547">
        <v>0</v>
      </c>
      <c r="AG149" s="547">
        <v>0</v>
      </c>
      <c r="AH149" s="363">
        <f t="shared" si="597"/>
        <v>0</v>
      </c>
      <c r="AI149" s="547">
        <f t="shared" si="598"/>
        <v>0</v>
      </c>
      <c r="AJ149" s="550">
        <f t="shared" si="599"/>
        <v>0</v>
      </c>
      <c r="AK149" s="551">
        <f t="shared" si="600"/>
        <v>0</v>
      </c>
      <c r="AL149" s="669"/>
      <c r="AM149" s="502"/>
      <c r="AN149" s="725">
        <v>0</v>
      </c>
      <c r="AO149" s="498"/>
      <c r="AP149" s="499"/>
      <c r="AQ149" s="531"/>
      <c r="AR149" s="531"/>
      <c r="AS149" s="499">
        <f t="shared" si="601"/>
        <v>0</v>
      </c>
      <c r="AT149" s="671">
        <f t="shared" si="602"/>
        <v>0</v>
      </c>
      <c r="AU149" s="712"/>
      <c r="AV149" s="502"/>
      <c r="AW149" s="502"/>
      <c r="AX149" s="502"/>
      <c r="AY149" s="502">
        <f t="shared" si="603"/>
        <v>0</v>
      </c>
      <c r="AZ149" s="660">
        <f t="shared" si="604"/>
        <v>0</v>
      </c>
      <c r="BA149" s="535">
        <f t="shared" si="605"/>
        <v>0</v>
      </c>
      <c r="BB149" s="536">
        <f t="shared" si="606"/>
        <v>0</v>
      </c>
      <c r="BC149" s="523">
        <f t="shared" si="607"/>
        <v>0</v>
      </c>
      <c r="BD149" s="525">
        <f t="shared" si="608"/>
        <v>0</v>
      </c>
      <c r="BE149" s="525">
        <f t="shared" si="609"/>
        <v>0</v>
      </c>
      <c r="BF149" s="525">
        <f t="shared" si="610"/>
        <v>0</v>
      </c>
      <c r="BG149" s="525">
        <f t="shared" si="611"/>
        <v>0</v>
      </c>
      <c r="BH149" s="525">
        <f t="shared" si="612"/>
        <v>0</v>
      </c>
      <c r="BI149" s="526">
        <f t="shared" si="573"/>
        <v>0</v>
      </c>
      <c r="BJ149" s="537">
        <f t="shared" si="613"/>
        <v>0</v>
      </c>
      <c r="BK149" s="538">
        <f t="shared" si="614"/>
        <v>0</v>
      </c>
      <c r="BL149" s="538">
        <f t="shared" si="615"/>
        <v>0</v>
      </c>
      <c r="BM149" s="538">
        <f t="shared" si="616"/>
        <v>0</v>
      </c>
      <c r="BN149" s="538">
        <f t="shared" si="617"/>
        <v>0</v>
      </c>
      <c r="BO149" s="538">
        <f t="shared" si="618"/>
        <v>0</v>
      </c>
      <c r="BP149" s="539">
        <f t="shared" si="575"/>
        <v>0</v>
      </c>
      <c r="BQ149" s="540">
        <f t="shared" si="576"/>
        <v>0</v>
      </c>
      <c r="BR149" s="669"/>
      <c r="BS149" s="502"/>
      <c r="BT149" s="725"/>
      <c r="BU149" s="498"/>
      <c r="BV149" s="499"/>
      <c r="BW149" s="531"/>
      <c r="BX149" s="531"/>
      <c r="BY149" s="499">
        <f t="shared" si="619"/>
        <v>0</v>
      </c>
      <c r="BZ149" s="671">
        <f t="shared" si="620"/>
        <v>0</v>
      </c>
      <c r="CA149" s="712"/>
      <c r="CB149" s="502"/>
      <c r="CC149" s="502"/>
      <c r="CD149" s="502"/>
      <c r="CE149" s="502">
        <f t="shared" si="621"/>
        <v>0</v>
      </c>
      <c r="CF149" s="660">
        <f t="shared" si="622"/>
        <v>0</v>
      </c>
      <c r="CG149" s="1138">
        <f t="shared" si="623"/>
        <v>0</v>
      </c>
      <c r="CH149" s="536">
        <f t="shared" si="624"/>
        <v>0</v>
      </c>
      <c r="CI149" s="523">
        <f t="shared" si="625"/>
        <v>0</v>
      </c>
      <c r="CJ149" s="525">
        <f t="shared" si="626"/>
        <v>0</v>
      </c>
      <c r="CK149" s="525">
        <f t="shared" si="627"/>
        <v>0</v>
      </c>
      <c r="CL149" s="525">
        <f t="shared" si="628"/>
        <v>0</v>
      </c>
      <c r="CM149" s="525">
        <f t="shared" si="629"/>
        <v>0</v>
      </c>
      <c r="CN149" s="525">
        <f t="shared" si="630"/>
        <v>0</v>
      </c>
      <c r="CO149" s="526">
        <f t="shared" si="631"/>
        <v>0</v>
      </c>
      <c r="CP149" s="537">
        <f t="shared" si="632"/>
        <v>0</v>
      </c>
      <c r="CQ149" s="538">
        <f t="shared" si="633"/>
        <v>0</v>
      </c>
      <c r="CR149" s="538">
        <f t="shared" si="634"/>
        <v>0</v>
      </c>
      <c r="CS149" s="538">
        <f t="shared" si="635"/>
        <v>0</v>
      </c>
      <c r="CT149" s="538">
        <f t="shared" si="636"/>
        <v>0</v>
      </c>
      <c r="CU149" s="538">
        <f t="shared" si="637"/>
        <v>0</v>
      </c>
      <c r="CV149" s="539">
        <f t="shared" si="638"/>
        <v>0</v>
      </c>
      <c r="CW149" s="540">
        <f t="shared" si="639"/>
        <v>0</v>
      </c>
      <c r="CX149" s="502">
        <v>117964.14</v>
      </c>
      <c r="CY149" s="502"/>
      <c r="CZ149" s="725"/>
      <c r="DA149" s="498">
        <v>117964.14</v>
      </c>
      <c r="DB149" s="499"/>
      <c r="DC149" s="531"/>
      <c r="DD149" s="531"/>
      <c r="DE149" s="499">
        <f t="shared" si="640"/>
        <v>117964.14</v>
      </c>
      <c r="DF149" s="671">
        <f t="shared" si="641"/>
        <v>0</v>
      </c>
      <c r="DG149" s="712"/>
      <c r="DH149" s="502"/>
      <c r="DI149" s="502"/>
      <c r="DJ149" s="502"/>
      <c r="DK149" s="502">
        <f t="shared" si="642"/>
        <v>0</v>
      </c>
      <c r="DL149" s="660">
        <f t="shared" si="643"/>
        <v>0</v>
      </c>
      <c r="DM149" s="1138">
        <f t="shared" si="644"/>
        <v>0</v>
      </c>
      <c r="DN149" s="536">
        <f t="shared" si="645"/>
        <v>0</v>
      </c>
      <c r="DO149" s="523">
        <f t="shared" si="646"/>
        <v>117964.14</v>
      </c>
      <c r="DP149" s="525">
        <f t="shared" si="647"/>
        <v>0</v>
      </c>
      <c r="DQ149" s="525">
        <f t="shared" si="648"/>
        <v>0</v>
      </c>
      <c r="DR149" s="525">
        <f t="shared" si="649"/>
        <v>0</v>
      </c>
      <c r="DS149" s="525">
        <f t="shared" si="650"/>
        <v>117964.14</v>
      </c>
      <c r="DT149" s="525">
        <f t="shared" si="651"/>
        <v>0</v>
      </c>
      <c r="DU149" s="526">
        <f t="shared" si="652"/>
        <v>0</v>
      </c>
      <c r="DV149" s="537">
        <f t="shared" si="653"/>
        <v>0</v>
      </c>
      <c r="DW149" s="538">
        <f t="shared" si="654"/>
        <v>0</v>
      </c>
      <c r="DX149" s="538">
        <f t="shared" si="655"/>
        <v>0</v>
      </c>
      <c r="DY149" s="538">
        <f t="shared" si="656"/>
        <v>0</v>
      </c>
      <c r="DZ149" s="538">
        <f t="shared" si="657"/>
        <v>0</v>
      </c>
      <c r="EA149" s="538">
        <f t="shared" si="658"/>
        <v>0</v>
      </c>
      <c r="EB149" s="539">
        <f t="shared" si="659"/>
        <v>0</v>
      </c>
      <c r="EC149" s="540">
        <f>DM149/T149</f>
        <v>0</v>
      </c>
      <c r="ED149" s="502">
        <v>117964.14</v>
      </c>
      <c r="EE149" s="502"/>
      <c r="EF149" s="725"/>
      <c r="EG149" s="498">
        <v>117964.14</v>
      </c>
      <c r="EH149" s="499"/>
      <c r="EI149" s="531"/>
      <c r="EJ149" s="531"/>
      <c r="EK149" s="499">
        <f t="shared" si="660"/>
        <v>117964.14</v>
      </c>
      <c r="EL149" s="671">
        <f t="shared" si="661"/>
        <v>0</v>
      </c>
      <c r="EM149" s="712"/>
      <c r="EN149" s="502"/>
      <c r="EO149" s="502"/>
      <c r="EP149" s="502"/>
      <c r="EQ149" s="502">
        <f t="shared" si="662"/>
        <v>0</v>
      </c>
      <c r="ER149" s="660">
        <f t="shared" si="663"/>
        <v>0</v>
      </c>
      <c r="ES149" s="1138">
        <f t="shared" si="664"/>
        <v>0</v>
      </c>
      <c r="ET149" s="536">
        <f t="shared" si="665"/>
        <v>0</v>
      </c>
      <c r="EU149" s="523">
        <f t="shared" si="666"/>
        <v>235928.28</v>
      </c>
      <c r="EV149" s="1510">
        <f t="shared" si="667"/>
        <v>0</v>
      </c>
      <c r="EW149" s="1513">
        <f t="shared" si="667"/>
        <v>0</v>
      </c>
      <c r="EX149" s="525">
        <f t="shared" si="667"/>
        <v>0</v>
      </c>
      <c r="EY149" s="524">
        <f t="shared" si="667"/>
        <v>235928.28</v>
      </c>
      <c r="EZ149" s="524">
        <f t="shared" si="667"/>
        <v>0</v>
      </c>
      <c r="FA149" s="526">
        <f t="shared" si="668"/>
        <v>0</v>
      </c>
      <c r="FB149" s="537">
        <f t="shared" si="669"/>
        <v>0</v>
      </c>
      <c r="FC149" s="538">
        <f t="shared" si="670"/>
        <v>0</v>
      </c>
      <c r="FD149" s="538">
        <f t="shared" si="670"/>
        <v>0</v>
      </c>
      <c r="FE149" s="538">
        <f t="shared" si="670"/>
        <v>0</v>
      </c>
      <c r="FF149" s="538">
        <f t="shared" si="670"/>
        <v>0</v>
      </c>
      <c r="FG149" s="538">
        <f t="shared" si="670"/>
        <v>0</v>
      </c>
      <c r="FH149" s="539">
        <f t="shared" si="315"/>
        <v>0</v>
      </c>
      <c r="FI149" s="883">
        <f t="shared" si="494"/>
        <v>0</v>
      </c>
      <c r="FJ149" s="502"/>
      <c r="FK149" s="502"/>
      <c r="FL149" s="725"/>
      <c r="FM149" s="498"/>
      <c r="FN149" s="499"/>
      <c r="FO149" s="531">
        <v>1388768.23</v>
      </c>
      <c r="FP149" s="531"/>
      <c r="FQ149" s="499">
        <f t="shared" si="671"/>
        <v>1388768.23</v>
      </c>
      <c r="FR149" s="671">
        <f t="shared" si="672"/>
        <v>0</v>
      </c>
      <c r="FS149" s="712"/>
      <c r="FT149" s="502"/>
      <c r="FU149" s="502"/>
      <c r="FV149" s="502"/>
      <c r="FW149" s="502">
        <f t="shared" si="673"/>
        <v>0</v>
      </c>
      <c r="FX149" s="660">
        <f t="shared" si="674"/>
        <v>0</v>
      </c>
      <c r="FY149" s="1138">
        <f t="shared" si="675"/>
        <v>0</v>
      </c>
      <c r="FZ149" s="536">
        <f t="shared" si="676"/>
        <v>0</v>
      </c>
      <c r="GA149" s="1510">
        <f t="shared" si="677"/>
        <v>235928.28</v>
      </c>
      <c r="GB149" s="525">
        <f t="shared" si="678"/>
        <v>0</v>
      </c>
      <c r="GC149" s="525">
        <f t="shared" si="679"/>
        <v>1388768.23</v>
      </c>
      <c r="GD149" s="525">
        <f t="shared" si="680"/>
        <v>0</v>
      </c>
      <c r="GE149" s="525">
        <f t="shared" si="681"/>
        <v>1624696.51</v>
      </c>
      <c r="GF149" s="524">
        <f t="shared" si="682"/>
        <v>0</v>
      </c>
      <c r="GG149" s="526">
        <f t="shared" si="683"/>
        <v>0</v>
      </c>
      <c r="GH149" s="537">
        <f t="shared" si="684"/>
        <v>0</v>
      </c>
      <c r="GI149" s="538">
        <f t="shared" si="685"/>
        <v>0</v>
      </c>
      <c r="GJ149" s="538">
        <f t="shared" si="686"/>
        <v>0</v>
      </c>
      <c r="GK149" s="538">
        <f t="shared" si="687"/>
        <v>0</v>
      </c>
      <c r="GL149" s="538">
        <f t="shared" si="688"/>
        <v>0</v>
      </c>
      <c r="GM149" s="538">
        <f t="shared" si="689"/>
        <v>0</v>
      </c>
      <c r="GN149" s="539">
        <f t="shared" si="690"/>
        <v>0</v>
      </c>
      <c r="GO149" s="540">
        <f t="shared" si="691"/>
        <v>0</v>
      </c>
      <c r="GP149" s="502">
        <v>0</v>
      </c>
      <c r="GQ149" s="502"/>
      <c r="GR149" s="725"/>
      <c r="GS149" s="498">
        <v>0</v>
      </c>
      <c r="GT149" s="499"/>
      <c r="GU149" s="531"/>
      <c r="GV149" s="531"/>
      <c r="GW149" s="499">
        <f t="shared" si="692"/>
        <v>0</v>
      </c>
      <c r="GX149" s="671">
        <f t="shared" si="693"/>
        <v>0</v>
      </c>
      <c r="GY149" s="712"/>
      <c r="GZ149" s="502">
        <v>0</v>
      </c>
      <c r="HA149" s="502"/>
      <c r="HB149" s="502">
        <v>0</v>
      </c>
      <c r="HC149" s="502">
        <f t="shared" si="694"/>
        <v>0</v>
      </c>
      <c r="HD149" s="660">
        <f t="shared" si="695"/>
        <v>0</v>
      </c>
      <c r="HE149" s="1674">
        <f t="shared" si="696"/>
        <v>0</v>
      </c>
      <c r="HF149" s="536">
        <f t="shared" si="697"/>
        <v>0</v>
      </c>
      <c r="HG149" s="1510">
        <f t="shared" si="698"/>
        <v>235928.28</v>
      </c>
      <c r="HH149" s="525">
        <f t="shared" si="699"/>
        <v>0</v>
      </c>
      <c r="HI149" s="525">
        <f t="shared" si="700"/>
        <v>1388768.23</v>
      </c>
      <c r="HJ149" s="525">
        <f t="shared" si="701"/>
        <v>0</v>
      </c>
      <c r="HK149" s="525">
        <f t="shared" si="702"/>
        <v>1624696.51</v>
      </c>
      <c r="HL149" s="524">
        <f t="shared" si="703"/>
        <v>0</v>
      </c>
      <c r="HM149" s="626">
        <f t="shared" si="519"/>
        <v>0</v>
      </c>
      <c r="HN149" s="537">
        <f t="shared" si="704"/>
        <v>0</v>
      </c>
      <c r="HO149" s="538">
        <f t="shared" si="705"/>
        <v>0</v>
      </c>
      <c r="HP149" s="538">
        <f t="shared" si="706"/>
        <v>0</v>
      </c>
      <c r="HQ149" s="538">
        <f t="shared" si="707"/>
        <v>0</v>
      </c>
      <c r="HR149" s="538">
        <f t="shared" si="708"/>
        <v>0</v>
      </c>
      <c r="HS149" s="538">
        <f t="shared" si="709"/>
        <v>0</v>
      </c>
      <c r="HT149" s="539">
        <f t="shared" si="592"/>
        <v>0</v>
      </c>
      <c r="HU149" s="540">
        <f t="shared" si="593"/>
        <v>0</v>
      </c>
    </row>
    <row r="150" spans="1:229" ht="12.75" customHeight="1" x14ac:dyDescent="0.2">
      <c r="A150" s="3671"/>
      <c r="B150" s="3678"/>
      <c r="C150" s="511">
        <v>3</v>
      </c>
      <c r="D150" s="585" t="s">
        <v>317</v>
      </c>
      <c r="E150" s="663">
        <v>129</v>
      </c>
      <c r="F150" s="258">
        <v>8483.41</v>
      </c>
      <c r="G150" s="708">
        <f t="shared" si="594"/>
        <v>65.762868217054262</v>
      </c>
      <c r="H150" s="702">
        <v>142</v>
      </c>
      <c r="I150" s="485">
        <v>1278</v>
      </c>
      <c r="J150" s="485">
        <f>I150/H150</f>
        <v>9</v>
      </c>
      <c r="K150" s="702">
        <v>0</v>
      </c>
      <c r="L150" s="485">
        <v>0</v>
      </c>
      <c r="M150" s="485">
        <v>0</v>
      </c>
      <c r="N150" s="703">
        <f t="shared" si="595"/>
        <v>9761.41</v>
      </c>
      <c r="O150" s="518">
        <v>7411077.2612800002</v>
      </c>
      <c r="P150" s="340">
        <v>52936934.201800004</v>
      </c>
      <c r="Q150" s="705">
        <v>13763429.199520001</v>
      </c>
      <c r="R150" s="485">
        <f>SUM(O150:Q150)</f>
        <v>74111440.662600011</v>
      </c>
      <c r="S150" s="713">
        <f t="shared" si="596"/>
        <v>74111440.662600011</v>
      </c>
      <c r="T150" s="521">
        <v>18209378.940000001</v>
      </c>
      <c r="U150" s="547">
        <v>0</v>
      </c>
      <c r="V150" s="547">
        <v>0</v>
      </c>
      <c r="W150" s="548">
        <v>0</v>
      </c>
      <c r="X150" s="549">
        <v>0</v>
      </c>
      <c r="Y150" s="549">
        <v>0</v>
      </c>
      <c r="Z150" s="549">
        <v>0</v>
      </c>
      <c r="AA150" s="525">
        <f t="shared" si="710"/>
        <v>0</v>
      </c>
      <c r="AB150" s="524">
        <f t="shared" si="710"/>
        <v>0</v>
      </c>
      <c r="AC150" s="526">
        <f>AB150/R150</f>
        <v>0</v>
      </c>
      <c r="AD150" s="547">
        <v>0</v>
      </c>
      <c r="AE150" s="547">
        <v>0</v>
      </c>
      <c r="AF150" s="547">
        <v>0</v>
      </c>
      <c r="AG150" s="547">
        <v>0</v>
      </c>
      <c r="AH150" s="363">
        <f t="shared" si="597"/>
        <v>0</v>
      </c>
      <c r="AI150" s="547">
        <f t="shared" si="598"/>
        <v>0</v>
      </c>
      <c r="AJ150" s="550">
        <f t="shared" si="599"/>
        <v>0</v>
      </c>
      <c r="AK150" s="551">
        <f t="shared" si="600"/>
        <v>0</v>
      </c>
      <c r="AL150" s="669"/>
      <c r="AM150" s="502"/>
      <c r="AN150" s="725">
        <v>0</v>
      </c>
      <c r="AO150" s="498"/>
      <c r="AP150" s="499"/>
      <c r="AQ150" s="531"/>
      <c r="AR150" s="531"/>
      <c r="AS150" s="499">
        <f t="shared" si="601"/>
        <v>0</v>
      </c>
      <c r="AT150" s="671">
        <f t="shared" si="602"/>
        <v>0</v>
      </c>
      <c r="AU150" s="712"/>
      <c r="AV150" s="502"/>
      <c r="AW150" s="502"/>
      <c r="AX150" s="502"/>
      <c r="AY150" s="502">
        <f t="shared" si="603"/>
        <v>0</v>
      </c>
      <c r="AZ150" s="660">
        <f t="shared" si="604"/>
        <v>0</v>
      </c>
      <c r="BA150" s="535">
        <f t="shared" si="605"/>
        <v>0</v>
      </c>
      <c r="BB150" s="536">
        <f t="shared" si="606"/>
        <v>0</v>
      </c>
      <c r="BC150" s="523">
        <f t="shared" si="607"/>
        <v>0</v>
      </c>
      <c r="BD150" s="525">
        <f t="shared" si="608"/>
        <v>0</v>
      </c>
      <c r="BE150" s="525">
        <f t="shared" si="609"/>
        <v>0</v>
      </c>
      <c r="BF150" s="525">
        <f t="shared" si="610"/>
        <v>0</v>
      </c>
      <c r="BG150" s="525">
        <f t="shared" si="611"/>
        <v>0</v>
      </c>
      <c r="BH150" s="525">
        <f t="shared" si="612"/>
        <v>0</v>
      </c>
      <c r="BI150" s="526">
        <f t="shared" si="573"/>
        <v>0</v>
      </c>
      <c r="BJ150" s="537">
        <f t="shared" si="613"/>
        <v>0</v>
      </c>
      <c r="BK150" s="538">
        <f t="shared" si="614"/>
        <v>0</v>
      </c>
      <c r="BL150" s="538">
        <f t="shared" si="615"/>
        <v>0</v>
      </c>
      <c r="BM150" s="538">
        <f t="shared" si="616"/>
        <v>0</v>
      </c>
      <c r="BN150" s="538">
        <f t="shared" si="617"/>
        <v>0</v>
      </c>
      <c r="BO150" s="538">
        <f t="shared" si="618"/>
        <v>0</v>
      </c>
      <c r="BP150" s="539">
        <f t="shared" si="575"/>
        <v>0</v>
      </c>
      <c r="BQ150" s="540">
        <f t="shared" si="576"/>
        <v>0</v>
      </c>
      <c r="BR150" s="669"/>
      <c r="BS150" s="502"/>
      <c r="BT150" s="725"/>
      <c r="BU150" s="498"/>
      <c r="BV150" s="499"/>
      <c r="BW150" s="531"/>
      <c r="BX150" s="531"/>
      <c r="BY150" s="499">
        <f t="shared" si="619"/>
        <v>0</v>
      </c>
      <c r="BZ150" s="671">
        <f t="shared" si="620"/>
        <v>0</v>
      </c>
      <c r="CA150" s="712"/>
      <c r="CB150" s="502"/>
      <c r="CC150" s="502"/>
      <c r="CD150" s="502"/>
      <c r="CE150" s="502">
        <f t="shared" si="621"/>
        <v>0</v>
      </c>
      <c r="CF150" s="660">
        <f t="shared" si="622"/>
        <v>0</v>
      </c>
      <c r="CG150" s="1138">
        <f t="shared" si="623"/>
        <v>0</v>
      </c>
      <c r="CH150" s="536">
        <f t="shared" si="624"/>
        <v>0</v>
      </c>
      <c r="CI150" s="523">
        <f t="shared" si="625"/>
        <v>0</v>
      </c>
      <c r="CJ150" s="525">
        <f t="shared" si="626"/>
        <v>0</v>
      </c>
      <c r="CK150" s="525">
        <f t="shared" si="627"/>
        <v>0</v>
      </c>
      <c r="CL150" s="525">
        <f t="shared" si="628"/>
        <v>0</v>
      </c>
      <c r="CM150" s="525">
        <f t="shared" si="629"/>
        <v>0</v>
      </c>
      <c r="CN150" s="525">
        <f t="shared" si="630"/>
        <v>0</v>
      </c>
      <c r="CO150" s="526">
        <f t="shared" si="631"/>
        <v>0</v>
      </c>
      <c r="CP150" s="537">
        <f t="shared" si="632"/>
        <v>0</v>
      </c>
      <c r="CQ150" s="538">
        <f t="shared" si="633"/>
        <v>0</v>
      </c>
      <c r="CR150" s="538">
        <f t="shared" si="634"/>
        <v>0</v>
      </c>
      <c r="CS150" s="538">
        <f t="shared" si="635"/>
        <v>0</v>
      </c>
      <c r="CT150" s="538">
        <f t="shared" si="636"/>
        <v>0</v>
      </c>
      <c r="CU150" s="538">
        <f t="shared" si="637"/>
        <v>0</v>
      </c>
      <c r="CV150" s="539">
        <f t="shared" si="638"/>
        <v>0</v>
      </c>
      <c r="CW150" s="540">
        <f t="shared" si="639"/>
        <v>0</v>
      </c>
      <c r="CX150" s="502">
        <v>593925.85</v>
      </c>
      <c r="CY150" s="502"/>
      <c r="CZ150" s="725"/>
      <c r="DA150" s="498">
        <v>593925.85</v>
      </c>
      <c r="DB150" s="499"/>
      <c r="DC150" s="531"/>
      <c r="DD150" s="531"/>
      <c r="DE150" s="499">
        <f t="shared" si="640"/>
        <v>593925.85</v>
      </c>
      <c r="DF150" s="671">
        <f t="shared" si="641"/>
        <v>0</v>
      </c>
      <c r="DG150" s="712"/>
      <c r="DH150" s="502"/>
      <c r="DI150" s="502"/>
      <c r="DJ150" s="502"/>
      <c r="DK150" s="502">
        <f t="shared" si="642"/>
        <v>0</v>
      </c>
      <c r="DL150" s="660">
        <f t="shared" si="643"/>
        <v>0</v>
      </c>
      <c r="DM150" s="1138">
        <f t="shared" si="644"/>
        <v>0</v>
      </c>
      <c r="DN150" s="536">
        <f t="shared" si="645"/>
        <v>0</v>
      </c>
      <c r="DO150" s="523">
        <f t="shared" si="646"/>
        <v>593925.85</v>
      </c>
      <c r="DP150" s="525">
        <f t="shared" si="647"/>
        <v>0</v>
      </c>
      <c r="DQ150" s="525">
        <f t="shared" si="648"/>
        <v>0</v>
      </c>
      <c r="DR150" s="525">
        <f t="shared" si="649"/>
        <v>0</v>
      </c>
      <c r="DS150" s="525">
        <f t="shared" si="650"/>
        <v>593925.85</v>
      </c>
      <c r="DT150" s="525">
        <f t="shared" si="651"/>
        <v>0</v>
      </c>
      <c r="DU150" s="526">
        <f t="shared" si="652"/>
        <v>0</v>
      </c>
      <c r="DV150" s="537">
        <f t="shared" si="653"/>
        <v>0</v>
      </c>
      <c r="DW150" s="538">
        <f t="shared" si="654"/>
        <v>0</v>
      </c>
      <c r="DX150" s="538">
        <f t="shared" si="655"/>
        <v>0</v>
      </c>
      <c r="DY150" s="538">
        <f t="shared" si="656"/>
        <v>0</v>
      </c>
      <c r="DZ150" s="538">
        <f t="shared" si="657"/>
        <v>0</v>
      </c>
      <c r="EA150" s="538">
        <f t="shared" si="658"/>
        <v>0</v>
      </c>
      <c r="EB150" s="539">
        <f t="shared" si="659"/>
        <v>0</v>
      </c>
      <c r="EC150" s="540">
        <f>DM150/T150</f>
        <v>0</v>
      </c>
      <c r="ED150" s="502">
        <v>593925.85</v>
      </c>
      <c r="EE150" s="502"/>
      <c r="EF150" s="725"/>
      <c r="EG150" s="498">
        <v>593925.85</v>
      </c>
      <c r="EH150" s="499"/>
      <c r="EI150" s="531">
        <v>2364924.7000000002</v>
      </c>
      <c r="EJ150" s="531"/>
      <c r="EK150" s="499">
        <f t="shared" si="660"/>
        <v>2958850.5500000003</v>
      </c>
      <c r="EL150" s="671">
        <f t="shared" si="661"/>
        <v>0</v>
      </c>
      <c r="EM150" s="712"/>
      <c r="EN150" s="502"/>
      <c r="EO150" s="502"/>
      <c r="EP150" s="502"/>
      <c r="EQ150" s="502">
        <f t="shared" si="662"/>
        <v>0</v>
      </c>
      <c r="ER150" s="660">
        <f t="shared" si="663"/>
        <v>0</v>
      </c>
      <c r="ES150" s="1138">
        <f t="shared" si="664"/>
        <v>0</v>
      </c>
      <c r="ET150" s="536">
        <f t="shared" si="665"/>
        <v>0</v>
      </c>
      <c r="EU150" s="523">
        <f t="shared" si="666"/>
        <v>1187851.7</v>
      </c>
      <c r="EV150" s="1510">
        <f t="shared" si="667"/>
        <v>0</v>
      </c>
      <c r="EW150" s="1513">
        <f t="shared" si="667"/>
        <v>2364924.7000000002</v>
      </c>
      <c r="EX150" s="525">
        <f t="shared" si="667"/>
        <v>0</v>
      </c>
      <c r="EY150" s="524">
        <f t="shared" si="667"/>
        <v>3552776.4000000004</v>
      </c>
      <c r="EZ150" s="524">
        <f t="shared" si="667"/>
        <v>0</v>
      </c>
      <c r="FA150" s="526">
        <f t="shared" si="668"/>
        <v>0</v>
      </c>
      <c r="FB150" s="537">
        <f t="shared" si="669"/>
        <v>0</v>
      </c>
      <c r="FC150" s="538">
        <f t="shared" si="670"/>
        <v>0</v>
      </c>
      <c r="FD150" s="538">
        <f t="shared" si="670"/>
        <v>0</v>
      </c>
      <c r="FE150" s="538">
        <f t="shared" si="670"/>
        <v>0</v>
      </c>
      <c r="FF150" s="538">
        <f t="shared" si="670"/>
        <v>0</v>
      </c>
      <c r="FG150" s="538">
        <f t="shared" si="670"/>
        <v>0</v>
      </c>
      <c r="FH150" s="539">
        <f>FG150/S150</f>
        <v>0</v>
      </c>
      <c r="FI150" s="883">
        <f t="shared" si="494"/>
        <v>0</v>
      </c>
      <c r="FJ150" s="502">
        <v>593925.85</v>
      </c>
      <c r="FK150" s="502"/>
      <c r="FL150" s="725"/>
      <c r="FM150" s="498">
        <v>593925.85</v>
      </c>
      <c r="FN150" s="499"/>
      <c r="FO150" s="531"/>
      <c r="FP150" s="531"/>
      <c r="FQ150" s="499">
        <f t="shared" si="671"/>
        <v>593925.85</v>
      </c>
      <c r="FR150" s="671">
        <f t="shared" si="672"/>
        <v>0</v>
      </c>
      <c r="FS150" s="712"/>
      <c r="FT150" s="502"/>
      <c r="FU150" s="502"/>
      <c r="FV150" s="502"/>
      <c r="FW150" s="502">
        <f t="shared" si="673"/>
        <v>0</v>
      </c>
      <c r="FX150" s="660">
        <f t="shared" si="674"/>
        <v>0</v>
      </c>
      <c r="FY150" s="1138">
        <f t="shared" si="675"/>
        <v>0</v>
      </c>
      <c r="FZ150" s="536">
        <f t="shared" si="676"/>
        <v>0</v>
      </c>
      <c r="GA150" s="1510">
        <f t="shared" si="677"/>
        <v>1781777.5499999998</v>
      </c>
      <c r="GB150" s="525">
        <f t="shared" si="678"/>
        <v>0</v>
      </c>
      <c r="GC150" s="525">
        <f t="shared" si="679"/>
        <v>2364924.7000000002</v>
      </c>
      <c r="GD150" s="525">
        <f t="shared" si="680"/>
        <v>0</v>
      </c>
      <c r="GE150" s="525">
        <f t="shared" si="681"/>
        <v>4146702.2500000005</v>
      </c>
      <c r="GF150" s="524">
        <f t="shared" si="682"/>
        <v>0</v>
      </c>
      <c r="GG150" s="526">
        <f t="shared" si="683"/>
        <v>0</v>
      </c>
      <c r="GH150" s="537">
        <f t="shared" si="684"/>
        <v>0</v>
      </c>
      <c r="GI150" s="538">
        <f t="shared" si="685"/>
        <v>0</v>
      </c>
      <c r="GJ150" s="538">
        <f t="shared" si="686"/>
        <v>0</v>
      </c>
      <c r="GK150" s="538">
        <f t="shared" si="687"/>
        <v>0</v>
      </c>
      <c r="GL150" s="538">
        <f t="shared" si="688"/>
        <v>0</v>
      </c>
      <c r="GM150" s="538">
        <f t="shared" si="689"/>
        <v>0</v>
      </c>
      <c r="GN150" s="539">
        <f t="shared" si="690"/>
        <v>0</v>
      </c>
      <c r="GO150" s="540">
        <f t="shared" si="691"/>
        <v>0</v>
      </c>
      <c r="GP150" s="502">
        <v>593925.85</v>
      </c>
      <c r="GQ150" s="502"/>
      <c r="GR150" s="725"/>
      <c r="GS150" s="498">
        <v>593925.85</v>
      </c>
      <c r="GT150" s="499"/>
      <c r="GU150" s="531"/>
      <c r="GV150" s="531"/>
      <c r="GW150" s="499">
        <f t="shared" si="692"/>
        <v>593925.85</v>
      </c>
      <c r="GX150" s="671">
        <f t="shared" si="693"/>
        <v>0</v>
      </c>
      <c r="GY150" s="712"/>
      <c r="GZ150" s="502">
        <v>0</v>
      </c>
      <c r="HA150" s="502"/>
      <c r="HB150" s="502">
        <v>0</v>
      </c>
      <c r="HC150" s="502">
        <f t="shared" si="694"/>
        <v>0</v>
      </c>
      <c r="HD150" s="660">
        <f t="shared" si="695"/>
        <v>0</v>
      </c>
      <c r="HE150" s="1674">
        <f t="shared" si="696"/>
        <v>0</v>
      </c>
      <c r="HF150" s="536">
        <f t="shared" si="697"/>
        <v>0</v>
      </c>
      <c r="HG150" s="1510">
        <f t="shared" si="698"/>
        <v>2375703.4</v>
      </c>
      <c r="HH150" s="525">
        <f t="shared" si="699"/>
        <v>0</v>
      </c>
      <c r="HI150" s="525">
        <f t="shared" si="700"/>
        <v>2364924.7000000002</v>
      </c>
      <c r="HJ150" s="525">
        <f t="shared" si="701"/>
        <v>0</v>
      </c>
      <c r="HK150" s="525">
        <f t="shared" si="702"/>
        <v>4740628.1000000006</v>
      </c>
      <c r="HL150" s="524">
        <f t="shared" si="703"/>
        <v>0</v>
      </c>
      <c r="HM150" s="626">
        <f t="shared" si="519"/>
        <v>0</v>
      </c>
      <c r="HN150" s="537">
        <f t="shared" si="704"/>
        <v>0</v>
      </c>
      <c r="HO150" s="538">
        <f t="shared" si="705"/>
        <v>0</v>
      </c>
      <c r="HP150" s="538">
        <f t="shared" si="706"/>
        <v>0</v>
      </c>
      <c r="HQ150" s="538">
        <f t="shared" si="707"/>
        <v>0</v>
      </c>
      <c r="HR150" s="538">
        <f t="shared" si="708"/>
        <v>0</v>
      </c>
      <c r="HS150" s="538">
        <f t="shared" si="709"/>
        <v>0</v>
      </c>
      <c r="HT150" s="539">
        <f t="shared" si="592"/>
        <v>0</v>
      </c>
      <c r="HU150" s="540">
        <f t="shared" si="593"/>
        <v>0</v>
      </c>
    </row>
    <row r="151" spans="1:229" ht="12.75" customHeight="1" x14ac:dyDescent="0.2">
      <c r="A151" s="3671"/>
      <c r="B151" s="3678"/>
      <c r="C151" s="511">
        <v>4</v>
      </c>
      <c r="D151" s="585" t="s">
        <v>393</v>
      </c>
      <c r="E151" s="663">
        <v>10</v>
      </c>
      <c r="F151" s="678">
        <v>650</v>
      </c>
      <c r="G151" s="701">
        <f t="shared" si="594"/>
        <v>65</v>
      </c>
      <c r="H151" s="729">
        <v>0</v>
      </c>
      <c r="I151" s="678">
        <v>0</v>
      </c>
      <c r="J151" s="485">
        <v>0</v>
      </c>
      <c r="K151" s="729">
        <v>0</v>
      </c>
      <c r="L151" s="730">
        <v>0</v>
      </c>
      <c r="M151" s="485">
        <v>0</v>
      </c>
      <c r="N151" s="703">
        <f t="shared" si="595"/>
        <v>650</v>
      </c>
      <c r="O151" s="518">
        <v>562334.58399999992</v>
      </c>
      <c r="P151" s="340">
        <v>4016726.29</v>
      </c>
      <c r="Q151" s="705">
        <v>1044335.6560000001</v>
      </c>
      <c r="R151" s="485">
        <v>5334626.7</v>
      </c>
      <c r="S151" s="713">
        <f t="shared" si="596"/>
        <v>5334626.7</v>
      </c>
      <c r="T151" s="726">
        <v>952861</v>
      </c>
      <c r="U151" s="547">
        <v>0</v>
      </c>
      <c r="V151" s="547">
        <v>0</v>
      </c>
      <c r="W151" s="548">
        <v>0</v>
      </c>
      <c r="X151" s="549">
        <v>0</v>
      </c>
      <c r="Y151" s="549">
        <v>0</v>
      </c>
      <c r="Z151" s="549">
        <v>0</v>
      </c>
      <c r="AA151" s="525">
        <f t="shared" si="710"/>
        <v>0</v>
      </c>
      <c r="AB151" s="524">
        <f t="shared" si="710"/>
        <v>0</v>
      </c>
      <c r="AC151" s="526">
        <f>AB151/R151</f>
        <v>0</v>
      </c>
      <c r="AD151" s="547">
        <v>0</v>
      </c>
      <c r="AE151" s="547">
        <v>0</v>
      </c>
      <c r="AF151" s="547">
        <v>0</v>
      </c>
      <c r="AG151" s="547">
        <v>0</v>
      </c>
      <c r="AH151" s="363">
        <f t="shared" si="597"/>
        <v>0</v>
      </c>
      <c r="AI151" s="547">
        <f t="shared" si="598"/>
        <v>0</v>
      </c>
      <c r="AJ151" s="550">
        <f t="shared" si="599"/>
        <v>0</v>
      </c>
      <c r="AK151" s="551">
        <f t="shared" si="600"/>
        <v>0</v>
      </c>
      <c r="AL151" s="669"/>
      <c r="AM151" s="502"/>
      <c r="AN151" s="725">
        <v>0</v>
      </c>
      <c r="AO151" s="498"/>
      <c r="AP151" s="499"/>
      <c r="AQ151" s="499"/>
      <c r="AR151" s="499"/>
      <c r="AS151" s="499">
        <f t="shared" si="601"/>
        <v>0</v>
      </c>
      <c r="AT151" s="671">
        <f t="shared" si="602"/>
        <v>0</v>
      </c>
      <c r="AU151" s="712"/>
      <c r="AV151" s="502"/>
      <c r="AW151" s="502"/>
      <c r="AX151" s="502"/>
      <c r="AY151" s="502">
        <f t="shared" si="603"/>
        <v>0</v>
      </c>
      <c r="AZ151" s="660">
        <f t="shared" si="604"/>
        <v>0</v>
      </c>
      <c r="BA151" s="535">
        <f t="shared" si="605"/>
        <v>0</v>
      </c>
      <c r="BB151" s="536">
        <f t="shared" si="606"/>
        <v>0</v>
      </c>
      <c r="BC151" s="523">
        <f t="shared" si="607"/>
        <v>0</v>
      </c>
      <c r="BD151" s="525">
        <f t="shared" si="608"/>
        <v>0</v>
      </c>
      <c r="BE151" s="525">
        <f t="shared" si="609"/>
        <v>0</v>
      </c>
      <c r="BF151" s="525">
        <f t="shared" si="610"/>
        <v>0</v>
      </c>
      <c r="BG151" s="525">
        <f t="shared" si="611"/>
        <v>0</v>
      </c>
      <c r="BH151" s="525">
        <f t="shared" si="612"/>
        <v>0</v>
      </c>
      <c r="BI151" s="526">
        <f t="shared" si="573"/>
        <v>0</v>
      </c>
      <c r="BJ151" s="537">
        <f t="shared" si="613"/>
        <v>0</v>
      </c>
      <c r="BK151" s="538">
        <f t="shared" si="614"/>
        <v>0</v>
      </c>
      <c r="BL151" s="538">
        <f t="shared" si="615"/>
        <v>0</v>
      </c>
      <c r="BM151" s="538">
        <f t="shared" si="616"/>
        <v>0</v>
      </c>
      <c r="BN151" s="538">
        <f t="shared" si="617"/>
        <v>0</v>
      </c>
      <c r="BO151" s="538">
        <f t="shared" si="618"/>
        <v>0</v>
      </c>
      <c r="BP151" s="539">
        <f t="shared" si="575"/>
        <v>0</v>
      </c>
      <c r="BQ151" s="540">
        <f t="shared" si="576"/>
        <v>0</v>
      </c>
      <c r="BR151" s="669"/>
      <c r="BS151" s="502"/>
      <c r="BT151" s="725"/>
      <c r="BU151" s="498"/>
      <c r="BV151" s="499"/>
      <c r="BW151" s="499"/>
      <c r="BX151" s="499"/>
      <c r="BY151" s="499">
        <f t="shared" si="619"/>
        <v>0</v>
      </c>
      <c r="BZ151" s="671">
        <f t="shared" si="620"/>
        <v>0</v>
      </c>
      <c r="CA151" s="712"/>
      <c r="CB151" s="502"/>
      <c r="CC151" s="502"/>
      <c r="CD151" s="502"/>
      <c r="CE151" s="502">
        <f t="shared" si="621"/>
        <v>0</v>
      </c>
      <c r="CF151" s="660">
        <f t="shared" si="622"/>
        <v>0</v>
      </c>
      <c r="CG151" s="1138">
        <f t="shared" si="623"/>
        <v>0</v>
      </c>
      <c r="CH151" s="536">
        <f t="shared" si="624"/>
        <v>0</v>
      </c>
      <c r="CI151" s="523">
        <f t="shared" si="625"/>
        <v>0</v>
      </c>
      <c r="CJ151" s="525">
        <f t="shared" si="626"/>
        <v>0</v>
      </c>
      <c r="CK151" s="525">
        <f t="shared" si="627"/>
        <v>0</v>
      </c>
      <c r="CL151" s="525">
        <f t="shared" si="628"/>
        <v>0</v>
      </c>
      <c r="CM151" s="525">
        <f t="shared" si="629"/>
        <v>0</v>
      </c>
      <c r="CN151" s="525">
        <f t="shared" si="630"/>
        <v>0</v>
      </c>
      <c r="CO151" s="526">
        <f t="shared" si="631"/>
        <v>0</v>
      </c>
      <c r="CP151" s="537">
        <f t="shared" si="632"/>
        <v>0</v>
      </c>
      <c r="CQ151" s="538">
        <f t="shared" si="633"/>
        <v>0</v>
      </c>
      <c r="CR151" s="538">
        <f t="shared" si="634"/>
        <v>0</v>
      </c>
      <c r="CS151" s="538">
        <f t="shared" si="635"/>
        <v>0</v>
      </c>
      <c r="CT151" s="538">
        <f t="shared" si="636"/>
        <v>0</v>
      </c>
      <c r="CU151" s="538">
        <f t="shared" si="637"/>
        <v>0</v>
      </c>
      <c r="CV151" s="539">
        <f t="shared" si="638"/>
        <v>0</v>
      </c>
      <c r="CW151" s="540">
        <f t="shared" si="639"/>
        <v>0</v>
      </c>
      <c r="CX151" s="669"/>
      <c r="CY151" s="502"/>
      <c r="CZ151" s="725"/>
      <c r="DA151" s="498"/>
      <c r="DB151" s="499"/>
      <c r="DC151" s="499">
        <v>1044335.66</v>
      </c>
      <c r="DD151" s="499"/>
      <c r="DE151" s="499">
        <f t="shared" si="640"/>
        <v>1044335.66</v>
      </c>
      <c r="DF151" s="671">
        <f t="shared" si="641"/>
        <v>0</v>
      </c>
      <c r="DG151" s="712"/>
      <c r="DH151" s="502"/>
      <c r="DI151" s="502"/>
      <c r="DJ151" s="502"/>
      <c r="DK151" s="502">
        <f t="shared" si="642"/>
        <v>0</v>
      </c>
      <c r="DL151" s="660">
        <f t="shared" si="643"/>
        <v>0</v>
      </c>
      <c r="DM151" s="1138">
        <f t="shared" si="644"/>
        <v>0</v>
      </c>
      <c r="DN151" s="536">
        <f t="shared" si="645"/>
        <v>0</v>
      </c>
      <c r="DO151" s="523">
        <f t="shared" si="646"/>
        <v>0</v>
      </c>
      <c r="DP151" s="525">
        <f t="shared" si="647"/>
        <v>0</v>
      </c>
      <c r="DQ151" s="525">
        <f t="shared" si="648"/>
        <v>1044335.66</v>
      </c>
      <c r="DR151" s="525">
        <f t="shared" si="649"/>
        <v>0</v>
      </c>
      <c r="DS151" s="525">
        <f t="shared" si="650"/>
        <v>1044335.66</v>
      </c>
      <c r="DT151" s="525">
        <f t="shared" si="651"/>
        <v>0</v>
      </c>
      <c r="DU151" s="526">
        <f t="shared" si="652"/>
        <v>0</v>
      </c>
      <c r="DV151" s="537">
        <f t="shared" si="653"/>
        <v>0</v>
      </c>
      <c r="DW151" s="538">
        <f t="shared" si="654"/>
        <v>0</v>
      </c>
      <c r="DX151" s="538">
        <f t="shared" si="655"/>
        <v>0</v>
      </c>
      <c r="DY151" s="538">
        <f t="shared" si="656"/>
        <v>0</v>
      </c>
      <c r="DZ151" s="538">
        <f t="shared" si="657"/>
        <v>0</v>
      </c>
      <c r="EA151" s="538">
        <f t="shared" si="658"/>
        <v>0</v>
      </c>
      <c r="EB151" s="539">
        <f t="shared" si="659"/>
        <v>0</v>
      </c>
      <c r="EC151" s="540">
        <f>DM151/T151</f>
        <v>0</v>
      </c>
      <c r="ED151" s="669">
        <v>0</v>
      </c>
      <c r="EE151" s="502"/>
      <c r="EF151" s="725"/>
      <c r="EG151" s="498"/>
      <c r="EH151" s="499"/>
      <c r="EI151" s="499"/>
      <c r="EJ151" s="499"/>
      <c r="EK151" s="499">
        <f t="shared" si="660"/>
        <v>0</v>
      </c>
      <c r="EL151" s="671">
        <f t="shared" si="661"/>
        <v>0</v>
      </c>
      <c r="EM151" s="712"/>
      <c r="EN151" s="502"/>
      <c r="EO151" s="502"/>
      <c r="EP151" s="502"/>
      <c r="EQ151" s="502">
        <f t="shared" si="662"/>
        <v>0</v>
      </c>
      <c r="ER151" s="660">
        <f t="shared" si="663"/>
        <v>0</v>
      </c>
      <c r="ES151" s="1138">
        <f t="shared" si="664"/>
        <v>0</v>
      </c>
      <c r="ET151" s="536">
        <f t="shared" si="665"/>
        <v>0</v>
      </c>
      <c r="EU151" s="523">
        <f t="shared" si="666"/>
        <v>0</v>
      </c>
      <c r="EV151" s="1510">
        <f t="shared" si="667"/>
        <v>0</v>
      </c>
      <c r="EW151" s="1513">
        <f t="shared" si="667"/>
        <v>1044335.66</v>
      </c>
      <c r="EX151" s="525">
        <f t="shared" si="667"/>
        <v>0</v>
      </c>
      <c r="EY151" s="524">
        <f t="shared" si="667"/>
        <v>1044335.66</v>
      </c>
      <c r="EZ151" s="524">
        <f t="shared" si="667"/>
        <v>0</v>
      </c>
      <c r="FA151" s="526">
        <f t="shared" si="668"/>
        <v>0</v>
      </c>
      <c r="FB151" s="537">
        <f t="shared" si="669"/>
        <v>0</v>
      </c>
      <c r="FC151" s="538">
        <f t="shared" si="670"/>
        <v>0</v>
      </c>
      <c r="FD151" s="538">
        <f t="shared" si="670"/>
        <v>0</v>
      </c>
      <c r="FE151" s="538">
        <f t="shared" si="670"/>
        <v>0</v>
      </c>
      <c r="FF151" s="538">
        <f t="shared" si="670"/>
        <v>0</v>
      </c>
      <c r="FG151" s="538">
        <f t="shared" si="670"/>
        <v>0</v>
      </c>
      <c r="FH151" s="539">
        <f t="shared" si="315"/>
        <v>0</v>
      </c>
      <c r="FI151" s="883">
        <f t="shared" si="494"/>
        <v>0</v>
      </c>
      <c r="FJ151" s="669">
        <v>88707.5</v>
      </c>
      <c r="FK151" s="502"/>
      <c r="FL151" s="725"/>
      <c r="FM151" s="498">
        <v>88707.5</v>
      </c>
      <c r="FN151" s="499"/>
      <c r="FO151" s="499"/>
      <c r="FP151" s="499"/>
      <c r="FQ151" s="499">
        <f t="shared" si="671"/>
        <v>88707.5</v>
      </c>
      <c r="FR151" s="671">
        <f t="shared" si="672"/>
        <v>0</v>
      </c>
      <c r="FS151" s="712"/>
      <c r="FT151" s="502"/>
      <c r="FU151" s="502"/>
      <c r="FV151" s="502"/>
      <c r="FW151" s="502">
        <f t="shared" si="673"/>
        <v>0</v>
      </c>
      <c r="FX151" s="660">
        <f t="shared" si="674"/>
        <v>0</v>
      </c>
      <c r="FY151" s="1138">
        <f t="shared" si="675"/>
        <v>0</v>
      </c>
      <c r="FZ151" s="536">
        <f t="shared" si="676"/>
        <v>0</v>
      </c>
      <c r="GA151" s="1510">
        <f t="shared" si="677"/>
        <v>88707.5</v>
      </c>
      <c r="GB151" s="525">
        <f t="shared" si="678"/>
        <v>0</v>
      </c>
      <c r="GC151" s="525">
        <f t="shared" si="679"/>
        <v>1044335.66</v>
      </c>
      <c r="GD151" s="525">
        <f t="shared" si="680"/>
        <v>0</v>
      </c>
      <c r="GE151" s="525">
        <f t="shared" si="681"/>
        <v>1133043.1600000001</v>
      </c>
      <c r="GF151" s="524">
        <f t="shared" si="682"/>
        <v>0</v>
      </c>
      <c r="GG151" s="526">
        <f t="shared" si="683"/>
        <v>0</v>
      </c>
      <c r="GH151" s="537">
        <f t="shared" si="684"/>
        <v>0</v>
      </c>
      <c r="GI151" s="538">
        <f t="shared" si="685"/>
        <v>0</v>
      </c>
      <c r="GJ151" s="538">
        <f t="shared" si="686"/>
        <v>0</v>
      </c>
      <c r="GK151" s="538">
        <f t="shared" si="687"/>
        <v>0</v>
      </c>
      <c r="GL151" s="538">
        <f t="shared" si="688"/>
        <v>0</v>
      </c>
      <c r="GM151" s="538">
        <f t="shared" si="689"/>
        <v>0</v>
      </c>
      <c r="GN151" s="539">
        <f t="shared" si="690"/>
        <v>0</v>
      </c>
      <c r="GO151" s="540">
        <f t="shared" si="691"/>
        <v>0</v>
      </c>
      <c r="GP151" s="669">
        <v>88707.5</v>
      </c>
      <c r="GQ151" s="502"/>
      <c r="GR151" s="725"/>
      <c r="GS151" s="498">
        <v>88707.5</v>
      </c>
      <c r="GT151" s="499"/>
      <c r="GU151" s="499"/>
      <c r="GV151" s="499"/>
      <c r="GW151" s="499">
        <f t="shared" si="692"/>
        <v>88707.5</v>
      </c>
      <c r="GX151" s="671">
        <f t="shared" si="693"/>
        <v>0</v>
      </c>
      <c r="GY151" s="712"/>
      <c r="GZ151" s="502">
        <v>0</v>
      </c>
      <c r="HA151" s="502"/>
      <c r="HB151" s="502">
        <v>0</v>
      </c>
      <c r="HC151" s="502">
        <f t="shared" si="694"/>
        <v>0</v>
      </c>
      <c r="HD151" s="660">
        <f t="shared" si="695"/>
        <v>0</v>
      </c>
      <c r="HE151" s="1674">
        <f t="shared" si="696"/>
        <v>0</v>
      </c>
      <c r="HF151" s="536">
        <f t="shared" si="697"/>
        <v>0</v>
      </c>
      <c r="HG151" s="1510">
        <f t="shared" si="698"/>
        <v>177415</v>
      </c>
      <c r="HH151" s="525">
        <f t="shared" si="699"/>
        <v>0</v>
      </c>
      <c r="HI151" s="525">
        <f t="shared" si="700"/>
        <v>1044335.66</v>
      </c>
      <c r="HJ151" s="525">
        <f t="shared" si="701"/>
        <v>0</v>
      </c>
      <c r="HK151" s="525">
        <f t="shared" si="702"/>
        <v>1221750.6600000001</v>
      </c>
      <c r="HL151" s="524">
        <f t="shared" si="703"/>
        <v>0</v>
      </c>
      <c r="HM151" s="626">
        <f t="shared" si="519"/>
        <v>0</v>
      </c>
      <c r="HN151" s="537">
        <f t="shared" si="704"/>
        <v>0</v>
      </c>
      <c r="HO151" s="538">
        <f t="shared" si="705"/>
        <v>0</v>
      </c>
      <c r="HP151" s="538">
        <f t="shared" si="706"/>
        <v>0</v>
      </c>
      <c r="HQ151" s="538">
        <f t="shared" si="707"/>
        <v>0</v>
      </c>
      <c r="HR151" s="538">
        <f t="shared" si="708"/>
        <v>0</v>
      </c>
      <c r="HS151" s="538">
        <f t="shared" si="709"/>
        <v>0</v>
      </c>
      <c r="HT151" s="539">
        <f t="shared" si="592"/>
        <v>0</v>
      </c>
      <c r="HU151" s="540">
        <f t="shared" si="593"/>
        <v>0</v>
      </c>
    </row>
    <row r="152" spans="1:229" ht="12.75" customHeight="1" x14ac:dyDescent="0.2">
      <c r="A152" s="3671"/>
      <c r="B152" s="3678"/>
      <c r="C152" s="511">
        <v>5</v>
      </c>
      <c r="D152" s="585" t="s">
        <v>318</v>
      </c>
      <c r="E152" s="663">
        <v>16</v>
      </c>
      <c r="F152" s="258">
        <v>881.85</v>
      </c>
      <c r="G152" s="728">
        <f t="shared" si="594"/>
        <v>55.115625000000001</v>
      </c>
      <c r="H152" s="516">
        <v>16</v>
      </c>
      <c r="I152" s="258">
        <v>168.5</v>
      </c>
      <c r="J152" s="258">
        <f>I152/H152</f>
        <v>10.53125</v>
      </c>
      <c r="K152" s="516">
        <v>0</v>
      </c>
      <c r="L152" s="258">
        <v>0</v>
      </c>
      <c r="M152" s="258">
        <v>0</v>
      </c>
      <c r="N152" s="703">
        <f t="shared" si="595"/>
        <v>1050.3499999999999</v>
      </c>
      <c r="O152" s="518">
        <v>860519.68027199991</v>
      </c>
      <c r="P152" s="340">
        <v>6146646.7138200002</v>
      </c>
      <c r="Q152" s="705">
        <v>1598107.977648</v>
      </c>
      <c r="R152" s="485">
        <f>SUM(O152:Q152)</f>
        <v>8605274.3717400003</v>
      </c>
      <c r="S152" s="713">
        <f t="shared" si="596"/>
        <v>8605274.3717400003</v>
      </c>
      <c r="T152" s="726">
        <v>1516199.39</v>
      </c>
      <c r="U152" s="547">
        <v>0</v>
      </c>
      <c r="V152" s="547">
        <v>0</v>
      </c>
      <c r="W152" s="548">
        <v>0</v>
      </c>
      <c r="X152" s="549">
        <v>0</v>
      </c>
      <c r="Y152" s="549">
        <v>1598107.98</v>
      </c>
      <c r="Z152" s="549">
        <v>0</v>
      </c>
      <c r="AA152" s="525">
        <f t="shared" si="710"/>
        <v>1598107.98</v>
      </c>
      <c r="AB152" s="524">
        <f t="shared" si="710"/>
        <v>0</v>
      </c>
      <c r="AC152" s="526">
        <f>AB152/R152</f>
        <v>0</v>
      </c>
      <c r="AD152" s="547">
        <v>0</v>
      </c>
      <c r="AE152" s="547">
        <v>0</v>
      </c>
      <c r="AF152" s="547">
        <v>0</v>
      </c>
      <c r="AG152" s="547">
        <v>0</v>
      </c>
      <c r="AH152" s="363">
        <f t="shared" si="597"/>
        <v>0</v>
      </c>
      <c r="AI152" s="547">
        <f t="shared" si="598"/>
        <v>0</v>
      </c>
      <c r="AJ152" s="550">
        <f t="shared" si="599"/>
        <v>0</v>
      </c>
      <c r="AK152" s="551">
        <f t="shared" si="600"/>
        <v>0</v>
      </c>
      <c r="AL152" s="731"/>
      <c r="AM152" s="502">
        <f>AP152</f>
        <v>96106.72</v>
      </c>
      <c r="AN152" s="725">
        <v>0</v>
      </c>
      <c r="AO152" s="498"/>
      <c r="AP152" s="531">
        <f>14884+40611.36*2</f>
        <v>96106.72</v>
      </c>
      <c r="AQ152" s="499"/>
      <c r="AR152" s="499"/>
      <c r="AS152" s="499">
        <f t="shared" si="601"/>
        <v>0</v>
      </c>
      <c r="AT152" s="671">
        <f t="shared" si="602"/>
        <v>96106.72</v>
      </c>
      <c r="AU152" s="712"/>
      <c r="AV152" s="502"/>
      <c r="AW152" s="502"/>
      <c r="AX152" s="502"/>
      <c r="AY152" s="502">
        <f t="shared" si="603"/>
        <v>0</v>
      </c>
      <c r="AZ152" s="660">
        <f t="shared" si="604"/>
        <v>0</v>
      </c>
      <c r="BA152" s="535">
        <f t="shared" si="605"/>
        <v>96106.72</v>
      </c>
      <c r="BB152" s="536">
        <f t="shared" si="606"/>
        <v>0</v>
      </c>
      <c r="BC152" s="523">
        <f t="shared" si="607"/>
        <v>0</v>
      </c>
      <c r="BD152" s="525">
        <f t="shared" si="608"/>
        <v>96106.72</v>
      </c>
      <c r="BE152" s="525">
        <f t="shared" si="609"/>
        <v>1598107.98</v>
      </c>
      <c r="BF152" s="525">
        <f t="shared" si="610"/>
        <v>0</v>
      </c>
      <c r="BG152" s="525">
        <f t="shared" si="611"/>
        <v>1598107.98</v>
      </c>
      <c r="BH152" s="525">
        <f t="shared" si="612"/>
        <v>96106.72</v>
      </c>
      <c r="BI152" s="526">
        <f t="shared" si="573"/>
        <v>1.1168350461388841E-2</v>
      </c>
      <c r="BJ152" s="537">
        <f t="shared" si="613"/>
        <v>0</v>
      </c>
      <c r="BK152" s="538">
        <f t="shared" si="614"/>
        <v>0</v>
      </c>
      <c r="BL152" s="538">
        <f t="shared" si="615"/>
        <v>0</v>
      </c>
      <c r="BM152" s="538">
        <f t="shared" si="616"/>
        <v>0</v>
      </c>
      <c r="BN152" s="538">
        <f t="shared" si="617"/>
        <v>0</v>
      </c>
      <c r="BO152" s="538">
        <f t="shared" si="618"/>
        <v>0</v>
      </c>
      <c r="BP152" s="539">
        <f t="shared" si="575"/>
        <v>0</v>
      </c>
      <c r="BQ152" s="540">
        <f t="shared" si="576"/>
        <v>6.3386597194185657E-2</v>
      </c>
      <c r="BR152" s="731"/>
      <c r="BS152" s="502"/>
      <c r="BT152" s="725"/>
      <c r="BU152" s="498"/>
      <c r="BV152" s="531"/>
      <c r="BW152" s="499"/>
      <c r="BX152" s="499"/>
      <c r="BY152" s="499">
        <f t="shared" si="619"/>
        <v>0</v>
      </c>
      <c r="BZ152" s="671">
        <f t="shared" si="620"/>
        <v>0</v>
      </c>
      <c r="CA152" s="712"/>
      <c r="CB152" s="502"/>
      <c r="CC152" s="502"/>
      <c r="CD152" s="502"/>
      <c r="CE152" s="502">
        <f t="shared" si="621"/>
        <v>0</v>
      </c>
      <c r="CF152" s="660">
        <f t="shared" si="622"/>
        <v>0</v>
      </c>
      <c r="CG152" s="1138">
        <f t="shared" si="623"/>
        <v>96106.72</v>
      </c>
      <c r="CH152" s="536">
        <f t="shared" si="624"/>
        <v>0</v>
      </c>
      <c r="CI152" s="523">
        <f t="shared" si="625"/>
        <v>0</v>
      </c>
      <c r="CJ152" s="525">
        <f t="shared" si="626"/>
        <v>96106.72</v>
      </c>
      <c r="CK152" s="525">
        <f t="shared" si="627"/>
        <v>1598107.98</v>
      </c>
      <c r="CL152" s="525">
        <f t="shared" si="628"/>
        <v>0</v>
      </c>
      <c r="CM152" s="525">
        <f t="shared" si="629"/>
        <v>1598107.98</v>
      </c>
      <c r="CN152" s="525">
        <f t="shared" si="630"/>
        <v>96106.72</v>
      </c>
      <c r="CO152" s="526">
        <f t="shared" si="631"/>
        <v>1.1168350461388841E-2</v>
      </c>
      <c r="CP152" s="537">
        <f t="shared" si="632"/>
        <v>0</v>
      </c>
      <c r="CQ152" s="538">
        <f t="shared" si="633"/>
        <v>0</v>
      </c>
      <c r="CR152" s="538">
        <f t="shared" si="634"/>
        <v>0</v>
      </c>
      <c r="CS152" s="538">
        <f t="shared" si="635"/>
        <v>0</v>
      </c>
      <c r="CT152" s="538">
        <f t="shared" si="636"/>
        <v>0</v>
      </c>
      <c r="CU152" s="538">
        <f t="shared" si="637"/>
        <v>0</v>
      </c>
      <c r="CV152" s="539">
        <f t="shared" si="638"/>
        <v>0</v>
      </c>
      <c r="CW152" s="540">
        <f t="shared" si="639"/>
        <v>6.3386597194185657E-2</v>
      </c>
      <c r="CX152" s="731"/>
      <c r="CY152" s="502"/>
      <c r="CZ152" s="725"/>
      <c r="DA152" s="498"/>
      <c r="DB152" s="531"/>
      <c r="DC152" s="499"/>
      <c r="DD152" s="499"/>
      <c r="DE152" s="499">
        <f t="shared" si="640"/>
        <v>0</v>
      </c>
      <c r="DF152" s="671">
        <f t="shared" si="641"/>
        <v>0</v>
      </c>
      <c r="DG152" s="712"/>
      <c r="DH152" s="502"/>
      <c r="DI152" s="502"/>
      <c r="DJ152" s="502"/>
      <c r="DK152" s="502">
        <f t="shared" si="642"/>
        <v>0</v>
      </c>
      <c r="DL152" s="660">
        <f t="shared" si="643"/>
        <v>0</v>
      </c>
      <c r="DM152" s="1138">
        <f t="shared" si="644"/>
        <v>96106.72</v>
      </c>
      <c r="DN152" s="536">
        <f t="shared" si="645"/>
        <v>0</v>
      </c>
      <c r="DO152" s="523">
        <f t="shared" si="646"/>
        <v>0</v>
      </c>
      <c r="DP152" s="525">
        <f t="shared" si="647"/>
        <v>96106.72</v>
      </c>
      <c r="DQ152" s="525">
        <f t="shared" si="648"/>
        <v>1598107.98</v>
      </c>
      <c r="DR152" s="525">
        <f t="shared" si="649"/>
        <v>0</v>
      </c>
      <c r="DS152" s="525">
        <f t="shared" si="650"/>
        <v>1598107.98</v>
      </c>
      <c r="DT152" s="525">
        <f t="shared" si="651"/>
        <v>96106.72</v>
      </c>
      <c r="DU152" s="526">
        <f t="shared" si="652"/>
        <v>1.1168350461388841E-2</v>
      </c>
      <c r="DV152" s="537">
        <f t="shared" si="653"/>
        <v>0</v>
      </c>
      <c r="DW152" s="538">
        <f t="shared" si="654"/>
        <v>0</v>
      </c>
      <c r="DX152" s="538">
        <f t="shared" si="655"/>
        <v>0</v>
      </c>
      <c r="DY152" s="538">
        <f t="shared" si="656"/>
        <v>0</v>
      </c>
      <c r="DZ152" s="538">
        <f t="shared" si="657"/>
        <v>0</v>
      </c>
      <c r="EA152" s="538">
        <f t="shared" si="658"/>
        <v>0</v>
      </c>
      <c r="EB152" s="539">
        <f t="shared" si="659"/>
        <v>0</v>
      </c>
      <c r="EC152" s="540">
        <f>DM152/T152</f>
        <v>6.3386597194185657E-2</v>
      </c>
      <c r="ED152" s="731">
        <v>577206.91</v>
      </c>
      <c r="EE152" s="502"/>
      <c r="EF152" s="725"/>
      <c r="EG152" s="498">
        <v>577206.91</v>
      </c>
      <c r="EH152" s="531"/>
      <c r="EI152" s="499"/>
      <c r="EJ152" s="499"/>
      <c r="EK152" s="499">
        <f t="shared" si="660"/>
        <v>577206.91</v>
      </c>
      <c r="EL152" s="671">
        <f t="shared" si="661"/>
        <v>0</v>
      </c>
      <c r="EM152" s="712"/>
      <c r="EN152" s="502"/>
      <c r="EO152" s="502"/>
      <c r="EP152" s="502"/>
      <c r="EQ152" s="502">
        <f t="shared" si="662"/>
        <v>0</v>
      </c>
      <c r="ER152" s="660">
        <f t="shared" si="663"/>
        <v>0</v>
      </c>
      <c r="ES152" s="1138">
        <f t="shared" si="664"/>
        <v>96106.72</v>
      </c>
      <c r="ET152" s="536">
        <f t="shared" si="665"/>
        <v>0</v>
      </c>
      <c r="EU152" s="523">
        <f t="shared" si="666"/>
        <v>577206.91</v>
      </c>
      <c r="EV152" s="1510">
        <f t="shared" si="667"/>
        <v>96106.72</v>
      </c>
      <c r="EW152" s="1513">
        <f t="shared" si="667"/>
        <v>1598107.98</v>
      </c>
      <c r="EX152" s="525">
        <f t="shared" si="667"/>
        <v>0</v>
      </c>
      <c r="EY152" s="524">
        <f t="shared" si="667"/>
        <v>2175314.89</v>
      </c>
      <c r="EZ152" s="524">
        <f t="shared" si="667"/>
        <v>96106.72</v>
      </c>
      <c r="FA152" s="526">
        <f t="shared" si="668"/>
        <v>1.1168350461388841E-2</v>
      </c>
      <c r="FB152" s="537">
        <f t="shared" si="669"/>
        <v>0</v>
      </c>
      <c r="FC152" s="538">
        <f t="shared" si="670"/>
        <v>0</v>
      </c>
      <c r="FD152" s="538">
        <f t="shared" si="670"/>
        <v>0</v>
      </c>
      <c r="FE152" s="538">
        <f t="shared" si="670"/>
        <v>0</v>
      </c>
      <c r="FF152" s="538">
        <f t="shared" si="670"/>
        <v>0</v>
      </c>
      <c r="FG152" s="538">
        <f t="shared" si="670"/>
        <v>0</v>
      </c>
      <c r="FH152" s="539">
        <f t="shared" si="315"/>
        <v>0</v>
      </c>
      <c r="FI152" s="883">
        <f t="shared" si="494"/>
        <v>6.3386597194185657E-2</v>
      </c>
      <c r="FJ152" s="731">
        <v>577206.91</v>
      </c>
      <c r="FK152" s="502"/>
      <c r="FL152" s="725"/>
      <c r="FM152" s="498">
        <v>577206.91</v>
      </c>
      <c r="FN152" s="531"/>
      <c r="FO152" s="499"/>
      <c r="FP152" s="499"/>
      <c r="FQ152" s="499">
        <f t="shared" si="671"/>
        <v>577206.91</v>
      </c>
      <c r="FR152" s="671">
        <f t="shared" si="672"/>
        <v>0</v>
      </c>
      <c r="FS152" s="712">
        <v>1626396.86</v>
      </c>
      <c r="FT152" s="502"/>
      <c r="FU152" s="502"/>
      <c r="FV152" s="502"/>
      <c r="FW152" s="502">
        <f t="shared" si="673"/>
        <v>1626396.86</v>
      </c>
      <c r="FX152" s="660">
        <f t="shared" si="674"/>
        <v>0</v>
      </c>
      <c r="FY152" s="1138">
        <f t="shared" si="675"/>
        <v>96106.72</v>
      </c>
      <c r="FZ152" s="536">
        <f t="shared" si="676"/>
        <v>0</v>
      </c>
      <c r="GA152" s="1510">
        <f t="shared" si="677"/>
        <v>1154413.82</v>
      </c>
      <c r="GB152" s="525">
        <f t="shared" si="678"/>
        <v>96106.72</v>
      </c>
      <c r="GC152" s="525">
        <f t="shared" si="679"/>
        <v>1598107.98</v>
      </c>
      <c r="GD152" s="525">
        <f t="shared" si="680"/>
        <v>0</v>
      </c>
      <c r="GE152" s="525">
        <f t="shared" si="681"/>
        <v>2752521.8000000003</v>
      </c>
      <c r="GF152" s="524">
        <f t="shared" si="682"/>
        <v>96106.72</v>
      </c>
      <c r="GG152" s="526">
        <f t="shared" si="683"/>
        <v>1.1168350461388841E-2</v>
      </c>
      <c r="GH152" s="537">
        <f t="shared" si="684"/>
        <v>1626396.86</v>
      </c>
      <c r="GI152" s="538">
        <f t="shared" si="685"/>
        <v>0</v>
      </c>
      <c r="GJ152" s="538">
        <f t="shared" si="686"/>
        <v>0</v>
      </c>
      <c r="GK152" s="538">
        <f t="shared" si="687"/>
        <v>0</v>
      </c>
      <c r="GL152" s="538">
        <f t="shared" si="688"/>
        <v>1626396.86</v>
      </c>
      <c r="GM152" s="538">
        <f t="shared" si="689"/>
        <v>0</v>
      </c>
      <c r="GN152" s="539">
        <f t="shared" si="690"/>
        <v>0</v>
      </c>
      <c r="GO152" s="540">
        <f t="shared" si="691"/>
        <v>6.3386597194185657E-2</v>
      </c>
      <c r="GP152" s="731">
        <v>301544.99</v>
      </c>
      <c r="GQ152" s="502"/>
      <c r="GR152" s="725"/>
      <c r="GS152" s="498">
        <v>577206.91</v>
      </c>
      <c r="GT152" s="531"/>
      <c r="GU152" s="499"/>
      <c r="GV152" s="499"/>
      <c r="GW152" s="499">
        <f t="shared" si="692"/>
        <v>577206.91</v>
      </c>
      <c r="GX152" s="671">
        <f t="shared" si="693"/>
        <v>0</v>
      </c>
      <c r="GY152" s="712">
        <v>3020451.3</v>
      </c>
      <c r="GZ152" s="502">
        <v>0</v>
      </c>
      <c r="HA152" s="502"/>
      <c r="HB152" s="502">
        <v>0</v>
      </c>
      <c r="HC152" s="502">
        <f t="shared" si="694"/>
        <v>3020451.3</v>
      </c>
      <c r="HD152" s="660">
        <f t="shared" si="695"/>
        <v>0</v>
      </c>
      <c r="HE152" s="1674">
        <f t="shared" si="696"/>
        <v>96106.72</v>
      </c>
      <c r="HF152" s="536">
        <f t="shared" si="697"/>
        <v>0</v>
      </c>
      <c r="HG152" s="1510">
        <f t="shared" si="698"/>
        <v>1731620.73</v>
      </c>
      <c r="HH152" s="525">
        <f t="shared" si="699"/>
        <v>96106.72</v>
      </c>
      <c r="HI152" s="525">
        <f t="shared" si="700"/>
        <v>1598107.98</v>
      </c>
      <c r="HJ152" s="525">
        <f t="shared" si="701"/>
        <v>0</v>
      </c>
      <c r="HK152" s="525">
        <f t="shared" si="702"/>
        <v>3329728.7100000004</v>
      </c>
      <c r="HL152" s="524">
        <f t="shared" si="703"/>
        <v>96106.72</v>
      </c>
      <c r="HM152" s="626">
        <f t="shared" si="519"/>
        <v>1.1168350461388841E-2</v>
      </c>
      <c r="HN152" s="537">
        <f t="shared" si="704"/>
        <v>4646848.16</v>
      </c>
      <c r="HO152" s="538">
        <f t="shared" si="705"/>
        <v>0</v>
      </c>
      <c r="HP152" s="538">
        <f t="shared" si="706"/>
        <v>0</v>
      </c>
      <c r="HQ152" s="538">
        <f t="shared" si="707"/>
        <v>0</v>
      </c>
      <c r="HR152" s="538">
        <f t="shared" si="708"/>
        <v>4646848.16</v>
      </c>
      <c r="HS152" s="538">
        <f t="shared" si="709"/>
        <v>0</v>
      </c>
      <c r="HT152" s="539">
        <f t="shared" si="592"/>
        <v>0</v>
      </c>
      <c r="HU152" s="540">
        <f t="shared" si="593"/>
        <v>6.3386597194185657E-2</v>
      </c>
    </row>
    <row r="153" spans="1:229" ht="13.5" customHeight="1" thickBot="1" x14ac:dyDescent="0.25">
      <c r="A153" s="3671"/>
      <c r="B153" s="3678"/>
      <c r="C153" s="593">
        <v>6</v>
      </c>
      <c r="D153" s="629" t="s">
        <v>320</v>
      </c>
      <c r="E153" s="718">
        <v>65</v>
      </c>
      <c r="F153" s="630">
        <v>4000</v>
      </c>
      <c r="G153" s="732">
        <f t="shared" si="594"/>
        <v>61.53846153846154</v>
      </c>
      <c r="H153" s="632">
        <v>65</v>
      </c>
      <c r="I153" s="630">
        <v>585</v>
      </c>
      <c r="J153" s="630">
        <f>I153/H153</f>
        <v>9</v>
      </c>
      <c r="K153" s="632">
        <v>0</v>
      </c>
      <c r="L153" s="630">
        <v>0</v>
      </c>
      <c r="M153" s="630">
        <v>0</v>
      </c>
      <c r="N153" s="633">
        <f t="shared" si="595"/>
        <v>4585</v>
      </c>
      <c r="O153" s="634">
        <v>3763947.5439999998</v>
      </c>
      <c r="P153" s="635">
        <v>26885678.890000001</v>
      </c>
      <c r="Q153" s="733">
        <v>6990188.2960000001</v>
      </c>
      <c r="R153" s="630">
        <f>SUM(O153:Q153)</f>
        <v>37639814.730000004</v>
      </c>
      <c r="S153" s="719">
        <f t="shared" si="596"/>
        <v>37639814.730000004</v>
      </c>
      <c r="T153" s="636">
        <v>6721334.9000000004</v>
      </c>
      <c r="U153" s="595">
        <v>176656</v>
      </c>
      <c r="V153" s="595">
        <v>0</v>
      </c>
      <c r="W153" s="596">
        <v>0</v>
      </c>
      <c r="X153" s="597">
        <v>176656</v>
      </c>
      <c r="Y153" s="597">
        <v>0</v>
      </c>
      <c r="Z153" s="597">
        <v>0</v>
      </c>
      <c r="AA153" s="598">
        <f t="shared" si="710"/>
        <v>0</v>
      </c>
      <c r="AB153" s="599">
        <f t="shared" si="710"/>
        <v>176656</v>
      </c>
      <c r="AC153" s="600">
        <f>AB153/R153</f>
        <v>4.6933280959855555E-3</v>
      </c>
      <c r="AD153" s="595">
        <v>0</v>
      </c>
      <c r="AE153" s="595">
        <v>0</v>
      </c>
      <c r="AF153" s="595">
        <v>0</v>
      </c>
      <c r="AG153" s="595">
        <v>0</v>
      </c>
      <c r="AH153" s="601">
        <f t="shared" si="597"/>
        <v>0</v>
      </c>
      <c r="AI153" s="595">
        <f t="shared" si="598"/>
        <v>0</v>
      </c>
      <c r="AJ153" s="602">
        <f t="shared" si="599"/>
        <v>0</v>
      </c>
      <c r="AK153" s="603">
        <f t="shared" si="600"/>
        <v>2.6282874254636528E-2</v>
      </c>
      <c r="AL153" s="734"/>
      <c r="AM153" s="735"/>
      <c r="AN153" s="640">
        <v>0</v>
      </c>
      <c r="AO153" s="736"/>
      <c r="AP153" s="604"/>
      <c r="AQ153" s="737"/>
      <c r="AR153" s="737"/>
      <c r="AS153" s="604">
        <f t="shared" si="601"/>
        <v>0</v>
      </c>
      <c r="AT153" s="605">
        <f t="shared" si="602"/>
        <v>0</v>
      </c>
      <c r="AU153" s="642"/>
      <c r="AV153" s="607"/>
      <c r="AW153" s="607"/>
      <c r="AX153" s="607"/>
      <c r="AY153" s="607">
        <f t="shared" si="603"/>
        <v>0</v>
      </c>
      <c r="AZ153" s="608">
        <f t="shared" si="604"/>
        <v>0</v>
      </c>
      <c r="BA153" s="609">
        <f t="shared" si="605"/>
        <v>176656</v>
      </c>
      <c r="BB153" s="610">
        <f t="shared" si="606"/>
        <v>0</v>
      </c>
      <c r="BC153" s="611">
        <f t="shared" si="607"/>
        <v>0</v>
      </c>
      <c r="BD153" s="598">
        <f t="shared" si="608"/>
        <v>176656</v>
      </c>
      <c r="BE153" s="598">
        <f t="shared" si="609"/>
        <v>0</v>
      </c>
      <c r="BF153" s="598">
        <f t="shared" si="610"/>
        <v>0</v>
      </c>
      <c r="BG153" s="598">
        <f t="shared" si="611"/>
        <v>0</v>
      </c>
      <c r="BH153" s="598">
        <f t="shared" si="612"/>
        <v>176656</v>
      </c>
      <c r="BI153" s="600">
        <f t="shared" si="573"/>
        <v>4.6933280959855555E-3</v>
      </c>
      <c r="BJ153" s="612">
        <f t="shared" si="613"/>
        <v>0</v>
      </c>
      <c r="BK153" s="613">
        <f t="shared" si="614"/>
        <v>0</v>
      </c>
      <c r="BL153" s="613">
        <f t="shared" si="615"/>
        <v>0</v>
      </c>
      <c r="BM153" s="613">
        <f t="shared" si="616"/>
        <v>0</v>
      </c>
      <c r="BN153" s="613">
        <f t="shared" si="617"/>
        <v>0</v>
      </c>
      <c r="BO153" s="613">
        <f t="shared" si="618"/>
        <v>0</v>
      </c>
      <c r="BP153" s="614">
        <f t="shared" si="575"/>
        <v>0</v>
      </c>
      <c r="BQ153" s="615">
        <f t="shared" si="576"/>
        <v>2.6282874254636528E-2</v>
      </c>
      <c r="BR153" s="734"/>
      <c r="BS153" s="735"/>
      <c r="BT153" s="640"/>
      <c r="BU153" s="736"/>
      <c r="BV153" s="604"/>
      <c r="BW153" s="737"/>
      <c r="BX153" s="737"/>
      <c r="BY153" s="604">
        <f t="shared" si="619"/>
        <v>0</v>
      </c>
      <c r="BZ153" s="605">
        <f t="shared" si="620"/>
        <v>0</v>
      </c>
      <c r="CA153" s="642"/>
      <c r="CB153" s="607"/>
      <c r="CC153" s="607"/>
      <c r="CD153" s="607"/>
      <c r="CE153" s="607">
        <f t="shared" si="621"/>
        <v>0</v>
      </c>
      <c r="CF153" s="608">
        <f t="shared" si="622"/>
        <v>0</v>
      </c>
      <c r="CG153" s="1141">
        <f t="shared" si="623"/>
        <v>176656</v>
      </c>
      <c r="CH153" s="610">
        <f t="shared" si="624"/>
        <v>0</v>
      </c>
      <c r="CI153" s="611">
        <f t="shared" si="625"/>
        <v>0</v>
      </c>
      <c r="CJ153" s="598">
        <f t="shared" si="626"/>
        <v>176656</v>
      </c>
      <c r="CK153" s="598">
        <f t="shared" si="627"/>
        <v>0</v>
      </c>
      <c r="CL153" s="598">
        <f t="shared" si="628"/>
        <v>0</v>
      </c>
      <c r="CM153" s="598">
        <f t="shared" si="629"/>
        <v>0</v>
      </c>
      <c r="CN153" s="598">
        <f t="shared" si="630"/>
        <v>176656</v>
      </c>
      <c r="CO153" s="600">
        <f t="shared" si="631"/>
        <v>4.6933280959855555E-3</v>
      </c>
      <c r="CP153" s="612">
        <f t="shared" si="632"/>
        <v>0</v>
      </c>
      <c r="CQ153" s="613">
        <f t="shared" si="633"/>
        <v>0</v>
      </c>
      <c r="CR153" s="613">
        <f t="shared" si="634"/>
        <v>0</v>
      </c>
      <c r="CS153" s="613">
        <f t="shared" si="635"/>
        <v>0</v>
      </c>
      <c r="CT153" s="613">
        <f t="shared" si="636"/>
        <v>0</v>
      </c>
      <c r="CU153" s="613">
        <f t="shared" si="637"/>
        <v>0</v>
      </c>
      <c r="CV153" s="614">
        <f t="shared" si="638"/>
        <v>0</v>
      </c>
      <c r="CW153" s="615">
        <f t="shared" si="639"/>
        <v>2.6282874254636528E-2</v>
      </c>
      <c r="CX153" s="734"/>
      <c r="CY153" s="735"/>
      <c r="CZ153" s="640"/>
      <c r="DA153" s="736"/>
      <c r="DB153" s="604"/>
      <c r="DC153" s="737"/>
      <c r="DD153" s="737"/>
      <c r="DE153" s="604">
        <f t="shared" si="640"/>
        <v>0</v>
      </c>
      <c r="DF153" s="605">
        <f t="shared" si="641"/>
        <v>0</v>
      </c>
      <c r="DG153" s="642"/>
      <c r="DH153" s="607"/>
      <c r="DI153" s="607"/>
      <c r="DJ153" s="607"/>
      <c r="DK153" s="607">
        <f t="shared" si="642"/>
        <v>0</v>
      </c>
      <c r="DL153" s="608">
        <f t="shared" si="643"/>
        <v>0</v>
      </c>
      <c r="DM153" s="1141">
        <f t="shared" si="644"/>
        <v>176656</v>
      </c>
      <c r="DN153" s="610">
        <f t="shared" si="645"/>
        <v>0</v>
      </c>
      <c r="DO153" s="611">
        <f t="shared" si="646"/>
        <v>0</v>
      </c>
      <c r="DP153" s="598">
        <f t="shared" si="647"/>
        <v>176656</v>
      </c>
      <c r="DQ153" s="598">
        <f t="shared" si="648"/>
        <v>0</v>
      </c>
      <c r="DR153" s="598">
        <f t="shared" si="649"/>
        <v>0</v>
      </c>
      <c r="DS153" s="598">
        <f t="shared" si="650"/>
        <v>0</v>
      </c>
      <c r="DT153" s="598">
        <f t="shared" si="651"/>
        <v>176656</v>
      </c>
      <c r="DU153" s="600">
        <f t="shared" si="652"/>
        <v>4.6933280959855555E-3</v>
      </c>
      <c r="DV153" s="612">
        <f t="shared" si="653"/>
        <v>0</v>
      </c>
      <c r="DW153" s="613">
        <f t="shared" si="654"/>
        <v>0</v>
      </c>
      <c r="DX153" s="613">
        <f t="shared" si="655"/>
        <v>0</v>
      </c>
      <c r="DY153" s="613">
        <f t="shared" si="656"/>
        <v>0</v>
      </c>
      <c r="DZ153" s="613">
        <f t="shared" si="657"/>
        <v>0</v>
      </c>
      <c r="EA153" s="613">
        <f t="shared" si="658"/>
        <v>0</v>
      </c>
      <c r="EB153" s="614">
        <f t="shared" si="659"/>
        <v>0</v>
      </c>
      <c r="EC153" s="615">
        <f t="shared" ref="EC153:EC160" si="711">DM153/T153</f>
        <v>2.6282874254636528E-2</v>
      </c>
      <c r="ED153" s="734">
        <v>0</v>
      </c>
      <c r="EE153" s="735">
        <v>26715.599999999999</v>
      </c>
      <c r="EF153" s="640"/>
      <c r="EG153" s="736"/>
      <c r="EH153" s="604">
        <v>26715.599999999999</v>
      </c>
      <c r="EI153" s="737">
        <v>6990188.2999999998</v>
      </c>
      <c r="EJ153" s="737"/>
      <c r="EK153" s="604">
        <f t="shared" si="660"/>
        <v>6990188.2999999998</v>
      </c>
      <c r="EL153" s="605">
        <f t="shared" si="661"/>
        <v>26715.599999999999</v>
      </c>
      <c r="EM153" s="642"/>
      <c r="EN153" s="607"/>
      <c r="EO153" s="607"/>
      <c r="EP153" s="607"/>
      <c r="EQ153" s="607">
        <f t="shared" si="662"/>
        <v>0</v>
      </c>
      <c r="ER153" s="608">
        <f t="shared" si="663"/>
        <v>0</v>
      </c>
      <c r="ES153" s="1141">
        <f t="shared" si="664"/>
        <v>203371.6</v>
      </c>
      <c r="ET153" s="610">
        <f t="shared" si="665"/>
        <v>0</v>
      </c>
      <c r="EU153" s="611">
        <f t="shared" si="666"/>
        <v>0</v>
      </c>
      <c r="EV153" s="1511">
        <f t="shared" si="667"/>
        <v>203371.6</v>
      </c>
      <c r="EW153" s="1514">
        <f t="shared" si="667"/>
        <v>6990188.2999999998</v>
      </c>
      <c r="EX153" s="598">
        <f t="shared" si="667"/>
        <v>0</v>
      </c>
      <c r="EY153" s="599">
        <f t="shared" si="667"/>
        <v>6990188.2999999998</v>
      </c>
      <c r="EZ153" s="599">
        <f t="shared" si="667"/>
        <v>203371.6</v>
      </c>
      <c r="FA153" s="600">
        <f t="shared" si="668"/>
        <v>5.4030977957473065E-3</v>
      </c>
      <c r="FB153" s="612">
        <f t="shared" si="669"/>
        <v>0</v>
      </c>
      <c r="FC153" s="613">
        <f t="shared" si="670"/>
        <v>0</v>
      </c>
      <c r="FD153" s="613">
        <f t="shared" si="670"/>
        <v>0</v>
      </c>
      <c r="FE153" s="613">
        <f t="shared" si="670"/>
        <v>0</v>
      </c>
      <c r="FF153" s="613">
        <f t="shared" si="670"/>
        <v>0</v>
      </c>
      <c r="FG153" s="613">
        <f t="shared" si="670"/>
        <v>0</v>
      </c>
      <c r="FH153" s="614">
        <f t="shared" si="315"/>
        <v>0</v>
      </c>
      <c r="FI153" s="955">
        <f t="shared" si="494"/>
        <v>3.025762040216148E-2</v>
      </c>
      <c r="FJ153" s="734">
        <v>1187515</v>
      </c>
      <c r="FK153" s="735"/>
      <c r="FL153" s="640"/>
      <c r="FM153" s="736">
        <v>1187515</v>
      </c>
      <c r="FN153" s="604"/>
      <c r="FO153" s="737"/>
      <c r="FP153" s="737"/>
      <c r="FQ153" s="604">
        <f t="shared" si="671"/>
        <v>1187515</v>
      </c>
      <c r="FR153" s="605">
        <f t="shared" si="672"/>
        <v>0</v>
      </c>
      <c r="FS153" s="642"/>
      <c r="FT153" s="607"/>
      <c r="FU153" s="607"/>
      <c r="FV153" s="607"/>
      <c r="FW153" s="607">
        <f t="shared" si="673"/>
        <v>0</v>
      </c>
      <c r="FX153" s="608">
        <f t="shared" si="674"/>
        <v>0</v>
      </c>
      <c r="FY153" s="1141">
        <f t="shared" si="675"/>
        <v>203371.6</v>
      </c>
      <c r="FZ153" s="610">
        <f t="shared" si="676"/>
        <v>0</v>
      </c>
      <c r="GA153" s="1511">
        <f t="shared" si="677"/>
        <v>1187515</v>
      </c>
      <c r="GB153" s="598">
        <f t="shared" si="678"/>
        <v>203371.6</v>
      </c>
      <c r="GC153" s="598">
        <f t="shared" si="679"/>
        <v>6990188.2999999998</v>
      </c>
      <c r="GD153" s="598">
        <f t="shared" si="680"/>
        <v>0</v>
      </c>
      <c r="GE153" s="598">
        <f t="shared" si="681"/>
        <v>8177703.2999999998</v>
      </c>
      <c r="GF153" s="599">
        <f t="shared" si="682"/>
        <v>203371.6</v>
      </c>
      <c r="GG153" s="600">
        <f t="shared" si="683"/>
        <v>5.4030977957473065E-3</v>
      </c>
      <c r="GH153" s="612">
        <f t="shared" si="684"/>
        <v>0</v>
      </c>
      <c r="GI153" s="613">
        <f t="shared" si="685"/>
        <v>0</v>
      </c>
      <c r="GJ153" s="613">
        <f t="shared" si="686"/>
        <v>0</v>
      </c>
      <c r="GK153" s="613">
        <f t="shared" si="687"/>
        <v>0</v>
      </c>
      <c r="GL153" s="613">
        <f t="shared" si="688"/>
        <v>0</v>
      </c>
      <c r="GM153" s="613">
        <f t="shared" si="689"/>
        <v>0</v>
      </c>
      <c r="GN153" s="614">
        <f t="shared" si="690"/>
        <v>0</v>
      </c>
      <c r="GO153" s="615">
        <f t="shared" si="691"/>
        <v>3.025762040216148E-2</v>
      </c>
      <c r="GP153" s="734">
        <v>0</v>
      </c>
      <c r="GQ153" s="735">
        <f>GT153</f>
        <v>80176.800000000003</v>
      </c>
      <c r="GR153" s="640"/>
      <c r="GS153" s="736">
        <v>0</v>
      </c>
      <c r="GT153" s="604">
        <f>80146.8+30</f>
        <v>80176.800000000003</v>
      </c>
      <c r="GU153" s="737"/>
      <c r="GV153" s="737"/>
      <c r="GW153" s="604">
        <f t="shared" si="692"/>
        <v>0</v>
      </c>
      <c r="GX153" s="605">
        <f t="shared" si="693"/>
        <v>80176.800000000003</v>
      </c>
      <c r="GY153" s="642"/>
      <c r="GZ153" s="607">
        <v>0</v>
      </c>
      <c r="HA153" s="607"/>
      <c r="HB153" s="607">
        <v>0</v>
      </c>
      <c r="HC153" s="607">
        <f t="shared" si="694"/>
        <v>0</v>
      </c>
      <c r="HD153" s="608">
        <f t="shared" si="695"/>
        <v>0</v>
      </c>
      <c r="HE153" s="1676">
        <f t="shared" si="696"/>
        <v>283548.40000000002</v>
      </c>
      <c r="HF153" s="610">
        <f t="shared" si="697"/>
        <v>0</v>
      </c>
      <c r="HG153" s="1511">
        <f t="shared" si="698"/>
        <v>1187515</v>
      </c>
      <c r="HH153" s="598">
        <f t="shared" si="699"/>
        <v>283548.40000000002</v>
      </c>
      <c r="HI153" s="598">
        <f t="shared" si="700"/>
        <v>6990188.2999999998</v>
      </c>
      <c r="HJ153" s="598">
        <f t="shared" si="701"/>
        <v>0</v>
      </c>
      <c r="HK153" s="598">
        <f t="shared" si="702"/>
        <v>8177703.2999999998</v>
      </c>
      <c r="HL153" s="599">
        <f t="shared" si="703"/>
        <v>283548.40000000002</v>
      </c>
      <c r="HM153" s="600">
        <f t="shared" si="519"/>
        <v>7.5332039233977389E-3</v>
      </c>
      <c r="HN153" s="612">
        <f t="shared" si="704"/>
        <v>0</v>
      </c>
      <c r="HO153" s="613">
        <f t="shared" si="705"/>
        <v>0</v>
      </c>
      <c r="HP153" s="613">
        <f t="shared" si="706"/>
        <v>0</v>
      </c>
      <c r="HQ153" s="613">
        <f t="shared" si="707"/>
        <v>0</v>
      </c>
      <c r="HR153" s="613">
        <f t="shared" si="708"/>
        <v>0</v>
      </c>
      <c r="HS153" s="613">
        <f t="shared" si="709"/>
        <v>0</v>
      </c>
      <c r="HT153" s="614">
        <f t="shared" si="592"/>
        <v>0</v>
      </c>
      <c r="HU153" s="615">
        <f t="shared" si="593"/>
        <v>4.2186322243814994E-2</v>
      </c>
    </row>
    <row r="154" spans="1:229" s="101" customFormat="1" ht="27" customHeight="1" thickBot="1" x14ac:dyDescent="0.25">
      <c r="A154" s="3679"/>
      <c r="B154" s="3680"/>
      <c r="C154" s="738"/>
      <c r="D154" s="739" t="s">
        <v>375</v>
      </c>
      <c r="E154" s="740">
        <f>SUM(E148:E153)</f>
        <v>251</v>
      </c>
      <c r="F154" s="189">
        <f>SUM(F148:F153)</f>
        <v>15797.03</v>
      </c>
      <c r="G154" s="741">
        <f t="shared" ref="G154:G161" si="712">F154/E154</f>
        <v>62.936374501992034</v>
      </c>
      <c r="H154" s="699">
        <f>SUM(H148:H153)</f>
        <v>223</v>
      </c>
      <c r="I154" s="189">
        <f>SUM(I148:I153)</f>
        <v>2031.5</v>
      </c>
      <c r="J154" s="189">
        <f t="shared" ref="J154:J159" si="713">I154/H154</f>
        <v>9.1098654708520179</v>
      </c>
      <c r="K154" s="699">
        <f>SUM(K148:K153)</f>
        <v>0</v>
      </c>
      <c r="L154" s="189">
        <f>SUM(L148:L153)</f>
        <v>0</v>
      </c>
      <c r="M154" s="189">
        <f>IF(K154&gt;0,L154/K154,0)</f>
        <v>0</v>
      </c>
      <c r="N154" s="648">
        <f t="shared" ref="N154:AB154" si="714">SUM(N148:N153)</f>
        <v>17828.53</v>
      </c>
      <c r="O154" s="189">
        <f t="shared" si="714"/>
        <v>14245872.399024</v>
      </c>
      <c r="P154" s="189">
        <f t="shared" si="714"/>
        <v>101757515.57394001</v>
      </c>
      <c r="Q154" s="189">
        <f t="shared" si="714"/>
        <v>26456620.169616003</v>
      </c>
      <c r="R154" s="189">
        <f t="shared" si="714"/>
        <v>142171238.31258002</v>
      </c>
      <c r="S154" s="189">
        <f t="shared" si="714"/>
        <v>142171238.31258002</v>
      </c>
      <c r="T154" s="648">
        <f t="shared" si="714"/>
        <v>30181201.5748</v>
      </c>
      <c r="U154" s="189">
        <f t="shared" si="714"/>
        <v>176656</v>
      </c>
      <c r="V154" s="189">
        <f t="shared" si="714"/>
        <v>0</v>
      </c>
      <c r="W154" s="189">
        <f t="shared" si="714"/>
        <v>0</v>
      </c>
      <c r="X154" s="189">
        <f t="shared" si="714"/>
        <v>176656</v>
      </c>
      <c r="Y154" s="189">
        <f t="shared" si="714"/>
        <v>1598107.98</v>
      </c>
      <c r="Z154" s="189">
        <f t="shared" si="714"/>
        <v>0</v>
      </c>
      <c r="AA154" s="189">
        <f t="shared" si="714"/>
        <v>1598107.98</v>
      </c>
      <c r="AB154" s="189">
        <f t="shared" si="714"/>
        <v>176656</v>
      </c>
      <c r="AC154" s="649">
        <f t="shared" ref="AC154:AC161" si="715">AB154/R154</f>
        <v>1.2425579329315626E-3</v>
      </c>
      <c r="AD154" s="189">
        <f t="shared" ref="AD154:AI154" si="716">SUM(AD148:AD153)</f>
        <v>0</v>
      </c>
      <c r="AE154" s="189">
        <f t="shared" si="716"/>
        <v>0</v>
      </c>
      <c r="AF154" s="189">
        <f t="shared" si="716"/>
        <v>0</v>
      </c>
      <c r="AG154" s="189">
        <f t="shared" si="716"/>
        <v>0</v>
      </c>
      <c r="AH154" s="189">
        <f t="shared" si="716"/>
        <v>0</v>
      </c>
      <c r="AI154" s="189">
        <f t="shared" si="716"/>
        <v>0</v>
      </c>
      <c r="AJ154" s="621">
        <f t="shared" ref="AJ154:AJ161" si="717">AI154/S154</f>
        <v>0</v>
      </c>
      <c r="AK154" s="623">
        <f t="shared" ref="AK154:AK160" si="718">U154/T154</f>
        <v>5.8531798199678081E-3</v>
      </c>
      <c r="AL154" s="189">
        <f t="shared" ref="AL154:BH154" si="719">SUM(AL148:AL153)</f>
        <v>0</v>
      </c>
      <c r="AM154" s="189">
        <f t="shared" si="719"/>
        <v>109728.02</v>
      </c>
      <c r="AN154" s="189">
        <f t="shared" si="719"/>
        <v>0</v>
      </c>
      <c r="AO154" s="189">
        <f t="shared" si="719"/>
        <v>0</v>
      </c>
      <c r="AP154" s="189">
        <f t="shared" si="719"/>
        <v>109728.02</v>
      </c>
      <c r="AQ154" s="189">
        <f t="shared" si="719"/>
        <v>0</v>
      </c>
      <c r="AR154" s="189">
        <f t="shared" si="719"/>
        <v>0</v>
      </c>
      <c r="AS154" s="189">
        <f t="shared" si="719"/>
        <v>0</v>
      </c>
      <c r="AT154" s="189">
        <f t="shared" si="719"/>
        <v>109728.02</v>
      </c>
      <c r="AU154" s="189">
        <f t="shared" si="719"/>
        <v>0</v>
      </c>
      <c r="AV154" s="189">
        <f t="shared" si="719"/>
        <v>0</v>
      </c>
      <c r="AW154" s="189">
        <f t="shared" si="719"/>
        <v>0</v>
      </c>
      <c r="AX154" s="189">
        <f t="shared" si="719"/>
        <v>0</v>
      </c>
      <c r="AY154" s="189">
        <f t="shared" si="719"/>
        <v>0</v>
      </c>
      <c r="AZ154" s="648">
        <f t="shared" si="719"/>
        <v>0</v>
      </c>
      <c r="BA154" s="189">
        <f t="shared" si="719"/>
        <v>286384.02</v>
      </c>
      <c r="BB154" s="189">
        <f t="shared" si="719"/>
        <v>0</v>
      </c>
      <c r="BC154" s="189">
        <f t="shared" si="719"/>
        <v>0</v>
      </c>
      <c r="BD154" s="189">
        <f t="shared" si="719"/>
        <v>286384.02</v>
      </c>
      <c r="BE154" s="189">
        <f t="shared" si="719"/>
        <v>1598107.98</v>
      </c>
      <c r="BF154" s="189">
        <f t="shared" si="719"/>
        <v>0</v>
      </c>
      <c r="BG154" s="189">
        <f t="shared" si="719"/>
        <v>1598107.98</v>
      </c>
      <c r="BH154" s="189">
        <f t="shared" si="719"/>
        <v>286384.02</v>
      </c>
      <c r="BI154" s="649">
        <f t="shared" si="573"/>
        <v>2.0143597495461876E-3</v>
      </c>
      <c r="BJ154" s="189">
        <f t="shared" ref="BJ154:BO154" si="720">SUM(BJ148:BJ153)</f>
        <v>0</v>
      </c>
      <c r="BK154" s="189">
        <f t="shared" si="720"/>
        <v>0</v>
      </c>
      <c r="BL154" s="189">
        <f t="shared" si="720"/>
        <v>0</v>
      </c>
      <c r="BM154" s="189">
        <f t="shared" si="720"/>
        <v>0</v>
      </c>
      <c r="BN154" s="189">
        <f t="shared" si="720"/>
        <v>0</v>
      </c>
      <c r="BO154" s="189">
        <f t="shared" si="720"/>
        <v>0</v>
      </c>
      <c r="BP154" s="621">
        <f t="shared" si="575"/>
        <v>0</v>
      </c>
      <c r="BQ154" s="623">
        <f t="shared" si="576"/>
        <v>9.4888210229217094E-3</v>
      </c>
      <c r="BR154" s="189">
        <f t="shared" ref="BR154:CN154" si="721">SUM(BR148:BR153)</f>
        <v>0</v>
      </c>
      <c r="BS154" s="189">
        <f t="shared" si="721"/>
        <v>0</v>
      </c>
      <c r="BT154" s="189">
        <f t="shared" si="721"/>
        <v>0</v>
      </c>
      <c r="BU154" s="189">
        <f t="shared" si="721"/>
        <v>0</v>
      </c>
      <c r="BV154" s="189">
        <f t="shared" si="721"/>
        <v>0</v>
      </c>
      <c r="BW154" s="189">
        <f t="shared" si="721"/>
        <v>1671790.81</v>
      </c>
      <c r="BX154" s="189">
        <f t="shared" si="721"/>
        <v>0</v>
      </c>
      <c r="BY154" s="189">
        <f t="shared" si="721"/>
        <v>1671790.81</v>
      </c>
      <c r="BZ154" s="189">
        <f t="shared" si="721"/>
        <v>0</v>
      </c>
      <c r="CA154" s="189">
        <f t="shared" si="721"/>
        <v>0</v>
      </c>
      <c r="CB154" s="189">
        <f t="shared" si="721"/>
        <v>0</v>
      </c>
      <c r="CC154" s="189">
        <f t="shared" si="721"/>
        <v>0</v>
      </c>
      <c r="CD154" s="189">
        <f t="shared" si="721"/>
        <v>0</v>
      </c>
      <c r="CE154" s="189">
        <f t="shared" si="721"/>
        <v>0</v>
      </c>
      <c r="CF154" s="648">
        <f t="shared" si="721"/>
        <v>0</v>
      </c>
      <c r="CG154" s="189">
        <f t="shared" si="721"/>
        <v>286384.02</v>
      </c>
      <c r="CH154" s="189">
        <f t="shared" si="721"/>
        <v>0</v>
      </c>
      <c r="CI154" s="189">
        <f t="shared" si="721"/>
        <v>0</v>
      </c>
      <c r="CJ154" s="189">
        <f t="shared" si="721"/>
        <v>286384.02</v>
      </c>
      <c r="CK154" s="189">
        <f t="shared" si="721"/>
        <v>3269898.79</v>
      </c>
      <c r="CL154" s="189">
        <f t="shared" si="721"/>
        <v>0</v>
      </c>
      <c r="CM154" s="189">
        <f t="shared" si="721"/>
        <v>3269898.79</v>
      </c>
      <c r="CN154" s="189">
        <f t="shared" si="721"/>
        <v>286384.02</v>
      </c>
      <c r="CO154" s="649">
        <f t="shared" ref="CO154:CO161" si="722">CN154/R154</f>
        <v>2.0143597495461876E-3</v>
      </c>
      <c r="CP154" s="189">
        <f t="shared" ref="CP154:CU154" si="723">SUM(CP148:CP153)</f>
        <v>0</v>
      </c>
      <c r="CQ154" s="189">
        <f t="shared" si="723"/>
        <v>0</v>
      </c>
      <c r="CR154" s="189">
        <f t="shared" si="723"/>
        <v>0</v>
      </c>
      <c r="CS154" s="189">
        <f t="shared" si="723"/>
        <v>0</v>
      </c>
      <c r="CT154" s="189">
        <f t="shared" si="723"/>
        <v>0</v>
      </c>
      <c r="CU154" s="189">
        <f t="shared" si="723"/>
        <v>0</v>
      </c>
      <c r="CV154" s="649">
        <f t="shared" ref="CV154:CV161" si="724">CU154/S154</f>
        <v>0</v>
      </c>
      <c r="CW154" s="697">
        <f t="shared" ref="CW154:CW160" si="725">CG154/T154</f>
        <v>9.4888210229217094E-3</v>
      </c>
      <c r="CX154" s="189">
        <f t="shared" ref="CX154:DT154" si="726">SUM(CX148:CX153)</f>
        <v>711889.99</v>
      </c>
      <c r="CY154" s="189">
        <f t="shared" si="726"/>
        <v>7626</v>
      </c>
      <c r="CZ154" s="189">
        <f t="shared" si="726"/>
        <v>0</v>
      </c>
      <c r="DA154" s="189">
        <f t="shared" si="726"/>
        <v>711889.99</v>
      </c>
      <c r="DB154" s="189">
        <f t="shared" si="726"/>
        <v>7626</v>
      </c>
      <c r="DC154" s="189">
        <f t="shared" si="726"/>
        <v>1044335.66</v>
      </c>
      <c r="DD154" s="189">
        <f t="shared" si="726"/>
        <v>0</v>
      </c>
      <c r="DE154" s="189">
        <f t="shared" si="726"/>
        <v>1756225.65</v>
      </c>
      <c r="DF154" s="189">
        <f t="shared" si="726"/>
        <v>7626</v>
      </c>
      <c r="DG154" s="189">
        <f t="shared" si="726"/>
        <v>0</v>
      </c>
      <c r="DH154" s="189">
        <f t="shared" si="726"/>
        <v>0</v>
      </c>
      <c r="DI154" s="189">
        <f t="shared" si="726"/>
        <v>0</v>
      </c>
      <c r="DJ154" s="189">
        <f t="shared" si="726"/>
        <v>0</v>
      </c>
      <c r="DK154" s="189">
        <f t="shared" si="726"/>
        <v>0</v>
      </c>
      <c r="DL154" s="648">
        <f t="shared" si="726"/>
        <v>0</v>
      </c>
      <c r="DM154" s="189">
        <f t="shared" si="726"/>
        <v>294010.02</v>
      </c>
      <c r="DN154" s="189">
        <f t="shared" si="726"/>
        <v>0</v>
      </c>
      <c r="DO154" s="189">
        <f t="shared" si="726"/>
        <v>711889.99</v>
      </c>
      <c r="DP154" s="189">
        <f t="shared" si="726"/>
        <v>294010.02</v>
      </c>
      <c r="DQ154" s="189">
        <f t="shared" si="726"/>
        <v>4314234.45</v>
      </c>
      <c r="DR154" s="189">
        <f t="shared" si="726"/>
        <v>0</v>
      </c>
      <c r="DS154" s="189">
        <f t="shared" si="726"/>
        <v>5026124.4399999995</v>
      </c>
      <c r="DT154" s="189">
        <f t="shared" si="726"/>
        <v>294010.02</v>
      </c>
      <c r="DU154" s="649">
        <f t="shared" ref="DU154:DU161" si="727">DT154/R154</f>
        <v>2.0679992907819003E-3</v>
      </c>
      <c r="DV154" s="189">
        <f t="shared" ref="DV154:EA154" si="728">SUM(DV148:DV153)</f>
        <v>0</v>
      </c>
      <c r="DW154" s="189">
        <f t="shared" si="728"/>
        <v>0</v>
      </c>
      <c r="DX154" s="189">
        <f t="shared" si="728"/>
        <v>0</v>
      </c>
      <c r="DY154" s="189">
        <f t="shared" si="728"/>
        <v>0</v>
      </c>
      <c r="DZ154" s="189">
        <f t="shared" si="728"/>
        <v>0</v>
      </c>
      <c r="EA154" s="189">
        <f t="shared" si="728"/>
        <v>0</v>
      </c>
      <c r="EB154" s="621">
        <f t="shared" si="659"/>
        <v>0</v>
      </c>
      <c r="EC154" s="623">
        <f t="shared" si="711"/>
        <v>9.7414948596839732E-3</v>
      </c>
      <c r="ED154" s="189">
        <f t="shared" ref="ED154:EZ154" si="729">SUM(ED148:ED153)</f>
        <v>1895409.87</v>
      </c>
      <c r="EE154" s="189">
        <f t="shared" si="729"/>
        <v>26715.599999999999</v>
      </c>
      <c r="EF154" s="189">
        <f t="shared" si="729"/>
        <v>0</v>
      </c>
      <c r="EG154" s="189">
        <f t="shared" si="729"/>
        <v>1895409.87</v>
      </c>
      <c r="EH154" s="189">
        <f t="shared" si="729"/>
        <v>26715.599999999999</v>
      </c>
      <c r="EI154" s="189">
        <f t="shared" si="729"/>
        <v>9355113</v>
      </c>
      <c r="EJ154" s="189">
        <f t="shared" si="729"/>
        <v>0</v>
      </c>
      <c r="EK154" s="189">
        <f t="shared" si="729"/>
        <v>11250522.870000001</v>
      </c>
      <c r="EL154" s="189">
        <f t="shared" si="729"/>
        <v>26715.599999999999</v>
      </c>
      <c r="EM154" s="189">
        <f t="shared" si="729"/>
        <v>0</v>
      </c>
      <c r="EN154" s="189">
        <f t="shared" si="729"/>
        <v>0</v>
      </c>
      <c r="EO154" s="189">
        <f t="shared" si="729"/>
        <v>0</v>
      </c>
      <c r="EP154" s="189">
        <f t="shared" si="729"/>
        <v>0</v>
      </c>
      <c r="EQ154" s="189">
        <f t="shared" si="729"/>
        <v>0</v>
      </c>
      <c r="ER154" s="648">
        <f t="shared" si="729"/>
        <v>0</v>
      </c>
      <c r="ES154" s="188">
        <f t="shared" si="729"/>
        <v>320725.62</v>
      </c>
      <c r="ET154" s="188">
        <f t="shared" si="729"/>
        <v>0</v>
      </c>
      <c r="EU154" s="188">
        <f t="shared" si="729"/>
        <v>2607299.86</v>
      </c>
      <c r="EV154" s="188">
        <f t="shared" si="729"/>
        <v>320725.62</v>
      </c>
      <c r="EW154" s="188">
        <f t="shared" si="729"/>
        <v>13669347.449999999</v>
      </c>
      <c r="EX154" s="188">
        <f t="shared" si="729"/>
        <v>0</v>
      </c>
      <c r="EY154" s="188">
        <f t="shared" si="729"/>
        <v>16276647.310000002</v>
      </c>
      <c r="EZ154" s="188">
        <f t="shared" si="729"/>
        <v>320725.62</v>
      </c>
      <c r="FA154" s="1504">
        <f t="shared" si="668"/>
        <v>2.255910715885075E-3</v>
      </c>
      <c r="FB154" s="188">
        <f t="shared" ref="FB154:FG154" si="730">SUM(FB148:FB153)</f>
        <v>0</v>
      </c>
      <c r="FC154" s="188">
        <f t="shared" si="730"/>
        <v>0</v>
      </c>
      <c r="FD154" s="188">
        <f t="shared" si="730"/>
        <v>0</v>
      </c>
      <c r="FE154" s="188">
        <f t="shared" si="730"/>
        <v>0</v>
      </c>
      <c r="FF154" s="188">
        <f t="shared" si="730"/>
        <v>0</v>
      </c>
      <c r="FG154" s="188">
        <f t="shared" si="730"/>
        <v>0</v>
      </c>
      <c r="FH154" s="1505">
        <f t="shared" si="315"/>
        <v>0</v>
      </c>
      <c r="FI154" s="623">
        <f t="shared" si="494"/>
        <v>1.0626668365244677E-2</v>
      </c>
      <c r="FJ154" s="189">
        <f t="shared" ref="FJ154:GF154" si="731">SUM(FJ148:FJ153)</f>
        <v>3053668.23</v>
      </c>
      <c r="FK154" s="189">
        <f t="shared" si="731"/>
        <v>0</v>
      </c>
      <c r="FL154" s="189">
        <f t="shared" si="731"/>
        <v>0</v>
      </c>
      <c r="FM154" s="189">
        <f t="shared" si="731"/>
        <v>3053668.23</v>
      </c>
      <c r="FN154" s="189">
        <f t="shared" si="731"/>
        <v>0</v>
      </c>
      <c r="FO154" s="189">
        <f t="shared" si="731"/>
        <v>1388768.23</v>
      </c>
      <c r="FP154" s="189">
        <f t="shared" si="731"/>
        <v>0</v>
      </c>
      <c r="FQ154" s="189">
        <f t="shared" si="731"/>
        <v>4442436.46</v>
      </c>
      <c r="FR154" s="189">
        <f t="shared" si="731"/>
        <v>0</v>
      </c>
      <c r="FS154" s="189">
        <f t="shared" si="731"/>
        <v>12327780.85</v>
      </c>
      <c r="FT154" s="189">
        <f t="shared" si="731"/>
        <v>0</v>
      </c>
      <c r="FU154" s="189">
        <f t="shared" si="731"/>
        <v>0</v>
      </c>
      <c r="FV154" s="189">
        <f t="shared" si="731"/>
        <v>0</v>
      </c>
      <c r="FW154" s="189">
        <f t="shared" si="731"/>
        <v>12327780.85</v>
      </c>
      <c r="FX154" s="648">
        <f t="shared" si="731"/>
        <v>0</v>
      </c>
      <c r="FY154" s="188">
        <f t="shared" si="731"/>
        <v>320725.62</v>
      </c>
      <c r="FZ154" s="188">
        <f t="shared" si="731"/>
        <v>0</v>
      </c>
      <c r="GA154" s="188">
        <f t="shared" si="731"/>
        <v>5660968.0899999999</v>
      </c>
      <c r="GB154" s="188">
        <f t="shared" si="731"/>
        <v>320725.62</v>
      </c>
      <c r="GC154" s="188">
        <f t="shared" si="731"/>
        <v>15058115.68</v>
      </c>
      <c r="GD154" s="188">
        <f t="shared" si="731"/>
        <v>0</v>
      </c>
      <c r="GE154" s="188">
        <f t="shared" si="731"/>
        <v>20719083.77</v>
      </c>
      <c r="GF154" s="188">
        <f t="shared" si="731"/>
        <v>320725.62</v>
      </c>
      <c r="GG154" s="1504">
        <f t="shared" ref="GG154:GG161" si="732">GF154/R154</f>
        <v>2.255910715885075E-3</v>
      </c>
      <c r="GH154" s="188">
        <f t="shared" ref="GH154:GM154" si="733">SUM(GH148:GH153)</f>
        <v>12327780.85</v>
      </c>
      <c r="GI154" s="188">
        <f t="shared" si="733"/>
        <v>0</v>
      </c>
      <c r="GJ154" s="188">
        <f t="shared" si="733"/>
        <v>0</v>
      </c>
      <c r="GK154" s="188">
        <f t="shared" si="733"/>
        <v>0</v>
      </c>
      <c r="GL154" s="188">
        <f t="shared" si="733"/>
        <v>12327780.85</v>
      </c>
      <c r="GM154" s="188">
        <f t="shared" si="733"/>
        <v>0</v>
      </c>
      <c r="GN154" s="1507">
        <f t="shared" ref="GN154:GN161" si="734">GM154/S154</f>
        <v>0</v>
      </c>
      <c r="GO154" s="697">
        <f t="shared" ref="GO154:GO160" si="735">FY154/T154</f>
        <v>1.0626668365244677E-2</v>
      </c>
      <c r="GP154" s="189">
        <f t="shared" ref="GP154:HL154" si="736">SUM(GP148:GP153)</f>
        <v>1324558.3599999999</v>
      </c>
      <c r="GQ154" s="189">
        <f t="shared" si="736"/>
        <v>80176.800000000003</v>
      </c>
      <c r="GR154" s="189">
        <f t="shared" si="736"/>
        <v>0</v>
      </c>
      <c r="GS154" s="189">
        <f t="shared" si="736"/>
        <v>1866153.23</v>
      </c>
      <c r="GT154" s="189">
        <f t="shared" si="736"/>
        <v>80176.800000000003</v>
      </c>
      <c r="GU154" s="189">
        <f t="shared" si="736"/>
        <v>0</v>
      </c>
      <c r="GV154" s="189">
        <f t="shared" si="736"/>
        <v>0</v>
      </c>
      <c r="GW154" s="189">
        <f t="shared" si="736"/>
        <v>1866153.23</v>
      </c>
      <c r="GX154" s="189">
        <f t="shared" si="736"/>
        <v>80176.800000000003</v>
      </c>
      <c r="GY154" s="189">
        <f t="shared" si="736"/>
        <v>6180164.4199999999</v>
      </c>
      <c r="GZ154" s="189">
        <f t="shared" si="736"/>
        <v>0</v>
      </c>
      <c r="HA154" s="189">
        <f t="shared" si="736"/>
        <v>0</v>
      </c>
      <c r="HB154" s="189">
        <f t="shared" si="736"/>
        <v>0</v>
      </c>
      <c r="HC154" s="189">
        <f t="shared" si="736"/>
        <v>6180164.4199999999</v>
      </c>
      <c r="HD154" s="648">
        <f t="shared" si="736"/>
        <v>0</v>
      </c>
      <c r="HE154" s="1686">
        <f t="shared" si="736"/>
        <v>400902.42000000004</v>
      </c>
      <c r="HF154" s="188">
        <f t="shared" si="736"/>
        <v>0</v>
      </c>
      <c r="HG154" s="188">
        <f t="shared" si="736"/>
        <v>7527121.3200000003</v>
      </c>
      <c r="HH154" s="188">
        <f t="shared" si="736"/>
        <v>400902.42000000004</v>
      </c>
      <c r="HI154" s="188">
        <f t="shared" si="736"/>
        <v>15058115.68</v>
      </c>
      <c r="HJ154" s="188">
        <f t="shared" si="736"/>
        <v>0</v>
      </c>
      <c r="HK154" s="188">
        <f t="shared" si="736"/>
        <v>22585237</v>
      </c>
      <c r="HL154" s="188">
        <f t="shared" si="736"/>
        <v>400902.42000000004</v>
      </c>
      <c r="HM154" s="1449">
        <f>HL154/R154</f>
        <v>2.8198560043387216E-3</v>
      </c>
      <c r="HN154" s="188">
        <f t="shared" ref="HN154:HS154" si="737">SUM(HN148:HN153)</f>
        <v>18507945.27</v>
      </c>
      <c r="HO154" s="188">
        <f t="shared" si="737"/>
        <v>0</v>
      </c>
      <c r="HP154" s="188">
        <f t="shared" si="737"/>
        <v>0</v>
      </c>
      <c r="HQ154" s="188">
        <f t="shared" si="737"/>
        <v>0</v>
      </c>
      <c r="HR154" s="188">
        <f t="shared" si="737"/>
        <v>18507945.27</v>
      </c>
      <c r="HS154" s="188">
        <f t="shared" si="737"/>
        <v>0</v>
      </c>
      <c r="HT154" s="1507">
        <f t="shared" si="592"/>
        <v>0</v>
      </c>
      <c r="HU154" s="697">
        <f t="shared" si="593"/>
        <v>1.3283182878137505E-2</v>
      </c>
    </row>
    <row r="155" spans="1:229" ht="12.75" customHeight="1" x14ac:dyDescent="0.2">
      <c r="A155" s="3669" t="s">
        <v>397</v>
      </c>
      <c r="B155" s="3681"/>
      <c r="C155" s="475">
        <v>1</v>
      </c>
      <c r="D155" s="580" t="s">
        <v>394</v>
      </c>
      <c r="E155" s="652">
        <v>32</v>
      </c>
      <c r="F155" s="485">
        <v>2274.88</v>
      </c>
      <c r="G155" s="701">
        <f>F155/E155</f>
        <v>71.09</v>
      </c>
      <c r="H155" s="702">
        <v>32</v>
      </c>
      <c r="I155" s="485">
        <v>349.12</v>
      </c>
      <c r="J155" s="485">
        <f t="shared" si="713"/>
        <v>10.91</v>
      </c>
      <c r="K155" s="702">
        <v>0</v>
      </c>
      <c r="L155" s="485">
        <f>M155*K155</f>
        <v>0</v>
      </c>
      <c r="M155" s="485">
        <v>0</v>
      </c>
      <c r="N155" s="703">
        <f>F155+I155+L155</f>
        <v>2624</v>
      </c>
      <c r="O155" s="518">
        <f>158.48*7.3*0.35*N155</f>
        <v>1062500.6335999998</v>
      </c>
      <c r="P155" s="340">
        <f>792.41*7.3*N155</f>
        <v>15178772.032</v>
      </c>
      <c r="Q155" s="705">
        <f>158.48*7.3*0.65*2*N155</f>
        <v>3946430.9248000002</v>
      </c>
      <c r="R155" s="656">
        <f>SUM(O155:Q155)</f>
        <v>20187703.590399999</v>
      </c>
      <c r="S155" s="657">
        <f>R155</f>
        <v>20187703.590399999</v>
      </c>
      <c r="T155" s="726">
        <f>(F155+I155)*198.1*7.4</f>
        <v>3846626.56</v>
      </c>
      <c r="U155" s="547">
        <v>0</v>
      </c>
      <c r="V155" s="547">
        <v>0</v>
      </c>
      <c r="W155" s="548">
        <v>0</v>
      </c>
      <c r="X155" s="549">
        <v>0</v>
      </c>
      <c r="Y155" s="549">
        <v>0</v>
      </c>
      <c r="Z155" s="549">
        <v>0</v>
      </c>
      <c r="AA155" s="525">
        <f t="shared" ref="AA155:AB159" si="738">W155+Y155</f>
        <v>0</v>
      </c>
      <c r="AB155" s="524">
        <f t="shared" si="738"/>
        <v>0</v>
      </c>
      <c r="AC155" s="526">
        <f t="shared" si="715"/>
        <v>0</v>
      </c>
      <c r="AD155" s="547">
        <v>0</v>
      </c>
      <c r="AE155" s="547">
        <v>0</v>
      </c>
      <c r="AF155" s="547">
        <v>0</v>
      </c>
      <c r="AG155" s="547">
        <v>0</v>
      </c>
      <c r="AH155" s="363">
        <f t="shared" ref="AH155:AI159" si="739">AD155+AF155</f>
        <v>0</v>
      </c>
      <c r="AI155" s="547">
        <f t="shared" si="739"/>
        <v>0</v>
      </c>
      <c r="AJ155" s="550">
        <f t="shared" si="717"/>
        <v>0</v>
      </c>
      <c r="AK155" s="551">
        <f t="shared" si="718"/>
        <v>0</v>
      </c>
      <c r="AL155" s="669"/>
      <c r="AM155" s="502"/>
      <c r="AN155" s="725">
        <v>0</v>
      </c>
      <c r="AO155" s="498"/>
      <c r="AP155" s="499"/>
      <c r="AQ155" s="499"/>
      <c r="AR155" s="499"/>
      <c r="AS155" s="499">
        <f t="shared" ref="AS155:AT159" si="740">AO155+AQ155</f>
        <v>0</v>
      </c>
      <c r="AT155" s="671">
        <f t="shared" si="740"/>
        <v>0</v>
      </c>
      <c r="AU155" s="742"/>
      <c r="AV155" s="88"/>
      <c r="AW155" s="88"/>
      <c r="AX155" s="88"/>
      <c r="AY155" s="502">
        <f t="shared" ref="AY155:AZ159" si="741">AU155+AW155</f>
        <v>0</v>
      </c>
      <c r="AZ155" s="660">
        <f t="shared" si="741"/>
        <v>0</v>
      </c>
      <c r="BA155" s="504">
        <f t="shared" ref="BA155:BF159" si="742">U155+AM155</f>
        <v>0</v>
      </c>
      <c r="BB155" s="505">
        <f t="shared" si="742"/>
        <v>0</v>
      </c>
      <c r="BC155" s="490">
        <f t="shared" si="742"/>
        <v>0</v>
      </c>
      <c r="BD155" s="506">
        <f t="shared" si="742"/>
        <v>0</v>
      </c>
      <c r="BE155" s="506">
        <f t="shared" si="742"/>
        <v>0</v>
      </c>
      <c r="BF155" s="506">
        <f t="shared" si="742"/>
        <v>0</v>
      </c>
      <c r="BG155" s="506">
        <f t="shared" ref="BG155:BH159" si="743">AA155+AS155</f>
        <v>0</v>
      </c>
      <c r="BH155" s="506">
        <f t="shared" si="743"/>
        <v>0</v>
      </c>
      <c r="BI155" s="492">
        <f t="shared" si="573"/>
        <v>0</v>
      </c>
      <c r="BJ155" s="507">
        <f t="shared" ref="BJ155:BK159" si="744">AD155+AU155</f>
        <v>0</v>
      </c>
      <c r="BK155" s="508">
        <f t="shared" si="744"/>
        <v>0</v>
      </c>
      <c r="BL155" s="508">
        <f t="shared" ref="BL155:BO159" si="745">AF155+AW155</f>
        <v>0</v>
      </c>
      <c r="BM155" s="508">
        <f t="shared" si="745"/>
        <v>0</v>
      </c>
      <c r="BN155" s="508">
        <f t="shared" si="745"/>
        <v>0</v>
      </c>
      <c r="BO155" s="508">
        <f t="shared" si="745"/>
        <v>0</v>
      </c>
      <c r="BP155" s="509">
        <f t="shared" si="575"/>
        <v>0</v>
      </c>
      <c r="BQ155" s="510">
        <f t="shared" si="576"/>
        <v>0</v>
      </c>
      <c r="BR155" s="669"/>
      <c r="BS155" s="502"/>
      <c r="BT155" s="725"/>
      <c r="BU155" s="498"/>
      <c r="BV155" s="499"/>
      <c r="BW155" s="499"/>
      <c r="BX155" s="499"/>
      <c r="BY155" s="499">
        <f t="shared" ref="BY155:BZ159" si="746">BU155+BW155</f>
        <v>0</v>
      </c>
      <c r="BZ155" s="671">
        <f t="shared" si="746"/>
        <v>0</v>
      </c>
      <c r="CA155" s="742"/>
      <c r="CB155" s="88"/>
      <c r="CC155" s="88"/>
      <c r="CD155" s="88"/>
      <c r="CE155" s="502">
        <f>CA155+CC155</f>
        <v>0</v>
      </c>
      <c r="CF155" s="660">
        <f>CB155+CD155</f>
        <v>0</v>
      </c>
      <c r="CG155" s="1136">
        <f t="shared" ref="CG155:CN159" si="747">BA155+BS155</f>
        <v>0</v>
      </c>
      <c r="CH155" s="505">
        <f t="shared" si="747"/>
        <v>0</v>
      </c>
      <c r="CI155" s="490">
        <f t="shared" si="747"/>
        <v>0</v>
      </c>
      <c r="CJ155" s="506">
        <f t="shared" si="747"/>
        <v>0</v>
      </c>
      <c r="CK155" s="506">
        <f t="shared" si="747"/>
        <v>0</v>
      </c>
      <c r="CL155" s="506">
        <f t="shared" si="747"/>
        <v>0</v>
      </c>
      <c r="CM155" s="506">
        <f t="shared" si="747"/>
        <v>0</v>
      </c>
      <c r="CN155" s="506">
        <f t="shared" si="747"/>
        <v>0</v>
      </c>
      <c r="CO155" s="492">
        <f t="shared" si="722"/>
        <v>0</v>
      </c>
      <c r="CP155" s="507">
        <f t="shared" ref="CP155:CU159" si="748">BJ155+CA155</f>
        <v>0</v>
      </c>
      <c r="CQ155" s="508">
        <f t="shared" si="748"/>
        <v>0</v>
      </c>
      <c r="CR155" s="508">
        <f t="shared" si="748"/>
        <v>0</v>
      </c>
      <c r="CS155" s="508">
        <f t="shared" si="748"/>
        <v>0</v>
      </c>
      <c r="CT155" s="508">
        <f t="shared" si="748"/>
        <v>0</v>
      </c>
      <c r="CU155" s="508">
        <f t="shared" si="748"/>
        <v>0</v>
      </c>
      <c r="CV155" s="509">
        <f t="shared" si="724"/>
        <v>0</v>
      </c>
      <c r="CW155" s="510">
        <f t="shared" si="725"/>
        <v>0</v>
      </c>
      <c r="CX155" s="669"/>
      <c r="CY155" s="502"/>
      <c r="CZ155" s="725"/>
      <c r="DA155" s="498"/>
      <c r="DB155" s="499"/>
      <c r="DC155" s="499"/>
      <c r="DD155" s="499"/>
      <c r="DE155" s="499">
        <f t="shared" ref="DE155:DF159" si="749">DA155+DC155</f>
        <v>0</v>
      </c>
      <c r="DF155" s="671">
        <f t="shared" si="749"/>
        <v>0</v>
      </c>
      <c r="DG155" s="742"/>
      <c r="DH155" s="88"/>
      <c r="DI155" s="88"/>
      <c r="DJ155" s="88"/>
      <c r="DK155" s="502">
        <f t="shared" ref="DK155:DL159" si="750">DG155+DI155</f>
        <v>0</v>
      </c>
      <c r="DL155" s="660">
        <f t="shared" si="750"/>
        <v>0</v>
      </c>
      <c r="DM155" s="1136">
        <f t="shared" ref="DM155:DT159" si="751">CG155+CY155</f>
        <v>0</v>
      </c>
      <c r="DN155" s="505">
        <f t="shared" si="751"/>
        <v>0</v>
      </c>
      <c r="DO155" s="490">
        <f t="shared" si="751"/>
        <v>0</v>
      </c>
      <c r="DP155" s="506">
        <f t="shared" si="751"/>
        <v>0</v>
      </c>
      <c r="DQ155" s="506">
        <f t="shared" si="751"/>
        <v>0</v>
      </c>
      <c r="DR155" s="506">
        <f t="shared" si="751"/>
        <v>0</v>
      </c>
      <c r="DS155" s="506">
        <f t="shared" si="751"/>
        <v>0</v>
      </c>
      <c r="DT155" s="506">
        <f t="shared" si="751"/>
        <v>0</v>
      </c>
      <c r="DU155" s="492">
        <f t="shared" si="727"/>
        <v>0</v>
      </c>
      <c r="DV155" s="507">
        <f t="shared" ref="DV155:EA159" si="752">CP155+DG155</f>
        <v>0</v>
      </c>
      <c r="DW155" s="508">
        <f t="shared" si="752"/>
        <v>0</v>
      </c>
      <c r="DX155" s="508">
        <f t="shared" si="752"/>
        <v>0</v>
      </c>
      <c r="DY155" s="508">
        <f t="shared" si="752"/>
        <v>0</v>
      </c>
      <c r="DZ155" s="508">
        <f t="shared" si="752"/>
        <v>0</v>
      </c>
      <c r="EA155" s="508">
        <f t="shared" si="752"/>
        <v>0</v>
      </c>
      <c r="EB155" s="509">
        <f t="shared" si="659"/>
        <v>0</v>
      </c>
      <c r="EC155" s="510">
        <f t="shared" si="711"/>
        <v>0</v>
      </c>
      <c r="ED155" s="669">
        <v>0</v>
      </c>
      <c r="EE155" s="502"/>
      <c r="EF155" s="725"/>
      <c r="EG155" s="498"/>
      <c r="EH155" s="499"/>
      <c r="EI155" s="499"/>
      <c r="EJ155" s="499"/>
      <c r="EK155" s="499">
        <f t="shared" ref="EK155:EL159" si="753">EG155+EI155</f>
        <v>0</v>
      </c>
      <c r="EL155" s="671">
        <f t="shared" si="753"/>
        <v>0</v>
      </c>
      <c r="EM155" s="742"/>
      <c r="EN155" s="88"/>
      <c r="EO155" s="88"/>
      <c r="EP155" s="88"/>
      <c r="EQ155" s="502">
        <f t="shared" ref="EQ155:ER159" si="754">EM155+EO155</f>
        <v>0</v>
      </c>
      <c r="ER155" s="660">
        <f t="shared" si="754"/>
        <v>0</v>
      </c>
      <c r="ES155" s="1136">
        <f t="shared" ref="ES155:ET159" si="755">DM155+EE155</f>
        <v>0</v>
      </c>
      <c r="ET155" s="505">
        <f t="shared" si="755"/>
        <v>0</v>
      </c>
      <c r="EU155" s="490">
        <f>EG155+DO155</f>
        <v>0</v>
      </c>
      <c r="EV155" s="506">
        <f t="shared" ref="EV155:EZ159" si="756">EH155+DP155</f>
        <v>0</v>
      </c>
      <c r="EW155" s="506">
        <f t="shared" si="756"/>
        <v>0</v>
      </c>
      <c r="EX155" s="506">
        <f t="shared" si="756"/>
        <v>0</v>
      </c>
      <c r="EY155" s="506">
        <f t="shared" si="756"/>
        <v>0</v>
      </c>
      <c r="EZ155" s="506">
        <f t="shared" si="756"/>
        <v>0</v>
      </c>
      <c r="FA155" s="492">
        <f t="shared" ref="FA155:FA161" si="757">EZ155/R155</f>
        <v>0</v>
      </c>
      <c r="FB155" s="507">
        <f>DV155+EM155</f>
        <v>0</v>
      </c>
      <c r="FC155" s="508">
        <f t="shared" ref="FC155:FG159" si="758">DW155+EN155</f>
        <v>0</v>
      </c>
      <c r="FD155" s="508">
        <f t="shared" si="758"/>
        <v>0</v>
      </c>
      <c r="FE155" s="508">
        <f t="shared" si="758"/>
        <v>0</v>
      </c>
      <c r="FF155" s="508">
        <f t="shared" si="758"/>
        <v>0</v>
      </c>
      <c r="FG155" s="508">
        <f t="shared" si="758"/>
        <v>0</v>
      </c>
      <c r="FH155" s="509">
        <f>FG155/S155</f>
        <v>0</v>
      </c>
      <c r="FI155" s="855">
        <f>ES155/T155</f>
        <v>0</v>
      </c>
      <c r="FJ155" s="669"/>
      <c r="FK155" s="502"/>
      <c r="FL155" s="725"/>
      <c r="FM155" s="498"/>
      <c r="FN155" s="499"/>
      <c r="FO155" s="499"/>
      <c r="FP155" s="499"/>
      <c r="FQ155" s="499">
        <f t="shared" ref="FQ155:FR159" si="759">FM155+FO155</f>
        <v>0</v>
      </c>
      <c r="FR155" s="671">
        <f t="shared" si="759"/>
        <v>0</v>
      </c>
      <c r="FS155" s="742"/>
      <c r="FT155" s="88"/>
      <c r="FU155" s="88"/>
      <c r="FV155" s="88"/>
      <c r="FW155" s="502">
        <f t="shared" ref="FW155:FX159" si="760">FS155+FU155</f>
        <v>0</v>
      </c>
      <c r="FX155" s="660">
        <f t="shared" si="760"/>
        <v>0</v>
      </c>
      <c r="FY155" s="1136">
        <f t="shared" ref="FY155:FZ159" si="761">ES155+FK155</f>
        <v>0</v>
      </c>
      <c r="FZ155" s="505">
        <f t="shared" si="761"/>
        <v>0</v>
      </c>
      <c r="GA155" s="490">
        <f t="shared" ref="GA155:GF159" si="762">FM155+EU155</f>
        <v>0</v>
      </c>
      <c r="GB155" s="506">
        <f t="shared" si="762"/>
        <v>0</v>
      </c>
      <c r="GC155" s="506">
        <f t="shared" si="762"/>
        <v>0</v>
      </c>
      <c r="GD155" s="506">
        <f t="shared" si="762"/>
        <v>0</v>
      </c>
      <c r="GE155" s="506">
        <f t="shared" si="762"/>
        <v>0</v>
      </c>
      <c r="GF155" s="506">
        <f t="shared" si="762"/>
        <v>0</v>
      </c>
      <c r="GG155" s="492">
        <f t="shared" si="732"/>
        <v>0</v>
      </c>
      <c r="GH155" s="507">
        <f t="shared" ref="GH155:GM159" si="763">FB155+FS155</f>
        <v>0</v>
      </c>
      <c r="GI155" s="508">
        <f t="shared" si="763"/>
        <v>0</v>
      </c>
      <c r="GJ155" s="508">
        <f t="shared" si="763"/>
        <v>0</v>
      </c>
      <c r="GK155" s="508">
        <f t="shared" si="763"/>
        <v>0</v>
      </c>
      <c r="GL155" s="508">
        <f t="shared" si="763"/>
        <v>0</v>
      </c>
      <c r="GM155" s="508">
        <f t="shared" si="763"/>
        <v>0</v>
      </c>
      <c r="GN155" s="509">
        <f t="shared" si="734"/>
        <v>0</v>
      </c>
      <c r="GO155" s="510">
        <f t="shared" si="735"/>
        <v>0</v>
      </c>
      <c r="GP155" s="669"/>
      <c r="GQ155" s="502"/>
      <c r="GR155" s="725"/>
      <c r="GS155" s="498"/>
      <c r="GT155" s="499"/>
      <c r="GU155" s="499"/>
      <c r="GV155" s="499"/>
      <c r="GW155" s="499">
        <f t="shared" ref="GW155:GX159" si="764">GS155+GU155</f>
        <v>0</v>
      </c>
      <c r="GX155" s="671">
        <f t="shared" si="764"/>
        <v>0</v>
      </c>
      <c r="GY155" s="742"/>
      <c r="GZ155" s="88">
        <v>0</v>
      </c>
      <c r="HA155" s="88"/>
      <c r="HB155" s="88">
        <v>0</v>
      </c>
      <c r="HC155" s="502">
        <f t="shared" ref="HC155:HD159" si="765">GY155+HA155</f>
        <v>0</v>
      </c>
      <c r="HD155" s="660">
        <f t="shared" si="765"/>
        <v>0</v>
      </c>
      <c r="HE155" s="1673">
        <f t="shared" ref="HE155:HF159" si="766">FY155+GQ155</f>
        <v>0</v>
      </c>
      <c r="HF155" s="505">
        <f t="shared" si="766"/>
        <v>0</v>
      </c>
      <c r="HG155" s="490">
        <f t="shared" ref="HG155:HL159" si="767">GS155+GA155</f>
        <v>0</v>
      </c>
      <c r="HH155" s="506">
        <f t="shared" si="767"/>
        <v>0</v>
      </c>
      <c r="HI155" s="506">
        <f t="shared" si="767"/>
        <v>0</v>
      </c>
      <c r="HJ155" s="506">
        <f t="shared" si="767"/>
        <v>0</v>
      </c>
      <c r="HK155" s="506">
        <f t="shared" si="767"/>
        <v>0</v>
      </c>
      <c r="HL155" s="506">
        <f t="shared" si="767"/>
        <v>0</v>
      </c>
      <c r="HM155" s="626">
        <f t="shared" si="519"/>
        <v>0</v>
      </c>
      <c r="HN155" s="507">
        <f t="shared" ref="HN155:HS159" si="768">GH155+GY155</f>
        <v>0</v>
      </c>
      <c r="HO155" s="508">
        <f t="shared" si="768"/>
        <v>0</v>
      </c>
      <c r="HP155" s="508">
        <f t="shared" si="768"/>
        <v>0</v>
      </c>
      <c r="HQ155" s="508">
        <f t="shared" si="768"/>
        <v>0</v>
      </c>
      <c r="HR155" s="508">
        <f t="shared" si="768"/>
        <v>0</v>
      </c>
      <c r="HS155" s="508">
        <f t="shared" si="768"/>
        <v>0</v>
      </c>
      <c r="HT155" s="509">
        <f t="shared" si="592"/>
        <v>0</v>
      </c>
      <c r="HU155" s="510">
        <f t="shared" si="593"/>
        <v>0</v>
      </c>
    </row>
    <row r="156" spans="1:229" ht="12.75" customHeight="1" x14ac:dyDescent="0.2">
      <c r="A156" s="3671"/>
      <c r="B156" s="3678"/>
      <c r="C156" s="511">
        <v>2</v>
      </c>
      <c r="D156" s="585" t="s">
        <v>322</v>
      </c>
      <c r="E156" s="663">
        <v>50</v>
      </c>
      <c r="F156" s="485">
        <v>3250</v>
      </c>
      <c r="G156" s="701">
        <v>71.16</v>
      </c>
      <c r="H156" s="516">
        <v>0</v>
      </c>
      <c r="I156" s="485">
        <v>0</v>
      </c>
      <c r="J156" s="485">
        <v>0</v>
      </c>
      <c r="K156" s="516">
        <v>0</v>
      </c>
      <c r="L156" s="485">
        <v>0</v>
      </c>
      <c r="M156" s="258">
        <v>0</v>
      </c>
      <c r="N156" s="703">
        <f>F156+I156+L156</f>
        <v>3250</v>
      </c>
      <c r="O156" s="518">
        <v>3365798.24</v>
      </c>
      <c r="P156" s="340">
        <v>24041719.399999999</v>
      </c>
      <c r="Q156" s="705">
        <v>6250768.1600000001</v>
      </c>
      <c r="R156" s="485">
        <f>SUM(O156:Q156)</f>
        <v>33658285.799999997</v>
      </c>
      <c r="S156" s="709">
        <f>R156</f>
        <v>33658285.799999997</v>
      </c>
      <c r="T156" s="726">
        <f>(F156+I156)*198.1*7.4</f>
        <v>4764305</v>
      </c>
      <c r="U156" s="522">
        <v>0</v>
      </c>
      <c r="V156" s="522">
        <v>0</v>
      </c>
      <c r="W156" s="523">
        <v>0</v>
      </c>
      <c r="X156" s="524">
        <v>0</v>
      </c>
      <c r="Y156" s="524">
        <v>0</v>
      </c>
      <c r="Z156" s="524">
        <v>0</v>
      </c>
      <c r="AA156" s="525">
        <f t="shared" si="738"/>
        <v>0</v>
      </c>
      <c r="AB156" s="524">
        <f t="shared" si="738"/>
        <v>0</v>
      </c>
      <c r="AC156" s="526">
        <f t="shared" si="715"/>
        <v>0</v>
      </c>
      <c r="AD156" s="522">
        <v>0</v>
      </c>
      <c r="AE156" s="522">
        <v>0</v>
      </c>
      <c r="AF156" s="522">
        <v>0</v>
      </c>
      <c r="AG156" s="522">
        <v>0</v>
      </c>
      <c r="AH156" s="176">
        <f t="shared" si="739"/>
        <v>0</v>
      </c>
      <c r="AI156" s="522">
        <f t="shared" si="739"/>
        <v>0</v>
      </c>
      <c r="AJ156" s="527">
        <f t="shared" si="717"/>
        <v>0</v>
      </c>
      <c r="AK156" s="528">
        <f t="shared" si="718"/>
        <v>0</v>
      </c>
      <c r="AL156" s="731"/>
      <c r="AM156" s="502"/>
      <c r="AN156" s="725">
        <v>0</v>
      </c>
      <c r="AO156" s="498"/>
      <c r="AP156" s="499"/>
      <c r="AQ156" s="531"/>
      <c r="AR156" s="531"/>
      <c r="AS156" s="499">
        <f t="shared" si="740"/>
        <v>0</v>
      </c>
      <c r="AT156" s="671">
        <f t="shared" si="740"/>
        <v>0</v>
      </c>
      <c r="AU156" s="712"/>
      <c r="AV156" s="502"/>
      <c r="AW156" s="502"/>
      <c r="AX156" s="502"/>
      <c r="AY156" s="502">
        <f t="shared" si="741"/>
        <v>0</v>
      </c>
      <c r="AZ156" s="660">
        <f t="shared" si="741"/>
        <v>0</v>
      </c>
      <c r="BA156" s="535">
        <f t="shared" si="742"/>
        <v>0</v>
      </c>
      <c r="BB156" s="536">
        <f t="shared" si="742"/>
        <v>0</v>
      </c>
      <c r="BC156" s="523">
        <f t="shared" si="742"/>
        <v>0</v>
      </c>
      <c r="BD156" s="525">
        <f t="shared" si="742"/>
        <v>0</v>
      </c>
      <c r="BE156" s="525">
        <f t="shared" si="742"/>
        <v>0</v>
      </c>
      <c r="BF156" s="525">
        <f t="shared" si="742"/>
        <v>0</v>
      </c>
      <c r="BG156" s="525">
        <f t="shared" si="743"/>
        <v>0</v>
      </c>
      <c r="BH156" s="525">
        <f t="shared" si="743"/>
        <v>0</v>
      </c>
      <c r="BI156" s="526">
        <f t="shared" si="573"/>
        <v>0</v>
      </c>
      <c r="BJ156" s="537">
        <f t="shared" si="744"/>
        <v>0</v>
      </c>
      <c r="BK156" s="538">
        <f t="shared" si="744"/>
        <v>0</v>
      </c>
      <c r="BL156" s="538">
        <f t="shared" si="745"/>
        <v>0</v>
      </c>
      <c r="BM156" s="538">
        <f t="shared" si="745"/>
        <v>0</v>
      </c>
      <c r="BN156" s="538">
        <f t="shared" si="745"/>
        <v>0</v>
      </c>
      <c r="BO156" s="538">
        <f t="shared" si="745"/>
        <v>0</v>
      </c>
      <c r="BP156" s="539">
        <f t="shared" si="575"/>
        <v>0</v>
      </c>
      <c r="BQ156" s="540">
        <f t="shared" si="576"/>
        <v>0</v>
      </c>
      <c r="BR156" s="731"/>
      <c r="BS156" s="502"/>
      <c r="BT156" s="725"/>
      <c r="BU156" s="498"/>
      <c r="BV156" s="499"/>
      <c r="BW156" s="531"/>
      <c r="BX156" s="531"/>
      <c r="BY156" s="499">
        <f t="shared" si="746"/>
        <v>0</v>
      </c>
      <c r="BZ156" s="671">
        <f t="shared" si="746"/>
        <v>0</v>
      </c>
      <c r="CA156" s="712"/>
      <c r="CB156" s="502"/>
      <c r="CC156" s="502"/>
      <c r="CD156" s="502"/>
      <c r="CE156" s="502">
        <f>CA156+CC156</f>
        <v>0</v>
      </c>
      <c r="CF156" s="660">
        <f>CB156+CD156</f>
        <v>0</v>
      </c>
      <c r="CG156" s="1258">
        <f t="shared" si="747"/>
        <v>0</v>
      </c>
      <c r="CH156" s="775">
        <f t="shared" si="747"/>
        <v>0</v>
      </c>
      <c r="CI156" s="548">
        <f t="shared" si="747"/>
        <v>0</v>
      </c>
      <c r="CJ156" s="773">
        <f t="shared" si="747"/>
        <v>0</v>
      </c>
      <c r="CK156" s="773">
        <f t="shared" si="747"/>
        <v>0</v>
      </c>
      <c r="CL156" s="773">
        <f t="shared" si="747"/>
        <v>0</v>
      </c>
      <c r="CM156" s="773">
        <f t="shared" si="747"/>
        <v>0</v>
      </c>
      <c r="CN156" s="773">
        <f t="shared" si="747"/>
        <v>0</v>
      </c>
      <c r="CO156" s="626">
        <f t="shared" si="722"/>
        <v>0</v>
      </c>
      <c r="CP156" s="1145">
        <f t="shared" si="748"/>
        <v>0</v>
      </c>
      <c r="CQ156" s="1146">
        <f t="shared" si="748"/>
        <v>0</v>
      </c>
      <c r="CR156" s="1146">
        <f t="shared" si="748"/>
        <v>0</v>
      </c>
      <c r="CS156" s="1146">
        <f t="shared" si="748"/>
        <v>0</v>
      </c>
      <c r="CT156" s="1146">
        <f t="shared" si="748"/>
        <v>0</v>
      </c>
      <c r="CU156" s="1146">
        <f t="shared" si="748"/>
        <v>0</v>
      </c>
      <c r="CV156" s="1256">
        <f t="shared" si="724"/>
        <v>0</v>
      </c>
      <c r="CW156" s="1157">
        <f t="shared" si="725"/>
        <v>0</v>
      </c>
      <c r="CX156" s="731"/>
      <c r="CY156" s="502"/>
      <c r="CZ156" s="725"/>
      <c r="DA156" s="498"/>
      <c r="DB156" s="499"/>
      <c r="DC156" s="531"/>
      <c r="DD156" s="531"/>
      <c r="DE156" s="499">
        <f t="shared" si="749"/>
        <v>0</v>
      </c>
      <c r="DF156" s="671">
        <f t="shared" si="749"/>
        <v>0</v>
      </c>
      <c r="DG156" s="712"/>
      <c r="DH156" s="502"/>
      <c r="DI156" s="502"/>
      <c r="DJ156" s="502"/>
      <c r="DK156" s="502">
        <f t="shared" si="750"/>
        <v>0</v>
      </c>
      <c r="DL156" s="660">
        <f t="shared" si="750"/>
        <v>0</v>
      </c>
      <c r="DM156" s="1258">
        <f t="shared" si="751"/>
        <v>0</v>
      </c>
      <c r="DN156" s="775">
        <f t="shared" si="751"/>
        <v>0</v>
      </c>
      <c r="DO156" s="548">
        <f t="shared" si="751"/>
        <v>0</v>
      </c>
      <c r="DP156" s="773">
        <f t="shared" si="751"/>
        <v>0</v>
      </c>
      <c r="DQ156" s="773">
        <f t="shared" si="751"/>
        <v>0</v>
      </c>
      <c r="DR156" s="773">
        <f t="shared" si="751"/>
        <v>0</v>
      </c>
      <c r="DS156" s="773">
        <f t="shared" si="751"/>
        <v>0</v>
      </c>
      <c r="DT156" s="773">
        <f t="shared" si="751"/>
        <v>0</v>
      </c>
      <c r="DU156" s="626">
        <f t="shared" si="727"/>
        <v>0</v>
      </c>
      <c r="DV156" s="1145">
        <f t="shared" si="752"/>
        <v>0</v>
      </c>
      <c r="DW156" s="1146">
        <f t="shared" si="752"/>
        <v>0</v>
      </c>
      <c r="DX156" s="1146">
        <f t="shared" si="752"/>
        <v>0</v>
      </c>
      <c r="DY156" s="1146">
        <f t="shared" si="752"/>
        <v>0</v>
      </c>
      <c r="DZ156" s="1146">
        <f t="shared" si="752"/>
        <v>0</v>
      </c>
      <c r="EA156" s="1146">
        <f t="shared" si="752"/>
        <v>0</v>
      </c>
      <c r="EB156" s="1256">
        <f>EA156/S56</f>
        <v>0</v>
      </c>
      <c r="EC156" s="1157">
        <f t="shared" si="711"/>
        <v>0</v>
      </c>
      <c r="ED156" s="731">
        <v>0</v>
      </c>
      <c r="EE156" s="502"/>
      <c r="EF156" s="725"/>
      <c r="EG156" s="498"/>
      <c r="EH156" s="499"/>
      <c r="EI156" s="531"/>
      <c r="EJ156" s="531"/>
      <c r="EK156" s="499">
        <f t="shared" si="753"/>
        <v>0</v>
      </c>
      <c r="EL156" s="671">
        <f t="shared" si="753"/>
        <v>0</v>
      </c>
      <c r="EM156" s="712"/>
      <c r="EN156" s="502"/>
      <c r="EO156" s="502"/>
      <c r="EP156" s="502"/>
      <c r="EQ156" s="502">
        <f t="shared" si="754"/>
        <v>0</v>
      </c>
      <c r="ER156" s="660">
        <f t="shared" si="754"/>
        <v>0</v>
      </c>
      <c r="ES156" s="1138">
        <f t="shared" si="755"/>
        <v>0</v>
      </c>
      <c r="ET156" s="536">
        <f t="shared" si="755"/>
        <v>0</v>
      </c>
      <c r="EU156" s="523">
        <f>EG156+DO156</f>
        <v>0</v>
      </c>
      <c r="EV156" s="525">
        <f t="shared" si="756"/>
        <v>0</v>
      </c>
      <c r="EW156" s="525">
        <f t="shared" si="756"/>
        <v>0</v>
      </c>
      <c r="EX156" s="525">
        <f t="shared" si="756"/>
        <v>0</v>
      </c>
      <c r="EY156" s="525">
        <f t="shared" si="756"/>
        <v>0</v>
      </c>
      <c r="EZ156" s="525">
        <f t="shared" si="756"/>
        <v>0</v>
      </c>
      <c r="FA156" s="526">
        <f t="shared" si="757"/>
        <v>0</v>
      </c>
      <c r="FB156" s="537">
        <f>DV156+EM156</f>
        <v>0</v>
      </c>
      <c r="FC156" s="538">
        <f t="shared" si="758"/>
        <v>0</v>
      </c>
      <c r="FD156" s="538">
        <f t="shared" si="758"/>
        <v>0</v>
      </c>
      <c r="FE156" s="538">
        <f t="shared" si="758"/>
        <v>0</v>
      </c>
      <c r="FF156" s="538">
        <f t="shared" si="758"/>
        <v>0</v>
      </c>
      <c r="FG156" s="538">
        <f t="shared" si="758"/>
        <v>0</v>
      </c>
      <c r="FH156" s="539">
        <f t="shared" si="315"/>
        <v>0</v>
      </c>
      <c r="FI156" s="883">
        <f t="shared" si="494"/>
        <v>0</v>
      </c>
      <c r="FJ156" s="731"/>
      <c r="FK156" s="502"/>
      <c r="FL156" s="725"/>
      <c r="FM156" s="498"/>
      <c r="FN156" s="499"/>
      <c r="FO156" s="531"/>
      <c r="FP156" s="531"/>
      <c r="FQ156" s="499">
        <f t="shared" si="759"/>
        <v>0</v>
      </c>
      <c r="FR156" s="671">
        <f t="shared" si="759"/>
        <v>0</v>
      </c>
      <c r="FS156" s="712"/>
      <c r="FT156" s="502"/>
      <c r="FU156" s="502"/>
      <c r="FV156" s="502"/>
      <c r="FW156" s="502">
        <f t="shared" si="760"/>
        <v>0</v>
      </c>
      <c r="FX156" s="660">
        <f t="shared" si="760"/>
        <v>0</v>
      </c>
      <c r="FY156" s="1138">
        <f t="shared" si="761"/>
        <v>0</v>
      </c>
      <c r="FZ156" s="536">
        <f t="shared" si="761"/>
        <v>0</v>
      </c>
      <c r="GA156" s="523">
        <f t="shared" si="762"/>
        <v>0</v>
      </c>
      <c r="GB156" s="525">
        <f t="shared" si="762"/>
        <v>0</v>
      </c>
      <c r="GC156" s="525">
        <f t="shared" si="762"/>
        <v>0</v>
      </c>
      <c r="GD156" s="525">
        <f t="shared" si="762"/>
        <v>0</v>
      </c>
      <c r="GE156" s="525">
        <f t="shared" si="762"/>
        <v>0</v>
      </c>
      <c r="GF156" s="525">
        <f t="shared" si="762"/>
        <v>0</v>
      </c>
      <c r="GG156" s="526">
        <f t="shared" si="732"/>
        <v>0</v>
      </c>
      <c r="GH156" s="537">
        <f t="shared" si="763"/>
        <v>0</v>
      </c>
      <c r="GI156" s="538">
        <f t="shared" si="763"/>
        <v>0</v>
      </c>
      <c r="GJ156" s="538">
        <f t="shared" si="763"/>
        <v>0</v>
      </c>
      <c r="GK156" s="538">
        <f t="shared" si="763"/>
        <v>0</v>
      </c>
      <c r="GL156" s="538">
        <f t="shared" si="763"/>
        <v>0</v>
      </c>
      <c r="GM156" s="538">
        <f t="shared" si="763"/>
        <v>0</v>
      </c>
      <c r="GN156" s="539">
        <f t="shared" si="734"/>
        <v>0</v>
      </c>
      <c r="GO156" s="540">
        <f t="shared" si="735"/>
        <v>0</v>
      </c>
      <c r="GP156" s="731"/>
      <c r="GQ156" s="502"/>
      <c r="GR156" s="725"/>
      <c r="GS156" s="498"/>
      <c r="GT156" s="499"/>
      <c r="GU156" s="531"/>
      <c r="GV156" s="531"/>
      <c r="GW156" s="499">
        <f t="shared" si="764"/>
        <v>0</v>
      </c>
      <c r="GX156" s="671">
        <f t="shared" si="764"/>
        <v>0</v>
      </c>
      <c r="GY156" s="712"/>
      <c r="GZ156" s="502">
        <v>0</v>
      </c>
      <c r="HA156" s="502"/>
      <c r="HB156" s="502">
        <v>0</v>
      </c>
      <c r="HC156" s="502">
        <f t="shared" si="765"/>
        <v>0</v>
      </c>
      <c r="HD156" s="660">
        <f t="shared" si="765"/>
        <v>0</v>
      </c>
      <c r="HE156" s="1674">
        <f t="shared" si="766"/>
        <v>0</v>
      </c>
      <c r="HF156" s="536">
        <f t="shared" si="766"/>
        <v>0</v>
      </c>
      <c r="HG156" s="523">
        <f t="shared" si="767"/>
        <v>0</v>
      </c>
      <c r="HH156" s="525">
        <f t="shared" si="767"/>
        <v>0</v>
      </c>
      <c r="HI156" s="525">
        <f t="shared" si="767"/>
        <v>0</v>
      </c>
      <c r="HJ156" s="525">
        <f t="shared" si="767"/>
        <v>0</v>
      </c>
      <c r="HK156" s="525">
        <f t="shared" si="767"/>
        <v>0</v>
      </c>
      <c r="HL156" s="525">
        <f t="shared" si="767"/>
        <v>0</v>
      </c>
      <c r="HM156" s="626">
        <f t="shared" si="519"/>
        <v>0</v>
      </c>
      <c r="HN156" s="537">
        <f t="shared" si="768"/>
        <v>0</v>
      </c>
      <c r="HO156" s="538">
        <f t="shared" si="768"/>
        <v>0</v>
      </c>
      <c r="HP156" s="538">
        <f t="shared" si="768"/>
        <v>0</v>
      </c>
      <c r="HQ156" s="538">
        <f t="shared" si="768"/>
        <v>0</v>
      </c>
      <c r="HR156" s="538">
        <f t="shared" si="768"/>
        <v>0</v>
      </c>
      <c r="HS156" s="538">
        <f t="shared" si="768"/>
        <v>0</v>
      </c>
      <c r="HT156" s="539">
        <f t="shared" si="592"/>
        <v>0</v>
      </c>
      <c r="HU156" s="540">
        <f t="shared" si="593"/>
        <v>0</v>
      </c>
    </row>
    <row r="157" spans="1:229" ht="12.75" customHeight="1" x14ac:dyDescent="0.2">
      <c r="A157" s="3671"/>
      <c r="B157" s="3678"/>
      <c r="C157" s="475">
        <v>3</v>
      </c>
      <c r="D157" s="580" t="s">
        <v>324</v>
      </c>
      <c r="E157" s="652">
        <v>400</v>
      </c>
      <c r="F157" s="743">
        <v>26000</v>
      </c>
      <c r="G157" s="701">
        <f t="shared" si="712"/>
        <v>65</v>
      </c>
      <c r="H157" s="744">
        <v>400</v>
      </c>
      <c r="I157" s="743">
        <v>4400</v>
      </c>
      <c r="J157" s="485">
        <f t="shared" si="713"/>
        <v>11</v>
      </c>
      <c r="K157" s="744">
        <v>10</v>
      </c>
      <c r="L157" s="743">
        <v>600</v>
      </c>
      <c r="M157" s="485">
        <f>L157/K157</f>
        <v>60</v>
      </c>
      <c r="N157" s="703">
        <f>F157+I157+L157</f>
        <v>31000</v>
      </c>
      <c r="O157" s="518">
        <v>25448718.399999999</v>
      </c>
      <c r="P157" s="340">
        <v>181778854</v>
      </c>
      <c r="Q157" s="705">
        <v>47261905.600000001</v>
      </c>
      <c r="R157" s="485">
        <v>254489478</v>
      </c>
      <c r="S157" s="713">
        <f>R157</f>
        <v>254489478</v>
      </c>
      <c r="T157" s="521">
        <v>44564576</v>
      </c>
      <c r="U157" s="547">
        <v>0</v>
      </c>
      <c r="V157" s="547">
        <v>0</v>
      </c>
      <c r="W157" s="548">
        <v>4828800</v>
      </c>
      <c r="X157" s="549">
        <v>0</v>
      </c>
      <c r="Y157" s="549">
        <v>0</v>
      </c>
      <c r="Z157" s="549">
        <v>0</v>
      </c>
      <c r="AA157" s="525">
        <f t="shared" si="738"/>
        <v>4828800</v>
      </c>
      <c r="AB157" s="524">
        <f t="shared" si="738"/>
        <v>0</v>
      </c>
      <c r="AC157" s="526">
        <f t="shared" si="715"/>
        <v>0</v>
      </c>
      <c r="AD157" s="547">
        <v>0</v>
      </c>
      <c r="AE157" s="547">
        <v>0</v>
      </c>
      <c r="AF157" s="547">
        <v>0</v>
      </c>
      <c r="AG157" s="547">
        <v>0</v>
      </c>
      <c r="AH157" s="363">
        <f t="shared" si="739"/>
        <v>0</v>
      </c>
      <c r="AI157" s="547">
        <f t="shared" si="739"/>
        <v>0</v>
      </c>
      <c r="AJ157" s="550">
        <f t="shared" si="717"/>
        <v>0</v>
      </c>
      <c r="AK157" s="551">
        <f t="shared" si="718"/>
        <v>0</v>
      </c>
      <c r="AL157" s="1617">
        <v>28800</v>
      </c>
      <c r="AM157" s="502"/>
      <c r="AN157" s="725">
        <v>0</v>
      </c>
      <c r="AO157" s="498">
        <v>28800</v>
      </c>
      <c r="AP157" s="499"/>
      <c r="AQ157" s="499"/>
      <c r="AR157" s="499"/>
      <c r="AS157" s="499">
        <f t="shared" si="740"/>
        <v>28800</v>
      </c>
      <c r="AT157" s="671">
        <f t="shared" si="740"/>
        <v>0</v>
      </c>
      <c r="AU157" s="712"/>
      <c r="AV157" s="502"/>
      <c r="AW157" s="502"/>
      <c r="AX157" s="502"/>
      <c r="AY157" s="502">
        <f t="shared" si="741"/>
        <v>0</v>
      </c>
      <c r="AZ157" s="660">
        <f t="shared" si="741"/>
        <v>0</v>
      </c>
      <c r="BA157" s="535">
        <f t="shared" si="742"/>
        <v>0</v>
      </c>
      <c r="BB157" s="536">
        <f t="shared" si="742"/>
        <v>0</v>
      </c>
      <c r="BC157" s="523">
        <f t="shared" si="742"/>
        <v>4857600</v>
      </c>
      <c r="BD157" s="525">
        <f t="shared" si="742"/>
        <v>0</v>
      </c>
      <c r="BE157" s="525">
        <f t="shared" si="742"/>
        <v>0</v>
      </c>
      <c r="BF157" s="525">
        <f t="shared" si="742"/>
        <v>0</v>
      </c>
      <c r="BG157" s="525">
        <f t="shared" si="743"/>
        <v>4857600</v>
      </c>
      <c r="BH157" s="525">
        <f t="shared" si="743"/>
        <v>0</v>
      </c>
      <c r="BI157" s="526">
        <f t="shared" si="573"/>
        <v>0</v>
      </c>
      <c r="BJ157" s="537">
        <f t="shared" si="744"/>
        <v>0</v>
      </c>
      <c r="BK157" s="538">
        <f t="shared" si="744"/>
        <v>0</v>
      </c>
      <c r="BL157" s="538">
        <f t="shared" si="745"/>
        <v>0</v>
      </c>
      <c r="BM157" s="538">
        <f t="shared" si="745"/>
        <v>0</v>
      </c>
      <c r="BN157" s="538">
        <f t="shared" si="745"/>
        <v>0</v>
      </c>
      <c r="BO157" s="538">
        <f t="shared" si="745"/>
        <v>0</v>
      </c>
      <c r="BP157" s="539">
        <f t="shared" si="575"/>
        <v>0</v>
      </c>
      <c r="BQ157" s="540">
        <f t="shared" si="576"/>
        <v>0</v>
      </c>
      <c r="BR157" s="669">
        <v>28800</v>
      </c>
      <c r="BS157" s="502">
        <f>BV157</f>
        <v>953004</v>
      </c>
      <c r="BT157" s="725"/>
      <c r="BU157" s="498">
        <v>28800</v>
      </c>
      <c r="BV157" s="499">
        <v>953004</v>
      </c>
      <c r="BW157" s="499"/>
      <c r="BX157" s="499"/>
      <c r="BY157" s="499">
        <f t="shared" si="746"/>
        <v>28800</v>
      </c>
      <c r="BZ157" s="671">
        <f t="shared" si="746"/>
        <v>953004</v>
      </c>
      <c r="CA157" s="712"/>
      <c r="CB157" s="502"/>
      <c r="CC157" s="502"/>
      <c r="CD157" s="502"/>
      <c r="CE157" s="502">
        <f t="shared" ref="CE157:CF159" si="769">CA157+CC157</f>
        <v>0</v>
      </c>
      <c r="CF157" s="660">
        <f t="shared" si="769"/>
        <v>0</v>
      </c>
      <c r="CG157" s="1258">
        <f t="shared" si="747"/>
        <v>953004</v>
      </c>
      <c r="CH157" s="775">
        <f t="shared" si="747"/>
        <v>0</v>
      </c>
      <c r="CI157" s="548">
        <f t="shared" si="747"/>
        <v>4886400</v>
      </c>
      <c r="CJ157" s="773">
        <f t="shared" si="747"/>
        <v>953004</v>
      </c>
      <c r="CK157" s="773">
        <f t="shared" si="747"/>
        <v>0</v>
      </c>
      <c r="CL157" s="773">
        <f t="shared" si="747"/>
        <v>0</v>
      </c>
      <c r="CM157" s="773">
        <f t="shared" si="747"/>
        <v>4886400</v>
      </c>
      <c r="CN157" s="773">
        <f t="shared" si="747"/>
        <v>953004</v>
      </c>
      <c r="CO157" s="626">
        <f t="shared" si="722"/>
        <v>3.7447677895743885E-3</v>
      </c>
      <c r="CP157" s="1145">
        <f t="shared" si="748"/>
        <v>0</v>
      </c>
      <c r="CQ157" s="1146">
        <f t="shared" si="748"/>
        <v>0</v>
      </c>
      <c r="CR157" s="1146">
        <f t="shared" si="748"/>
        <v>0</v>
      </c>
      <c r="CS157" s="1146">
        <f t="shared" si="748"/>
        <v>0</v>
      </c>
      <c r="CT157" s="1146">
        <f t="shared" si="748"/>
        <v>0</v>
      </c>
      <c r="CU157" s="1146">
        <f t="shared" si="748"/>
        <v>0</v>
      </c>
      <c r="CV157" s="1256">
        <f t="shared" si="724"/>
        <v>0</v>
      </c>
      <c r="CW157" s="1157">
        <f t="shared" si="725"/>
        <v>2.1384787774038287E-2</v>
      </c>
      <c r="CX157" s="669">
        <v>28800</v>
      </c>
      <c r="CY157" s="502">
        <v>180.13</v>
      </c>
      <c r="CZ157" s="725"/>
      <c r="DA157" s="498">
        <v>28800</v>
      </c>
      <c r="DB157" s="499">
        <v>180.13</v>
      </c>
      <c r="DC157" s="499"/>
      <c r="DD157" s="499"/>
      <c r="DE157" s="499">
        <f t="shared" si="749"/>
        <v>28800</v>
      </c>
      <c r="DF157" s="671">
        <f t="shared" si="749"/>
        <v>180.13</v>
      </c>
      <c r="DG157" s="712"/>
      <c r="DH157" s="502"/>
      <c r="DI157" s="502"/>
      <c r="DJ157" s="502"/>
      <c r="DK157" s="502">
        <f t="shared" si="750"/>
        <v>0</v>
      </c>
      <c r="DL157" s="660">
        <f t="shared" si="750"/>
        <v>0</v>
      </c>
      <c r="DM157" s="1258">
        <f t="shared" si="751"/>
        <v>953184.13</v>
      </c>
      <c r="DN157" s="775">
        <f t="shared" si="751"/>
        <v>0</v>
      </c>
      <c r="DO157" s="548">
        <f t="shared" si="751"/>
        <v>4915200</v>
      </c>
      <c r="DP157" s="773">
        <f t="shared" si="751"/>
        <v>953184.13</v>
      </c>
      <c r="DQ157" s="773">
        <f t="shared" si="751"/>
        <v>0</v>
      </c>
      <c r="DR157" s="773">
        <f t="shared" si="751"/>
        <v>0</v>
      </c>
      <c r="DS157" s="773">
        <f t="shared" si="751"/>
        <v>4915200</v>
      </c>
      <c r="DT157" s="773">
        <f t="shared" si="751"/>
        <v>953184.13</v>
      </c>
      <c r="DU157" s="626">
        <f t="shared" si="727"/>
        <v>3.7454755987986268E-3</v>
      </c>
      <c r="DV157" s="1145">
        <f t="shared" si="752"/>
        <v>0</v>
      </c>
      <c r="DW157" s="1146">
        <f t="shared" si="752"/>
        <v>0</v>
      </c>
      <c r="DX157" s="1146">
        <f t="shared" si="752"/>
        <v>0</v>
      </c>
      <c r="DY157" s="1146">
        <f t="shared" si="752"/>
        <v>0</v>
      </c>
      <c r="DZ157" s="1146">
        <f t="shared" si="752"/>
        <v>0</v>
      </c>
      <c r="EA157" s="1146">
        <f t="shared" si="752"/>
        <v>0</v>
      </c>
      <c r="EB157" s="1256">
        <f>EA157/S57</f>
        <v>0</v>
      </c>
      <c r="EC157" s="1157">
        <f t="shared" si="711"/>
        <v>2.1388829773674949E-2</v>
      </c>
      <c r="ED157" s="669">
        <v>0</v>
      </c>
      <c r="EE157" s="502">
        <f>EH157</f>
        <v>1085760.93</v>
      </c>
      <c r="EF157" s="725"/>
      <c r="EG157" s="498"/>
      <c r="EH157" s="499">
        <f>429.28+580.99+1084750.66</f>
        <v>1085760.93</v>
      </c>
      <c r="EI157" s="499"/>
      <c r="EJ157" s="499"/>
      <c r="EK157" s="499">
        <f t="shared" si="753"/>
        <v>0</v>
      </c>
      <c r="EL157" s="671">
        <f t="shared" si="753"/>
        <v>1085760.93</v>
      </c>
      <c r="EM157" s="712"/>
      <c r="EN157" s="502"/>
      <c r="EO157" s="502"/>
      <c r="EP157" s="502"/>
      <c r="EQ157" s="502">
        <f t="shared" si="754"/>
        <v>0</v>
      </c>
      <c r="ER157" s="660">
        <f t="shared" si="754"/>
        <v>0</v>
      </c>
      <c r="ES157" s="1138">
        <f t="shared" si="755"/>
        <v>2038945.06</v>
      </c>
      <c r="ET157" s="536">
        <f t="shared" si="755"/>
        <v>0</v>
      </c>
      <c r="EU157" s="523">
        <f>EG157+DO157</f>
        <v>4915200</v>
      </c>
      <c r="EV157" s="525">
        <f t="shared" si="756"/>
        <v>2038945.06</v>
      </c>
      <c r="EW157" s="525">
        <f t="shared" si="756"/>
        <v>0</v>
      </c>
      <c r="EX157" s="525">
        <f t="shared" si="756"/>
        <v>0</v>
      </c>
      <c r="EY157" s="525">
        <f t="shared" si="756"/>
        <v>4915200</v>
      </c>
      <c r="EZ157" s="525">
        <f t="shared" si="756"/>
        <v>2038945.06</v>
      </c>
      <c r="FA157" s="526">
        <f t="shared" si="757"/>
        <v>8.0119031876044796E-3</v>
      </c>
      <c r="FB157" s="537">
        <f>DV157+EM157</f>
        <v>0</v>
      </c>
      <c r="FC157" s="538">
        <f t="shared" si="758"/>
        <v>0</v>
      </c>
      <c r="FD157" s="538">
        <f t="shared" si="758"/>
        <v>0</v>
      </c>
      <c r="FE157" s="538">
        <f t="shared" si="758"/>
        <v>0</v>
      </c>
      <c r="FF157" s="538">
        <f t="shared" si="758"/>
        <v>0</v>
      </c>
      <c r="FG157" s="538">
        <f t="shared" si="758"/>
        <v>0</v>
      </c>
      <c r="FH157" s="539">
        <f t="shared" si="315"/>
        <v>0</v>
      </c>
      <c r="FI157" s="883">
        <f t="shared" si="494"/>
        <v>4.5752596412002217E-2</v>
      </c>
      <c r="FJ157" s="669"/>
      <c r="FK157" s="502">
        <f>491733.49+2004.05</f>
        <v>493737.54</v>
      </c>
      <c r="FL157" s="725"/>
      <c r="FM157" s="498"/>
      <c r="FN157" s="499">
        <f>491733.49+2004.05</f>
        <v>493737.54</v>
      </c>
      <c r="FO157" s="499"/>
      <c r="FP157" s="499"/>
      <c r="FQ157" s="499">
        <f t="shared" si="759"/>
        <v>0</v>
      </c>
      <c r="FR157" s="671">
        <f t="shared" si="759"/>
        <v>493737.54</v>
      </c>
      <c r="FS157" s="712"/>
      <c r="FT157" s="502"/>
      <c r="FU157" s="502"/>
      <c r="FV157" s="502"/>
      <c r="FW157" s="502">
        <f t="shared" si="760"/>
        <v>0</v>
      </c>
      <c r="FX157" s="660">
        <f t="shared" si="760"/>
        <v>0</v>
      </c>
      <c r="FY157" s="1138">
        <f t="shared" si="761"/>
        <v>2532682.6</v>
      </c>
      <c r="FZ157" s="536">
        <f t="shared" si="761"/>
        <v>0</v>
      </c>
      <c r="GA157" s="523">
        <f t="shared" si="762"/>
        <v>4915200</v>
      </c>
      <c r="GB157" s="525">
        <f t="shared" si="762"/>
        <v>2532682.6</v>
      </c>
      <c r="GC157" s="525">
        <f t="shared" si="762"/>
        <v>0</v>
      </c>
      <c r="GD157" s="525">
        <f t="shared" si="762"/>
        <v>0</v>
      </c>
      <c r="GE157" s="525">
        <f t="shared" si="762"/>
        <v>4915200</v>
      </c>
      <c r="GF157" s="525">
        <f t="shared" si="762"/>
        <v>2532682.6</v>
      </c>
      <c r="GG157" s="526">
        <f t="shared" si="732"/>
        <v>9.9520130258587743E-3</v>
      </c>
      <c r="GH157" s="537">
        <f t="shared" si="763"/>
        <v>0</v>
      </c>
      <c r="GI157" s="538">
        <f t="shared" si="763"/>
        <v>0</v>
      </c>
      <c r="GJ157" s="538">
        <f t="shared" si="763"/>
        <v>0</v>
      </c>
      <c r="GK157" s="538">
        <f t="shared" si="763"/>
        <v>0</v>
      </c>
      <c r="GL157" s="538">
        <f t="shared" si="763"/>
        <v>0</v>
      </c>
      <c r="GM157" s="538">
        <f t="shared" si="763"/>
        <v>0</v>
      </c>
      <c r="GN157" s="539">
        <f t="shared" si="734"/>
        <v>0</v>
      </c>
      <c r="GO157" s="540">
        <f t="shared" si="735"/>
        <v>5.6831744567703284E-2</v>
      </c>
      <c r="GP157" s="669"/>
      <c r="GQ157" s="502">
        <f>GT157</f>
        <v>2102616.69</v>
      </c>
      <c r="GR157" s="725"/>
      <c r="GS157" s="498"/>
      <c r="GT157" s="499">
        <f>1755835.41+2789.8+41820+302171.48</f>
        <v>2102616.69</v>
      </c>
      <c r="GU157" s="499"/>
      <c r="GV157" s="499"/>
      <c r="GW157" s="499">
        <f t="shared" si="764"/>
        <v>0</v>
      </c>
      <c r="GX157" s="671">
        <f t="shared" si="764"/>
        <v>2102616.69</v>
      </c>
      <c r="GY157" s="712"/>
      <c r="GZ157" s="502">
        <v>0</v>
      </c>
      <c r="HA157" s="502"/>
      <c r="HB157" s="502">
        <v>0</v>
      </c>
      <c r="HC157" s="502">
        <f t="shared" si="765"/>
        <v>0</v>
      </c>
      <c r="HD157" s="660">
        <f t="shared" si="765"/>
        <v>0</v>
      </c>
      <c r="HE157" s="1674">
        <f t="shared" si="766"/>
        <v>4635299.29</v>
      </c>
      <c r="HF157" s="536">
        <f t="shared" si="766"/>
        <v>0</v>
      </c>
      <c r="HG157" s="523">
        <f t="shared" si="767"/>
        <v>4915200</v>
      </c>
      <c r="HH157" s="525">
        <f t="shared" si="767"/>
        <v>4635299.29</v>
      </c>
      <c r="HI157" s="525">
        <f t="shared" si="767"/>
        <v>0</v>
      </c>
      <c r="HJ157" s="525">
        <f t="shared" si="767"/>
        <v>0</v>
      </c>
      <c r="HK157" s="525">
        <f t="shared" si="767"/>
        <v>4915200</v>
      </c>
      <c r="HL157" s="525">
        <f t="shared" si="767"/>
        <v>4635299.29</v>
      </c>
      <c r="HM157" s="626">
        <f t="shared" si="519"/>
        <v>1.8214109779422786E-2</v>
      </c>
      <c r="HN157" s="537">
        <f t="shared" si="768"/>
        <v>0</v>
      </c>
      <c r="HO157" s="538">
        <f t="shared" si="768"/>
        <v>0</v>
      </c>
      <c r="HP157" s="538">
        <f t="shared" si="768"/>
        <v>0</v>
      </c>
      <c r="HQ157" s="538">
        <f t="shared" si="768"/>
        <v>0</v>
      </c>
      <c r="HR157" s="538">
        <f t="shared" si="768"/>
        <v>0</v>
      </c>
      <c r="HS157" s="538">
        <f t="shared" si="768"/>
        <v>0</v>
      </c>
      <c r="HT157" s="539">
        <f t="shared" si="592"/>
        <v>0</v>
      </c>
      <c r="HU157" s="540">
        <f t="shared" si="593"/>
        <v>0.1040130908010883</v>
      </c>
    </row>
    <row r="158" spans="1:229" ht="12.75" customHeight="1" x14ac:dyDescent="0.2">
      <c r="A158" s="3671"/>
      <c r="B158" s="3678"/>
      <c r="C158" s="511">
        <v>4</v>
      </c>
      <c r="D158" s="585" t="s">
        <v>389</v>
      </c>
      <c r="E158" s="663">
        <v>295</v>
      </c>
      <c r="F158" s="678">
        <v>17500</v>
      </c>
      <c r="G158" s="701">
        <f t="shared" si="712"/>
        <v>59.322033898305087</v>
      </c>
      <c r="H158" s="745">
        <v>297</v>
      </c>
      <c r="I158" s="258">
        <v>1374.3</v>
      </c>
      <c r="J158" s="485">
        <f t="shared" si="713"/>
        <v>4.627272727272727</v>
      </c>
      <c r="K158" s="745">
        <v>5</v>
      </c>
      <c r="L158" s="258">
        <v>258.36</v>
      </c>
      <c r="M158" s="485">
        <f>L158/K158</f>
        <v>51.672000000000004</v>
      </c>
      <c r="N158" s="703">
        <f>F158+I158+L158</f>
        <v>19132.66</v>
      </c>
      <c r="O158" s="518">
        <v>17131502.578399997</v>
      </c>
      <c r="P158" s="340">
        <v>122369419.829</v>
      </c>
      <c r="Q158" s="705">
        <v>31815647.645600002</v>
      </c>
      <c r="R158" s="485">
        <f>SUM(O158:Q158)</f>
        <v>171316570.05299997</v>
      </c>
      <c r="S158" s="713">
        <f>R158</f>
        <v>171316570.05299997</v>
      </c>
      <c r="T158" s="726">
        <v>30064230.489999998</v>
      </c>
      <c r="U158" s="547">
        <v>545412.36</v>
      </c>
      <c r="V158" s="547">
        <v>0</v>
      </c>
      <c r="W158" s="548">
        <v>521985.94000000006</v>
      </c>
      <c r="X158" s="549">
        <v>545412.36</v>
      </c>
      <c r="Y158" s="549">
        <v>0</v>
      </c>
      <c r="Z158" s="549">
        <v>0</v>
      </c>
      <c r="AA158" s="525">
        <f t="shared" si="738"/>
        <v>521985.94000000006</v>
      </c>
      <c r="AB158" s="524">
        <f t="shared" si="738"/>
        <v>545412.36</v>
      </c>
      <c r="AC158" s="526">
        <f t="shared" si="715"/>
        <v>3.1836521115923958E-3</v>
      </c>
      <c r="AD158" s="547">
        <v>0</v>
      </c>
      <c r="AE158" s="547">
        <v>0</v>
      </c>
      <c r="AF158" s="547">
        <v>0</v>
      </c>
      <c r="AG158" s="547">
        <v>0</v>
      </c>
      <c r="AH158" s="363">
        <f t="shared" si="739"/>
        <v>0</v>
      </c>
      <c r="AI158" s="547">
        <f t="shared" si="739"/>
        <v>0</v>
      </c>
      <c r="AJ158" s="550">
        <f t="shared" si="717"/>
        <v>0</v>
      </c>
      <c r="AK158" s="551">
        <f t="shared" si="718"/>
        <v>1.8141570601030874E-2</v>
      </c>
      <c r="AL158" s="1617"/>
      <c r="AM158" s="502">
        <f>AP158</f>
        <v>35925</v>
      </c>
      <c r="AN158" s="725">
        <v>0</v>
      </c>
      <c r="AO158" s="498"/>
      <c r="AP158" s="499">
        <f>549+35376</f>
        <v>35925</v>
      </c>
      <c r="AQ158" s="499"/>
      <c r="AR158" s="499"/>
      <c r="AS158" s="499">
        <f t="shared" si="740"/>
        <v>0</v>
      </c>
      <c r="AT158" s="671">
        <f t="shared" si="740"/>
        <v>35925</v>
      </c>
      <c r="AU158" s="712"/>
      <c r="AV158" s="502"/>
      <c r="AW158" s="502"/>
      <c r="AX158" s="502"/>
      <c r="AY158" s="502">
        <f t="shared" si="741"/>
        <v>0</v>
      </c>
      <c r="AZ158" s="660">
        <f t="shared" si="741"/>
        <v>0</v>
      </c>
      <c r="BA158" s="535">
        <f t="shared" si="742"/>
        <v>581337.36</v>
      </c>
      <c r="BB158" s="536">
        <f t="shared" si="742"/>
        <v>0</v>
      </c>
      <c r="BC158" s="523">
        <f t="shared" si="742"/>
        <v>521985.94000000006</v>
      </c>
      <c r="BD158" s="525">
        <f t="shared" si="742"/>
        <v>581337.36</v>
      </c>
      <c r="BE158" s="525">
        <f t="shared" si="742"/>
        <v>0</v>
      </c>
      <c r="BF158" s="525">
        <f t="shared" si="742"/>
        <v>0</v>
      </c>
      <c r="BG158" s="525">
        <f t="shared" si="743"/>
        <v>521985.94000000006</v>
      </c>
      <c r="BH158" s="525">
        <f t="shared" si="743"/>
        <v>581337.36</v>
      </c>
      <c r="BI158" s="526">
        <f t="shared" si="573"/>
        <v>3.3933516169518947E-3</v>
      </c>
      <c r="BJ158" s="537">
        <f t="shared" si="744"/>
        <v>0</v>
      </c>
      <c r="BK158" s="538">
        <f t="shared" si="744"/>
        <v>0</v>
      </c>
      <c r="BL158" s="538">
        <f t="shared" si="745"/>
        <v>0</v>
      </c>
      <c r="BM158" s="538">
        <f t="shared" si="745"/>
        <v>0</v>
      </c>
      <c r="BN158" s="538">
        <f t="shared" si="745"/>
        <v>0</v>
      </c>
      <c r="BO158" s="538">
        <f t="shared" si="745"/>
        <v>0</v>
      </c>
      <c r="BP158" s="539">
        <f t="shared" si="575"/>
        <v>0</v>
      </c>
      <c r="BQ158" s="540">
        <f t="shared" si="576"/>
        <v>1.9336512211525426E-2</v>
      </c>
      <c r="BR158" s="669"/>
      <c r="BS158" s="502">
        <f>549+36547.2</f>
        <v>37096.199999999997</v>
      </c>
      <c r="BT158" s="725"/>
      <c r="BU158" s="498"/>
      <c r="BV158" s="499">
        <f>549+36547.2</f>
        <v>37096.199999999997</v>
      </c>
      <c r="BW158" s="499"/>
      <c r="BX158" s="499"/>
      <c r="BY158" s="499">
        <f t="shared" si="746"/>
        <v>0</v>
      </c>
      <c r="BZ158" s="671">
        <f t="shared" si="746"/>
        <v>37096.199999999997</v>
      </c>
      <c r="CA158" s="712"/>
      <c r="CB158" s="502"/>
      <c r="CC158" s="502"/>
      <c r="CD158" s="502"/>
      <c r="CE158" s="502">
        <f t="shared" si="769"/>
        <v>0</v>
      </c>
      <c r="CF158" s="660">
        <f t="shared" si="769"/>
        <v>0</v>
      </c>
      <c r="CG158" s="1258">
        <f t="shared" si="747"/>
        <v>618433.55999999994</v>
      </c>
      <c r="CH158" s="775">
        <f t="shared" si="747"/>
        <v>0</v>
      </c>
      <c r="CI158" s="548">
        <f t="shared" si="747"/>
        <v>521985.94000000006</v>
      </c>
      <c r="CJ158" s="773">
        <f t="shared" si="747"/>
        <v>618433.55999999994</v>
      </c>
      <c r="CK158" s="773">
        <f t="shared" si="747"/>
        <v>0</v>
      </c>
      <c r="CL158" s="773">
        <f t="shared" si="747"/>
        <v>0</v>
      </c>
      <c r="CM158" s="773">
        <f t="shared" si="747"/>
        <v>521985.94000000006</v>
      </c>
      <c r="CN158" s="773">
        <f t="shared" si="747"/>
        <v>618433.55999999994</v>
      </c>
      <c r="CO158" s="626">
        <f t="shared" si="722"/>
        <v>3.6098875888577269E-3</v>
      </c>
      <c r="CP158" s="1145">
        <f t="shared" si="748"/>
        <v>0</v>
      </c>
      <c r="CQ158" s="1146">
        <f t="shared" si="748"/>
        <v>0</v>
      </c>
      <c r="CR158" s="1146">
        <f t="shared" si="748"/>
        <v>0</v>
      </c>
      <c r="CS158" s="1146">
        <f t="shared" si="748"/>
        <v>0</v>
      </c>
      <c r="CT158" s="1146">
        <f t="shared" si="748"/>
        <v>0</v>
      </c>
      <c r="CU158" s="1146">
        <f t="shared" si="748"/>
        <v>0</v>
      </c>
      <c r="CV158" s="1256">
        <f t="shared" si="724"/>
        <v>0</v>
      </c>
      <c r="CW158" s="1157">
        <f t="shared" si="725"/>
        <v>2.0570410415317434E-2</v>
      </c>
      <c r="CX158" s="669"/>
      <c r="CY158" s="502">
        <f>DB158</f>
        <v>37951.800000000003</v>
      </c>
      <c r="CZ158" s="725"/>
      <c r="DA158" s="498"/>
      <c r="DB158" s="499">
        <f>553.5+36844.8+553.5</f>
        <v>37951.800000000003</v>
      </c>
      <c r="DC158" s="499"/>
      <c r="DD158" s="499"/>
      <c r="DE158" s="499">
        <f t="shared" si="749"/>
        <v>0</v>
      </c>
      <c r="DF158" s="671">
        <f t="shared" si="749"/>
        <v>37951.800000000003</v>
      </c>
      <c r="DG158" s="712"/>
      <c r="DH158" s="502"/>
      <c r="DI158" s="502"/>
      <c r="DJ158" s="502"/>
      <c r="DK158" s="502">
        <f t="shared" si="750"/>
        <v>0</v>
      </c>
      <c r="DL158" s="660">
        <f t="shared" si="750"/>
        <v>0</v>
      </c>
      <c r="DM158" s="1258">
        <f t="shared" si="751"/>
        <v>656385.36</v>
      </c>
      <c r="DN158" s="775">
        <f t="shared" si="751"/>
        <v>0</v>
      </c>
      <c r="DO158" s="548">
        <f t="shared" si="751"/>
        <v>521985.94000000006</v>
      </c>
      <c r="DP158" s="773">
        <f t="shared" si="751"/>
        <v>656385.36</v>
      </c>
      <c r="DQ158" s="773">
        <f t="shared" si="751"/>
        <v>0</v>
      </c>
      <c r="DR158" s="773">
        <f t="shared" si="751"/>
        <v>0</v>
      </c>
      <c r="DS158" s="773">
        <f t="shared" si="751"/>
        <v>521985.94000000006</v>
      </c>
      <c r="DT158" s="773">
        <f t="shared" si="751"/>
        <v>656385.36</v>
      </c>
      <c r="DU158" s="626">
        <f t="shared" si="727"/>
        <v>3.8314178237221007E-3</v>
      </c>
      <c r="DV158" s="1145">
        <f t="shared" si="752"/>
        <v>0</v>
      </c>
      <c r="DW158" s="1146">
        <f t="shared" si="752"/>
        <v>0</v>
      </c>
      <c r="DX158" s="1146">
        <f t="shared" si="752"/>
        <v>0</v>
      </c>
      <c r="DY158" s="1146">
        <f t="shared" si="752"/>
        <v>0</v>
      </c>
      <c r="DZ158" s="1146">
        <f t="shared" si="752"/>
        <v>0</v>
      </c>
      <c r="EA158" s="1146">
        <f t="shared" si="752"/>
        <v>0</v>
      </c>
      <c r="EB158" s="1256">
        <f>EA158/S58</f>
        <v>0</v>
      </c>
      <c r="EC158" s="1157">
        <f t="shared" si="711"/>
        <v>2.1832767687778594E-2</v>
      </c>
      <c r="ED158" s="669">
        <v>0</v>
      </c>
      <c r="EE158" s="502">
        <v>36337.5</v>
      </c>
      <c r="EF158" s="725"/>
      <c r="EG158" s="498"/>
      <c r="EH158" s="499">
        <f>35784+553.5</f>
        <v>36337.5</v>
      </c>
      <c r="EI158" s="499"/>
      <c r="EJ158" s="499"/>
      <c r="EK158" s="499">
        <f t="shared" si="753"/>
        <v>0</v>
      </c>
      <c r="EL158" s="671">
        <f t="shared" si="753"/>
        <v>36337.5</v>
      </c>
      <c r="EM158" s="712"/>
      <c r="EN158" s="502"/>
      <c r="EO158" s="502"/>
      <c r="EP158" s="502"/>
      <c r="EQ158" s="502">
        <f t="shared" si="754"/>
        <v>0</v>
      </c>
      <c r="ER158" s="660">
        <f t="shared" si="754"/>
        <v>0</v>
      </c>
      <c r="ES158" s="1138">
        <f t="shared" si="755"/>
        <v>692722.86</v>
      </c>
      <c r="ET158" s="536">
        <f t="shared" si="755"/>
        <v>0</v>
      </c>
      <c r="EU158" s="523">
        <f>EG158+DO158</f>
        <v>521985.94000000006</v>
      </c>
      <c r="EV158" s="525">
        <f t="shared" si="756"/>
        <v>692722.86</v>
      </c>
      <c r="EW158" s="525">
        <f t="shared" si="756"/>
        <v>0</v>
      </c>
      <c r="EX158" s="525">
        <f t="shared" si="756"/>
        <v>0</v>
      </c>
      <c r="EY158" s="525">
        <f t="shared" si="756"/>
        <v>521985.94000000006</v>
      </c>
      <c r="EZ158" s="525">
        <f t="shared" si="756"/>
        <v>692722.86</v>
      </c>
      <c r="FA158" s="526">
        <f t="shared" si="757"/>
        <v>4.0435251522120321E-3</v>
      </c>
      <c r="FB158" s="537">
        <f>DV158+EM158</f>
        <v>0</v>
      </c>
      <c r="FC158" s="538">
        <f t="shared" si="758"/>
        <v>0</v>
      </c>
      <c r="FD158" s="538">
        <f t="shared" si="758"/>
        <v>0</v>
      </c>
      <c r="FE158" s="538">
        <f t="shared" si="758"/>
        <v>0</v>
      </c>
      <c r="FF158" s="538">
        <f t="shared" si="758"/>
        <v>0</v>
      </c>
      <c r="FG158" s="538">
        <f t="shared" si="758"/>
        <v>0</v>
      </c>
      <c r="FH158" s="539">
        <f t="shared" si="315"/>
        <v>0</v>
      </c>
      <c r="FI158" s="883">
        <f t="shared" si="494"/>
        <v>2.304142992219323E-2</v>
      </c>
      <c r="FJ158" s="669"/>
      <c r="FK158" s="502">
        <f>36906.79+553.5</f>
        <v>37460.29</v>
      </c>
      <c r="FL158" s="725"/>
      <c r="FM158" s="498"/>
      <c r="FN158" s="499">
        <f>36906.79+553.5</f>
        <v>37460.29</v>
      </c>
      <c r="FO158" s="499"/>
      <c r="FP158" s="499"/>
      <c r="FQ158" s="499">
        <f t="shared" si="759"/>
        <v>0</v>
      </c>
      <c r="FR158" s="671">
        <f t="shared" si="759"/>
        <v>37460.29</v>
      </c>
      <c r="FS158" s="712"/>
      <c r="FT158" s="502"/>
      <c r="FU158" s="502"/>
      <c r="FV158" s="502"/>
      <c r="FW158" s="502">
        <f t="shared" si="760"/>
        <v>0</v>
      </c>
      <c r="FX158" s="660">
        <f t="shared" si="760"/>
        <v>0</v>
      </c>
      <c r="FY158" s="1138">
        <f t="shared" si="761"/>
        <v>730183.15</v>
      </c>
      <c r="FZ158" s="536">
        <f t="shared" si="761"/>
        <v>0</v>
      </c>
      <c r="GA158" s="523">
        <f t="shared" si="762"/>
        <v>521985.94000000006</v>
      </c>
      <c r="GB158" s="525">
        <f t="shared" si="762"/>
        <v>730183.15</v>
      </c>
      <c r="GC158" s="525">
        <f t="shared" si="762"/>
        <v>0</v>
      </c>
      <c r="GD158" s="525">
        <f t="shared" si="762"/>
        <v>0</v>
      </c>
      <c r="GE158" s="525">
        <f t="shared" si="762"/>
        <v>521985.94000000006</v>
      </c>
      <c r="GF158" s="525">
        <f t="shared" si="762"/>
        <v>730183.15</v>
      </c>
      <c r="GG158" s="526">
        <f t="shared" si="732"/>
        <v>4.2621863709628571E-3</v>
      </c>
      <c r="GH158" s="537">
        <f t="shared" si="763"/>
        <v>0</v>
      </c>
      <c r="GI158" s="538">
        <f t="shared" si="763"/>
        <v>0</v>
      </c>
      <c r="GJ158" s="538">
        <f t="shared" si="763"/>
        <v>0</v>
      </c>
      <c r="GK158" s="538">
        <f t="shared" si="763"/>
        <v>0</v>
      </c>
      <c r="GL158" s="538">
        <f t="shared" si="763"/>
        <v>0</v>
      </c>
      <c r="GM158" s="538">
        <f t="shared" si="763"/>
        <v>0</v>
      </c>
      <c r="GN158" s="539">
        <f t="shared" si="734"/>
        <v>0</v>
      </c>
      <c r="GO158" s="540">
        <f t="shared" si="735"/>
        <v>2.4287438530744183E-2</v>
      </c>
      <c r="GP158" s="669"/>
      <c r="GQ158" s="502">
        <f>GT158</f>
        <v>106973.9</v>
      </c>
      <c r="GR158" s="725"/>
      <c r="GS158" s="498"/>
      <c r="GT158" s="499">
        <f>36036+9379.39+9335.26+5650.77+9369.35+5756.06+12474.22+3406.51+12159.83+3406.51</f>
        <v>106973.9</v>
      </c>
      <c r="GU158" s="499"/>
      <c r="GV158" s="499"/>
      <c r="GW158" s="499">
        <f t="shared" si="764"/>
        <v>0</v>
      </c>
      <c r="GX158" s="671">
        <f t="shared" si="764"/>
        <v>106973.9</v>
      </c>
      <c r="GY158" s="712"/>
      <c r="GZ158" s="502">
        <v>0</v>
      </c>
      <c r="HA158" s="502"/>
      <c r="HB158" s="502">
        <v>0</v>
      </c>
      <c r="HC158" s="502">
        <f t="shared" si="765"/>
        <v>0</v>
      </c>
      <c r="HD158" s="660">
        <f t="shared" si="765"/>
        <v>0</v>
      </c>
      <c r="HE158" s="1674">
        <f t="shared" si="766"/>
        <v>837157.05</v>
      </c>
      <c r="HF158" s="536">
        <f t="shared" si="766"/>
        <v>0</v>
      </c>
      <c r="HG158" s="523">
        <f t="shared" si="767"/>
        <v>521985.94000000006</v>
      </c>
      <c r="HH158" s="525">
        <f t="shared" si="767"/>
        <v>837157.05</v>
      </c>
      <c r="HI158" s="525">
        <f t="shared" si="767"/>
        <v>0</v>
      </c>
      <c r="HJ158" s="525">
        <f t="shared" si="767"/>
        <v>0</v>
      </c>
      <c r="HK158" s="525">
        <f t="shared" si="767"/>
        <v>521985.94000000006</v>
      </c>
      <c r="HL158" s="525">
        <f t="shared" si="767"/>
        <v>837157.05</v>
      </c>
      <c r="HM158" s="626">
        <f t="shared" si="519"/>
        <v>4.886608748593378E-3</v>
      </c>
      <c r="HN158" s="537">
        <f t="shared" si="768"/>
        <v>0</v>
      </c>
      <c r="HO158" s="538">
        <f t="shared" si="768"/>
        <v>0</v>
      </c>
      <c r="HP158" s="538">
        <f t="shared" si="768"/>
        <v>0</v>
      </c>
      <c r="HQ158" s="538">
        <f t="shared" si="768"/>
        <v>0</v>
      </c>
      <c r="HR158" s="538">
        <f t="shared" si="768"/>
        <v>0</v>
      </c>
      <c r="HS158" s="538">
        <f t="shared" si="768"/>
        <v>0</v>
      </c>
      <c r="HT158" s="539">
        <f t="shared" si="592"/>
        <v>0</v>
      </c>
      <c r="HU158" s="540">
        <f t="shared" si="593"/>
        <v>2.784561707902207E-2</v>
      </c>
    </row>
    <row r="159" spans="1:229" ht="13.5" customHeight="1" thickBot="1" x14ac:dyDescent="0.25">
      <c r="A159" s="3671"/>
      <c r="B159" s="3678"/>
      <c r="C159" s="593">
        <v>5</v>
      </c>
      <c r="D159" s="746" t="s">
        <v>165</v>
      </c>
      <c r="E159" s="747">
        <v>248</v>
      </c>
      <c r="F159" s="748">
        <v>17630.32</v>
      </c>
      <c r="G159" s="749">
        <f t="shared" si="712"/>
        <v>71.09</v>
      </c>
      <c r="H159" s="750">
        <v>248</v>
      </c>
      <c r="I159" s="748">
        <v>2728</v>
      </c>
      <c r="J159" s="751">
        <f t="shared" si="713"/>
        <v>11</v>
      </c>
      <c r="K159" s="750">
        <v>0</v>
      </c>
      <c r="L159" s="752">
        <v>0</v>
      </c>
      <c r="M159" s="751">
        <v>0</v>
      </c>
      <c r="N159" s="753">
        <f>F159+I159+L159</f>
        <v>20358.32</v>
      </c>
      <c r="O159" s="518">
        <v>16712682.35</v>
      </c>
      <c r="P159" s="340">
        <v>119377809</v>
      </c>
      <c r="Q159" s="727">
        <v>3031712.15</v>
      </c>
      <c r="R159" s="630">
        <f>SUM(O159:Q159)</f>
        <v>139122203.5</v>
      </c>
      <c r="S159" s="719">
        <f>R159</f>
        <v>139122203.5</v>
      </c>
      <c r="T159" s="726">
        <v>22460546.300000001</v>
      </c>
      <c r="U159" s="595">
        <v>0</v>
      </c>
      <c r="V159" s="595">
        <v>0</v>
      </c>
      <c r="W159" s="596">
        <v>0</v>
      </c>
      <c r="X159" s="597">
        <v>0</v>
      </c>
      <c r="Y159" s="597">
        <v>0</v>
      </c>
      <c r="Z159" s="597">
        <v>0</v>
      </c>
      <c r="AA159" s="598">
        <f t="shared" si="738"/>
        <v>0</v>
      </c>
      <c r="AB159" s="599">
        <f t="shared" si="738"/>
        <v>0</v>
      </c>
      <c r="AC159" s="600">
        <f t="shared" si="715"/>
        <v>0</v>
      </c>
      <c r="AD159" s="595">
        <v>0</v>
      </c>
      <c r="AE159" s="595">
        <v>0</v>
      </c>
      <c r="AF159" s="595">
        <v>0</v>
      </c>
      <c r="AG159" s="595">
        <v>0</v>
      </c>
      <c r="AH159" s="601">
        <f t="shared" si="739"/>
        <v>0</v>
      </c>
      <c r="AI159" s="595">
        <f t="shared" si="739"/>
        <v>0</v>
      </c>
      <c r="AJ159" s="602">
        <f t="shared" si="717"/>
        <v>0</v>
      </c>
      <c r="AK159" s="603">
        <f t="shared" si="718"/>
        <v>0</v>
      </c>
      <c r="AL159" s="734"/>
      <c r="AM159" s="607"/>
      <c r="AN159" s="725">
        <v>0</v>
      </c>
      <c r="AO159" s="498"/>
      <c r="AP159" s="499"/>
      <c r="AQ159" s="737"/>
      <c r="AR159" s="737"/>
      <c r="AS159" s="499">
        <f t="shared" si="740"/>
        <v>0</v>
      </c>
      <c r="AT159" s="671">
        <f t="shared" si="740"/>
        <v>0</v>
      </c>
      <c r="AU159" s="754"/>
      <c r="AV159" s="735"/>
      <c r="AW159" s="735"/>
      <c r="AX159" s="735"/>
      <c r="AY159" s="502">
        <f t="shared" si="741"/>
        <v>0</v>
      </c>
      <c r="AZ159" s="660">
        <f t="shared" si="741"/>
        <v>0</v>
      </c>
      <c r="BA159" s="609">
        <f t="shared" si="742"/>
        <v>0</v>
      </c>
      <c r="BB159" s="610">
        <f t="shared" si="742"/>
        <v>0</v>
      </c>
      <c r="BC159" s="611">
        <f t="shared" si="742"/>
        <v>0</v>
      </c>
      <c r="BD159" s="598">
        <f t="shared" si="742"/>
        <v>0</v>
      </c>
      <c r="BE159" s="598">
        <f t="shared" si="742"/>
        <v>0</v>
      </c>
      <c r="BF159" s="598">
        <f t="shared" si="742"/>
        <v>0</v>
      </c>
      <c r="BG159" s="598">
        <f t="shared" si="743"/>
        <v>0</v>
      </c>
      <c r="BH159" s="598">
        <f t="shared" si="743"/>
        <v>0</v>
      </c>
      <c r="BI159" s="600">
        <f t="shared" si="573"/>
        <v>0</v>
      </c>
      <c r="BJ159" s="612">
        <f t="shared" si="744"/>
        <v>0</v>
      </c>
      <c r="BK159" s="613">
        <f t="shared" si="744"/>
        <v>0</v>
      </c>
      <c r="BL159" s="613">
        <f t="shared" si="745"/>
        <v>0</v>
      </c>
      <c r="BM159" s="613">
        <f t="shared" si="745"/>
        <v>0</v>
      </c>
      <c r="BN159" s="613">
        <f t="shared" si="745"/>
        <v>0</v>
      </c>
      <c r="BO159" s="613">
        <f t="shared" si="745"/>
        <v>0</v>
      </c>
      <c r="BP159" s="614">
        <f t="shared" si="575"/>
        <v>0</v>
      </c>
      <c r="BQ159" s="615">
        <f t="shared" si="576"/>
        <v>0</v>
      </c>
      <c r="BR159" s="734"/>
      <c r="BS159" s="607"/>
      <c r="BT159" s="725"/>
      <c r="BU159" s="498"/>
      <c r="BV159" s="499"/>
      <c r="BW159" s="737"/>
      <c r="BX159" s="737"/>
      <c r="BY159" s="499">
        <f t="shared" si="746"/>
        <v>0</v>
      </c>
      <c r="BZ159" s="671">
        <f t="shared" si="746"/>
        <v>0</v>
      </c>
      <c r="CA159" s="754"/>
      <c r="CB159" s="735"/>
      <c r="CC159" s="735"/>
      <c r="CD159" s="735"/>
      <c r="CE159" s="502">
        <f t="shared" si="769"/>
        <v>0</v>
      </c>
      <c r="CF159" s="660">
        <f t="shared" si="769"/>
        <v>0</v>
      </c>
      <c r="CG159" s="1141">
        <f t="shared" si="747"/>
        <v>0</v>
      </c>
      <c r="CH159" s="610">
        <f t="shared" si="747"/>
        <v>0</v>
      </c>
      <c r="CI159" s="611">
        <f t="shared" si="747"/>
        <v>0</v>
      </c>
      <c r="CJ159" s="598">
        <f t="shared" si="747"/>
        <v>0</v>
      </c>
      <c r="CK159" s="598">
        <f t="shared" si="747"/>
        <v>0</v>
      </c>
      <c r="CL159" s="598">
        <f t="shared" si="747"/>
        <v>0</v>
      </c>
      <c r="CM159" s="598">
        <f t="shared" si="747"/>
        <v>0</v>
      </c>
      <c r="CN159" s="598">
        <f t="shared" si="747"/>
        <v>0</v>
      </c>
      <c r="CO159" s="600">
        <f t="shared" si="722"/>
        <v>0</v>
      </c>
      <c r="CP159" s="612">
        <f t="shared" si="748"/>
        <v>0</v>
      </c>
      <c r="CQ159" s="613">
        <f t="shared" si="748"/>
        <v>0</v>
      </c>
      <c r="CR159" s="613">
        <f t="shared" si="748"/>
        <v>0</v>
      </c>
      <c r="CS159" s="613">
        <f t="shared" si="748"/>
        <v>0</v>
      </c>
      <c r="CT159" s="613">
        <f t="shared" si="748"/>
        <v>0</v>
      </c>
      <c r="CU159" s="613">
        <f t="shared" si="748"/>
        <v>0</v>
      </c>
      <c r="CV159" s="614">
        <f t="shared" si="724"/>
        <v>0</v>
      </c>
      <c r="CW159" s="615">
        <f t="shared" si="725"/>
        <v>0</v>
      </c>
      <c r="CX159" s="734"/>
      <c r="CY159" s="607"/>
      <c r="CZ159" s="725"/>
      <c r="DA159" s="498"/>
      <c r="DB159" s="499"/>
      <c r="DC159" s="737"/>
      <c r="DD159" s="737"/>
      <c r="DE159" s="499">
        <f t="shared" si="749"/>
        <v>0</v>
      </c>
      <c r="DF159" s="671">
        <f t="shared" si="749"/>
        <v>0</v>
      </c>
      <c r="DG159" s="754"/>
      <c r="DH159" s="735"/>
      <c r="DI159" s="735"/>
      <c r="DJ159" s="735"/>
      <c r="DK159" s="502">
        <f t="shared" si="750"/>
        <v>0</v>
      </c>
      <c r="DL159" s="660">
        <f t="shared" si="750"/>
        <v>0</v>
      </c>
      <c r="DM159" s="1141">
        <f t="shared" si="751"/>
        <v>0</v>
      </c>
      <c r="DN159" s="610">
        <f t="shared" si="751"/>
        <v>0</v>
      </c>
      <c r="DO159" s="611">
        <f t="shared" si="751"/>
        <v>0</v>
      </c>
      <c r="DP159" s="598">
        <f t="shared" si="751"/>
        <v>0</v>
      </c>
      <c r="DQ159" s="598">
        <f t="shared" si="751"/>
        <v>0</v>
      </c>
      <c r="DR159" s="598">
        <f t="shared" si="751"/>
        <v>0</v>
      </c>
      <c r="DS159" s="598">
        <f t="shared" si="751"/>
        <v>0</v>
      </c>
      <c r="DT159" s="598">
        <f t="shared" si="751"/>
        <v>0</v>
      </c>
      <c r="DU159" s="600">
        <f t="shared" si="727"/>
        <v>0</v>
      </c>
      <c r="DV159" s="612">
        <f t="shared" si="752"/>
        <v>0</v>
      </c>
      <c r="DW159" s="613">
        <f t="shared" si="752"/>
        <v>0</v>
      </c>
      <c r="DX159" s="613">
        <f t="shared" si="752"/>
        <v>0</v>
      </c>
      <c r="DY159" s="613">
        <f t="shared" si="752"/>
        <v>0</v>
      </c>
      <c r="DZ159" s="613">
        <f t="shared" si="752"/>
        <v>0</v>
      </c>
      <c r="EA159" s="613">
        <f t="shared" si="752"/>
        <v>0</v>
      </c>
      <c r="EB159" s="614">
        <f>EA159/S159</f>
        <v>0</v>
      </c>
      <c r="EC159" s="615">
        <f t="shared" si="711"/>
        <v>0</v>
      </c>
      <c r="ED159" s="734">
        <v>0</v>
      </c>
      <c r="EE159" s="607"/>
      <c r="EF159" s="725"/>
      <c r="EG159" s="498"/>
      <c r="EH159" s="499"/>
      <c r="EI159" s="737"/>
      <c r="EJ159" s="737"/>
      <c r="EK159" s="499">
        <f t="shared" si="753"/>
        <v>0</v>
      </c>
      <c r="EL159" s="671">
        <f t="shared" si="753"/>
        <v>0</v>
      </c>
      <c r="EM159" s="754"/>
      <c r="EN159" s="735"/>
      <c r="EO159" s="735"/>
      <c r="EP159" s="735"/>
      <c r="EQ159" s="502">
        <f t="shared" si="754"/>
        <v>0</v>
      </c>
      <c r="ER159" s="660">
        <f t="shared" si="754"/>
        <v>0</v>
      </c>
      <c r="ES159" s="1141">
        <f t="shared" si="755"/>
        <v>0</v>
      </c>
      <c r="ET159" s="610">
        <f t="shared" si="755"/>
        <v>0</v>
      </c>
      <c r="EU159" s="611">
        <f>EG159+DO159</f>
        <v>0</v>
      </c>
      <c r="EV159" s="598">
        <f t="shared" si="756"/>
        <v>0</v>
      </c>
      <c r="EW159" s="598">
        <f t="shared" si="756"/>
        <v>0</v>
      </c>
      <c r="EX159" s="598">
        <f t="shared" si="756"/>
        <v>0</v>
      </c>
      <c r="EY159" s="598">
        <f t="shared" si="756"/>
        <v>0</v>
      </c>
      <c r="EZ159" s="598">
        <f t="shared" si="756"/>
        <v>0</v>
      </c>
      <c r="FA159" s="600">
        <f t="shared" si="757"/>
        <v>0</v>
      </c>
      <c r="FB159" s="612">
        <f>DV159+EM159</f>
        <v>0</v>
      </c>
      <c r="FC159" s="613">
        <f t="shared" si="758"/>
        <v>0</v>
      </c>
      <c r="FD159" s="613">
        <f t="shared" si="758"/>
        <v>0</v>
      </c>
      <c r="FE159" s="613">
        <f t="shared" si="758"/>
        <v>0</v>
      </c>
      <c r="FF159" s="613">
        <f t="shared" si="758"/>
        <v>0</v>
      </c>
      <c r="FG159" s="613">
        <f t="shared" si="758"/>
        <v>0</v>
      </c>
      <c r="FH159" s="614">
        <f>FG159/S159</f>
        <v>0</v>
      </c>
      <c r="FI159" s="955">
        <f t="shared" si="494"/>
        <v>0</v>
      </c>
      <c r="FJ159" s="734"/>
      <c r="FK159" s="607"/>
      <c r="FL159" s="725"/>
      <c r="FM159" s="498"/>
      <c r="FN159" s="499"/>
      <c r="FO159" s="737"/>
      <c r="FP159" s="737"/>
      <c r="FQ159" s="499">
        <f t="shared" si="759"/>
        <v>0</v>
      </c>
      <c r="FR159" s="671">
        <f t="shared" si="759"/>
        <v>0</v>
      </c>
      <c r="FS159" s="754"/>
      <c r="FT159" s="735"/>
      <c r="FU159" s="735"/>
      <c r="FV159" s="735"/>
      <c r="FW159" s="502">
        <f t="shared" si="760"/>
        <v>0</v>
      </c>
      <c r="FX159" s="660">
        <f t="shared" si="760"/>
        <v>0</v>
      </c>
      <c r="FY159" s="1141">
        <f t="shared" si="761"/>
        <v>0</v>
      </c>
      <c r="FZ159" s="610">
        <f t="shared" si="761"/>
        <v>0</v>
      </c>
      <c r="GA159" s="611">
        <f t="shared" si="762"/>
        <v>0</v>
      </c>
      <c r="GB159" s="598">
        <f t="shared" si="762"/>
        <v>0</v>
      </c>
      <c r="GC159" s="598">
        <f t="shared" si="762"/>
        <v>0</v>
      </c>
      <c r="GD159" s="598">
        <f t="shared" si="762"/>
        <v>0</v>
      </c>
      <c r="GE159" s="598">
        <f t="shared" si="762"/>
        <v>0</v>
      </c>
      <c r="GF159" s="598">
        <f t="shared" si="762"/>
        <v>0</v>
      </c>
      <c r="GG159" s="600">
        <f t="shared" si="732"/>
        <v>0</v>
      </c>
      <c r="GH159" s="612">
        <f t="shared" si="763"/>
        <v>0</v>
      </c>
      <c r="GI159" s="613">
        <f t="shared" si="763"/>
        <v>0</v>
      </c>
      <c r="GJ159" s="613">
        <f t="shared" si="763"/>
        <v>0</v>
      </c>
      <c r="GK159" s="613">
        <f t="shared" si="763"/>
        <v>0</v>
      </c>
      <c r="GL159" s="613">
        <f t="shared" si="763"/>
        <v>0</v>
      </c>
      <c r="GM159" s="613">
        <f t="shared" si="763"/>
        <v>0</v>
      </c>
      <c r="GN159" s="614">
        <f t="shared" si="734"/>
        <v>0</v>
      </c>
      <c r="GO159" s="615">
        <f t="shared" si="735"/>
        <v>0</v>
      </c>
      <c r="GP159" s="734"/>
      <c r="GQ159" s="607"/>
      <c r="GR159" s="725"/>
      <c r="GS159" s="498"/>
      <c r="GT159" s="499"/>
      <c r="GU159" s="737"/>
      <c r="GV159" s="737"/>
      <c r="GW159" s="499">
        <f t="shared" si="764"/>
        <v>0</v>
      </c>
      <c r="GX159" s="671">
        <f t="shared" si="764"/>
        <v>0</v>
      </c>
      <c r="GY159" s="754"/>
      <c r="GZ159" s="735">
        <v>0</v>
      </c>
      <c r="HA159" s="735"/>
      <c r="HB159" s="735">
        <v>0</v>
      </c>
      <c r="HC159" s="502">
        <f t="shared" si="765"/>
        <v>0</v>
      </c>
      <c r="HD159" s="660">
        <f t="shared" si="765"/>
        <v>0</v>
      </c>
      <c r="HE159" s="1676">
        <f t="shared" si="766"/>
        <v>0</v>
      </c>
      <c r="HF159" s="610">
        <f t="shared" si="766"/>
        <v>0</v>
      </c>
      <c r="HG159" s="611">
        <f t="shared" si="767"/>
        <v>0</v>
      </c>
      <c r="HH159" s="598">
        <f t="shared" si="767"/>
        <v>0</v>
      </c>
      <c r="HI159" s="598">
        <f t="shared" si="767"/>
        <v>0</v>
      </c>
      <c r="HJ159" s="598">
        <f t="shared" si="767"/>
        <v>0</v>
      </c>
      <c r="HK159" s="598">
        <f t="shared" si="767"/>
        <v>0</v>
      </c>
      <c r="HL159" s="598">
        <f t="shared" si="767"/>
        <v>0</v>
      </c>
      <c r="HM159" s="600">
        <f t="shared" si="519"/>
        <v>0</v>
      </c>
      <c r="HN159" s="612">
        <f t="shared" si="768"/>
        <v>0</v>
      </c>
      <c r="HO159" s="613">
        <f t="shared" si="768"/>
        <v>0</v>
      </c>
      <c r="HP159" s="613">
        <f t="shared" si="768"/>
        <v>0</v>
      </c>
      <c r="HQ159" s="613">
        <f t="shared" si="768"/>
        <v>0</v>
      </c>
      <c r="HR159" s="613">
        <f t="shared" si="768"/>
        <v>0</v>
      </c>
      <c r="HS159" s="613">
        <f t="shared" si="768"/>
        <v>0</v>
      </c>
      <c r="HT159" s="614">
        <f t="shared" si="592"/>
        <v>0</v>
      </c>
      <c r="HU159" s="615">
        <f t="shared" si="593"/>
        <v>0</v>
      </c>
    </row>
    <row r="160" spans="1:229" s="101" customFormat="1" ht="21.75" customHeight="1" thickBot="1" x14ac:dyDescent="0.25">
      <c r="A160" s="3671"/>
      <c r="B160" s="3678"/>
      <c r="C160" s="755"/>
      <c r="D160" s="724" t="s">
        <v>337</v>
      </c>
      <c r="E160" s="618">
        <f>SUM(E155:E159)</f>
        <v>1025</v>
      </c>
      <c r="F160" s="619">
        <f>SUM(F155:F159)</f>
        <v>66655.200000000012</v>
      </c>
      <c r="G160" s="756">
        <f t="shared" si="712"/>
        <v>65.029463414634151</v>
      </c>
      <c r="H160" s="618">
        <f>SUM(H155:H159)</f>
        <v>977</v>
      </c>
      <c r="I160" s="619">
        <f>SUM(I155:I159)</f>
        <v>8851.42</v>
      </c>
      <c r="J160" s="619">
        <f>I160/H160</f>
        <v>9.0597952917093139</v>
      </c>
      <c r="K160" s="618">
        <f>SUM(K155:K159)</f>
        <v>15</v>
      </c>
      <c r="L160" s="619">
        <f>SUM(L155:L159)</f>
        <v>858.36</v>
      </c>
      <c r="M160" s="619">
        <f>L160/K160</f>
        <v>57.224000000000004</v>
      </c>
      <c r="N160" s="620">
        <f t="shared" ref="N160:T160" si="770">SUM(N155:N159)</f>
        <v>76364.98000000001</v>
      </c>
      <c r="O160" s="619">
        <f t="shared" si="770"/>
        <v>63721202.202</v>
      </c>
      <c r="P160" s="619">
        <f t="shared" si="770"/>
        <v>462746574.26099998</v>
      </c>
      <c r="Q160" s="619">
        <f t="shared" si="770"/>
        <v>92306464.480400011</v>
      </c>
      <c r="R160" s="619">
        <f t="shared" si="770"/>
        <v>618774240.94339991</v>
      </c>
      <c r="S160" s="619">
        <f>SUM(S155:S159)</f>
        <v>618774240.94339991</v>
      </c>
      <c r="T160" s="620">
        <f t="shared" si="770"/>
        <v>105700284.34999999</v>
      </c>
      <c r="U160" s="189">
        <f>SUM(U155:U159)</f>
        <v>545412.36</v>
      </c>
      <c r="V160" s="189">
        <f t="shared" ref="V160:AB160" si="771">SUM(V155:V159)</f>
        <v>0</v>
      </c>
      <c r="W160" s="189">
        <f t="shared" si="771"/>
        <v>5350785.9400000004</v>
      </c>
      <c r="X160" s="189">
        <f t="shared" si="771"/>
        <v>545412.36</v>
      </c>
      <c r="Y160" s="189">
        <f t="shared" si="771"/>
        <v>0</v>
      </c>
      <c r="Z160" s="189">
        <f t="shared" si="771"/>
        <v>0</v>
      </c>
      <c r="AA160" s="189">
        <f t="shared" si="771"/>
        <v>5350785.9400000004</v>
      </c>
      <c r="AB160" s="189">
        <f t="shared" si="771"/>
        <v>545412.36</v>
      </c>
      <c r="AC160" s="649">
        <f t="shared" si="715"/>
        <v>8.8143998878888294E-4</v>
      </c>
      <c r="AD160" s="189">
        <f t="shared" ref="AD160:AI160" si="772">SUM(AD155:AD159)</f>
        <v>0</v>
      </c>
      <c r="AE160" s="189">
        <f t="shared" si="772"/>
        <v>0</v>
      </c>
      <c r="AF160" s="189">
        <f t="shared" si="772"/>
        <v>0</v>
      </c>
      <c r="AG160" s="189">
        <f t="shared" si="772"/>
        <v>0</v>
      </c>
      <c r="AH160" s="189">
        <f t="shared" si="772"/>
        <v>0</v>
      </c>
      <c r="AI160" s="189">
        <f t="shared" si="772"/>
        <v>0</v>
      </c>
      <c r="AJ160" s="621">
        <f t="shared" si="717"/>
        <v>0</v>
      </c>
      <c r="AK160" s="623">
        <f t="shared" si="718"/>
        <v>5.1599895246639419E-3</v>
      </c>
      <c r="AL160" s="619">
        <f t="shared" ref="AL160:AZ160" si="773">SUM(AL155:AL159)</f>
        <v>28800</v>
      </c>
      <c r="AM160" s="619">
        <f t="shared" si="773"/>
        <v>35925</v>
      </c>
      <c r="AN160" s="619">
        <f t="shared" si="773"/>
        <v>0</v>
      </c>
      <c r="AO160" s="619">
        <f t="shared" si="773"/>
        <v>28800</v>
      </c>
      <c r="AP160" s="619">
        <f t="shared" si="773"/>
        <v>35925</v>
      </c>
      <c r="AQ160" s="619">
        <f t="shared" si="773"/>
        <v>0</v>
      </c>
      <c r="AR160" s="619">
        <f t="shared" si="773"/>
        <v>0</v>
      </c>
      <c r="AS160" s="619">
        <f t="shared" si="773"/>
        <v>28800</v>
      </c>
      <c r="AT160" s="619">
        <f t="shared" si="773"/>
        <v>35925</v>
      </c>
      <c r="AU160" s="619">
        <f t="shared" si="773"/>
        <v>0</v>
      </c>
      <c r="AV160" s="619">
        <f t="shared" si="773"/>
        <v>0</v>
      </c>
      <c r="AW160" s="619">
        <f t="shared" si="773"/>
        <v>0</v>
      </c>
      <c r="AX160" s="619">
        <f t="shared" si="773"/>
        <v>0</v>
      </c>
      <c r="AY160" s="619">
        <f t="shared" si="773"/>
        <v>0</v>
      </c>
      <c r="AZ160" s="620">
        <f t="shared" si="773"/>
        <v>0</v>
      </c>
      <c r="BA160" s="189">
        <f t="shared" ref="BA160:BH160" si="774">SUM(BA155:BA159)</f>
        <v>581337.36</v>
      </c>
      <c r="BB160" s="189">
        <f t="shared" si="774"/>
        <v>0</v>
      </c>
      <c r="BC160" s="189">
        <f t="shared" si="774"/>
        <v>5379585.9400000004</v>
      </c>
      <c r="BD160" s="189">
        <f t="shared" si="774"/>
        <v>581337.36</v>
      </c>
      <c r="BE160" s="189">
        <f t="shared" si="774"/>
        <v>0</v>
      </c>
      <c r="BF160" s="189">
        <f t="shared" si="774"/>
        <v>0</v>
      </c>
      <c r="BG160" s="189">
        <f t="shared" si="774"/>
        <v>5379585.9400000004</v>
      </c>
      <c r="BH160" s="189">
        <f t="shared" si="774"/>
        <v>581337.36</v>
      </c>
      <c r="BI160" s="649">
        <f t="shared" si="573"/>
        <v>9.3949832028184844E-4</v>
      </c>
      <c r="BJ160" s="189">
        <f t="shared" ref="BJ160:BO160" si="775">SUM(BJ155:BJ159)</f>
        <v>0</v>
      </c>
      <c r="BK160" s="189">
        <f t="shared" si="775"/>
        <v>0</v>
      </c>
      <c r="BL160" s="189">
        <f t="shared" si="775"/>
        <v>0</v>
      </c>
      <c r="BM160" s="189">
        <f t="shared" si="775"/>
        <v>0</v>
      </c>
      <c r="BN160" s="189">
        <f t="shared" si="775"/>
        <v>0</v>
      </c>
      <c r="BO160" s="189">
        <f t="shared" si="775"/>
        <v>0</v>
      </c>
      <c r="BP160" s="621">
        <f t="shared" si="575"/>
        <v>0</v>
      </c>
      <c r="BQ160" s="623">
        <f t="shared" si="576"/>
        <v>5.4998656207493925E-3</v>
      </c>
      <c r="BR160" s="619">
        <f t="shared" ref="BR160:CF160" si="776">SUM(BR155:BR159)</f>
        <v>28800</v>
      </c>
      <c r="BS160" s="619">
        <f t="shared" si="776"/>
        <v>990100.2</v>
      </c>
      <c r="BT160" s="619">
        <f t="shared" si="776"/>
        <v>0</v>
      </c>
      <c r="BU160" s="619">
        <f t="shared" si="776"/>
        <v>28800</v>
      </c>
      <c r="BV160" s="619">
        <f t="shared" si="776"/>
        <v>990100.2</v>
      </c>
      <c r="BW160" s="619">
        <f t="shared" si="776"/>
        <v>0</v>
      </c>
      <c r="BX160" s="619">
        <f t="shared" si="776"/>
        <v>0</v>
      </c>
      <c r="BY160" s="619">
        <f t="shared" si="776"/>
        <v>28800</v>
      </c>
      <c r="BZ160" s="619">
        <f t="shared" si="776"/>
        <v>990100.2</v>
      </c>
      <c r="CA160" s="619">
        <f t="shared" si="776"/>
        <v>0</v>
      </c>
      <c r="CB160" s="619">
        <f t="shared" si="776"/>
        <v>0</v>
      </c>
      <c r="CC160" s="619">
        <f t="shared" si="776"/>
        <v>0</v>
      </c>
      <c r="CD160" s="619">
        <f t="shared" si="776"/>
        <v>0</v>
      </c>
      <c r="CE160" s="619">
        <f t="shared" si="776"/>
        <v>0</v>
      </c>
      <c r="CF160" s="620">
        <f t="shared" si="776"/>
        <v>0</v>
      </c>
      <c r="CG160" s="189">
        <f t="shared" ref="CG160:CN160" si="777">SUM(CG155:CG159)</f>
        <v>1571437.56</v>
      </c>
      <c r="CH160" s="189">
        <f t="shared" si="777"/>
        <v>0</v>
      </c>
      <c r="CI160" s="189">
        <f t="shared" si="777"/>
        <v>5408385.9400000004</v>
      </c>
      <c r="CJ160" s="189">
        <f t="shared" si="777"/>
        <v>1571437.56</v>
      </c>
      <c r="CK160" s="189">
        <f t="shared" si="777"/>
        <v>0</v>
      </c>
      <c r="CL160" s="189">
        <f t="shared" si="777"/>
        <v>0</v>
      </c>
      <c r="CM160" s="189">
        <f t="shared" si="777"/>
        <v>5408385.9400000004</v>
      </c>
      <c r="CN160" s="189">
        <f t="shared" si="777"/>
        <v>1571437.56</v>
      </c>
      <c r="CO160" s="649">
        <f t="shared" si="722"/>
        <v>2.53959757213575E-3</v>
      </c>
      <c r="CP160" s="189">
        <f t="shared" ref="CP160:CU160" si="778">SUM(CP155:CP159)</f>
        <v>0</v>
      </c>
      <c r="CQ160" s="189">
        <f t="shared" si="778"/>
        <v>0</v>
      </c>
      <c r="CR160" s="189">
        <f t="shared" si="778"/>
        <v>0</v>
      </c>
      <c r="CS160" s="189">
        <f t="shared" si="778"/>
        <v>0</v>
      </c>
      <c r="CT160" s="189">
        <f t="shared" si="778"/>
        <v>0</v>
      </c>
      <c r="CU160" s="189">
        <f t="shared" si="778"/>
        <v>0</v>
      </c>
      <c r="CV160" s="649">
        <f t="shared" si="724"/>
        <v>0</v>
      </c>
      <c r="CW160" s="697">
        <f t="shared" si="725"/>
        <v>1.4866918945994304E-2</v>
      </c>
      <c r="CX160" s="619">
        <f t="shared" ref="CX160:DL160" si="779">SUM(CX155:CX159)</f>
        <v>28800</v>
      </c>
      <c r="CY160" s="619">
        <f t="shared" si="779"/>
        <v>38131.93</v>
      </c>
      <c r="CZ160" s="619">
        <f t="shared" si="779"/>
        <v>0</v>
      </c>
      <c r="DA160" s="619">
        <f t="shared" si="779"/>
        <v>28800</v>
      </c>
      <c r="DB160" s="619">
        <f t="shared" si="779"/>
        <v>38131.93</v>
      </c>
      <c r="DC160" s="619">
        <f t="shared" si="779"/>
        <v>0</v>
      </c>
      <c r="DD160" s="619">
        <f t="shared" si="779"/>
        <v>0</v>
      </c>
      <c r="DE160" s="619">
        <f t="shared" si="779"/>
        <v>28800</v>
      </c>
      <c r="DF160" s="619">
        <f t="shared" si="779"/>
        <v>38131.93</v>
      </c>
      <c r="DG160" s="619">
        <f t="shared" si="779"/>
        <v>0</v>
      </c>
      <c r="DH160" s="619">
        <f t="shared" si="779"/>
        <v>0</v>
      </c>
      <c r="DI160" s="619">
        <f t="shared" si="779"/>
        <v>0</v>
      </c>
      <c r="DJ160" s="619">
        <f t="shared" si="779"/>
        <v>0</v>
      </c>
      <c r="DK160" s="619">
        <f t="shared" si="779"/>
        <v>0</v>
      </c>
      <c r="DL160" s="620">
        <f t="shared" si="779"/>
        <v>0</v>
      </c>
      <c r="DM160" s="189">
        <f t="shared" ref="DM160:DT160" si="780">SUM(DM155:DM159)</f>
        <v>1609569.49</v>
      </c>
      <c r="DN160" s="189">
        <f t="shared" si="780"/>
        <v>0</v>
      </c>
      <c r="DO160" s="189">
        <f t="shared" si="780"/>
        <v>5437185.9400000004</v>
      </c>
      <c r="DP160" s="189">
        <f t="shared" si="780"/>
        <v>1609569.49</v>
      </c>
      <c r="DQ160" s="189">
        <f t="shared" si="780"/>
        <v>0</v>
      </c>
      <c r="DR160" s="189">
        <f t="shared" si="780"/>
        <v>0</v>
      </c>
      <c r="DS160" s="189">
        <f t="shared" si="780"/>
        <v>5437185.9400000004</v>
      </c>
      <c r="DT160" s="189">
        <f t="shared" si="780"/>
        <v>1609569.49</v>
      </c>
      <c r="DU160" s="649">
        <f t="shared" si="727"/>
        <v>2.6012225194539562E-3</v>
      </c>
      <c r="DV160" s="189">
        <f t="shared" ref="DV160:EA160" si="781">SUM(DV155:DV159)</f>
        <v>0</v>
      </c>
      <c r="DW160" s="189">
        <f t="shared" si="781"/>
        <v>0</v>
      </c>
      <c r="DX160" s="189">
        <f t="shared" si="781"/>
        <v>0</v>
      </c>
      <c r="DY160" s="189">
        <f t="shared" si="781"/>
        <v>0</v>
      </c>
      <c r="DZ160" s="189">
        <f t="shared" si="781"/>
        <v>0</v>
      </c>
      <c r="EA160" s="189">
        <f t="shared" si="781"/>
        <v>0</v>
      </c>
      <c r="EB160" s="621">
        <f>EA160/S160</f>
        <v>0</v>
      </c>
      <c r="EC160" s="623">
        <f t="shared" si="711"/>
        <v>1.5227674172288071E-2</v>
      </c>
      <c r="ED160" s="619">
        <f t="shared" ref="ED160:ER160" si="782">SUM(ED155:ED159)</f>
        <v>0</v>
      </c>
      <c r="EE160" s="619">
        <f t="shared" si="782"/>
        <v>1122098.43</v>
      </c>
      <c r="EF160" s="619">
        <f t="shared" si="782"/>
        <v>0</v>
      </c>
      <c r="EG160" s="619">
        <f t="shared" si="782"/>
        <v>0</v>
      </c>
      <c r="EH160" s="619">
        <f t="shared" si="782"/>
        <v>1122098.43</v>
      </c>
      <c r="EI160" s="619">
        <f t="shared" si="782"/>
        <v>0</v>
      </c>
      <c r="EJ160" s="619">
        <f t="shared" si="782"/>
        <v>0</v>
      </c>
      <c r="EK160" s="619">
        <f t="shared" si="782"/>
        <v>0</v>
      </c>
      <c r="EL160" s="619">
        <f t="shared" si="782"/>
        <v>1122098.43</v>
      </c>
      <c r="EM160" s="619">
        <f t="shared" si="782"/>
        <v>0</v>
      </c>
      <c r="EN160" s="619">
        <f t="shared" si="782"/>
        <v>0</v>
      </c>
      <c r="EO160" s="619">
        <f t="shared" si="782"/>
        <v>0</v>
      </c>
      <c r="EP160" s="619">
        <f t="shared" si="782"/>
        <v>0</v>
      </c>
      <c r="EQ160" s="619">
        <f t="shared" si="782"/>
        <v>0</v>
      </c>
      <c r="ER160" s="620">
        <f t="shared" si="782"/>
        <v>0</v>
      </c>
      <c r="ES160" s="189">
        <f t="shared" ref="ES160:EZ160" si="783">SUM(ES155:ES159)</f>
        <v>2731667.92</v>
      </c>
      <c r="ET160" s="189">
        <f t="shared" si="783"/>
        <v>0</v>
      </c>
      <c r="EU160" s="189">
        <f t="shared" si="783"/>
        <v>5437185.9400000004</v>
      </c>
      <c r="EV160" s="189">
        <f t="shared" si="783"/>
        <v>2731667.92</v>
      </c>
      <c r="EW160" s="189">
        <f t="shared" si="783"/>
        <v>0</v>
      </c>
      <c r="EX160" s="189">
        <f t="shared" si="783"/>
        <v>0</v>
      </c>
      <c r="EY160" s="189">
        <f t="shared" si="783"/>
        <v>5437185.9400000004</v>
      </c>
      <c r="EZ160" s="189">
        <f t="shared" si="783"/>
        <v>2731667.92</v>
      </c>
      <c r="FA160" s="1504">
        <f t="shared" si="757"/>
        <v>4.4146438866544046E-3</v>
      </c>
      <c r="FB160" s="188">
        <f t="shared" ref="FB160:FG160" si="784">SUM(FB155:FB159)</f>
        <v>0</v>
      </c>
      <c r="FC160" s="188">
        <f t="shared" si="784"/>
        <v>0</v>
      </c>
      <c r="FD160" s="188">
        <f t="shared" si="784"/>
        <v>0</v>
      </c>
      <c r="FE160" s="188">
        <f t="shared" si="784"/>
        <v>0</v>
      </c>
      <c r="FF160" s="188">
        <f t="shared" si="784"/>
        <v>0</v>
      </c>
      <c r="FG160" s="188">
        <f t="shared" si="784"/>
        <v>0</v>
      </c>
      <c r="FH160" s="1508">
        <f t="shared" si="315"/>
        <v>0</v>
      </c>
      <c r="FI160" s="623">
        <f t="shared" si="494"/>
        <v>2.5843524800319047E-2</v>
      </c>
      <c r="FJ160" s="619">
        <f t="shared" ref="FJ160:FX160" si="785">SUM(FJ155:FJ159)</f>
        <v>0</v>
      </c>
      <c r="FK160" s="619">
        <f t="shared" si="785"/>
        <v>531197.82999999996</v>
      </c>
      <c r="FL160" s="619">
        <f t="shared" si="785"/>
        <v>0</v>
      </c>
      <c r="FM160" s="619">
        <f t="shared" si="785"/>
        <v>0</v>
      </c>
      <c r="FN160" s="619">
        <f t="shared" si="785"/>
        <v>531197.82999999996</v>
      </c>
      <c r="FO160" s="619">
        <f t="shared" si="785"/>
        <v>0</v>
      </c>
      <c r="FP160" s="619">
        <f t="shared" si="785"/>
        <v>0</v>
      </c>
      <c r="FQ160" s="619">
        <f t="shared" si="785"/>
        <v>0</v>
      </c>
      <c r="FR160" s="619">
        <f t="shared" si="785"/>
        <v>531197.82999999996</v>
      </c>
      <c r="FS160" s="619">
        <f t="shared" si="785"/>
        <v>0</v>
      </c>
      <c r="FT160" s="619">
        <f t="shared" si="785"/>
        <v>0</v>
      </c>
      <c r="FU160" s="619">
        <f t="shared" si="785"/>
        <v>0</v>
      </c>
      <c r="FV160" s="619">
        <f t="shared" si="785"/>
        <v>0</v>
      </c>
      <c r="FW160" s="619">
        <f t="shared" si="785"/>
        <v>0</v>
      </c>
      <c r="FX160" s="620">
        <f t="shared" si="785"/>
        <v>0</v>
      </c>
      <c r="FY160" s="189">
        <f t="shared" ref="FY160:GF160" si="786">SUM(FY155:FY159)</f>
        <v>3262865.75</v>
      </c>
      <c r="FZ160" s="189">
        <f t="shared" si="786"/>
        <v>0</v>
      </c>
      <c r="GA160" s="189">
        <f t="shared" si="786"/>
        <v>5437185.9400000004</v>
      </c>
      <c r="GB160" s="189">
        <f t="shared" si="786"/>
        <v>3262865.75</v>
      </c>
      <c r="GC160" s="189">
        <f t="shared" si="786"/>
        <v>0</v>
      </c>
      <c r="GD160" s="189">
        <f t="shared" si="786"/>
        <v>0</v>
      </c>
      <c r="GE160" s="189">
        <f t="shared" si="786"/>
        <v>5437185.9400000004</v>
      </c>
      <c r="GF160" s="189">
        <f t="shared" si="786"/>
        <v>3262865.75</v>
      </c>
      <c r="GG160" s="1515">
        <f t="shared" si="732"/>
        <v>5.2731117976490861E-3</v>
      </c>
      <c r="GH160" s="188">
        <f t="shared" ref="GH160:GM160" si="787">SUM(GH155:GH159)</f>
        <v>0</v>
      </c>
      <c r="GI160" s="188">
        <f t="shared" si="787"/>
        <v>0</v>
      </c>
      <c r="GJ160" s="188">
        <f t="shared" si="787"/>
        <v>0</v>
      </c>
      <c r="GK160" s="188">
        <f t="shared" si="787"/>
        <v>0</v>
      </c>
      <c r="GL160" s="188">
        <f t="shared" si="787"/>
        <v>0</v>
      </c>
      <c r="GM160" s="188">
        <f t="shared" si="787"/>
        <v>0</v>
      </c>
      <c r="GN160" s="1507">
        <f t="shared" si="734"/>
        <v>0</v>
      </c>
      <c r="GO160" s="697">
        <f t="shared" si="735"/>
        <v>3.0869034743519118E-2</v>
      </c>
      <c r="GP160" s="619">
        <f t="shared" ref="GP160:HL160" si="788">SUM(GP155:GP159)</f>
        <v>0</v>
      </c>
      <c r="GQ160" s="619">
        <f t="shared" si="788"/>
        <v>2209590.59</v>
      </c>
      <c r="GR160" s="619">
        <f t="shared" si="788"/>
        <v>0</v>
      </c>
      <c r="GS160" s="619">
        <f t="shared" si="788"/>
        <v>0</v>
      </c>
      <c r="GT160" s="619">
        <f t="shared" si="788"/>
        <v>2209590.59</v>
      </c>
      <c r="GU160" s="619">
        <f t="shared" si="788"/>
        <v>0</v>
      </c>
      <c r="GV160" s="619">
        <f t="shared" si="788"/>
        <v>0</v>
      </c>
      <c r="GW160" s="619">
        <f t="shared" si="788"/>
        <v>0</v>
      </c>
      <c r="GX160" s="619">
        <f t="shared" si="788"/>
        <v>2209590.59</v>
      </c>
      <c r="GY160" s="619">
        <f t="shared" si="788"/>
        <v>0</v>
      </c>
      <c r="GZ160" s="619">
        <f t="shared" si="788"/>
        <v>0</v>
      </c>
      <c r="HA160" s="619">
        <f t="shared" si="788"/>
        <v>0</v>
      </c>
      <c r="HB160" s="619">
        <f t="shared" si="788"/>
        <v>0</v>
      </c>
      <c r="HC160" s="619">
        <f t="shared" si="788"/>
        <v>0</v>
      </c>
      <c r="HD160" s="620">
        <f t="shared" si="788"/>
        <v>0</v>
      </c>
      <c r="HE160" s="1683">
        <f t="shared" si="788"/>
        <v>5472456.3399999999</v>
      </c>
      <c r="HF160" s="189">
        <f t="shared" si="788"/>
        <v>0</v>
      </c>
      <c r="HG160" s="189">
        <f t="shared" si="788"/>
        <v>5437185.9400000004</v>
      </c>
      <c r="HH160" s="189">
        <f t="shared" si="788"/>
        <v>5472456.3399999999</v>
      </c>
      <c r="HI160" s="189">
        <f t="shared" si="788"/>
        <v>0</v>
      </c>
      <c r="HJ160" s="189">
        <f t="shared" si="788"/>
        <v>0</v>
      </c>
      <c r="HK160" s="189">
        <f t="shared" si="788"/>
        <v>5437185.9400000004</v>
      </c>
      <c r="HL160" s="189">
        <f t="shared" si="788"/>
        <v>5472456.3399999999</v>
      </c>
      <c r="HM160" s="1449">
        <f>HL160/R160</f>
        <v>8.8440273978705793E-3</v>
      </c>
      <c r="HN160" s="188">
        <f t="shared" ref="HN160:HS160" si="789">SUM(HN155:HN159)</f>
        <v>0</v>
      </c>
      <c r="HO160" s="188">
        <f t="shared" si="789"/>
        <v>0</v>
      </c>
      <c r="HP160" s="188">
        <f t="shared" si="789"/>
        <v>0</v>
      </c>
      <c r="HQ160" s="188">
        <f t="shared" si="789"/>
        <v>0</v>
      </c>
      <c r="HR160" s="188">
        <f t="shared" si="789"/>
        <v>0</v>
      </c>
      <c r="HS160" s="188">
        <f t="shared" si="789"/>
        <v>0</v>
      </c>
      <c r="HT160" s="1507">
        <f t="shared" si="592"/>
        <v>0</v>
      </c>
      <c r="HU160" s="697">
        <f t="shared" si="593"/>
        <v>5.1773336028873226E-2</v>
      </c>
    </row>
    <row r="161" spans="1:229" s="101" customFormat="1" ht="30.75" customHeight="1" thickBot="1" x14ac:dyDescent="0.25">
      <c r="A161" s="757"/>
      <c r="B161" s="693"/>
      <c r="C161" s="723" t="s">
        <v>374</v>
      </c>
      <c r="D161" s="758" t="s">
        <v>166</v>
      </c>
      <c r="E161" s="699">
        <f>E160+E154+E147+E139</f>
        <v>6227</v>
      </c>
      <c r="F161" s="189">
        <f>F160+F154+F147+F139</f>
        <v>432544.15000000014</v>
      </c>
      <c r="G161" s="741">
        <f t="shared" si="712"/>
        <v>69.462686687008215</v>
      </c>
      <c r="H161" s="699">
        <f>H160+H154+H147+H139</f>
        <v>2848</v>
      </c>
      <c r="I161" s="189">
        <f>I160+I154+I147+I139</f>
        <v>28910.22</v>
      </c>
      <c r="J161" s="189">
        <f>I161/H161</f>
        <v>10.151060393258428</v>
      </c>
      <c r="K161" s="699">
        <f>K160+K154+K139</f>
        <v>284</v>
      </c>
      <c r="L161" s="189">
        <f>L160+L154+L147+L139</f>
        <v>17419.54</v>
      </c>
      <c r="M161" s="189">
        <f>L161/K161</f>
        <v>61.336408450704226</v>
      </c>
      <c r="N161" s="648">
        <f t="shared" ref="N161:T161" si="790">N160+N154+N147+N139</f>
        <v>478873.91000000003</v>
      </c>
      <c r="O161" s="189">
        <f t="shared" si="790"/>
        <v>126061970.76082805</v>
      </c>
      <c r="P161" s="189">
        <f t="shared" si="790"/>
        <v>2523934083.9927187</v>
      </c>
      <c r="Q161" s="189">
        <f t="shared" si="790"/>
        <v>506128756.70408338</v>
      </c>
      <c r="R161" s="189">
        <f t="shared" si="790"/>
        <v>3159885631.9176316</v>
      </c>
      <c r="S161" s="189">
        <f t="shared" si="790"/>
        <v>3160615030.4758558</v>
      </c>
      <c r="T161" s="648">
        <f t="shared" si="790"/>
        <v>666865014.49978161</v>
      </c>
      <c r="U161" s="189">
        <f t="shared" ref="U161:AB161" si="791">U139+U147+U154+U160</f>
        <v>4175965.35</v>
      </c>
      <c r="V161" s="189">
        <f t="shared" si="791"/>
        <v>9207640.4100000001</v>
      </c>
      <c r="W161" s="189">
        <f t="shared" si="791"/>
        <v>25871458.75</v>
      </c>
      <c r="X161" s="189">
        <f t="shared" si="791"/>
        <v>12155223.639999997</v>
      </c>
      <c r="Y161" s="189">
        <f t="shared" si="791"/>
        <v>11525296.359999999</v>
      </c>
      <c r="Z161" s="189">
        <f t="shared" si="791"/>
        <v>7814044.9900000002</v>
      </c>
      <c r="AA161" s="189">
        <f t="shared" si="791"/>
        <v>37396755.109999999</v>
      </c>
      <c r="AB161" s="189">
        <f t="shared" si="791"/>
        <v>19969268.629999999</v>
      </c>
      <c r="AC161" s="621">
        <f t="shared" si="715"/>
        <v>6.3196175292842167E-3</v>
      </c>
      <c r="AD161" s="646">
        <f t="shared" ref="AD161:AI161" si="792">AD160+AD154+AD147+AD139</f>
        <v>12682963.09</v>
      </c>
      <c r="AE161" s="646">
        <f t="shared" si="792"/>
        <v>17582281.199999999</v>
      </c>
      <c r="AF161" s="646">
        <f t="shared" si="792"/>
        <v>6438781.7300000004</v>
      </c>
      <c r="AG161" s="646">
        <f t="shared" si="792"/>
        <v>17116960.16</v>
      </c>
      <c r="AH161" s="646">
        <f t="shared" si="792"/>
        <v>19121744.82</v>
      </c>
      <c r="AI161" s="646">
        <f t="shared" si="792"/>
        <v>34699241.359999999</v>
      </c>
      <c r="AJ161" s="621">
        <f t="shared" si="717"/>
        <v>1.0978635811516644E-2</v>
      </c>
      <c r="AK161" s="759" t="s">
        <v>335</v>
      </c>
      <c r="AL161" s="189">
        <f t="shared" ref="AL161:AZ161" si="793">AL160+AL154+AL147+AL139</f>
        <v>1782373.41</v>
      </c>
      <c r="AM161" s="189">
        <f t="shared" si="793"/>
        <v>1989253.58</v>
      </c>
      <c r="AN161" s="189">
        <f t="shared" si="793"/>
        <v>786585.74</v>
      </c>
      <c r="AO161" s="189">
        <f t="shared" si="793"/>
        <v>5964823.0299999993</v>
      </c>
      <c r="AP161" s="189">
        <f t="shared" si="793"/>
        <v>6075519.2999999998</v>
      </c>
      <c r="AQ161" s="189">
        <f t="shared" si="793"/>
        <v>4803944.0199999996</v>
      </c>
      <c r="AR161" s="189">
        <f t="shared" si="793"/>
        <v>0</v>
      </c>
      <c r="AS161" s="189">
        <f t="shared" si="793"/>
        <v>10768767.050000001</v>
      </c>
      <c r="AT161" s="189">
        <f t="shared" si="793"/>
        <v>6075519.2999999998</v>
      </c>
      <c r="AU161" s="189">
        <f t="shared" si="793"/>
        <v>10045639.66</v>
      </c>
      <c r="AV161" s="189">
        <f t="shared" si="793"/>
        <v>87588.48000000001</v>
      </c>
      <c r="AW161" s="189">
        <f t="shared" si="793"/>
        <v>232444.08999999997</v>
      </c>
      <c r="AX161" s="189">
        <f t="shared" si="793"/>
        <v>1489430.5799999998</v>
      </c>
      <c r="AY161" s="189">
        <f t="shared" si="793"/>
        <v>10278083.75</v>
      </c>
      <c r="AZ161" s="648">
        <f t="shared" si="793"/>
        <v>1577019.0599999998</v>
      </c>
      <c r="BA161" s="189">
        <f t="shared" ref="BA161:BH161" si="794">BA139+BA147+BA154+BA160</f>
        <v>6165218.9300000006</v>
      </c>
      <c r="BB161" s="189">
        <f t="shared" si="794"/>
        <v>9994226.1499999985</v>
      </c>
      <c r="BC161" s="189">
        <f t="shared" si="794"/>
        <v>31836281.780000001</v>
      </c>
      <c r="BD161" s="189">
        <f t="shared" si="794"/>
        <v>18230742.939999998</v>
      </c>
      <c r="BE161" s="189">
        <f t="shared" si="794"/>
        <v>16329240.379999999</v>
      </c>
      <c r="BF161" s="189">
        <f t="shared" si="794"/>
        <v>7814044.9900000002</v>
      </c>
      <c r="BG161" s="189">
        <f t="shared" si="794"/>
        <v>48165522.159999996</v>
      </c>
      <c r="BH161" s="189">
        <f t="shared" si="794"/>
        <v>26044787.93</v>
      </c>
      <c r="BI161" s="621">
        <f t="shared" si="573"/>
        <v>8.2423198064273829E-3</v>
      </c>
      <c r="BJ161" s="646">
        <f t="shared" ref="BJ161:BO161" si="795">BJ160+BJ154+BJ147+BJ139</f>
        <v>22728602.75</v>
      </c>
      <c r="BK161" s="646">
        <f t="shared" si="795"/>
        <v>17669869.68</v>
      </c>
      <c r="BL161" s="646">
        <f t="shared" si="795"/>
        <v>6671225.8200000003</v>
      </c>
      <c r="BM161" s="646">
        <f t="shared" si="795"/>
        <v>18606390.740000002</v>
      </c>
      <c r="BN161" s="646">
        <f t="shared" si="795"/>
        <v>29399828.57</v>
      </c>
      <c r="BO161" s="646">
        <f t="shared" si="795"/>
        <v>36276260.420000002</v>
      </c>
      <c r="BP161" s="621">
        <f t="shared" si="575"/>
        <v>1.1477595363627162E-2</v>
      </c>
      <c r="BQ161" s="759" t="s">
        <v>335</v>
      </c>
      <c r="BR161" s="189">
        <f t="shared" ref="BR161:CF161" si="796">BR160+BR154+BR147+BR139</f>
        <v>1606504.6600000001</v>
      </c>
      <c r="BS161" s="189">
        <f t="shared" si="796"/>
        <v>2102946.2599999998</v>
      </c>
      <c r="BT161" s="189">
        <f t="shared" si="796"/>
        <v>0</v>
      </c>
      <c r="BU161" s="189">
        <f t="shared" si="796"/>
        <v>5281501.8</v>
      </c>
      <c r="BV161" s="189">
        <f t="shared" si="796"/>
        <v>4545298.8499999996</v>
      </c>
      <c r="BW161" s="189">
        <f t="shared" si="796"/>
        <v>3238294.29</v>
      </c>
      <c r="BX161" s="189">
        <f t="shared" si="796"/>
        <v>1889811.79</v>
      </c>
      <c r="BY161" s="189">
        <f t="shared" si="796"/>
        <v>8519796.0899999999</v>
      </c>
      <c r="BZ161" s="189">
        <f t="shared" si="796"/>
        <v>6435110.6400000006</v>
      </c>
      <c r="CA161" s="189">
        <f t="shared" si="796"/>
        <v>10188833.68</v>
      </c>
      <c r="CB161" s="189">
        <f t="shared" si="796"/>
        <v>-82864.270000000048</v>
      </c>
      <c r="CC161" s="189">
        <f t="shared" si="796"/>
        <v>14373712</v>
      </c>
      <c r="CD161" s="189">
        <f t="shared" si="796"/>
        <v>0</v>
      </c>
      <c r="CE161" s="189">
        <f t="shared" si="796"/>
        <v>24562545.68</v>
      </c>
      <c r="CF161" s="648">
        <f t="shared" si="796"/>
        <v>-82864.270000000048</v>
      </c>
      <c r="CG161" s="189">
        <f t="shared" ref="CG161:CN161" si="797">CG139+CG147+CG154+CG160</f>
        <v>8268165.1900000013</v>
      </c>
      <c r="CH161" s="189">
        <f t="shared" si="797"/>
        <v>9994226.1499999985</v>
      </c>
      <c r="CI161" s="189">
        <f t="shared" si="797"/>
        <v>37117783.579999998</v>
      </c>
      <c r="CJ161" s="189">
        <f t="shared" si="797"/>
        <v>22776041.789999999</v>
      </c>
      <c r="CK161" s="189">
        <f t="shared" si="797"/>
        <v>19567534.669999998</v>
      </c>
      <c r="CL161" s="189">
        <f t="shared" si="797"/>
        <v>9703856.7800000012</v>
      </c>
      <c r="CM161" s="189">
        <f t="shared" si="797"/>
        <v>56685318.25</v>
      </c>
      <c r="CN161" s="189">
        <f t="shared" si="797"/>
        <v>32479898.57</v>
      </c>
      <c r="CO161" s="621">
        <f t="shared" si="722"/>
        <v>1.0278820930075564E-2</v>
      </c>
      <c r="CP161" s="646">
        <f t="shared" ref="CP161:CU161" si="798">CP160+CP154+CP147+CP139</f>
        <v>32917436.430000003</v>
      </c>
      <c r="CQ161" s="646">
        <f t="shared" si="798"/>
        <v>17587005.410000004</v>
      </c>
      <c r="CR161" s="646">
        <f t="shared" si="798"/>
        <v>21044937.82</v>
      </c>
      <c r="CS161" s="646">
        <f t="shared" si="798"/>
        <v>18606390.740000002</v>
      </c>
      <c r="CT161" s="646">
        <f t="shared" si="798"/>
        <v>53962374.250000007</v>
      </c>
      <c r="CU161" s="646">
        <f t="shared" si="798"/>
        <v>36193396.150000006</v>
      </c>
      <c r="CV161" s="621">
        <f t="shared" si="724"/>
        <v>1.1451377596135395E-2</v>
      </c>
      <c r="CW161" s="759" t="s">
        <v>335</v>
      </c>
      <c r="CX161" s="189">
        <f t="shared" ref="CX161:DL161" si="799">CX160+CX154+CX147+CX139</f>
        <v>3041814.5700000003</v>
      </c>
      <c r="CY161" s="189">
        <f t="shared" si="799"/>
        <v>848735.18</v>
      </c>
      <c r="CZ161" s="189">
        <f t="shared" si="799"/>
        <v>13004.91</v>
      </c>
      <c r="DA161" s="189">
        <f t="shared" si="799"/>
        <v>7654352.290000001</v>
      </c>
      <c r="DB161" s="189">
        <f t="shared" si="799"/>
        <v>3121531.38</v>
      </c>
      <c r="DC161" s="189">
        <f t="shared" si="799"/>
        <v>1044335.66</v>
      </c>
      <c r="DD161" s="189">
        <f t="shared" si="799"/>
        <v>2012772.87</v>
      </c>
      <c r="DE161" s="189">
        <f t="shared" si="799"/>
        <v>8698687.9500000011</v>
      </c>
      <c r="DF161" s="189">
        <f t="shared" si="799"/>
        <v>5134304.25</v>
      </c>
      <c r="DG161" s="189">
        <f t="shared" si="799"/>
        <v>2668490.62</v>
      </c>
      <c r="DH161" s="189">
        <f t="shared" si="799"/>
        <v>57416.689999999988</v>
      </c>
      <c r="DI161" s="189">
        <f t="shared" si="799"/>
        <v>201440.29</v>
      </c>
      <c r="DJ161" s="189">
        <f t="shared" si="799"/>
        <v>26417.8</v>
      </c>
      <c r="DK161" s="189">
        <f t="shared" si="799"/>
        <v>2869930.91</v>
      </c>
      <c r="DL161" s="648">
        <f t="shared" si="799"/>
        <v>83834.489999999991</v>
      </c>
      <c r="DM161" s="189">
        <f t="shared" ref="DM161:DT161" si="800">DM139+DM147+DM154+DM160</f>
        <v>9116900.370000001</v>
      </c>
      <c r="DN161" s="189">
        <f t="shared" si="800"/>
        <v>10007231.059999999</v>
      </c>
      <c r="DO161" s="189">
        <f t="shared" si="800"/>
        <v>44772135.869999997</v>
      </c>
      <c r="DP161" s="189">
        <f t="shared" si="800"/>
        <v>25897573.169999998</v>
      </c>
      <c r="DQ161" s="189">
        <f t="shared" si="800"/>
        <v>20611870.329999998</v>
      </c>
      <c r="DR161" s="189">
        <f t="shared" si="800"/>
        <v>11716629.650000002</v>
      </c>
      <c r="DS161" s="189">
        <f t="shared" si="800"/>
        <v>65384006.199999996</v>
      </c>
      <c r="DT161" s="189">
        <f t="shared" si="800"/>
        <v>37614202.820000008</v>
      </c>
      <c r="DU161" s="649">
        <f t="shared" si="727"/>
        <v>1.1903659562885248E-2</v>
      </c>
      <c r="DV161" s="646">
        <f t="shared" ref="DV161:EA161" si="801">DV160+DV154+DV147+DV139</f>
        <v>35585927.049999997</v>
      </c>
      <c r="DW161" s="646">
        <f t="shared" si="801"/>
        <v>17644422.100000001</v>
      </c>
      <c r="DX161" s="646">
        <f t="shared" si="801"/>
        <v>21246378.109999999</v>
      </c>
      <c r="DY161" s="646">
        <f t="shared" si="801"/>
        <v>18632808.540000003</v>
      </c>
      <c r="DZ161" s="646">
        <f t="shared" si="801"/>
        <v>56832305.160000004</v>
      </c>
      <c r="EA161" s="646">
        <f t="shared" si="801"/>
        <v>36277230.640000001</v>
      </c>
      <c r="EB161" s="621">
        <f>EA161/S161</f>
        <v>1.1477902335526822E-2</v>
      </c>
      <c r="EC161" s="759" t="s">
        <v>335</v>
      </c>
      <c r="ED161" s="189">
        <f t="shared" ref="ED161:ER161" si="802">ED160+ED154+ED147+ED139</f>
        <v>4104725.72</v>
      </c>
      <c r="EE161" s="189">
        <f t="shared" si="802"/>
        <v>1605809.9</v>
      </c>
      <c r="EF161" s="189">
        <f t="shared" si="802"/>
        <v>31706.86</v>
      </c>
      <c r="EG161" s="189">
        <f t="shared" si="802"/>
        <v>7782755.870000001</v>
      </c>
      <c r="EH161" s="189">
        <f t="shared" si="802"/>
        <v>4842919.24</v>
      </c>
      <c r="EI161" s="189">
        <f t="shared" si="802"/>
        <v>9355113</v>
      </c>
      <c r="EJ161" s="189">
        <f t="shared" si="802"/>
        <v>0</v>
      </c>
      <c r="EK161" s="189">
        <f t="shared" si="802"/>
        <v>17137868.870000001</v>
      </c>
      <c r="EL161" s="189">
        <f t="shared" si="802"/>
        <v>4842919.24</v>
      </c>
      <c r="EM161" s="189">
        <f t="shared" si="802"/>
        <v>10410171.810000002</v>
      </c>
      <c r="EN161" s="189">
        <f t="shared" si="802"/>
        <v>38139.42</v>
      </c>
      <c r="EO161" s="189">
        <f t="shared" si="802"/>
        <v>16598615.880000001</v>
      </c>
      <c r="EP161" s="189">
        <f t="shared" si="802"/>
        <v>50234.350000000006</v>
      </c>
      <c r="EQ161" s="189">
        <f t="shared" si="802"/>
        <v>27008787.690000005</v>
      </c>
      <c r="ER161" s="648">
        <f t="shared" si="802"/>
        <v>88373.77</v>
      </c>
      <c r="ES161" s="189">
        <f t="shared" ref="ES161:EZ161" si="803">ES139+ES147+ES154+ES160</f>
        <v>10722710.27</v>
      </c>
      <c r="ET161" s="189">
        <f t="shared" si="803"/>
        <v>10038937.920000002</v>
      </c>
      <c r="EU161" s="189">
        <f t="shared" si="803"/>
        <v>52554891.739999995</v>
      </c>
      <c r="EV161" s="189">
        <f t="shared" si="803"/>
        <v>30740492.409999996</v>
      </c>
      <c r="EW161" s="189">
        <f t="shared" si="803"/>
        <v>29966983.329999998</v>
      </c>
      <c r="EX161" s="189">
        <f t="shared" si="803"/>
        <v>11716629.650000002</v>
      </c>
      <c r="EY161" s="189">
        <f t="shared" si="803"/>
        <v>82521875.070000008</v>
      </c>
      <c r="EZ161" s="189">
        <f t="shared" si="803"/>
        <v>42457122.060000002</v>
      </c>
      <c r="FA161" s="1134">
        <f t="shared" si="757"/>
        <v>1.3436284412051381E-2</v>
      </c>
      <c r="FB161" s="1473">
        <f t="shared" ref="FB161:FG161" si="804">FB160+FB154+FB147+FB139</f>
        <v>45996098.859999999</v>
      </c>
      <c r="FC161" s="622">
        <f t="shared" si="804"/>
        <v>17682561.520000003</v>
      </c>
      <c r="FD161" s="622">
        <f t="shared" si="804"/>
        <v>37844993.990000002</v>
      </c>
      <c r="FE161" s="622">
        <f t="shared" si="804"/>
        <v>18683042.890000001</v>
      </c>
      <c r="FF161" s="622">
        <f t="shared" si="804"/>
        <v>83841092.849999994</v>
      </c>
      <c r="FG161" s="622">
        <f t="shared" si="804"/>
        <v>36365604.410000004</v>
      </c>
      <c r="FH161" s="1505">
        <f>FG161/S161</f>
        <v>1.1505863276403161E-2</v>
      </c>
      <c r="FI161" s="759" t="s">
        <v>335</v>
      </c>
      <c r="FJ161" s="189">
        <f t="shared" ref="FJ161:FX161" si="805">FJ160+FJ154+FJ147+FJ139</f>
        <v>5130599.41</v>
      </c>
      <c r="FK161" s="189">
        <f t="shared" si="805"/>
        <v>637956.90999999992</v>
      </c>
      <c r="FL161" s="189">
        <f t="shared" si="805"/>
        <v>58611.68</v>
      </c>
      <c r="FM161" s="189">
        <f t="shared" si="805"/>
        <v>8941014.2300000004</v>
      </c>
      <c r="FN161" s="189" t="e">
        <f t="shared" si="805"/>
        <v>#REF!</v>
      </c>
      <c r="FO161" s="189">
        <f t="shared" si="805"/>
        <v>1388768.23</v>
      </c>
      <c r="FP161" s="189">
        <f t="shared" si="805"/>
        <v>0</v>
      </c>
      <c r="FQ161" s="189">
        <f t="shared" si="805"/>
        <v>10329782.460000001</v>
      </c>
      <c r="FR161" s="189" t="e">
        <f t="shared" si="805"/>
        <v>#REF!</v>
      </c>
      <c r="FS161" s="189">
        <f t="shared" si="805"/>
        <v>25965169.199999999</v>
      </c>
      <c r="FT161" s="1613" t="e">
        <f t="shared" si="805"/>
        <v>#REF!</v>
      </c>
      <c r="FU161" s="189">
        <f t="shared" si="805"/>
        <v>606233.82999999996</v>
      </c>
      <c r="FV161" s="189">
        <f t="shared" si="805"/>
        <v>0</v>
      </c>
      <c r="FW161" s="189">
        <f t="shared" si="805"/>
        <v>26571403.029999997</v>
      </c>
      <c r="FX161" s="648" t="e">
        <f t="shared" si="805"/>
        <v>#REF!</v>
      </c>
      <c r="FY161" s="189">
        <f t="shared" ref="FY161:GF161" si="806">FY139+FY147+FY154+FY160</f>
        <v>11360667.18</v>
      </c>
      <c r="FZ161" s="189">
        <f t="shared" si="806"/>
        <v>10097549.600000001</v>
      </c>
      <c r="GA161" s="189">
        <f t="shared" si="806"/>
        <v>61495905.969999999</v>
      </c>
      <c r="GB161" s="189" t="e">
        <f t="shared" si="806"/>
        <v>#REF!</v>
      </c>
      <c r="GC161" s="189">
        <f t="shared" si="806"/>
        <v>31355751.559999999</v>
      </c>
      <c r="GD161" s="189">
        <f t="shared" si="806"/>
        <v>11716629.650000002</v>
      </c>
      <c r="GE161" s="189">
        <f t="shared" si="806"/>
        <v>92851657.530000001</v>
      </c>
      <c r="GF161" s="189" t="e">
        <f t="shared" si="806"/>
        <v>#REF!</v>
      </c>
      <c r="GG161" s="1504" t="e">
        <f t="shared" si="732"/>
        <v>#REF!</v>
      </c>
      <c r="GH161" s="1473">
        <f t="shared" ref="GH161:GM161" si="807">GH160+GH154+GH147+GH139</f>
        <v>71961268.060000002</v>
      </c>
      <c r="GI161" s="622" t="e">
        <f t="shared" si="807"/>
        <v>#REF!</v>
      </c>
      <c r="GJ161" s="622">
        <f t="shared" si="807"/>
        <v>38451227.82</v>
      </c>
      <c r="GK161" s="622">
        <f t="shared" si="807"/>
        <v>18683042.890000001</v>
      </c>
      <c r="GL161" s="622">
        <f t="shared" si="807"/>
        <v>110412495.88</v>
      </c>
      <c r="GM161" s="622" t="e">
        <f t="shared" si="807"/>
        <v>#REF!</v>
      </c>
      <c r="GN161" s="1505" t="e">
        <f t="shared" si="734"/>
        <v>#REF!</v>
      </c>
      <c r="GO161" s="759" t="s">
        <v>335</v>
      </c>
      <c r="GP161" s="189">
        <f t="shared" ref="GP161:HD161" si="808">GP160+GP154+GP147+GP139</f>
        <v>1791577.71</v>
      </c>
      <c r="GQ161" s="189">
        <f t="shared" si="808"/>
        <v>3843600.6899999995</v>
      </c>
      <c r="GR161" s="189">
        <f t="shared" si="808"/>
        <v>3234087.12</v>
      </c>
      <c r="GS161" s="189">
        <f t="shared" si="808"/>
        <v>7753499.2300000004</v>
      </c>
      <c r="GT161" s="189">
        <f t="shared" si="808"/>
        <v>10194001.539999999</v>
      </c>
      <c r="GU161" s="189">
        <f t="shared" si="808"/>
        <v>0</v>
      </c>
      <c r="GV161" s="189">
        <f t="shared" si="808"/>
        <v>0</v>
      </c>
      <c r="GW161" s="189">
        <f t="shared" si="808"/>
        <v>7753499.2300000004</v>
      </c>
      <c r="GX161" s="189">
        <f t="shared" si="808"/>
        <v>10194001.539999999</v>
      </c>
      <c r="GY161" s="189">
        <f t="shared" si="808"/>
        <v>10284287.08</v>
      </c>
      <c r="GZ161" s="646" t="e">
        <f t="shared" si="808"/>
        <v>#REF!</v>
      </c>
      <c r="HA161" s="189">
        <f t="shared" si="808"/>
        <v>0</v>
      </c>
      <c r="HB161" s="189">
        <f t="shared" si="808"/>
        <v>5891557.2300000004</v>
      </c>
      <c r="HC161" s="189">
        <f t="shared" si="808"/>
        <v>10284287.08</v>
      </c>
      <c r="HD161" s="648" t="e">
        <f t="shared" si="808"/>
        <v>#REF!</v>
      </c>
      <c r="HE161" s="1683">
        <f t="shared" ref="HE161:HL161" si="809">HE139+HE147+HE154+HE160</f>
        <v>15204267.869999999</v>
      </c>
      <c r="HF161" s="189">
        <f t="shared" si="809"/>
        <v>13331636.720000003</v>
      </c>
      <c r="HG161" s="189">
        <f t="shared" si="809"/>
        <v>69249405.200000003</v>
      </c>
      <c r="HH161" s="189" t="e">
        <f t="shared" si="809"/>
        <v>#REF!</v>
      </c>
      <c r="HI161" s="189">
        <f t="shared" si="809"/>
        <v>31355751.559999999</v>
      </c>
      <c r="HJ161" s="189">
        <f t="shared" si="809"/>
        <v>11716629.650000002</v>
      </c>
      <c r="HK161" s="189">
        <f t="shared" si="809"/>
        <v>100605156.75999999</v>
      </c>
      <c r="HL161" s="189" t="e">
        <f t="shared" si="809"/>
        <v>#REF!</v>
      </c>
      <c r="HM161" s="1504" t="e">
        <f>HL161/R161</f>
        <v>#REF!</v>
      </c>
      <c r="HN161" s="1473">
        <f t="shared" ref="HN161:HS161" si="810">HN160+HN154+HN147+HN139</f>
        <v>82245555.140000001</v>
      </c>
      <c r="HO161" s="622" t="e">
        <f t="shared" si="810"/>
        <v>#REF!</v>
      </c>
      <c r="HP161" s="622">
        <f t="shared" si="810"/>
        <v>38451227.82</v>
      </c>
      <c r="HQ161" s="622">
        <f t="shared" si="810"/>
        <v>24574600.120000001</v>
      </c>
      <c r="HR161" s="622">
        <f t="shared" si="810"/>
        <v>120696782.95999999</v>
      </c>
      <c r="HS161" s="622" t="e">
        <f t="shared" si="810"/>
        <v>#REF!</v>
      </c>
      <c r="HT161" s="1507" t="e">
        <f t="shared" si="592"/>
        <v>#REF!</v>
      </c>
      <c r="HU161" s="759" t="s">
        <v>335</v>
      </c>
    </row>
    <row r="162" spans="1:229" ht="13.5" thickBot="1" x14ac:dyDescent="0.25">
      <c r="A162" s="105"/>
      <c r="B162" s="105"/>
      <c r="C162" s="105"/>
      <c r="D162" s="760"/>
      <c r="E162" s="105"/>
      <c r="F162" s="312"/>
      <c r="G162" s="105"/>
      <c r="H162" s="404"/>
      <c r="I162" s="312"/>
      <c r="J162" s="312"/>
      <c r="K162" s="404"/>
      <c r="L162" s="312"/>
      <c r="M162" s="312"/>
      <c r="N162" s="760"/>
      <c r="O162" s="105"/>
      <c r="P162" s="105"/>
      <c r="Q162" s="105"/>
      <c r="R162" s="105"/>
      <c r="S162" s="105"/>
      <c r="T162" s="405"/>
      <c r="U162" s="761"/>
      <c r="V162" s="761"/>
      <c r="W162" s="761"/>
      <c r="X162" s="761"/>
      <c r="Y162" s="761"/>
      <c r="Z162" s="761"/>
      <c r="AA162" s="761"/>
      <c r="AB162" s="761"/>
      <c r="AC162" s="761"/>
      <c r="AD162" s="761"/>
      <c r="AE162" s="761"/>
      <c r="AF162" s="761"/>
      <c r="AG162" s="761"/>
      <c r="AH162" s="761"/>
      <c r="AI162" s="761"/>
      <c r="AJ162" s="762"/>
      <c r="AK162" s="763"/>
      <c r="AL162" s="764"/>
      <c r="AM162" s="764"/>
      <c r="AN162" s="312"/>
      <c r="AO162" s="312"/>
      <c r="AP162" s="312"/>
      <c r="AQ162" s="312"/>
      <c r="AR162" s="312"/>
      <c r="AS162" s="312"/>
      <c r="AT162" s="312"/>
      <c r="AU162" s="312"/>
      <c r="AV162" s="312"/>
      <c r="AW162" s="312"/>
      <c r="AX162" s="312"/>
      <c r="AY162" s="312"/>
      <c r="AZ162" s="405"/>
      <c r="BA162" s="764"/>
      <c r="BB162" s="764"/>
      <c r="BC162" s="764"/>
      <c r="BD162" s="764"/>
      <c r="BE162" s="764"/>
      <c r="BF162" s="764"/>
      <c r="BG162" s="764"/>
      <c r="BH162" s="764">
        <f>BH160+BH154</f>
        <v>867721.38</v>
      </c>
      <c r="BI162" s="765"/>
      <c r="BJ162" s="764"/>
      <c r="BK162" s="764"/>
      <c r="BL162" s="764"/>
      <c r="BM162" s="764"/>
      <c r="BN162" s="764"/>
      <c r="BO162" s="764"/>
      <c r="BP162" s="765"/>
      <c r="BQ162" s="766"/>
      <c r="BR162" s="764"/>
      <c r="BS162" s="764"/>
      <c r="BT162" s="312"/>
      <c r="BU162" s="312"/>
      <c r="BV162" s="312"/>
      <c r="BW162" s="312"/>
      <c r="BX162" s="312"/>
      <c r="BY162" s="312"/>
      <c r="BZ162" s="312"/>
      <c r="CA162" s="312"/>
      <c r="CB162" s="312"/>
      <c r="CC162" s="312"/>
      <c r="CD162" s="312"/>
      <c r="CE162" s="312"/>
      <c r="CF162" s="405"/>
      <c r="CG162" s="764"/>
      <c r="CH162" s="764"/>
      <c r="CI162" s="764"/>
      <c r="CJ162" s="764"/>
      <c r="CK162" s="764"/>
      <c r="CL162" s="764"/>
      <c r="CM162" s="764"/>
      <c r="CN162" s="764"/>
      <c r="CO162" s="765"/>
      <c r="CP162" s="764"/>
      <c r="CQ162" s="764"/>
      <c r="CR162" s="764"/>
      <c r="CS162" s="764"/>
      <c r="CT162" s="764"/>
      <c r="CU162" s="764"/>
      <c r="CV162" s="765"/>
      <c r="CW162" s="766"/>
      <c r="CX162" s="764"/>
      <c r="CY162" s="764"/>
      <c r="CZ162" s="312"/>
      <c r="DA162" s="312"/>
      <c r="DB162" s="312"/>
      <c r="DC162" s="312"/>
      <c r="DD162" s="312"/>
      <c r="DE162" s="312"/>
      <c r="DF162" s="312"/>
      <c r="DG162" s="312"/>
      <c r="DH162" s="312"/>
      <c r="DI162" s="312"/>
      <c r="DJ162" s="312"/>
      <c r="DK162" s="312"/>
      <c r="DL162" s="405"/>
      <c r="DM162" s="764"/>
      <c r="DN162" s="764"/>
      <c r="DO162" s="764"/>
      <c r="DP162" s="764"/>
      <c r="DQ162" s="764"/>
      <c r="DR162" s="764"/>
      <c r="DS162" s="764"/>
      <c r="DT162" s="764"/>
      <c r="DU162" s="765"/>
      <c r="DV162" s="764"/>
      <c r="DW162" s="764"/>
      <c r="DX162" s="764"/>
      <c r="DY162" s="764"/>
      <c r="DZ162" s="764"/>
      <c r="EA162" s="764"/>
      <c r="EB162" s="765"/>
      <c r="EC162" s="766"/>
      <c r="ED162" s="764"/>
      <c r="EE162" s="764"/>
      <c r="EF162" s="312"/>
      <c r="EG162" s="312"/>
      <c r="EH162" s="312"/>
      <c r="EI162" s="312"/>
      <c r="EJ162" s="312"/>
      <c r="EK162" s="312"/>
      <c r="EL162" s="312"/>
      <c r="EM162" s="312"/>
      <c r="EN162" s="312"/>
      <c r="EO162" s="312"/>
      <c r="EP162" s="312"/>
      <c r="EQ162" s="312"/>
      <c r="ER162" s="405"/>
      <c r="ES162" s="764"/>
      <c r="ET162" s="764"/>
      <c r="EU162" s="764"/>
      <c r="EV162" s="764"/>
      <c r="EW162" s="764"/>
      <c r="EX162" s="764"/>
      <c r="EY162" s="764"/>
      <c r="EZ162" s="764"/>
      <c r="FA162" s="765"/>
      <c r="FB162" s="764"/>
      <c r="FC162" s="764"/>
      <c r="FD162" s="764"/>
      <c r="FE162" s="764"/>
      <c r="FF162" s="764"/>
      <c r="FG162" s="764"/>
      <c r="FH162" s="765"/>
      <c r="FI162" s="766"/>
      <c r="FJ162" s="764"/>
      <c r="FK162" s="764"/>
      <c r="FL162" s="312"/>
      <c r="FM162" s="312"/>
      <c r="FN162" s="312"/>
      <c r="FO162" s="312"/>
      <c r="FP162" s="312"/>
      <c r="FQ162" s="312"/>
      <c r="FR162" s="312"/>
      <c r="FS162" s="312"/>
      <c r="FT162" s="312"/>
      <c r="FU162" s="312"/>
      <c r="FV162" s="312"/>
      <c r="FW162" s="312"/>
      <c r="FX162" s="405"/>
      <c r="FY162" s="764"/>
      <c r="FZ162" s="764"/>
      <c r="GA162" s="764"/>
      <c r="GB162" s="764"/>
      <c r="GC162" s="764"/>
      <c r="GD162" s="764"/>
      <c r="GE162" s="764"/>
      <c r="GF162" s="764"/>
      <c r="GG162" s="765"/>
      <c r="GH162" s="764"/>
      <c r="GI162" s="764"/>
      <c r="GJ162" s="764"/>
      <c r="GK162" s="764"/>
      <c r="GL162" s="764"/>
      <c r="GM162" s="764"/>
      <c r="GN162" s="765"/>
      <c r="GO162" s="766"/>
      <c r="GP162" s="764"/>
      <c r="GQ162" s="764"/>
      <c r="GR162" s="312"/>
      <c r="GS162" s="312"/>
      <c r="GT162" s="312"/>
      <c r="GU162" s="312"/>
      <c r="GV162" s="312"/>
      <c r="GW162" s="312"/>
      <c r="GX162" s="312"/>
      <c r="GY162" s="312"/>
      <c r="GZ162" s="312"/>
      <c r="HA162" s="312"/>
      <c r="HB162" s="312"/>
      <c r="HC162" s="312"/>
      <c r="HD162" s="405"/>
      <c r="HE162" s="1687"/>
      <c r="HF162" s="764"/>
      <c r="HG162" s="764"/>
      <c r="HH162" s="764"/>
      <c r="HI162" s="764"/>
      <c r="HJ162" s="764"/>
      <c r="HK162" s="764"/>
      <c r="HL162" s="764"/>
      <c r="HM162" s="765"/>
      <c r="HN162" s="764"/>
      <c r="HO162" s="764"/>
      <c r="HP162" s="764"/>
      <c r="HQ162" s="764"/>
      <c r="HR162" s="764"/>
      <c r="HS162" s="764"/>
      <c r="HT162" s="765"/>
      <c r="HU162" s="766"/>
    </row>
    <row r="163" spans="1:229" ht="18" customHeight="1" x14ac:dyDescent="0.2">
      <c r="A163" s="3669" t="s">
        <v>401</v>
      </c>
      <c r="B163" s="3670"/>
      <c r="C163" s="624">
        <v>1</v>
      </c>
      <c r="D163" s="767" t="s">
        <v>466</v>
      </c>
      <c r="E163" s="1729">
        <f>SUM(E164:E167)</f>
        <v>4</v>
      </c>
      <c r="F163" s="1334">
        <f>SUM(F164:F167)</f>
        <v>503.55000000000007</v>
      </c>
      <c r="G163" s="1335">
        <f t="shared" ref="G163:G175" si="811">F163/E163</f>
        <v>125.88750000000002</v>
      </c>
      <c r="H163" s="1336">
        <f>SUM(H164:H167)</f>
        <v>0</v>
      </c>
      <c r="I163" s="1334">
        <f>SUM(I164:I167)</f>
        <v>0</v>
      </c>
      <c r="J163" s="486">
        <v>0</v>
      </c>
      <c r="K163" s="1336">
        <f>SUM(K164:K167)</f>
        <v>0</v>
      </c>
      <c r="L163" s="1334">
        <f>SUM(L164:L167)</f>
        <v>0</v>
      </c>
      <c r="M163" s="486">
        <v>0</v>
      </c>
      <c r="N163" s="625">
        <f>F163+I163+L163</f>
        <v>503.55000000000007</v>
      </c>
      <c r="O163" s="1355" t="s">
        <v>335</v>
      </c>
      <c r="P163" s="1356" t="s">
        <v>335</v>
      </c>
      <c r="Q163" s="1356" t="s">
        <v>335</v>
      </c>
      <c r="R163" s="486">
        <f t="shared" ref="R163:AB163" si="812">SUM(R164:R167)</f>
        <v>777373.25</v>
      </c>
      <c r="S163" s="1337">
        <f t="shared" si="812"/>
        <v>777373.25</v>
      </c>
      <c r="T163" s="1338">
        <f t="shared" si="812"/>
        <v>777373.25</v>
      </c>
      <c r="U163" s="489">
        <f t="shared" si="812"/>
        <v>411968.02999999997</v>
      </c>
      <c r="V163" s="800">
        <f t="shared" si="812"/>
        <v>411968.03</v>
      </c>
      <c r="W163" s="491">
        <f t="shared" si="812"/>
        <v>432807.88</v>
      </c>
      <c r="X163" s="491">
        <f t="shared" si="812"/>
        <v>411968.03</v>
      </c>
      <c r="Y163" s="491">
        <f t="shared" si="812"/>
        <v>0</v>
      </c>
      <c r="Z163" s="491">
        <f t="shared" si="812"/>
        <v>0</v>
      </c>
      <c r="AA163" s="491">
        <f t="shared" si="812"/>
        <v>432807.88</v>
      </c>
      <c r="AB163" s="491">
        <f t="shared" si="812"/>
        <v>411968.03</v>
      </c>
      <c r="AC163" s="492">
        <f t="shared" ref="AC163:AC174" si="813">AB163/R163</f>
        <v>0.52994881159082852</v>
      </c>
      <c r="AD163" s="489">
        <f t="shared" ref="AD163:AI163" si="814">SUM(AD164:AD167)</f>
        <v>0</v>
      </c>
      <c r="AE163" s="489">
        <f t="shared" si="814"/>
        <v>0</v>
      </c>
      <c r="AF163" s="489">
        <f t="shared" si="814"/>
        <v>339199.97000000003</v>
      </c>
      <c r="AG163" s="489">
        <f t="shared" si="814"/>
        <v>411968.03</v>
      </c>
      <c r="AH163" s="489">
        <f t="shared" si="814"/>
        <v>339199.97000000003</v>
      </c>
      <c r="AI163" s="489">
        <f t="shared" si="814"/>
        <v>411968.03</v>
      </c>
      <c r="AJ163" s="494">
        <f t="shared" ref="AJ163:AJ174" si="815">AI163/S163</f>
        <v>0.52994881159082852</v>
      </c>
      <c r="AK163" s="495">
        <f t="shared" ref="AK163:AK174" si="816">U163/T163</f>
        <v>0.52994881159082841</v>
      </c>
      <c r="AL163" s="627">
        <f t="shared" ref="AL163:BH163" si="817">SUM(AL164:AL167)</f>
        <v>36141.899999999994</v>
      </c>
      <c r="AM163" s="88">
        <f t="shared" si="817"/>
        <v>6175.88</v>
      </c>
      <c r="AN163" s="497">
        <f t="shared" si="817"/>
        <v>6175.88</v>
      </c>
      <c r="AO163" s="1339">
        <f t="shared" si="817"/>
        <v>36141.899999999994</v>
      </c>
      <c r="AP163" s="768">
        <f t="shared" si="817"/>
        <v>6175.88</v>
      </c>
      <c r="AQ163" s="768">
        <f t="shared" si="817"/>
        <v>0</v>
      </c>
      <c r="AR163" s="768">
        <f t="shared" si="817"/>
        <v>0</v>
      </c>
      <c r="AS163" s="768">
        <f t="shared" si="817"/>
        <v>36141.899999999994</v>
      </c>
      <c r="AT163" s="1340">
        <f t="shared" si="817"/>
        <v>6175.88</v>
      </c>
      <c r="AU163" s="496">
        <f t="shared" si="817"/>
        <v>0</v>
      </c>
      <c r="AV163" s="88">
        <f t="shared" si="817"/>
        <v>0</v>
      </c>
      <c r="AW163" s="88">
        <f t="shared" si="817"/>
        <v>36141.899999999994</v>
      </c>
      <c r="AX163" s="88">
        <f t="shared" si="817"/>
        <v>6175.88</v>
      </c>
      <c r="AY163" s="88">
        <f t="shared" si="817"/>
        <v>36141.899999999994</v>
      </c>
      <c r="AZ163" s="1341">
        <f t="shared" si="817"/>
        <v>6175.88</v>
      </c>
      <c r="BA163" s="504">
        <f t="shared" si="817"/>
        <v>418143.91</v>
      </c>
      <c r="BB163" s="505">
        <f t="shared" si="817"/>
        <v>418143.91000000003</v>
      </c>
      <c r="BC163" s="491">
        <f t="shared" si="817"/>
        <v>468949.77999999997</v>
      </c>
      <c r="BD163" s="506">
        <f t="shared" si="817"/>
        <v>418143.91000000003</v>
      </c>
      <c r="BE163" s="506">
        <f t="shared" si="817"/>
        <v>0</v>
      </c>
      <c r="BF163" s="506">
        <f t="shared" si="817"/>
        <v>0</v>
      </c>
      <c r="BG163" s="506">
        <f t="shared" si="817"/>
        <v>468949.77999999997</v>
      </c>
      <c r="BH163" s="506">
        <f t="shared" si="817"/>
        <v>418143.91000000003</v>
      </c>
      <c r="BI163" s="492">
        <f>BH163/R163</f>
        <v>0.53789336075045036</v>
      </c>
      <c r="BJ163" s="504">
        <f t="shared" ref="BJ163:BO163" si="818">SUM(BJ164:BJ167)</f>
        <v>0</v>
      </c>
      <c r="BK163" s="508">
        <f t="shared" si="818"/>
        <v>0</v>
      </c>
      <c r="BL163" s="508">
        <f t="shared" si="818"/>
        <v>375341.87</v>
      </c>
      <c r="BM163" s="508">
        <f t="shared" si="818"/>
        <v>418143.91000000003</v>
      </c>
      <c r="BN163" s="508">
        <f t="shared" si="818"/>
        <v>375341.87</v>
      </c>
      <c r="BO163" s="508">
        <f t="shared" si="818"/>
        <v>418143.91000000003</v>
      </c>
      <c r="BP163" s="509">
        <f>BO163/S163</f>
        <v>0.53789336075045036</v>
      </c>
      <c r="BQ163" s="1271">
        <f>BA163/T163</f>
        <v>0.53789336075045024</v>
      </c>
      <c r="BR163" s="627">
        <f t="shared" ref="BR163:CN163" si="819">SUM(BR164:BR167)</f>
        <v>0</v>
      </c>
      <c r="BS163" s="88">
        <f t="shared" si="819"/>
        <v>0</v>
      </c>
      <c r="BT163" s="497">
        <f t="shared" si="819"/>
        <v>0</v>
      </c>
      <c r="BU163" s="1339">
        <f t="shared" si="819"/>
        <v>0</v>
      </c>
      <c r="BV163" s="768">
        <f t="shared" si="819"/>
        <v>0</v>
      </c>
      <c r="BW163" s="768">
        <f t="shared" si="819"/>
        <v>0</v>
      </c>
      <c r="BX163" s="768">
        <f t="shared" si="819"/>
        <v>0</v>
      </c>
      <c r="BY163" s="768">
        <f t="shared" si="819"/>
        <v>0</v>
      </c>
      <c r="BZ163" s="1340">
        <f t="shared" si="819"/>
        <v>0</v>
      </c>
      <c r="CA163" s="496">
        <f t="shared" si="819"/>
        <v>0</v>
      </c>
      <c r="CB163" s="88">
        <f t="shared" si="819"/>
        <v>0</v>
      </c>
      <c r="CC163" s="88">
        <f t="shared" si="819"/>
        <v>0</v>
      </c>
      <c r="CD163" s="88">
        <f t="shared" si="819"/>
        <v>0</v>
      </c>
      <c r="CE163" s="88">
        <f t="shared" si="819"/>
        <v>0</v>
      </c>
      <c r="CF163" s="1341">
        <f t="shared" si="819"/>
        <v>0</v>
      </c>
      <c r="CG163" s="504">
        <f t="shared" si="819"/>
        <v>418143.91</v>
      </c>
      <c r="CH163" s="505">
        <f t="shared" si="819"/>
        <v>418143.91000000003</v>
      </c>
      <c r="CI163" s="491">
        <f t="shared" si="819"/>
        <v>468949.77999999997</v>
      </c>
      <c r="CJ163" s="506">
        <f t="shared" si="819"/>
        <v>418143.91000000003</v>
      </c>
      <c r="CK163" s="506">
        <f t="shared" si="819"/>
        <v>0</v>
      </c>
      <c r="CL163" s="506">
        <f t="shared" si="819"/>
        <v>0</v>
      </c>
      <c r="CM163" s="506">
        <f t="shared" si="819"/>
        <v>468949.77999999997</v>
      </c>
      <c r="CN163" s="506">
        <f t="shared" si="819"/>
        <v>418143.91000000003</v>
      </c>
      <c r="CO163" s="492">
        <f t="shared" ref="CO163:CO172" si="820">CN163/R163</f>
        <v>0.53789336075045036</v>
      </c>
      <c r="CP163" s="504">
        <f t="shared" ref="CP163:CU163" si="821">SUM(CP164:CP167)</f>
        <v>0</v>
      </c>
      <c r="CQ163" s="508">
        <f t="shared" si="821"/>
        <v>0</v>
      </c>
      <c r="CR163" s="508">
        <f t="shared" si="821"/>
        <v>375341.87</v>
      </c>
      <c r="CS163" s="508">
        <f t="shared" si="821"/>
        <v>418143.91000000003</v>
      </c>
      <c r="CT163" s="508">
        <f t="shared" si="821"/>
        <v>375341.87</v>
      </c>
      <c r="CU163" s="508">
        <f t="shared" si="821"/>
        <v>418143.91000000003</v>
      </c>
      <c r="CV163" s="509">
        <f t="shared" ref="CV163:CV190" si="822">CU163/S163</f>
        <v>0.53789336075045036</v>
      </c>
      <c r="CW163" s="1271">
        <f t="shared" ref="CW163:CW190" si="823">CG163/T163</f>
        <v>0.53789336075045024</v>
      </c>
      <c r="CX163" s="627">
        <f t="shared" ref="CX163:DT163" si="824">SUM(CX164:CX167)</f>
        <v>0</v>
      </c>
      <c r="CY163" s="88">
        <f t="shared" si="824"/>
        <v>20752.830000000002</v>
      </c>
      <c r="CZ163" s="497">
        <f t="shared" si="824"/>
        <v>20752.830000000002</v>
      </c>
      <c r="DA163" s="1339">
        <f t="shared" si="824"/>
        <v>0</v>
      </c>
      <c r="DB163" s="768">
        <f t="shared" si="824"/>
        <v>20752.830000000002</v>
      </c>
      <c r="DC163" s="768">
        <f t="shared" si="824"/>
        <v>0</v>
      </c>
      <c r="DD163" s="768">
        <f t="shared" si="824"/>
        <v>0</v>
      </c>
      <c r="DE163" s="768">
        <f t="shared" si="824"/>
        <v>0</v>
      </c>
      <c r="DF163" s="1340">
        <f t="shared" si="824"/>
        <v>20752.830000000002</v>
      </c>
      <c r="DG163" s="496">
        <f t="shared" si="824"/>
        <v>0</v>
      </c>
      <c r="DH163" s="88">
        <f t="shared" si="824"/>
        <v>0</v>
      </c>
      <c r="DI163" s="88">
        <f t="shared" si="824"/>
        <v>0</v>
      </c>
      <c r="DJ163" s="88">
        <f t="shared" si="824"/>
        <v>20752.830000000002</v>
      </c>
      <c r="DK163" s="88">
        <f t="shared" si="824"/>
        <v>0</v>
      </c>
      <c r="DL163" s="1341">
        <f t="shared" si="824"/>
        <v>20752.830000000002</v>
      </c>
      <c r="DM163" s="504">
        <f t="shared" si="824"/>
        <v>438896.74</v>
      </c>
      <c r="DN163" s="505">
        <f t="shared" si="824"/>
        <v>438896.74000000005</v>
      </c>
      <c r="DO163" s="491">
        <f t="shared" si="824"/>
        <v>468949.77999999997</v>
      </c>
      <c r="DP163" s="506">
        <f t="shared" si="824"/>
        <v>438896.74000000005</v>
      </c>
      <c r="DQ163" s="506">
        <f t="shared" si="824"/>
        <v>0</v>
      </c>
      <c r="DR163" s="506">
        <f t="shared" si="824"/>
        <v>0</v>
      </c>
      <c r="DS163" s="506">
        <f t="shared" si="824"/>
        <v>468949.77999999997</v>
      </c>
      <c r="DT163" s="506">
        <f t="shared" si="824"/>
        <v>438896.74000000005</v>
      </c>
      <c r="DU163" s="492">
        <f t="shared" ref="DU163:DU174" si="825">DT163/R163</f>
        <v>0.56458945558005769</v>
      </c>
      <c r="DV163" s="504">
        <f t="shared" ref="DV163:EA163" si="826">SUM(DV164:DV167)</f>
        <v>0</v>
      </c>
      <c r="DW163" s="508">
        <f t="shared" si="826"/>
        <v>0</v>
      </c>
      <c r="DX163" s="508">
        <f t="shared" si="826"/>
        <v>375341.87</v>
      </c>
      <c r="DY163" s="508">
        <f t="shared" si="826"/>
        <v>438896.74000000005</v>
      </c>
      <c r="DZ163" s="508">
        <f t="shared" si="826"/>
        <v>375341.87</v>
      </c>
      <c r="EA163" s="508">
        <f t="shared" si="826"/>
        <v>438896.74000000005</v>
      </c>
      <c r="EB163" s="509">
        <f t="shared" ref="EB163:EB174" si="827">EA163/S163</f>
        <v>0.56458945558005769</v>
      </c>
      <c r="EC163" s="1486">
        <f>DM163/T163</f>
        <v>0.56458945558005758</v>
      </c>
      <c r="ED163" s="1492">
        <f t="shared" ref="ED163:EP163" si="828">SUM(ED164:ED167)</f>
        <v>0</v>
      </c>
      <c r="EE163" s="627">
        <f t="shared" si="828"/>
        <v>0</v>
      </c>
      <c r="EF163" s="1493">
        <f t="shared" si="828"/>
        <v>0</v>
      </c>
      <c r="EG163" s="1339">
        <f t="shared" si="828"/>
        <v>0</v>
      </c>
      <c r="EH163" s="1339">
        <f t="shared" si="828"/>
        <v>0</v>
      </c>
      <c r="EI163" s="1339">
        <f t="shared" si="828"/>
        <v>0</v>
      </c>
      <c r="EJ163" s="1339">
        <f t="shared" si="828"/>
        <v>0</v>
      </c>
      <c r="EK163" s="768">
        <f t="shared" si="828"/>
        <v>0</v>
      </c>
      <c r="EL163" s="1340">
        <f t="shared" si="828"/>
        <v>0</v>
      </c>
      <c r="EM163" s="496">
        <f t="shared" si="828"/>
        <v>0</v>
      </c>
      <c r="EN163" s="496">
        <f t="shared" si="828"/>
        <v>0</v>
      </c>
      <c r="EO163" s="496">
        <f t="shared" si="828"/>
        <v>0</v>
      </c>
      <c r="EP163" s="496">
        <f t="shared" si="828"/>
        <v>0</v>
      </c>
      <c r="EQ163" s="88">
        <f>EM163+EO163</f>
        <v>0</v>
      </c>
      <c r="ER163" s="1341">
        <f>EN163+EP163</f>
        <v>0</v>
      </c>
      <c r="ES163" s="504">
        <f t="shared" ref="ES163:ET167" si="829">DM163+EE163</f>
        <v>438896.74</v>
      </c>
      <c r="ET163" s="1367">
        <f t="shared" si="829"/>
        <v>438896.74000000005</v>
      </c>
      <c r="EU163" s="490">
        <f>EG163+DO163</f>
        <v>468949.77999999997</v>
      </c>
      <c r="EV163" s="506">
        <f t="shared" ref="EV163:EZ177" si="830">EH163+DP163</f>
        <v>438896.74000000005</v>
      </c>
      <c r="EW163" s="506">
        <f t="shared" si="830"/>
        <v>0</v>
      </c>
      <c r="EX163" s="506">
        <f t="shared" si="830"/>
        <v>0</v>
      </c>
      <c r="EY163" s="506">
        <f t="shared" si="830"/>
        <v>468949.77999999997</v>
      </c>
      <c r="EZ163" s="506">
        <f t="shared" si="830"/>
        <v>438896.74000000005</v>
      </c>
      <c r="FA163" s="492">
        <f t="shared" ref="FA163:FA172" si="831">EZ163/R163</f>
        <v>0.56458945558005769</v>
      </c>
      <c r="FB163" s="507">
        <f t="shared" ref="FB163:FB176" si="832">DV163+EM163</f>
        <v>0</v>
      </c>
      <c r="FC163" s="508">
        <f t="shared" ref="FC163:FG176" si="833">DW163+EN163</f>
        <v>0</v>
      </c>
      <c r="FD163" s="508">
        <f t="shared" si="833"/>
        <v>375341.87</v>
      </c>
      <c r="FE163" s="508">
        <f t="shared" si="833"/>
        <v>438896.74000000005</v>
      </c>
      <c r="FF163" s="508">
        <f t="shared" si="833"/>
        <v>375341.87</v>
      </c>
      <c r="FG163" s="508">
        <f t="shared" si="833"/>
        <v>438896.74000000005</v>
      </c>
      <c r="FH163" s="509">
        <f>FG163/S163</f>
        <v>0.56458945558005769</v>
      </c>
      <c r="FI163" s="1271">
        <f>ES163/T163</f>
        <v>0.56458945558005758</v>
      </c>
      <c r="FJ163" s="1492">
        <f t="shared" ref="FJ163:FV163" si="834">SUM(FJ164:FJ167)</f>
        <v>0</v>
      </c>
      <c r="FK163" s="627">
        <f t="shared" si="834"/>
        <v>7400.24</v>
      </c>
      <c r="FL163" s="1493">
        <f t="shared" si="834"/>
        <v>7400.24</v>
      </c>
      <c r="FM163" s="1339">
        <f t="shared" si="834"/>
        <v>0</v>
      </c>
      <c r="FN163" s="1339">
        <f t="shared" si="834"/>
        <v>7400.24</v>
      </c>
      <c r="FO163" s="1339">
        <f t="shared" si="834"/>
        <v>0</v>
      </c>
      <c r="FP163" s="1339">
        <f t="shared" si="834"/>
        <v>0</v>
      </c>
      <c r="FQ163" s="768">
        <f t="shared" si="834"/>
        <v>0</v>
      </c>
      <c r="FR163" s="1340">
        <f t="shared" si="834"/>
        <v>7400.24</v>
      </c>
      <c r="FS163" s="496">
        <f t="shared" si="834"/>
        <v>0</v>
      </c>
      <c r="FT163" s="496">
        <f t="shared" si="834"/>
        <v>0</v>
      </c>
      <c r="FU163" s="496">
        <f t="shared" si="834"/>
        <v>0</v>
      </c>
      <c r="FV163" s="496">
        <f t="shared" si="834"/>
        <v>7400.24</v>
      </c>
      <c r="FW163" s="88">
        <f>FS163+FU163</f>
        <v>0</v>
      </c>
      <c r="FX163" s="1341">
        <f>FT163+FV163</f>
        <v>7400.24</v>
      </c>
      <c r="FY163" s="504">
        <f t="shared" ref="FY163:GF163" si="835">SUM(FY164:FY167)</f>
        <v>446296.98</v>
      </c>
      <c r="FZ163" s="1367">
        <f t="shared" si="835"/>
        <v>446296.98000000004</v>
      </c>
      <c r="GA163" s="490">
        <f t="shared" si="835"/>
        <v>468949.77999999997</v>
      </c>
      <c r="GB163" s="506">
        <f t="shared" si="835"/>
        <v>446296.98000000004</v>
      </c>
      <c r="GC163" s="506">
        <f t="shared" si="835"/>
        <v>0</v>
      </c>
      <c r="GD163" s="506">
        <f t="shared" si="835"/>
        <v>0</v>
      </c>
      <c r="GE163" s="506">
        <f t="shared" si="835"/>
        <v>468949.77999999997</v>
      </c>
      <c r="GF163" s="506">
        <f t="shared" si="835"/>
        <v>446296.98000000004</v>
      </c>
      <c r="GG163" s="492">
        <f t="shared" ref="GG163:GG174" si="836">GF163/R163</f>
        <v>0.57410900104936724</v>
      </c>
      <c r="GH163" s="507">
        <f t="shared" ref="GH163:GM163" si="837">SUM(GH164:GH167)</f>
        <v>0</v>
      </c>
      <c r="GI163" s="508">
        <f t="shared" si="837"/>
        <v>0</v>
      </c>
      <c r="GJ163" s="508">
        <f t="shared" si="837"/>
        <v>375341.87</v>
      </c>
      <c r="GK163" s="508">
        <f t="shared" si="837"/>
        <v>446296.98000000004</v>
      </c>
      <c r="GL163" s="508">
        <f t="shared" si="837"/>
        <v>375341.87</v>
      </c>
      <c r="GM163" s="508">
        <f t="shared" si="837"/>
        <v>446296.98000000004</v>
      </c>
      <c r="GN163" s="509">
        <f>GM163/S163</f>
        <v>0.57410900104936724</v>
      </c>
      <c r="GO163" s="510">
        <f>FY163/T163</f>
        <v>0.57410900104936724</v>
      </c>
      <c r="GP163" s="1492">
        <f t="shared" ref="GP163:HB163" si="838">SUM(GP164:GP167)</f>
        <v>0</v>
      </c>
      <c r="GQ163" s="627">
        <f t="shared" si="838"/>
        <v>0</v>
      </c>
      <c r="GR163" s="1493">
        <f t="shared" si="838"/>
        <v>0</v>
      </c>
      <c r="GS163" s="1339">
        <f t="shared" si="838"/>
        <v>0</v>
      </c>
      <c r="GT163" s="1339">
        <f t="shared" si="838"/>
        <v>0</v>
      </c>
      <c r="GU163" s="1339">
        <f t="shared" si="838"/>
        <v>0</v>
      </c>
      <c r="GV163" s="1339">
        <f t="shared" si="838"/>
        <v>0</v>
      </c>
      <c r="GW163" s="768">
        <f t="shared" si="838"/>
        <v>0</v>
      </c>
      <c r="GX163" s="1340">
        <f t="shared" si="838"/>
        <v>0</v>
      </c>
      <c r="GY163" s="496">
        <f t="shared" si="838"/>
        <v>0</v>
      </c>
      <c r="GZ163" s="496">
        <f t="shared" si="838"/>
        <v>0</v>
      </c>
      <c r="HA163" s="496">
        <f t="shared" si="838"/>
        <v>0</v>
      </c>
      <c r="HB163" s="496">
        <f t="shared" si="838"/>
        <v>0</v>
      </c>
      <c r="HC163" s="88">
        <f>GY163+HA163</f>
        <v>0</v>
      </c>
      <c r="HD163" s="1341">
        <f>GZ163+HB163</f>
        <v>0</v>
      </c>
      <c r="HE163" s="1688">
        <f t="shared" ref="HE163:HL163" si="839">SUM(HE164:HE167)</f>
        <v>446296.98</v>
      </c>
      <c r="HF163" s="1367">
        <f t="shared" si="839"/>
        <v>446296.98000000004</v>
      </c>
      <c r="HG163" s="490">
        <f t="shared" si="839"/>
        <v>468949.77999999997</v>
      </c>
      <c r="HH163" s="506">
        <f t="shared" si="839"/>
        <v>446296.98000000004</v>
      </c>
      <c r="HI163" s="506">
        <f t="shared" si="839"/>
        <v>0</v>
      </c>
      <c r="HJ163" s="506">
        <f t="shared" si="839"/>
        <v>0</v>
      </c>
      <c r="HK163" s="506">
        <f t="shared" si="839"/>
        <v>468949.77999999997</v>
      </c>
      <c r="HL163" s="506">
        <f t="shared" si="839"/>
        <v>446296.98000000004</v>
      </c>
      <c r="HM163" s="492">
        <f t="shared" ref="HM163:HM174" si="840">HL163/R163</f>
        <v>0.57410900104936724</v>
      </c>
      <c r="HN163" s="507">
        <f t="shared" ref="HN163:HS163" si="841">SUM(HN164:HN167)</f>
        <v>0</v>
      </c>
      <c r="HO163" s="508">
        <f t="shared" si="841"/>
        <v>0</v>
      </c>
      <c r="HP163" s="508">
        <f t="shared" si="841"/>
        <v>375341.87</v>
      </c>
      <c r="HQ163" s="508">
        <f t="shared" si="841"/>
        <v>446296.98000000004</v>
      </c>
      <c r="HR163" s="508">
        <f t="shared" si="841"/>
        <v>375341.87</v>
      </c>
      <c r="HS163" s="508">
        <f t="shared" si="841"/>
        <v>446296.98000000004</v>
      </c>
      <c r="HT163" s="509">
        <f t="shared" ref="HT163:HT174" si="842">HS163/S163</f>
        <v>0.57410900104936724</v>
      </c>
      <c r="HU163" s="510">
        <f>HE163/T163</f>
        <v>0.57410900104936724</v>
      </c>
    </row>
    <row r="164" spans="1:229" s="1200" customFormat="1" ht="18" hidden="1" customHeight="1" outlineLevel="1" x14ac:dyDescent="0.2">
      <c r="A164" s="3671"/>
      <c r="B164" s="3672"/>
      <c r="C164" s="1182">
        <v>1</v>
      </c>
      <c r="D164" s="1516" t="s">
        <v>342</v>
      </c>
      <c r="E164" s="1183">
        <v>1</v>
      </c>
      <c r="F164" s="1184">
        <v>176.9</v>
      </c>
      <c r="G164" s="1185">
        <f t="shared" si="811"/>
        <v>176.9</v>
      </c>
      <c r="H164" s="1186">
        <v>0</v>
      </c>
      <c r="I164" s="1184">
        <v>0</v>
      </c>
      <c r="J164" s="1184">
        <v>0</v>
      </c>
      <c r="K164" s="1186">
        <v>0</v>
      </c>
      <c r="L164" s="1184">
        <v>0</v>
      </c>
      <c r="M164" s="1184">
        <v>0</v>
      </c>
      <c r="N164" s="1187">
        <f>F164+I164+L164</f>
        <v>176.9</v>
      </c>
      <c r="O164" s="1357" t="s">
        <v>335</v>
      </c>
      <c r="P164" s="1358" t="s">
        <v>335</v>
      </c>
      <c r="Q164" s="1358" t="s">
        <v>335</v>
      </c>
      <c r="R164" s="1184">
        <v>186740.77</v>
      </c>
      <c r="S164" s="1322">
        <f t="shared" ref="S164:S174" si="843">R164</f>
        <v>186740.77</v>
      </c>
      <c r="T164" s="1188">
        <f>R164</f>
        <v>186740.77</v>
      </c>
      <c r="U164" s="1189">
        <v>180554.88999999998</v>
      </c>
      <c r="V164" s="1189">
        <v>180554.88999999998</v>
      </c>
      <c r="W164" s="1190">
        <f>42685.5*4</f>
        <v>170742</v>
      </c>
      <c r="X164" s="1191">
        <v>180554.88999999998</v>
      </c>
      <c r="Y164" s="1191">
        <v>0</v>
      </c>
      <c r="Z164" s="1191">
        <v>0</v>
      </c>
      <c r="AA164" s="1323">
        <f t="shared" ref="AA164:AB167" si="844">W164+Y164</f>
        <v>170742</v>
      </c>
      <c r="AB164" s="1191">
        <f t="shared" si="844"/>
        <v>180554.88999999998</v>
      </c>
      <c r="AC164" s="1324">
        <f t="shared" si="813"/>
        <v>0.96687450737190384</v>
      </c>
      <c r="AD164" s="1189">
        <v>0</v>
      </c>
      <c r="AE164" s="1189">
        <v>0</v>
      </c>
      <c r="AF164" s="1233">
        <f>42685.5*3</f>
        <v>128056.5</v>
      </c>
      <c r="AG164" s="1189">
        <f>126740.81+11981.01+28700.04+13133.03</f>
        <v>180554.89</v>
      </c>
      <c r="AH164" s="1192">
        <f t="shared" ref="AH164:AI167" si="845">AD164+AF164</f>
        <v>128056.5</v>
      </c>
      <c r="AI164" s="1189">
        <f t="shared" si="845"/>
        <v>180554.89</v>
      </c>
      <c r="AJ164" s="1193">
        <f t="shared" si="815"/>
        <v>0.96687450737190395</v>
      </c>
      <c r="AK164" s="1194">
        <f t="shared" si="816"/>
        <v>0.96687450737190384</v>
      </c>
      <c r="AL164" s="1317">
        <v>12047.3</v>
      </c>
      <c r="AM164" s="1196">
        <f>AP164</f>
        <v>6175.88</v>
      </c>
      <c r="AN164" s="1197">
        <f>AX164</f>
        <v>6175.88</v>
      </c>
      <c r="AO164" s="1325">
        <v>12047.3</v>
      </c>
      <c r="AP164" s="1326">
        <v>6175.88</v>
      </c>
      <c r="AQ164" s="1326"/>
      <c r="AR164" s="1326"/>
      <c r="AS164" s="1326">
        <f>AO164+AQ164</f>
        <v>12047.3</v>
      </c>
      <c r="AT164" s="1327">
        <f>AR164+AP164</f>
        <v>6175.88</v>
      </c>
      <c r="AU164" s="1328"/>
      <c r="AV164" s="1196"/>
      <c r="AW164" s="1196">
        <f t="shared" ref="AW164:AX166" si="846">AO164</f>
        <v>12047.3</v>
      </c>
      <c r="AX164" s="1196">
        <f t="shared" si="846"/>
        <v>6175.88</v>
      </c>
      <c r="AY164" s="1196">
        <f>AU164+AW164</f>
        <v>12047.3</v>
      </c>
      <c r="AZ164" s="1320">
        <f>AX164+AV164</f>
        <v>6175.88</v>
      </c>
      <c r="BA164" s="1329">
        <f t="shared" ref="BA164:BH166" si="847">U164+AM164</f>
        <v>186730.77</v>
      </c>
      <c r="BB164" s="1330">
        <f t="shared" si="847"/>
        <v>186730.77</v>
      </c>
      <c r="BC164" s="1190">
        <f t="shared" si="847"/>
        <v>182789.3</v>
      </c>
      <c r="BD164" s="1323">
        <f t="shared" si="847"/>
        <v>186730.77</v>
      </c>
      <c r="BE164" s="1323">
        <f t="shared" si="847"/>
        <v>0</v>
      </c>
      <c r="BF164" s="1323">
        <f t="shared" si="847"/>
        <v>0</v>
      </c>
      <c r="BG164" s="1323">
        <f t="shared" si="847"/>
        <v>182789.3</v>
      </c>
      <c r="BH164" s="1323">
        <f t="shared" si="847"/>
        <v>186730.77</v>
      </c>
      <c r="BI164" s="1324">
        <f t="shared" ref="BI164:BI172" si="848">BH164/R164</f>
        <v>0.99994644982988989</v>
      </c>
      <c r="BJ164" s="1329">
        <f t="shared" ref="BJ164:BO166" si="849">AD164+AU164</f>
        <v>0</v>
      </c>
      <c r="BK164" s="1331">
        <f t="shared" si="849"/>
        <v>0</v>
      </c>
      <c r="BL164" s="1331">
        <f t="shared" si="849"/>
        <v>140103.79999999999</v>
      </c>
      <c r="BM164" s="1331">
        <f t="shared" si="849"/>
        <v>186730.77000000002</v>
      </c>
      <c r="BN164" s="1331">
        <f t="shared" si="849"/>
        <v>140103.79999999999</v>
      </c>
      <c r="BO164" s="1331">
        <f t="shared" si="849"/>
        <v>186730.77000000002</v>
      </c>
      <c r="BP164" s="1332">
        <f t="shared" ref="BP164:BP172" si="850">BO164/S164</f>
        <v>0.99994644982989001</v>
      </c>
      <c r="BQ164" s="1333">
        <f>BA164/T164</f>
        <v>0.99994644982988989</v>
      </c>
      <c r="BR164" s="1317"/>
      <c r="BS164" s="1196"/>
      <c r="BT164" s="1197"/>
      <c r="BU164" s="1325"/>
      <c r="BV164" s="1326"/>
      <c r="BW164" s="1326"/>
      <c r="BX164" s="1326"/>
      <c r="BY164" s="1326">
        <f>BU164+BW164</f>
        <v>0</v>
      </c>
      <c r="BZ164" s="1327">
        <f>BX164+BV164</f>
        <v>0</v>
      </c>
      <c r="CA164" s="1328"/>
      <c r="CB164" s="1196"/>
      <c r="CC164" s="1196">
        <f t="shared" ref="CC164:CD166" si="851">BU164</f>
        <v>0</v>
      </c>
      <c r="CD164" s="1196">
        <f t="shared" si="851"/>
        <v>0</v>
      </c>
      <c r="CE164" s="1196">
        <f>CA164+CC164</f>
        <v>0</v>
      </c>
      <c r="CF164" s="1320">
        <f>CD164+CB164</f>
        <v>0</v>
      </c>
      <c r="CG164" s="1263">
        <f t="shared" ref="CG164:CN167" si="852">BA164+BS164</f>
        <v>186730.77</v>
      </c>
      <c r="CH164" s="1259">
        <f t="shared" si="852"/>
        <v>186730.77</v>
      </c>
      <c r="CI164" s="1212">
        <f t="shared" si="852"/>
        <v>182789.3</v>
      </c>
      <c r="CJ164" s="1174">
        <f t="shared" si="852"/>
        <v>186730.77</v>
      </c>
      <c r="CK164" s="1174">
        <f t="shared" si="852"/>
        <v>0</v>
      </c>
      <c r="CL164" s="1174">
        <f t="shared" si="852"/>
        <v>0</v>
      </c>
      <c r="CM164" s="1174">
        <f t="shared" si="852"/>
        <v>182789.3</v>
      </c>
      <c r="CN164" s="1174">
        <f t="shared" si="852"/>
        <v>186730.77</v>
      </c>
      <c r="CO164" s="1260">
        <f t="shared" si="820"/>
        <v>0.99994644982988989</v>
      </c>
      <c r="CP164" s="1264">
        <f t="shared" ref="CP164:CU167" si="853">BJ164+CA164</f>
        <v>0</v>
      </c>
      <c r="CQ164" s="1173">
        <f t="shared" si="853"/>
        <v>0</v>
      </c>
      <c r="CR164" s="1173">
        <f t="shared" si="853"/>
        <v>140103.79999999999</v>
      </c>
      <c r="CS164" s="1173">
        <f t="shared" si="853"/>
        <v>186730.77000000002</v>
      </c>
      <c r="CT164" s="1173">
        <f t="shared" si="853"/>
        <v>140103.79999999999</v>
      </c>
      <c r="CU164" s="1173">
        <f t="shared" si="853"/>
        <v>186730.77000000002</v>
      </c>
      <c r="CV164" s="1265">
        <f t="shared" si="822"/>
        <v>0.99994644982989001</v>
      </c>
      <c r="CW164" s="1261">
        <f t="shared" si="823"/>
        <v>0.99994644982988989</v>
      </c>
      <c r="CX164" s="1317"/>
      <c r="CY164" s="1196"/>
      <c r="CZ164" s="1197"/>
      <c r="DA164" s="1325"/>
      <c r="DB164" s="1326"/>
      <c r="DC164" s="1326"/>
      <c r="DD164" s="1326"/>
      <c r="DE164" s="1326">
        <f>DA164+DC164</f>
        <v>0</v>
      </c>
      <c r="DF164" s="1327">
        <f>DD164+DB164</f>
        <v>0</v>
      </c>
      <c r="DG164" s="1328"/>
      <c r="DH164" s="1196"/>
      <c r="DI164" s="1196">
        <f t="shared" ref="DI164:DJ166" si="854">DA164</f>
        <v>0</v>
      </c>
      <c r="DJ164" s="1196">
        <f t="shared" si="854"/>
        <v>0</v>
      </c>
      <c r="DK164" s="1196">
        <f>DG164+DI164</f>
        <v>0</v>
      </c>
      <c r="DL164" s="1320">
        <f>DJ164+DH164</f>
        <v>0</v>
      </c>
      <c r="DM164" s="1263">
        <f t="shared" ref="DM164:DN167" si="855">CG164+CY164</f>
        <v>186730.77</v>
      </c>
      <c r="DN164" s="1259">
        <f t="shared" si="855"/>
        <v>186730.77</v>
      </c>
      <c r="DO164" s="1212">
        <f t="shared" ref="DO164:DO172" si="856">CI164+DA164</f>
        <v>182789.3</v>
      </c>
      <c r="DP164" s="1174">
        <f t="shared" ref="DP164:DP172" si="857">CJ164+DB164</f>
        <v>186730.77</v>
      </c>
      <c r="DQ164" s="1174">
        <f t="shared" ref="DQ164:DQ172" si="858">CK164+DC164</f>
        <v>0</v>
      </c>
      <c r="DR164" s="1174">
        <f t="shared" ref="DR164:DR172" si="859">CL164+DD164</f>
        <v>0</v>
      </c>
      <c r="DS164" s="1174">
        <f t="shared" ref="DS164:DS172" si="860">CM164+DE164</f>
        <v>182789.3</v>
      </c>
      <c r="DT164" s="1174">
        <f t="shared" ref="DT164:DT172" si="861">CN164+DF164</f>
        <v>186730.77</v>
      </c>
      <c r="DU164" s="1260">
        <f t="shared" si="825"/>
        <v>0.99994644982988989</v>
      </c>
      <c r="DV164" s="1264">
        <f t="shared" ref="DV164:DV172" si="862">CP164+DG164</f>
        <v>0</v>
      </c>
      <c r="DW164" s="1173">
        <f t="shared" ref="DW164:DW172" si="863">CQ164+DH164</f>
        <v>0</v>
      </c>
      <c r="DX164" s="1173">
        <f t="shared" ref="DX164:DX172" si="864">CR164+DI164</f>
        <v>140103.79999999999</v>
      </c>
      <c r="DY164" s="1173">
        <f t="shared" ref="DY164:DY172" si="865">CS164+DJ164</f>
        <v>186730.77000000002</v>
      </c>
      <c r="DZ164" s="1173">
        <f t="shared" ref="DZ164:DZ172" si="866">CT164+DK164</f>
        <v>140103.79999999999</v>
      </c>
      <c r="EA164" s="1173">
        <f t="shared" ref="EA164:EA172" si="867">CU164+DL164</f>
        <v>186730.77000000002</v>
      </c>
      <c r="EB164" s="1265">
        <f t="shared" si="827"/>
        <v>0.99994644982989001</v>
      </c>
      <c r="EC164" s="1487">
        <f>DM164/T164</f>
        <v>0.99994644982988989</v>
      </c>
      <c r="ED164" s="1328"/>
      <c r="EE164" s="1196"/>
      <c r="EF164" s="1197"/>
      <c r="EG164" s="1491"/>
      <c r="EH164" s="1326"/>
      <c r="EI164" s="1326"/>
      <c r="EJ164" s="1326"/>
      <c r="EK164" s="1326">
        <f>EG164+EI164</f>
        <v>0</v>
      </c>
      <c r="EL164" s="1327">
        <f>EJ164+EH164</f>
        <v>0</v>
      </c>
      <c r="EM164" s="1328"/>
      <c r="EN164" s="1196"/>
      <c r="EO164" s="1196"/>
      <c r="EP164" s="1196"/>
      <c r="EQ164" s="1196">
        <f>EM164+EO164</f>
        <v>0</v>
      </c>
      <c r="ER164" s="1320">
        <f>EP164+EN164</f>
        <v>0</v>
      </c>
      <c r="ES164" s="1263">
        <f t="shared" si="829"/>
        <v>186730.77</v>
      </c>
      <c r="ET164" s="1461">
        <f t="shared" si="829"/>
        <v>186730.77</v>
      </c>
      <c r="EU164" s="1176">
        <f t="shared" ref="EU164:EU210" si="868">EG164+DO164</f>
        <v>182789.3</v>
      </c>
      <c r="EV164" s="1177">
        <f t="shared" si="830"/>
        <v>186730.77</v>
      </c>
      <c r="EW164" s="1177">
        <f t="shared" si="830"/>
        <v>0</v>
      </c>
      <c r="EX164" s="1177">
        <f t="shared" si="830"/>
        <v>0</v>
      </c>
      <c r="EY164" s="1177">
        <f t="shared" si="830"/>
        <v>182789.3</v>
      </c>
      <c r="EZ164" s="1177">
        <f t="shared" si="830"/>
        <v>186730.77</v>
      </c>
      <c r="FA164" s="1178">
        <f t="shared" si="831"/>
        <v>0.99994644982988989</v>
      </c>
      <c r="FB164" s="1179">
        <f t="shared" si="832"/>
        <v>0</v>
      </c>
      <c r="FC164" s="1180">
        <f t="shared" si="833"/>
        <v>0</v>
      </c>
      <c r="FD164" s="1180">
        <f t="shared" si="833"/>
        <v>140103.79999999999</v>
      </c>
      <c r="FE164" s="1180">
        <f t="shared" si="833"/>
        <v>186730.77000000002</v>
      </c>
      <c r="FF164" s="1180">
        <f t="shared" si="833"/>
        <v>140103.79999999999</v>
      </c>
      <c r="FG164" s="1180">
        <f t="shared" si="833"/>
        <v>186730.77000000002</v>
      </c>
      <c r="FH164" s="1181">
        <f t="shared" ref="FH164:FH211" si="869">FG164/S164</f>
        <v>0.99994644982989001</v>
      </c>
      <c r="FI164" s="1261">
        <f>ES164/T164</f>
        <v>0.99994644982988989</v>
      </c>
      <c r="FJ164" s="1328"/>
      <c r="FK164" s="1196"/>
      <c r="FL164" s="1197"/>
      <c r="FM164" s="1491"/>
      <c r="FN164" s="1326"/>
      <c r="FO164" s="1326"/>
      <c r="FP164" s="1326"/>
      <c r="FQ164" s="1326">
        <f>FM164+FO164</f>
        <v>0</v>
      </c>
      <c r="FR164" s="1327">
        <f>FP164+FN164</f>
        <v>0</v>
      </c>
      <c r="FS164" s="1328"/>
      <c r="FT164" s="1196"/>
      <c r="FU164" s="1196"/>
      <c r="FV164" s="1196"/>
      <c r="FW164" s="1196">
        <f>FS164+FU164</f>
        <v>0</v>
      </c>
      <c r="FX164" s="1320">
        <f>FV164+FT164</f>
        <v>0</v>
      </c>
      <c r="FY164" s="1263">
        <f t="shared" ref="FY164:FZ167" si="870">ES164+FK164</f>
        <v>186730.77</v>
      </c>
      <c r="FZ164" s="1461">
        <f t="shared" si="870"/>
        <v>186730.77</v>
      </c>
      <c r="GA164" s="1176">
        <f t="shared" ref="GA164:GA190" si="871">FM164+EU164</f>
        <v>182789.3</v>
      </c>
      <c r="GB164" s="1177">
        <f t="shared" ref="GB164:GB177" si="872">FN164+EV164</f>
        <v>186730.77</v>
      </c>
      <c r="GC164" s="1177">
        <f t="shared" ref="GC164:GC177" si="873">FO164+EW164</f>
        <v>0</v>
      </c>
      <c r="GD164" s="1177">
        <f t="shared" ref="GD164:GD177" si="874">FP164+EX164</f>
        <v>0</v>
      </c>
      <c r="GE164" s="1177">
        <f t="shared" ref="GE164:GE177" si="875">FQ164+EY164</f>
        <v>182789.3</v>
      </c>
      <c r="GF164" s="1177">
        <f t="shared" ref="GF164:GF177" si="876">FR164+EZ164</f>
        <v>186730.77</v>
      </c>
      <c r="GG164" s="1178">
        <f t="shared" si="836"/>
        <v>0.99994644982988989</v>
      </c>
      <c r="GH164" s="1179">
        <f t="shared" ref="GH164:GH177" si="877">FB164+FS164</f>
        <v>0</v>
      </c>
      <c r="GI164" s="1180">
        <f t="shared" ref="GI164:GI177" si="878">FC164+FT164</f>
        <v>0</v>
      </c>
      <c r="GJ164" s="1180">
        <f t="shared" ref="GJ164:GJ177" si="879">FD164+FU164</f>
        <v>140103.79999999999</v>
      </c>
      <c r="GK164" s="1180">
        <f t="shared" ref="GK164:GK177" si="880">FE164+FV164</f>
        <v>186730.77000000002</v>
      </c>
      <c r="GL164" s="1180">
        <f t="shared" ref="GL164:GL177" si="881">FF164+FW164</f>
        <v>140103.79999999999</v>
      </c>
      <c r="GM164" s="1180">
        <f t="shared" ref="GM164:GM177" si="882">FG164+FX164</f>
        <v>186730.77000000002</v>
      </c>
      <c r="GN164" s="1181">
        <f>GM164/S164</f>
        <v>0.99994644982989001</v>
      </c>
      <c r="GO164" s="1228">
        <f>FY164/T164</f>
        <v>0.99994644982988989</v>
      </c>
      <c r="GP164" s="1328"/>
      <c r="GQ164" s="1196"/>
      <c r="GR164" s="1197"/>
      <c r="GS164" s="1491"/>
      <c r="GT164" s="1326"/>
      <c r="GU164" s="1326"/>
      <c r="GV164" s="1326"/>
      <c r="GW164" s="1326">
        <f>GS164+GU164</f>
        <v>0</v>
      </c>
      <c r="GX164" s="1327">
        <f>GV164+GT164</f>
        <v>0</v>
      </c>
      <c r="GY164" s="1328"/>
      <c r="GZ164" s="1196"/>
      <c r="HA164" s="1196"/>
      <c r="HB164" s="1196"/>
      <c r="HC164" s="1196">
        <f t="shared" ref="HC164:HC172" si="883">GY164+HA164</f>
        <v>0</v>
      </c>
      <c r="HD164" s="1320">
        <f>HB164+GZ164</f>
        <v>0</v>
      </c>
      <c r="HE164" s="1689">
        <f t="shared" ref="HE164:HF167" si="884">FY164+GQ164</f>
        <v>186730.77</v>
      </c>
      <c r="HF164" s="1461">
        <f t="shared" si="884"/>
        <v>186730.77</v>
      </c>
      <c r="HG164" s="1176">
        <f t="shared" ref="HG164:HG172" si="885">GS164+GA164</f>
        <v>182789.3</v>
      </c>
      <c r="HH164" s="1177">
        <f t="shared" ref="HH164:HH172" si="886">GT164+GB164</f>
        <v>186730.77</v>
      </c>
      <c r="HI164" s="1177">
        <f t="shared" ref="HI164:HI172" si="887">GU164+GC164</f>
        <v>0</v>
      </c>
      <c r="HJ164" s="1177">
        <f t="shared" ref="HJ164:HJ172" si="888">GV164+GD164</f>
        <v>0</v>
      </c>
      <c r="HK164" s="1177">
        <f t="shared" ref="HK164:HK172" si="889">GW164+GE164</f>
        <v>182789.3</v>
      </c>
      <c r="HL164" s="1177">
        <f t="shared" ref="HL164:HL172" si="890">GX164+GF164</f>
        <v>186730.77</v>
      </c>
      <c r="HM164" s="1178">
        <f t="shared" si="840"/>
        <v>0.99994644982988989</v>
      </c>
      <c r="HN164" s="1179">
        <f t="shared" ref="HN164:HN172" si="891">GH164+GY164</f>
        <v>0</v>
      </c>
      <c r="HO164" s="1180">
        <f t="shared" ref="HO164:HO172" si="892">GI164+GZ164</f>
        <v>0</v>
      </c>
      <c r="HP164" s="1180">
        <f t="shared" ref="HP164:HP172" si="893">GJ164+HA164</f>
        <v>140103.79999999999</v>
      </c>
      <c r="HQ164" s="1180">
        <f t="shared" ref="HQ164:HQ172" si="894">GK164+HB164</f>
        <v>186730.77000000002</v>
      </c>
      <c r="HR164" s="1180">
        <f t="shared" ref="HR164:HR172" si="895">GL164+HC164</f>
        <v>140103.79999999999</v>
      </c>
      <c r="HS164" s="1180">
        <f t="shared" ref="HS164:HS172" si="896">GM164+HD164</f>
        <v>186730.77000000002</v>
      </c>
      <c r="HT164" s="1181">
        <f t="shared" si="842"/>
        <v>0.99994644982989001</v>
      </c>
      <c r="HU164" s="1228">
        <f>HE164/T164</f>
        <v>0.99994644982988989</v>
      </c>
    </row>
    <row r="165" spans="1:229" s="1170" customFormat="1" ht="18" hidden="1" customHeight="1" outlineLevel="1" x14ac:dyDescent="0.2">
      <c r="A165" s="3671"/>
      <c r="B165" s="3672"/>
      <c r="C165" s="1201">
        <v>2</v>
      </c>
      <c r="D165" s="1167" t="s">
        <v>343</v>
      </c>
      <c r="E165" s="1202">
        <v>1</v>
      </c>
      <c r="F165" s="1203">
        <v>97.82</v>
      </c>
      <c r="G165" s="1204">
        <f t="shared" si="811"/>
        <v>97.82</v>
      </c>
      <c r="H165" s="1205">
        <v>0</v>
      </c>
      <c r="I165" s="1206">
        <v>0</v>
      </c>
      <c r="J165" s="1206">
        <v>0</v>
      </c>
      <c r="K165" s="1207">
        <v>0</v>
      </c>
      <c r="L165" s="1206">
        <v>0</v>
      </c>
      <c r="M165" s="1206">
        <v>0</v>
      </c>
      <c r="N165" s="1208">
        <f>F165+I165+L165</f>
        <v>97.82</v>
      </c>
      <c r="O165" s="1359" t="s">
        <v>335</v>
      </c>
      <c r="P165" s="1360" t="s">
        <v>335</v>
      </c>
      <c r="Q165" s="1360" t="s">
        <v>335</v>
      </c>
      <c r="R165" s="1203">
        <v>224327</v>
      </c>
      <c r="S165" s="1209">
        <f t="shared" si="843"/>
        <v>224327</v>
      </c>
      <c r="T165" s="1210">
        <f>R165</f>
        <v>224327</v>
      </c>
      <c r="U165" s="1211">
        <v>224327</v>
      </c>
      <c r="V165" s="1211">
        <v>224327</v>
      </c>
      <c r="W165" s="1212">
        <f>42685.5*5</f>
        <v>213427.5</v>
      </c>
      <c r="X165" s="1213">
        <v>224327</v>
      </c>
      <c r="Y165" s="1213">
        <v>0</v>
      </c>
      <c r="Z165" s="1213">
        <v>0</v>
      </c>
      <c r="AA165" s="1177">
        <f t="shared" si="844"/>
        <v>213427.5</v>
      </c>
      <c r="AB165" s="1214">
        <f t="shared" si="844"/>
        <v>224327</v>
      </c>
      <c r="AC165" s="1178">
        <f t="shared" si="813"/>
        <v>1</v>
      </c>
      <c r="AD165" s="1211">
        <v>0</v>
      </c>
      <c r="AE165" s="1211">
        <v>0</v>
      </c>
      <c r="AF165" s="1233">
        <f>42685.5*4-3056.23</f>
        <v>167685.76999999999</v>
      </c>
      <c r="AG165" s="1189">
        <f>165130.28+59196.72</f>
        <v>224327</v>
      </c>
      <c r="AH165" s="1215">
        <f t="shared" si="845"/>
        <v>167685.76999999999</v>
      </c>
      <c r="AI165" s="1211">
        <f t="shared" si="845"/>
        <v>224327</v>
      </c>
      <c r="AJ165" s="1216">
        <f t="shared" si="815"/>
        <v>1</v>
      </c>
      <c r="AK165" s="1217">
        <f t="shared" si="816"/>
        <v>1</v>
      </c>
      <c r="AL165" s="1195">
        <v>12047.3</v>
      </c>
      <c r="AM165" s="1218">
        <f>AP165</f>
        <v>0</v>
      </c>
      <c r="AN165" s="1219">
        <f>AX165</f>
        <v>0</v>
      </c>
      <c r="AO165" s="1220">
        <v>12047.3</v>
      </c>
      <c r="AP165" s="1221"/>
      <c r="AQ165" s="1221"/>
      <c r="AR165" s="1221"/>
      <c r="AS165" s="1221">
        <f>AO165+AQ165</f>
        <v>12047.3</v>
      </c>
      <c r="AT165" s="1222">
        <f>AR165+AP165</f>
        <v>0</v>
      </c>
      <c r="AU165" s="1223"/>
      <c r="AV165" s="1224"/>
      <c r="AW165" s="1218">
        <f t="shared" si="846"/>
        <v>12047.3</v>
      </c>
      <c r="AX165" s="1218">
        <f t="shared" si="846"/>
        <v>0</v>
      </c>
      <c r="AY165" s="1224">
        <f>AU165+AW165</f>
        <v>12047.3</v>
      </c>
      <c r="AZ165" s="1225">
        <f>AX165+AV165</f>
        <v>0</v>
      </c>
      <c r="BA165" s="1175">
        <f t="shared" si="847"/>
        <v>224327</v>
      </c>
      <c r="BB165" s="1226">
        <f t="shared" si="847"/>
        <v>224327</v>
      </c>
      <c r="BC165" s="1176">
        <f t="shared" si="847"/>
        <v>225474.8</v>
      </c>
      <c r="BD165" s="1177">
        <f t="shared" si="847"/>
        <v>224327</v>
      </c>
      <c r="BE165" s="1177">
        <f t="shared" si="847"/>
        <v>0</v>
      </c>
      <c r="BF165" s="1177">
        <f t="shared" si="847"/>
        <v>0</v>
      </c>
      <c r="BG165" s="1177">
        <f t="shared" si="847"/>
        <v>225474.8</v>
      </c>
      <c r="BH165" s="1177">
        <f t="shared" si="847"/>
        <v>224327</v>
      </c>
      <c r="BI165" s="1178">
        <f t="shared" si="848"/>
        <v>1</v>
      </c>
      <c r="BJ165" s="1175">
        <f t="shared" si="849"/>
        <v>0</v>
      </c>
      <c r="BK165" s="1180">
        <f t="shared" si="849"/>
        <v>0</v>
      </c>
      <c r="BL165" s="1180">
        <f t="shared" si="849"/>
        <v>179733.06999999998</v>
      </c>
      <c r="BM165" s="1180">
        <f t="shared" si="849"/>
        <v>224327</v>
      </c>
      <c r="BN165" s="1180">
        <f t="shared" si="849"/>
        <v>179733.06999999998</v>
      </c>
      <c r="BO165" s="1180">
        <f t="shared" si="849"/>
        <v>224327</v>
      </c>
      <c r="BP165" s="1227">
        <f t="shared" si="850"/>
        <v>1</v>
      </c>
      <c r="BQ165" s="1228">
        <f>BA165/T165</f>
        <v>1</v>
      </c>
      <c r="BR165" s="1195"/>
      <c r="BS165" s="1218"/>
      <c r="BT165" s="1219"/>
      <c r="BU165" s="1220"/>
      <c r="BV165" s="1221"/>
      <c r="BW165" s="1221"/>
      <c r="BX165" s="1221"/>
      <c r="BY165" s="1221">
        <f>BU165+BW165</f>
        <v>0</v>
      </c>
      <c r="BZ165" s="1282">
        <f>BX165+BV165</f>
        <v>0</v>
      </c>
      <c r="CA165" s="1245"/>
      <c r="CB165" s="1224"/>
      <c r="CC165" s="1218">
        <f t="shared" si="851"/>
        <v>0</v>
      </c>
      <c r="CD165" s="1218">
        <f t="shared" si="851"/>
        <v>0</v>
      </c>
      <c r="CE165" s="1224">
        <f>CA165+CC165</f>
        <v>0</v>
      </c>
      <c r="CF165" s="1225">
        <f>CD165+CB165</f>
        <v>0</v>
      </c>
      <c r="CG165" s="1262">
        <f t="shared" si="852"/>
        <v>224327</v>
      </c>
      <c r="CH165" s="1226">
        <f t="shared" si="852"/>
        <v>224327</v>
      </c>
      <c r="CI165" s="1176">
        <f t="shared" si="852"/>
        <v>225474.8</v>
      </c>
      <c r="CJ165" s="1177">
        <f t="shared" si="852"/>
        <v>224327</v>
      </c>
      <c r="CK165" s="1177">
        <f t="shared" si="852"/>
        <v>0</v>
      </c>
      <c r="CL165" s="1177">
        <f t="shared" si="852"/>
        <v>0</v>
      </c>
      <c r="CM165" s="1177">
        <f t="shared" si="852"/>
        <v>225474.8</v>
      </c>
      <c r="CN165" s="1177">
        <f t="shared" si="852"/>
        <v>224327</v>
      </c>
      <c r="CO165" s="1178">
        <f t="shared" si="820"/>
        <v>1</v>
      </c>
      <c r="CP165" s="1179">
        <f t="shared" si="853"/>
        <v>0</v>
      </c>
      <c r="CQ165" s="1180">
        <f t="shared" si="853"/>
        <v>0</v>
      </c>
      <c r="CR165" s="1180">
        <f t="shared" si="853"/>
        <v>179733.06999999998</v>
      </c>
      <c r="CS165" s="1180">
        <f t="shared" si="853"/>
        <v>224327</v>
      </c>
      <c r="CT165" s="1180">
        <f t="shared" si="853"/>
        <v>179733.06999999998</v>
      </c>
      <c r="CU165" s="1180">
        <f t="shared" si="853"/>
        <v>224327</v>
      </c>
      <c r="CV165" s="1181">
        <f t="shared" si="822"/>
        <v>1</v>
      </c>
      <c r="CW165" s="1228">
        <f t="shared" si="823"/>
        <v>1</v>
      </c>
      <c r="CX165" s="1195"/>
      <c r="CY165" s="1218"/>
      <c r="CZ165" s="1219"/>
      <c r="DA165" s="1220"/>
      <c r="DB165" s="1221"/>
      <c r="DC165" s="1221"/>
      <c r="DD165" s="1221"/>
      <c r="DE165" s="1221">
        <f>DA165+DC165</f>
        <v>0</v>
      </c>
      <c r="DF165" s="1282">
        <f>DD165+DB165</f>
        <v>0</v>
      </c>
      <c r="DG165" s="1245"/>
      <c r="DH165" s="1224"/>
      <c r="DI165" s="1218">
        <f t="shared" si="854"/>
        <v>0</v>
      </c>
      <c r="DJ165" s="1218">
        <f t="shared" si="854"/>
        <v>0</v>
      </c>
      <c r="DK165" s="1224">
        <f>DG165+DI165</f>
        <v>0</v>
      </c>
      <c r="DL165" s="1225">
        <f>DJ165+DH165</f>
        <v>0</v>
      </c>
      <c r="DM165" s="1262">
        <f t="shared" si="855"/>
        <v>224327</v>
      </c>
      <c r="DN165" s="1226">
        <f t="shared" si="855"/>
        <v>224327</v>
      </c>
      <c r="DO165" s="1176">
        <f t="shared" si="856"/>
        <v>225474.8</v>
      </c>
      <c r="DP165" s="1177">
        <f t="shared" si="857"/>
        <v>224327</v>
      </c>
      <c r="DQ165" s="1177">
        <f t="shared" si="858"/>
        <v>0</v>
      </c>
      <c r="DR165" s="1177">
        <f t="shared" si="859"/>
        <v>0</v>
      </c>
      <c r="DS165" s="1177">
        <f t="shared" si="860"/>
        <v>225474.8</v>
      </c>
      <c r="DT165" s="1177">
        <f t="shared" si="861"/>
        <v>224327</v>
      </c>
      <c r="DU165" s="1178">
        <f t="shared" si="825"/>
        <v>1</v>
      </c>
      <c r="DV165" s="1179">
        <f t="shared" si="862"/>
        <v>0</v>
      </c>
      <c r="DW165" s="1180">
        <f t="shared" si="863"/>
        <v>0</v>
      </c>
      <c r="DX165" s="1180">
        <f t="shared" si="864"/>
        <v>179733.06999999998</v>
      </c>
      <c r="DY165" s="1180">
        <f t="shared" si="865"/>
        <v>224327</v>
      </c>
      <c r="DZ165" s="1180">
        <f t="shared" si="866"/>
        <v>179733.06999999998</v>
      </c>
      <c r="EA165" s="1180">
        <f t="shared" si="867"/>
        <v>224327</v>
      </c>
      <c r="EB165" s="1265">
        <f t="shared" si="827"/>
        <v>1</v>
      </c>
      <c r="EC165" s="1487">
        <f>DM165/T165</f>
        <v>1</v>
      </c>
      <c r="ED165" s="1494"/>
      <c r="EE165" s="1218"/>
      <c r="EF165" s="1219"/>
      <c r="EG165" s="1243"/>
      <c r="EH165" s="1221"/>
      <c r="EI165" s="1221"/>
      <c r="EJ165" s="1221"/>
      <c r="EK165" s="1221">
        <f>EG165+EI165</f>
        <v>0</v>
      </c>
      <c r="EL165" s="1282">
        <f>EJ165+EH165</f>
        <v>0</v>
      </c>
      <c r="EM165" s="1245"/>
      <c r="EN165" s="1224"/>
      <c r="EO165" s="1218"/>
      <c r="EP165" s="1218"/>
      <c r="EQ165" s="1224">
        <f>EM165+EO165</f>
        <v>0</v>
      </c>
      <c r="ER165" s="1225">
        <f>EP165+EN165</f>
        <v>0</v>
      </c>
      <c r="ES165" s="1262">
        <f t="shared" si="829"/>
        <v>224327</v>
      </c>
      <c r="ET165" s="1462">
        <f t="shared" si="829"/>
        <v>224327</v>
      </c>
      <c r="EU165" s="1176">
        <f t="shared" si="868"/>
        <v>225474.8</v>
      </c>
      <c r="EV165" s="1177">
        <f t="shared" si="830"/>
        <v>224327</v>
      </c>
      <c r="EW165" s="1177">
        <f t="shared" si="830"/>
        <v>0</v>
      </c>
      <c r="EX165" s="1177">
        <f t="shared" si="830"/>
        <v>0</v>
      </c>
      <c r="EY165" s="1177">
        <f t="shared" si="830"/>
        <v>225474.8</v>
      </c>
      <c r="EZ165" s="1177">
        <f t="shared" si="830"/>
        <v>224327</v>
      </c>
      <c r="FA165" s="1178">
        <f t="shared" si="831"/>
        <v>1</v>
      </c>
      <c r="FB165" s="1179">
        <f t="shared" si="832"/>
        <v>0</v>
      </c>
      <c r="FC165" s="1180">
        <f t="shared" si="833"/>
        <v>0</v>
      </c>
      <c r="FD165" s="1180">
        <f t="shared" si="833"/>
        <v>179733.06999999998</v>
      </c>
      <c r="FE165" s="1180">
        <f t="shared" si="833"/>
        <v>224327</v>
      </c>
      <c r="FF165" s="1180">
        <f t="shared" si="833"/>
        <v>179733.06999999998</v>
      </c>
      <c r="FG165" s="1180">
        <f t="shared" si="833"/>
        <v>224327</v>
      </c>
      <c r="FH165" s="1181">
        <f t="shared" si="869"/>
        <v>1</v>
      </c>
      <c r="FI165" s="1261">
        <f>ES165/T165</f>
        <v>1</v>
      </c>
      <c r="FJ165" s="1494"/>
      <c r="FK165" s="1218"/>
      <c r="FL165" s="1219"/>
      <c r="FM165" s="1243"/>
      <c r="FN165" s="1221"/>
      <c r="FO165" s="1221"/>
      <c r="FP165" s="1221"/>
      <c r="FQ165" s="1221">
        <f>FM165+FO165</f>
        <v>0</v>
      </c>
      <c r="FR165" s="1282">
        <f>FP165+FN165</f>
        <v>0</v>
      </c>
      <c r="FS165" s="1245"/>
      <c r="FT165" s="1224"/>
      <c r="FU165" s="1218"/>
      <c r="FV165" s="1218"/>
      <c r="FW165" s="1224">
        <f>FS165+FU165</f>
        <v>0</v>
      </c>
      <c r="FX165" s="1225">
        <f>FV165+FT165</f>
        <v>0</v>
      </c>
      <c r="FY165" s="1262">
        <f t="shared" si="870"/>
        <v>224327</v>
      </c>
      <c r="FZ165" s="1462">
        <f t="shared" si="870"/>
        <v>224327</v>
      </c>
      <c r="GA165" s="1176">
        <f t="shared" si="871"/>
        <v>225474.8</v>
      </c>
      <c r="GB165" s="1177">
        <f t="shared" si="872"/>
        <v>224327</v>
      </c>
      <c r="GC165" s="1177">
        <f t="shared" si="873"/>
        <v>0</v>
      </c>
      <c r="GD165" s="1177">
        <f t="shared" si="874"/>
        <v>0</v>
      </c>
      <c r="GE165" s="1177">
        <f t="shared" si="875"/>
        <v>225474.8</v>
      </c>
      <c r="GF165" s="1177">
        <f t="shared" si="876"/>
        <v>224327</v>
      </c>
      <c r="GG165" s="1178">
        <f t="shared" si="836"/>
        <v>1</v>
      </c>
      <c r="GH165" s="1179">
        <f t="shared" si="877"/>
        <v>0</v>
      </c>
      <c r="GI165" s="1180">
        <f t="shared" si="878"/>
        <v>0</v>
      </c>
      <c r="GJ165" s="1180">
        <f t="shared" si="879"/>
        <v>179733.06999999998</v>
      </c>
      <c r="GK165" s="1180">
        <f t="shared" si="880"/>
        <v>224327</v>
      </c>
      <c r="GL165" s="1180">
        <f t="shared" si="881"/>
        <v>179733.06999999998</v>
      </c>
      <c r="GM165" s="1180">
        <f t="shared" si="882"/>
        <v>224327</v>
      </c>
      <c r="GN165" s="1181">
        <f t="shared" ref="GN165:GN174" si="897">GM165/S165</f>
        <v>1</v>
      </c>
      <c r="GO165" s="1228">
        <f>FY165/T165</f>
        <v>1</v>
      </c>
      <c r="GP165" s="1494"/>
      <c r="GQ165" s="1218"/>
      <c r="GR165" s="1219"/>
      <c r="GS165" s="1243"/>
      <c r="GT165" s="1221"/>
      <c r="GU165" s="1221"/>
      <c r="GV165" s="1221"/>
      <c r="GW165" s="1221">
        <f>GS165+GU165</f>
        <v>0</v>
      </c>
      <c r="GX165" s="1282">
        <f>GV165+GT165</f>
        <v>0</v>
      </c>
      <c r="GY165" s="1245"/>
      <c r="GZ165" s="1224"/>
      <c r="HA165" s="1218"/>
      <c r="HB165" s="1218"/>
      <c r="HC165" s="1224">
        <f t="shared" si="883"/>
        <v>0</v>
      </c>
      <c r="HD165" s="1225">
        <f>HB165+GZ165</f>
        <v>0</v>
      </c>
      <c r="HE165" s="1690">
        <f t="shared" si="884"/>
        <v>224327</v>
      </c>
      <c r="HF165" s="1462">
        <f t="shared" si="884"/>
        <v>224327</v>
      </c>
      <c r="HG165" s="1176">
        <f t="shared" si="885"/>
        <v>225474.8</v>
      </c>
      <c r="HH165" s="1177">
        <f t="shared" si="886"/>
        <v>224327</v>
      </c>
      <c r="HI165" s="1177">
        <f t="shared" si="887"/>
        <v>0</v>
      </c>
      <c r="HJ165" s="1177">
        <f t="shared" si="888"/>
        <v>0</v>
      </c>
      <c r="HK165" s="1177">
        <f t="shared" si="889"/>
        <v>225474.8</v>
      </c>
      <c r="HL165" s="1177">
        <f t="shared" si="890"/>
        <v>224327</v>
      </c>
      <c r="HM165" s="1178">
        <f t="shared" si="840"/>
        <v>1</v>
      </c>
      <c r="HN165" s="1179">
        <f t="shared" si="891"/>
        <v>0</v>
      </c>
      <c r="HO165" s="1180">
        <f t="shared" si="892"/>
        <v>0</v>
      </c>
      <c r="HP165" s="1180">
        <f t="shared" si="893"/>
        <v>179733.06999999998</v>
      </c>
      <c r="HQ165" s="1180">
        <f t="shared" si="894"/>
        <v>224327</v>
      </c>
      <c r="HR165" s="1180">
        <f t="shared" si="895"/>
        <v>179733.06999999998</v>
      </c>
      <c r="HS165" s="1180">
        <f t="shared" si="896"/>
        <v>224327</v>
      </c>
      <c r="HT165" s="1181">
        <f t="shared" si="842"/>
        <v>1</v>
      </c>
      <c r="HU165" s="1228">
        <f>HE165/T165</f>
        <v>1</v>
      </c>
    </row>
    <row r="166" spans="1:229" s="1170" customFormat="1" ht="18" hidden="1" customHeight="1" outlineLevel="1" x14ac:dyDescent="0.2">
      <c r="A166" s="3671"/>
      <c r="B166" s="3672"/>
      <c r="C166" s="1201">
        <v>3</v>
      </c>
      <c r="D166" s="1167" t="s">
        <v>339</v>
      </c>
      <c r="E166" s="1202">
        <v>1</v>
      </c>
      <c r="F166" s="1203">
        <v>135.6</v>
      </c>
      <c r="G166" s="1229">
        <f t="shared" si="811"/>
        <v>135.6</v>
      </c>
      <c r="H166" s="1205">
        <v>0</v>
      </c>
      <c r="I166" s="1203">
        <v>0</v>
      </c>
      <c r="J166" s="1203">
        <v>0</v>
      </c>
      <c r="K166" s="1205">
        <v>0</v>
      </c>
      <c r="L166" s="1203">
        <v>0</v>
      </c>
      <c r="M166" s="1203">
        <v>0</v>
      </c>
      <c r="N166" s="1230">
        <f>F166+I166+L166</f>
        <v>135.6</v>
      </c>
      <c r="O166" s="1359" t="s">
        <v>335</v>
      </c>
      <c r="P166" s="1360" t="s">
        <v>335</v>
      </c>
      <c r="Q166" s="1360" t="s">
        <v>335</v>
      </c>
      <c r="R166" s="1203">
        <v>201569.93</v>
      </c>
      <c r="S166" s="1209">
        <f t="shared" si="843"/>
        <v>201569.93</v>
      </c>
      <c r="T166" s="1231">
        <v>201569.93</v>
      </c>
      <c r="U166" s="1211">
        <v>7086.1399999999703</v>
      </c>
      <c r="V166" s="1211">
        <v>7086.1399999999994</v>
      </c>
      <c r="W166" s="1212">
        <f>43457.7+5180.68</f>
        <v>48638.38</v>
      </c>
      <c r="X166" s="1213">
        <v>7086.1399999999994</v>
      </c>
      <c r="Y166" s="1213">
        <v>0</v>
      </c>
      <c r="Z166" s="1213">
        <v>0</v>
      </c>
      <c r="AA166" s="1177">
        <f t="shared" si="844"/>
        <v>48638.38</v>
      </c>
      <c r="AB166" s="1214">
        <f t="shared" si="844"/>
        <v>7086.1399999999994</v>
      </c>
      <c r="AC166" s="1178">
        <f t="shared" si="813"/>
        <v>3.5154747536004005E-2</v>
      </c>
      <c r="AD166" s="1211">
        <v>0</v>
      </c>
      <c r="AE166" s="1211">
        <v>0</v>
      </c>
      <c r="AF166" s="1233">
        <f>43457.7</f>
        <v>43457.7</v>
      </c>
      <c r="AG166" s="1189">
        <f>772.2+4313.94+2000</f>
        <v>7086.1399999999994</v>
      </c>
      <c r="AH166" s="1232">
        <f t="shared" si="845"/>
        <v>43457.7</v>
      </c>
      <c r="AI166" s="1233">
        <f t="shared" si="845"/>
        <v>7086.1399999999994</v>
      </c>
      <c r="AJ166" s="1234">
        <f t="shared" si="815"/>
        <v>3.5154747536004005E-2</v>
      </c>
      <c r="AK166" s="1235">
        <f t="shared" si="816"/>
        <v>3.5154747536003859E-2</v>
      </c>
      <c r="AL166" s="1195">
        <v>12047.3</v>
      </c>
      <c r="AM166" s="1218"/>
      <c r="AN166" s="1236">
        <f>AX166</f>
        <v>0</v>
      </c>
      <c r="AO166" s="1220">
        <v>12047.3</v>
      </c>
      <c r="AP166" s="1221"/>
      <c r="AQ166" s="1221"/>
      <c r="AR166" s="1221"/>
      <c r="AS166" s="1221">
        <f>AO166+AQ166</f>
        <v>12047.3</v>
      </c>
      <c r="AT166" s="1222">
        <f>AP166+AR166</f>
        <v>0</v>
      </c>
      <c r="AU166" s="1223"/>
      <c r="AV166" s="1224"/>
      <c r="AW166" s="1218">
        <f t="shared" si="846"/>
        <v>12047.3</v>
      </c>
      <c r="AX166" s="1218">
        <f t="shared" si="846"/>
        <v>0</v>
      </c>
      <c r="AY166" s="1224">
        <f>AU166+AW166</f>
        <v>12047.3</v>
      </c>
      <c r="AZ166" s="1225">
        <f>AV166+AX166</f>
        <v>0</v>
      </c>
      <c r="BA166" s="1175">
        <f t="shared" si="847"/>
        <v>7086.1399999999703</v>
      </c>
      <c r="BB166" s="1226">
        <f t="shared" si="847"/>
        <v>7086.1399999999994</v>
      </c>
      <c r="BC166" s="1176">
        <f t="shared" si="847"/>
        <v>60685.679999999993</v>
      </c>
      <c r="BD166" s="1177">
        <f t="shared" si="847"/>
        <v>7086.1399999999994</v>
      </c>
      <c r="BE166" s="1177">
        <f t="shared" si="847"/>
        <v>0</v>
      </c>
      <c r="BF166" s="1177">
        <f t="shared" si="847"/>
        <v>0</v>
      </c>
      <c r="BG166" s="1177">
        <f t="shared" si="847"/>
        <v>60685.679999999993</v>
      </c>
      <c r="BH166" s="1177">
        <f t="shared" si="847"/>
        <v>7086.1399999999994</v>
      </c>
      <c r="BI166" s="1178">
        <f t="shared" si="848"/>
        <v>3.5154747536004005E-2</v>
      </c>
      <c r="BJ166" s="1175">
        <f t="shared" si="849"/>
        <v>0</v>
      </c>
      <c r="BK166" s="1180">
        <f t="shared" si="849"/>
        <v>0</v>
      </c>
      <c r="BL166" s="1180">
        <f t="shared" si="849"/>
        <v>55505</v>
      </c>
      <c r="BM166" s="1180">
        <f t="shared" si="849"/>
        <v>7086.1399999999994</v>
      </c>
      <c r="BN166" s="1180">
        <f t="shared" si="849"/>
        <v>55505</v>
      </c>
      <c r="BO166" s="1180">
        <f t="shared" si="849"/>
        <v>7086.1399999999994</v>
      </c>
      <c r="BP166" s="1227">
        <f t="shared" si="850"/>
        <v>3.5154747536004005E-2</v>
      </c>
      <c r="BQ166" s="1228">
        <f>BA166/T166</f>
        <v>3.5154747536003859E-2</v>
      </c>
      <c r="BR166" s="1195"/>
      <c r="BS166" s="1218"/>
      <c r="BT166" s="1236"/>
      <c r="BU166" s="1220"/>
      <c r="BV166" s="1221"/>
      <c r="BW166" s="1221"/>
      <c r="BX166" s="1221"/>
      <c r="BY166" s="1221">
        <f>BU166+BW166</f>
        <v>0</v>
      </c>
      <c r="BZ166" s="1282">
        <f>BV166+BX166</f>
        <v>0</v>
      </c>
      <c r="CA166" s="1245"/>
      <c r="CB166" s="1224"/>
      <c r="CC166" s="1218">
        <f t="shared" si="851"/>
        <v>0</v>
      </c>
      <c r="CD166" s="1218">
        <f t="shared" si="851"/>
        <v>0</v>
      </c>
      <c r="CE166" s="1224">
        <f>CA166+CC166</f>
        <v>0</v>
      </c>
      <c r="CF166" s="1225">
        <f>CB166+CD166</f>
        <v>0</v>
      </c>
      <c r="CG166" s="1262">
        <f t="shared" si="852"/>
        <v>7086.1399999999703</v>
      </c>
      <c r="CH166" s="1226">
        <f t="shared" si="852"/>
        <v>7086.1399999999994</v>
      </c>
      <c r="CI166" s="1176">
        <f t="shared" si="852"/>
        <v>60685.679999999993</v>
      </c>
      <c r="CJ166" s="1177">
        <f t="shared" si="852"/>
        <v>7086.1399999999994</v>
      </c>
      <c r="CK166" s="1177">
        <f t="shared" si="852"/>
        <v>0</v>
      </c>
      <c r="CL166" s="1177">
        <f t="shared" si="852"/>
        <v>0</v>
      </c>
      <c r="CM166" s="1177">
        <f t="shared" si="852"/>
        <v>60685.679999999993</v>
      </c>
      <c r="CN166" s="1177">
        <f t="shared" si="852"/>
        <v>7086.1399999999994</v>
      </c>
      <c r="CO166" s="1178">
        <f t="shared" si="820"/>
        <v>3.5154747536004005E-2</v>
      </c>
      <c r="CP166" s="1179">
        <f t="shared" si="853"/>
        <v>0</v>
      </c>
      <c r="CQ166" s="1180">
        <f t="shared" si="853"/>
        <v>0</v>
      </c>
      <c r="CR166" s="1180">
        <f t="shared" si="853"/>
        <v>55505</v>
      </c>
      <c r="CS166" s="1180">
        <f t="shared" si="853"/>
        <v>7086.1399999999994</v>
      </c>
      <c r="CT166" s="1180">
        <f t="shared" si="853"/>
        <v>55505</v>
      </c>
      <c r="CU166" s="1180">
        <f t="shared" si="853"/>
        <v>7086.1399999999994</v>
      </c>
      <c r="CV166" s="1181">
        <f t="shared" si="822"/>
        <v>3.5154747536004005E-2</v>
      </c>
      <c r="CW166" s="1228">
        <f t="shared" si="823"/>
        <v>3.5154747536003859E-2</v>
      </c>
      <c r="CX166" s="1195"/>
      <c r="CY166" s="1218"/>
      <c r="CZ166" s="1236"/>
      <c r="DA166" s="1220"/>
      <c r="DB166" s="1221"/>
      <c r="DC166" s="1221"/>
      <c r="DD166" s="1221"/>
      <c r="DE166" s="1221">
        <f>DA166+DC166</f>
        <v>0</v>
      </c>
      <c r="DF166" s="1282">
        <f>DB166+DD166</f>
        <v>0</v>
      </c>
      <c r="DG166" s="1245"/>
      <c r="DH166" s="1224"/>
      <c r="DI166" s="1218">
        <f t="shared" si="854"/>
        <v>0</v>
      </c>
      <c r="DJ166" s="1218">
        <f t="shared" si="854"/>
        <v>0</v>
      </c>
      <c r="DK166" s="1224">
        <f>DG166+DI166</f>
        <v>0</v>
      </c>
      <c r="DL166" s="1225">
        <f>DH166+DJ166</f>
        <v>0</v>
      </c>
      <c r="DM166" s="1262">
        <f t="shared" si="855"/>
        <v>7086.1399999999703</v>
      </c>
      <c r="DN166" s="1226">
        <f t="shared" si="855"/>
        <v>7086.1399999999994</v>
      </c>
      <c r="DO166" s="1176">
        <f t="shared" si="856"/>
        <v>60685.679999999993</v>
      </c>
      <c r="DP166" s="1177">
        <f t="shared" si="857"/>
        <v>7086.1399999999994</v>
      </c>
      <c r="DQ166" s="1177">
        <f t="shared" si="858"/>
        <v>0</v>
      </c>
      <c r="DR166" s="1177">
        <f t="shared" si="859"/>
        <v>0</v>
      </c>
      <c r="DS166" s="1177">
        <f t="shared" si="860"/>
        <v>60685.679999999993</v>
      </c>
      <c r="DT166" s="1177">
        <f t="shared" si="861"/>
        <v>7086.1399999999994</v>
      </c>
      <c r="DU166" s="1178">
        <f t="shared" si="825"/>
        <v>3.5154747536004005E-2</v>
      </c>
      <c r="DV166" s="1179">
        <f t="shared" si="862"/>
        <v>0</v>
      </c>
      <c r="DW166" s="1180">
        <f t="shared" si="863"/>
        <v>0</v>
      </c>
      <c r="DX166" s="1180">
        <f t="shared" si="864"/>
        <v>55505</v>
      </c>
      <c r="DY166" s="1180">
        <f t="shared" si="865"/>
        <v>7086.1399999999994</v>
      </c>
      <c r="DZ166" s="1180">
        <f t="shared" si="866"/>
        <v>55505</v>
      </c>
      <c r="EA166" s="1180">
        <f t="shared" si="867"/>
        <v>7086.1399999999994</v>
      </c>
      <c r="EB166" s="1265">
        <f t="shared" si="827"/>
        <v>3.5154747536004005E-2</v>
      </c>
      <c r="EC166" s="1487">
        <f>DM166/T166</f>
        <v>3.5154747536003859E-2</v>
      </c>
      <c r="ED166" s="1494"/>
      <c r="EE166" s="1218"/>
      <c r="EF166" s="1236"/>
      <c r="EG166" s="1243"/>
      <c r="EH166" s="1221"/>
      <c r="EI166" s="1221"/>
      <c r="EJ166" s="1221"/>
      <c r="EK166" s="1221">
        <f>EG166+EI166</f>
        <v>0</v>
      </c>
      <c r="EL166" s="1282">
        <f>EH166+EJ166</f>
        <v>0</v>
      </c>
      <c r="EM166" s="1245"/>
      <c r="EN166" s="1224"/>
      <c r="EO166" s="1218"/>
      <c r="EP166" s="1218"/>
      <c r="EQ166" s="1224">
        <f>EM166+EO166</f>
        <v>0</v>
      </c>
      <c r="ER166" s="1225">
        <f>EN166+EP166</f>
        <v>0</v>
      </c>
      <c r="ES166" s="1262">
        <f t="shared" si="829"/>
        <v>7086.1399999999703</v>
      </c>
      <c r="ET166" s="1462">
        <f t="shared" si="829"/>
        <v>7086.1399999999994</v>
      </c>
      <c r="EU166" s="1176">
        <f t="shared" si="868"/>
        <v>60685.679999999993</v>
      </c>
      <c r="EV166" s="1177">
        <f t="shared" si="830"/>
        <v>7086.1399999999994</v>
      </c>
      <c r="EW166" s="1177">
        <f t="shared" si="830"/>
        <v>0</v>
      </c>
      <c r="EX166" s="1177">
        <f t="shared" si="830"/>
        <v>0</v>
      </c>
      <c r="EY166" s="1177">
        <f t="shared" si="830"/>
        <v>60685.679999999993</v>
      </c>
      <c r="EZ166" s="1177">
        <f t="shared" si="830"/>
        <v>7086.1399999999994</v>
      </c>
      <c r="FA166" s="1178">
        <f t="shared" si="831"/>
        <v>3.5154747536004005E-2</v>
      </c>
      <c r="FB166" s="1179">
        <f t="shared" si="832"/>
        <v>0</v>
      </c>
      <c r="FC166" s="1180">
        <f t="shared" si="833"/>
        <v>0</v>
      </c>
      <c r="FD166" s="1180">
        <f t="shared" si="833"/>
        <v>55505</v>
      </c>
      <c r="FE166" s="1180">
        <f t="shared" si="833"/>
        <v>7086.1399999999994</v>
      </c>
      <c r="FF166" s="1180">
        <f t="shared" si="833"/>
        <v>55505</v>
      </c>
      <c r="FG166" s="1180">
        <f t="shared" si="833"/>
        <v>7086.1399999999994</v>
      </c>
      <c r="FH166" s="1181">
        <f t="shared" si="869"/>
        <v>3.5154747536004005E-2</v>
      </c>
      <c r="FI166" s="1261">
        <f>ES166/T166</f>
        <v>3.5154747536003859E-2</v>
      </c>
      <c r="FJ166" s="1494"/>
      <c r="FK166" s="1218"/>
      <c r="FL166" s="1236"/>
      <c r="FM166" s="1243"/>
      <c r="FN166" s="1221"/>
      <c r="FO166" s="1221"/>
      <c r="FP166" s="1221"/>
      <c r="FQ166" s="1221">
        <f>FM166+FO166</f>
        <v>0</v>
      </c>
      <c r="FR166" s="1282">
        <f>FN166+FP166</f>
        <v>0</v>
      </c>
      <c r="FS166" s="1245"/>
      <c r="FT166" s="1224"/>
      <c r="FU166" s="1218"/>
      <c r="FV166" s="1218"/>
      <c r="FW166" s="1224">
        <f>FS166+FU166</f>
        <v>0</v>
      </c>
      <c r="FX166" s="1225">
        <f>FT166+FV166</f>
        <v>0</v>
      </c>
      <c r="FY166" s="1262">
        <f t="shared" si="870"/>
        <v>7086.1399999999703</v>
      </c>
      <c r="FZ166" s="1462">
        <f t="shared" si="870"/>
        <v>7086.1399999999994</v>
      </c>
      <c r="GA166" s="1176">
        <f t="shared" si="871"/>
        <v>60685.679999999993</v>
      </c>
      <c r="GB166" s="1177">
        <f t="shared" si="872"/>
        <v>7086.1399999999994</v>
      </c>
      <c r="GC166" s="1177">
        <f t="shared" si="873"/>
        <v>0</v>
      </c>
      <c r="GD166" s="1177">
        <f t="shared" si="874"/>
        <v>0</v>
      </c>
      <c r="GE166" s="1177">
        <f t="shared" si="875"/>
        <v>60685.679999999993</v>
      </c>
      <c r="GF166" s="1177">
        <f t="shared" si="876"/>
        <v>7086.1399999999994</v>
      </c>
      <c r="GG166" s="1178">
        <f t="shared" si="836"/>
        <v>3.5154747536004005E-2</v>
      </c>
      <c r="GH166" s="1179">
        <f t="shared" si="877"/>
        <v>0</v>
      </c>
      <c r="GI166" s="1180">
        <f t="shared" si="878"/>
        <v>0</v>
      </c>
      <c r="GJ166" s="1180">
        <f t="shared" si="879"/>
        <v>55505</v>
      </c>
      <c r="GK166" s="1180">
        <f t="shared" si="880"/>
        <v>7086.1399999999994</v>
      </c>
      <c r="GL166" s="1180">
        <f t="shared" si="881"/>
        <v>55505</v>
      </c>
      <c r="GM166" s="1180">
        <f t="shared" si="882"/>
        <v>7086.1399999999994</v>
      </c>
      <c r="GN166" s="1181">
        <f t="shared" si="897"/>
        <v>3.5154747536004005E-2</v>
      </c>
      <c r="GO166" s="1228">
        <f>FY166/T166</f>
        <v>3.5154747536003859E-2</v>
      </c>
      <c r="GP166" s="1494"/>
      <c r="GQ166" s="1218"/>
      <c r="GR166" s="1236"/>
      <c r="GS166" s="1243"/>
      <c r="GT166" s="1221"/>
      <c r="GU166" s="1221"/>
      <c r="GV166" s="1221"/>
      <c r="GW166" s="1221">
        <f>GS166+GU166</f>
        <v>0</v>
      </c>
      <c r="GX166" s="1282">
        <f>GT166+GV166</f>
        <v>0</v>
      </c>
      <c r="GY166" s="1245"/>
      <c r="GZ166" s="1224"/>
      <c r="HA166" s="1218"/>
      <c r="HB166" s="1218"/>
      <c r="HC166" s="1224">
        <f t="shared" si="883"/>
        <v>0</v>
      </c>
      <c r="HD166" s="1225">
        <f t="shared" ref="HD166:HD172" si="898">GZ166+HB166</f>
        <v>0</v>
      </c>
      <c r="HE166" s="1690">
        <f t="shared" si="884"/>
        <v>7086.1399999999703</v>
      </c>
      <c r="HF166" s="1462">
        <f t="shared" si="884"/>
        <v>7086.1399999999994</v>
      </c>
      <c r="HG166" s="1176">
        <f t="shared" si="885"/>
        <v>60685.679999999993</v>
      </c>
      <c r="HH166" s="1177">
        <f t="shared" si="886"/>
        <v>7086.1399999999994</v>
      </c>
      <c r="HI166" s="1177">
        <f t="shared" si="887"/>
        <v>0</v>
      </c>
      <c r="HJ166" s="1177">
        <f t="shared" si="888"/>
        <v>0</v>
      </c>
      <c r="HK166" s="1177">
        <f t="shared" si="889"/>
        <v>60685.679999999993</v>
      </c>
      <c r="HL166" s="1177">
        <f t="shared" si="890"/>
        <v>7086.1399999999994</v>
      </c>
      <c r="HM166" s="1178">
        <f t="shared" si="840"/>
        <v>3.5154747536004005E-2</v>
      </c>
      <c r="HN166" s="1179">
        <f t="shared" si="891"/>
        <v>0</v>
      </c>
      <c r="HO166" s="1180">
        <f t="shared" si="892"/>
        <v>0</v>
      </c>
      <c r="HP166" s="1180">
        <f t="shared" si="893"/>
        <v>55505</v>
      </c>
      <c r="HQ166" s="1180">
        <f t="shared" si="894"/>
        <v>7086.1399999999994</v>
      </c>
      <c r="HR166" s="1180">
        <f t="shared" si="895"/>
        <v>55505</v>
      </c>
      <c r="HS166" s="1180">
        <f t="shared" si="896"/>
        <v>7086.1399999999994</v>
      </c>
      <c r="HT166" s="1181">
        <f t="shared" si="842"/>
        <v>3.5154747536004005E-2</v>
      </c>
      <c r="HU166" s="1228">
        <f>HE166/T166</f>
        <v>3.5154747536003859E-2</v>
      </c>
    </row>
    <row r="167" spans="1:229" s="1170" customFormat="1" ht="18" hidden="1" customHeight="1" outlineLevel="1" x14ac:dyDescent="0.2">
      <c r="A167" s="3671"/>
      <c r="B167" s="3672"/>
      <c r="C167" s="1201">
        <v>4</v>
      </c>
      <c r="D167" s="1169" t="s">
        <v>467</v>
      </c>
      <c r="E167" s="1730">
        <v>1</v>
      </c>
      <c r="F167" s="1237">
        <v>93.23</v>
      </c>
      <c r="G167" s="1238">
        <f t="shared" si="811"/>
        <v>93.23</v>
      </c>
      <c r="H167" s="1239">
        <v>0</v>
      </c>
      <c r="I167" s="1237">
        <v>0</v>
      </c>
      <c r="J167" s="1171">
        <v>0</v>
      </c>
      <c r="K167" s="1239">
        <v>0</v>
      </c>
      <c r="L167" s="1237">
        <v>0</v>
      </c>
      <c r="M167" s="1171">
        <v>0</v>
      </c>
      <c r="N167" s="1172">
        <f>L167+I167+F167</f>
        <v>93.23</v>
      </c>
      <c r="O167" s="1359" t="s">
        <v>335</v>
      </c>
      <c r="P167" s="1360" t="s">
        <v>335</v>
      </c>
      <c r="Q167" s="1360" t="s">
        <v>335</v>
      </c>
      <c r="R167" s="1171">
        <v>164735.54999999999</v>
      </c>
      <c r="S167" s="1240">
        <f t="shared" si="843"/>
        <v>164735.54999999999</v>
      </c>
      <c r="T167" s="1241">
        <f>S167</f>
        <v>164735.54999999999</v>
      </c>
      <c r="U167" s="1233">
        <v>0</v>
      </c>
      <c r="V167" s="1242">
        <v>0</v>
      </c>
      <c r="W167" s="1214">
        <v>0</v>
      </c>
      <c r="X167" s="1177">
        <v>0</v>
      </c>
      <c r="Y167" s="1177">
        <v>0</v>
      </c>
      <c r="Z167" s="1177">
        <v>0</v>
      </c>
      <c r="AA167" s="1177">
        <f t="shared" si="844"/>
        <v>0</v>
      </c>
      <c r="AB167" s="1177">
        <f t="shared" si="844"/>
        <v>0</v>
      </c>
      <c r="AC167" s="1178">
        <f t="shared" si="813"/>
        <v>0</v>
      </c>
      <c r="AD167" s="1233">
        <v>0</v>
      </c>
      <c r="AE167" s="1232">
        <v>0</v>
      </c>
      <c r="AF167" s="1232">
        <v>0</v>
      </c>
      <c r="AG167" s="1232">
        <v>0</v>
      </c>
      <c r="AH167" s="1232">
        <f t="shared" si="845"/>
        <v>0</v>
      </c>
      <c r="AI167" s="1232">
        <f t="shared" si="845"/>
        <v>0</v>
      </c>
      <c r="AJ167" s="1234">
        <f t="shared" si="815"/>
        <v>0</v>
      </c>
      <c r="AK167" s="1235">
        <f t="shared" si="816"/>
        <v>0</v>
      </c>
      <c r="AL167" s="1195">
        <v>0</v>
      </c>
      <c r="AM167" s="1224">
        <v>0</v>
      </c>
      <c r="AN167" s="1236">
        <v>0</v>
      </c>
      <c r="AO167" s="1243">
        <v>0</v>
      </c>
      <c r="AP167" s="1221">
        <v>0</v>
      </c>
      <c r="AQ167" s="1221">
        <v>0</v>
      </c>
      <c r="AR167" s="1221">
        <v>0</v>
      </c>
      <c r="AS167" s="1221">
        <f>AO167+AQ167</f>
        <v>0</v>
      </c>
      <c r="AT167" s="1244">
        <f>AP167+AR167</f>
        <v>0</v>
      </c>
      <c r="AU167" s="1245">
        <v>0</v>
      </c>
      <c r="AV167" s="1224">
        <v>0</v>
      </c>
      <c r="AW167" s="1224">
        <v>0</v>
      </c>
      <c r="AX167" s="1224">
        <v>0</v>
      </c>
      <c r="AY167" s="1198">
        <f>AU167+AW167</f>
        <v>0</v>
      </c>
      <c r="AZ167" s="1199">
        <f>AV167+AX167</f>
        <v>0</v>
      </c>
      <c r="BA167" s="1175">
        <v>0</v>
      </c>
      <c r="BB167" s="1226">
        <v>0</v>
      </c>
      <c r="BC167" s="1214">
        <v>0</v>
      </c>
      <c r="BD167" s="1177">
        <v>0</v>
      </c>
      <c r="BE167" s="1177">
        <v>0</v>
      </c>
      <c r="BF167" s="1177">
        <v>0</v>
      </c>
      <c r="BG167" s="1177">
        <f>BC167+BE167</f>
        <v>0</v>
      </c>
      <c r="BH167" s="1177">
        <f>BD167+BF167</f>
        <v>0</v>
      </c>
      <c r="BI167" s="1178">
        <f t="shared" si="848"/>
        <v>0</v>
      </c>
      <c r="BJ167" s="1175">
        <v>0</v>
      </c>
      <c r="BK167" s="1180">
        <v>0</v>
      </c>
      <c r="BL167" s="1180">
        <v>0</v>
      </c>
      <c r="BM167" s="1180">
        <v>0</v>
      </c>
      <c r="BN167" s="1180">
        <f>BJ167+BL167</f>
        <v>0</v>
      </c>
      <c r="BO167" s="1180">
        <f>BK167+BM167</f>
        <v>0</v>
      </c>
      <c r="BP167" s="1181">
        <f t="shared" si="850"/>
        <v>0</v>
      </c>
      <c r="BQ167" s="1246">
        <f>BA167/T167</f>
        <v>0</v>
      </c>
      <c r="BR167" s="1195"/>
      <c r="BS167" s="1224"/>
      <c r="BT167" s="1236"/>
      <c r="BU167" s="1243"/>
      <c r="BV167" s="1221"/>
      <c r="BW167" s="1221"/>
      <c r="BX167" s="1221"/>
      <c r="BY167" s="1221">
        <f>BU167+BW167</f>
        <v>0</v>
      </c>
      <c r="BZ167" s="1244">
        <f>BV167+BX167</f>
        <v>0</v>
      </c>
      <c r="CA167" s="1245"/>
      <c r="CB167" s="1224"/>
      <c r="CC167" s="1224">
        <v>0</v>
      </c>
      <c r="CD167" s="1224">
        <v>0</v>
      </c>
      <c r="CE167" s="1198">
        <f>CA167+CC167</f>
        <v>0</v>
      </c>
      <c r="CF167" s="1199">
        <f>CB167+CD167</f>
        <v>0</v>
      </c>
      <c r="CG167" s="1262">
        <f t="shared" si="852"/>
        <v>0</v>
      </c>
      <c r="CH167" s="1226">
        <f t="shared" si="852"/>
        <v>0</v>
      </c>
      <c r="CI167" s="1176">
        <f t="shared" si="852"/>
        <v>0</v>
      </c>
      <c r="CJ167" s="1177">
        <f t="shared" si="852"/>
        <v>0</v>
      </c>
      <c r="CK167" s="1177">
        <f t="shared" si="852"/>
        <v>0</v>
      </c>
      <c r="CL167" s="1177">
        <f t="shared" si="852"/>
        <v>0</v>
      </c>
      <c r="CM167" s="1177">
        <f t="shared" si="852"/>
        <v>0</v>
      </c>
      <c r="CN167" s="1177">
        <f t="shared" si="852"/>
        <v>0</v>
      </c>
      <c r="CO167" s="1178">
        <f t="shared" si="820"/>
        <v>0</v>
      </c>
      <c r="CP167" s="1179">
        <f t="shared" si="853"/>
        <v>0</v>
      </c>
      <c r="CQ167" s="1180">
        <f t="shared" si="853"/>
        <v>0</v>
      </c>
      <c r="CR167" s="1180">
        <f t="shared" si="853"/>
        <v>0</v>
      </c>
      <c r="CS167" s="1180">
        <f t="shared" si="853"/>
        <v>0</v>
      </c>
      <c r="CT167" s="1180">
        <f t="shared" si="853"/>
        <v>0</v>
      </c>
      <c r="CU167" s="1180">
        <f t="shared" si="853"/>
        <v>0</v>
      </c>
      <c r="CV167" s="1181">
        <f t="shared" si="822"/>
        <v>0</v>
      </c>
      <c r="CW167" s="1228">
        <f t="shared" si="823"/>
        <v>0</v>
      </c>
      <c r="CX167" s="1195"/>
      <c r="CY167" s="1224">
        <f>DB167</f>
        <v>20752.830000000002</v>
      </c>
      <c r="CZ167" s="1236">
        <f>CY167</f>
        <v>20752.830000000002</v>
      </c>
      <c r="DA167" s="1243"/>
      <c r="DB167" s="1221">
        <v>20752.830000000002</v>
      </c>
      <c r="DC167" s="1221"/>
      <c r="DD167" s="1221"/>
      <c r="DE167" s="1221">
        <f>DA167+DC167</f>
        <v>0</v>
      </c>
      <c r="DF167" s="1244">
        <f>DB167+DD167</f>
        <v>20752.830000000002</v>
      </c>
      <c r="DG167" s="1245"/>
      <c r="DH167" s="1224"/>
      <c r="DI167" s="1224">
        <v>0</v>
      </c>
      <c r="DJ167" s="1224">
        <f>DB167</f>
        <v>20752.830000000002</v>
      </c>
      <c r="DK167" s="1198">
        <f>DG167+DI167</f>
        <v>0</v>
      </c>
      <c r="DL167" s="1199">
        <f>DH167+DJ167</f>
        <v>20752.830000000002</v>
      </c>
      <c r="DM167" s="1262">
        <f t="shared" si="855"/>
        <v>20752.830000000002</v>
      </c>
      <c r="DN167" s="1226">
        <f t="shared" si="855"/>
        <v>20752.830000000002</v>
      </c>
      <c r="DO167" s="1176">
        <f t="shared" si="856"/>
        <v>0</v>
      </c>
      <c r="DP167" s="1177">
        <f t="shared" si="857"/>
        <v>20752.830000000002</v>
      </c>
      <c r="DQ167" s="1177">
        <f t="shared" si="858"/>
        <v>0</v>
      </c>
      <c r="DR167" s="1177">
        <f t="shared" si="859"/>
        <v>0</v>
      </c>
      <c r="DS167" s="1177">
        <f t="shared" si="860"/>
        <v>0</v>
      </c>
      <c r="DT167" s="1177">
        <f t="shared" si="861"/>
        <v>20752.830000000002</v>
      </c>
      <c r="DU167" s="1178">
        <f t="shared" si="825"/>
        <v>0.12597663345889823</v>
      </c>
      <c r="DV167" s="1179">
        <f t="shared" si="862"/>
        <v>0</v>
      </c>
      <c r="DW167" s="1180">
        <f t="shared" si="863"/>
        <v>0</v>
      </c>
      <c r="DX167" s="1180">
        <f t="shared" si="864"/>
        <v>0</v>
      </c>
      <c r="DY167" s="1180">
        <f t="shared" si="865"/>
        <v>20752.830000000002</v>
      </c>
      <c r="DZ167" s="1180">
        <f t="shared" si="866"/>
        <v>0</v>
      </c>
      <c r="EA167" s="1180">
        <f t="shared" si="867"/>
        <v>20752.830000000002</v>
      </c>
      <c r="EB167" s="1265">
        <f t="shared" si="827"/>
        <v>0.12597663345889823</v>
      </c>
      <c r="EC167" s="1487">
        <f>DM167/T167</f>
        <v>0.12597663345889823</v>
      </c>
      <c r="ED167" s="1494"/>
      <c r="EE167" s="1224"/>
      <c r="EF167" s="1236"/>
      <c r="EG167" s="1243"/>
      <c r="EH167" s="1221"/>
      <c r="EI167" s="1221"/>
      <c r="EJ167" s="1221"/>
      <c r="EK167" s="1221">
        <f>EG167+EI167</f>
        <v>0</v>
      </c>
      <c r="EL167" s="1244">
        <f>EH167+EJ167</f>
        <v>0</v>
      </c>
      <c r="EM167" s="1245"/>
      <c r="EN167" s="1224"/>
      <c r="EO167" s="1224"/>
      <c r="EP167" s="1224"/>
      <c r="EQ167" s="1198">
        <f>EM167+EO167</f>
        <v>0</v>
      </c>
      <c r="ER167" s="1199">
        <f>EN167+EP167</f>
        <v>0</v>
      </c>
      <c r="ES167" s="1262">
        <f t="shared" si="829"/>
        <v>20752.830000000002</v>
      </c>
      <c r="ET167" s="1462">
        <f t="shared" si="829"/>
        <v>20752.830000000002</v>
      </c>
      <c r="EU167" s="1176">
        <f t="shared" si="868"/>
        <v>0</v>
      </c>
      <c r="EV167" s="1177">
        <f t="shared" si="830"/>
        <v>20752.830000000002</v>
      </c>
      <c r="EW167" s="1177">
        <f t="shared" si="830"/>
        <v>0</v>
      </c>
      <c r="EX167" s="1177">
        <f t="shared" si="830"/>
        <v>0</v>
      </c>
      <c r="EY167" s="1177">
        <f t="shared" si="830"/>
        <v>0</v>
      </c>
      <c r="EZ167" s="1177">
        <f t="shared" si="830"/>
        <v>20752.830000000002</v>
      </c>
      <c r="FA167" s="1178">
        <f t="shared" si="831"/>
        <v>0.12597663345889823</v>
      </c>
      <c r="FB167" s="1179">
        <f t="shared" si="832"/>
        <v>0</v>
      </c>
      <c r="FC167" s="1180">
        <f t="shared" si="833"/>
        <v>0</v>
      </c>
      <c r="FD167" s="1180">
        <f t="shared" si="833"/>
        <v>0</v>
      </c>
      <c r="FE167" s="1180">
        <f t="shared" si="833"/>
        <v>20752.830000000002</v>
      </c>
      <c r="FF167" s="1180">
        <f t="shared" si="833"/>
        <v>0</v>
      </c>
      <c r="FG167" s="1180">
        <f t="shared" si="833"/>
        <v>20752.830000000002</v>
      </c>
      <c r="FH167" s="1181">
        <f t="shared" si="869"/>
        <v>0.12597663345889823</v>
      </c>
      <c r="FI167" s="1261">
        <f>ES167/T167</f>
        <v>0.12597663345889823</v>
      </c>
      <c r="FJ167" s="1494"/>
      <c r="FK167" s="1224">
        <f>FN167</f>
        <v>7400.24</v>
      </c>
      <c r="FL167" s="1236">
        <f>FK167</f>
        <v>7400.24</v>
      </c>
      <c r="FM167" s="1243"/>
      <c r="FN167" s="1221">
        <v>7400.24</v>
      </c>
      <c r="FO167" s="1221"/>
      <c r="FP167" s="1221"/>
      <c r="FQ167" s="1221">
        <f>FM167+FO167</f>
        <v>0</v>
      </c>
      <c r="FR167" s="1244">
        <f>FN167+FP167</f>
        <v>7400.24</v>
      </c>
      <c r="FS167" s="1245"/>
      <c r="FT167" s="1224"/>
      <c r="FU167" s="1224"/>
      <c r="FV167" s="1224">
        <f>FN167</f>
        <v>7400.24</v>
      </c>
      <c r="FW167" s="1198">
        <f>FS167+FU167</f>
        <v>0</v>
      </c>
      <c r="FX167" s="1199">
        <f>FT167+FV167</f>
        <v>7400.24</v>
      </c>
      <c r="FY167" s="1262">
        <f t="shared" si="870"/>
        <v>28153.07</v>
      </c>
      <c r="FZ167" s="1462">
        <f t="shared" si="870"/>
        <v>28153.07</v>
      </c>
      <c r="GA167" s="1176">
        <f t="shared" si="871"/>
        <v>0</v>
      </c>
      <c r="GB167" s="1177">
        <f t="shared" si="872"/>
        <v>28153.07</v>
      </c>
      <c r="GC167" s="1177">
        <f t="shared" si="873"/>
        <v>0</v>
      </c>
      <c r="GD167" s="1177">
        <f t="shared" si="874"/>
        <v>0</v>
      </c>
      <c r="GE167" s="1177">
        <f t="shared" si="875"/>
        <v>0</v>
      </c>
      <c r="GF167" s="1177">
        <f t="shared" si="876"/>
        <v>28153.07</v>
      </c>
      <c r="GG167" s="1178">
        <f t="shared" si="836"/>
        <v>0.17089857046642332</v>
      </c>
      <c r="GH167" s="1179">
        <f t="shared" si="877"/>
        <v>0</v>
      </c>
      <c r="GI167" s="1180">
        <f t="shared" si="878"/>
        <v>0</v>
      </c>
      <c r="GJ167" s="1180">
        <f t="shared" si="879"/>
        <v>0</v>
      </c>
      <c r="GK167" s="1180">
        <f t="shared" si="880"/>
        <v>28153.07</v>
      </c>
      <c r="GL167" s="1180">
        <f t="shared" si="881"/>
        <v>0</v>
      </c>
      <c r="GM167" s="1180">
        <f t="shared" si="882"/>
        <v>28153.07</v>
      </c>
      <c r="GN167" s="1181">
        <f t="shared" si="897"/>
        <v>0.17089857046642332</v>
      </c>
      <c r="GO167" s="1228">
        <f>FY167/T167</f>
        <v>0.17089857046642332</v>
      </c>
      <c r="GP167" s="1494"/>
      <c r="GQ167" s="1224"/>
      <c r="GR167" s="1236"/>
      <c r="GS167" s="1243"/>
      <c r="GT167" s="1221"/>
      <c r="GU167" s="1221"/>
      <c r="GV167" s="1221"/>
      <c r="GW167" s="1221">
        <f>GS167+GU167</f>
        <v>0</v>
      </c>
      <c r="GX167" s="1244">
        <f>GT167+GV167</f>
        <v>0</v>
      </c>
      <c r="GY167" s="1245"/>
      <c r="GZ167" s="1224"/>
      <c r="HA167" s="1224"/>
      <c r="HB167" s="1224"/>
      <c r="HC167" s="1198">
        <f t="shared" si="883"/>
        <v>0</v>
      </c>
      <c r="HD167" s="1199">
        <f t="shared" si="898"/>
        <v>0</v>
      </c>
      <c r="HE167" s="1690">
        <f t="shared" si="884"/>
        <v>28153.07</v>
      </c>
      <c r="HF167" s="1462">
        <f t="shared" si="884"/>
        <v>28153.07</v>
      </c>
      <c r="HG167" s="1176">
        <f t="shared" si="885"/>
        <v>0</v>
      </c>
      <c r="HH167" s="1177">
        <f t="shared" si="886"/>
        <v>28153.07</v>
      </c>
      <c r="HI167" s="1177">
        <f t="shared" si="887"/>
        <v>0</v>
      </c>
      <c r="HJ167" s="1177">
        <f t="shared" si="888"/>
        <v>0</v>
      </c>
      <c r="HK167" s="1177">
        <f t="shared" si="889"/>
        <v>0</v>
      </c>
      <c r="HL167" s="1177">
        <f t="shared" si="890"/>
        <v>28153.07</v>
      </c>
      <c r="HM167" s="1178">
        <f t="shared" si="840"/>
        <v>0.17089857046642332</v>
      </c>
      <c r="HN167" s="1179">
        <f t="shared" si="891"/>
        <v>0</v>
      </c>
      <c r="HO167" s="1180">
        <f t="shared" si="892"/>
        <v>0</v>
      </c>
      <c r="HP167" s="1180">
        <f t="shared" si="893"/>
        <v>0</v>
      </c>
      <c r="HQ167" s="1180">
        <f t="shared" si="894"/>
        <v>28153.07</v>
      </c>
      <c r="HR167" s="1180">
        <f t="shared" si="895"/>
        <v>0</v>
      </c>
      <c r="HS167" s="1180">
        <f t="shared" si="896"/>
        <v>28153.07</v>
      </c>
      <c r="HT167" s="1181">
        <f t="shared" si="842"/>
        <v>0.17089857046642332</v>
      </c>
      <c r="HU167" s="1228">
        <f>HE167/T167</f>
        <v>0.17089857046642332</v>
      </c>
    </row>
    <row r="168" spans="1:229" ht="18" customHeight="1" collapsed="1" x14ac:dyDescent="0.2">
      <c r="A168" s="3671"/>
      <c r="B168" s="3672"/>
      <c r="C168" s="511" t="s">
        <v>474</v>
      </c>
      <c r="D168" s="667" t="s">
        <v>476</v>
      </c>
      <c r="E168" s="1731" t="s">
        <v>335</v>
      </c>
      <c r="F168" s="1372" t="s">
        <v>335</v>
      </c>
      <c r="G168" s="1372" t="s">
        <v>335</v>
      </c>
      <c r="H168" s="1372" t="s">
        <v>335</v>
      </c>
      <c r="I168" s="1372" t="s">
        <v>335</v>
      </c>
      <c r="J168" s="1372" t="s">
        <v>335</v>
      </c>
      <c r="K168" s="1372" t="s">
        <v>335</v>
      </c>
      <c r="L168" s="1372" t="s">
        <v>335</v>
      </c>
      <c r="M168" s="1372" t="s">
        <v>335</v>
      </c>
      <c r="N168" s="1373" t="s">
        <v>335</v>
      </c>
      <c r="O168" s="1361" t="s">
        <v>335</v>
      </c>
      <c r="P168" s="1362" t="s">
        <v>335</v>
      </c>
      <c r="Q168" s="1362" t="s">
        <v>335</v>
      </c>
      <c r="R168" s="519">
        <f>SUM(R169:R172)</f>
        <v>1093185.27</v>
      </c>
      <c r="S168" s="520">
        <f>R168</f>
        <v>1093185.27</v>
      </c>
      <c r="T168" s="1345" t="s">
        <v>335</v>
      </c>
      <c r="U168" s="1346" t="s">
        <v>335</v>
      </c>
      <c r="V168" s="1347" t="s">
        <v>335</v>
      </c>
      <c r="W168" s="524">
        <f t="shared" ref="W168:AB168" si="899">SUM(W169:W172)</f>
        <v>223776</v>
      </c>
      <c r="X168" s="524">
        <f t="shared" si="899"/>
        <v>792662.86</v>
      </c>
      <c r="Y168" s="524">
        <f t="shared" si="899"/>
        <v>0</v>
      </c>
      <c r="Z168" s="524">
        <f t="shared" si="899"/>
        <v>0</v>
      </c>
      <c r="AA168" s="524">
        <f t="shared" si="899"/>
        <v>223776</v>
      </c>
      <c r="AB168" s="524">
        <f t="shared" si="899"/>
        <v>792662.86</v>
      </c>
      <c r="AC168" s="526">
        <f>AB168/R168</f>
        <v>0.72509471335997788</v>
      </c>
      <c r="AD168" s="522">
        <f t="shared" ref="AD168:AI168" si="900">SUM(AD169:AD172)</f>
        <v>671328</v>
      </c>
      <c r="AE168" s="522">
        <f t="shared" si="900"/>
        <v>792662.86</v>
      </c>
      <c r="AF168" s="522">
        <f t="shared" si="900"/>
        <v>0</v>
      </c>
      <c r="AG168" s="522">
        <f t="shared" si="900"/>
        <v>0</v>
      </c>
      <c r="AH168" s="522">
        <f t="shared" si="900"/>
        <v>671328</v>
      </c>
      <c r="AI168" s="522">
        <f t="shared" si="900"/>
        <v>792662.86</v>
      </c>
      <c r="AJ168" s="1397">
        <f>AI168/R168</f>
        <v>0.72509471335997788</v>
      </c>
      <c r="AK168" s="1398" t="s">
        <v>335</v>
      </c>
      <c r="AL168" s="731"/>
      <c r="AM168" s="533"/>
      <c r="AN168" s="725"/>
      <c r="AO168" s="1257">
        <f t="shared" ref="AO168:AZ168" si="901">SUM(AO169:AO172)</f>
        <v>0</v>
      </c>
      <c r="AP168" s="531">
        <f t="shared" si="901"/>
        <v>0</v>
      </c>
      <c r="AQ168" s="531">
        <f t="shared" si="901"/>
        <v>0</v>
      </c>
      <c r="AR168" s="531">
        <f t="shared" si="901"/>
        <v>0</v>
      </c>
      <c r="AS168" s="531">
        <f t="shared" si="901"/>
        <v>0</v>
      </c>
      <c r="AT168" s="1374">
        <f t="shared" si="901"/>
        <v>0</v>
      </c>
      <c r="AU168" s="529">
        <f t="shared" si="901"/>
        <v>0</v>
      </c>
      <c r="AV168" s="533">
        <f t="shared" si="901"/>
        <v>0</v>
      </c>
      <c r="AW168" s="533">
        <f t="shared" si="901"/>
        <v>0</v>
      </c>
      <c r="AX168" s="533">
        <f t="shared" si="901"/>
        <v>0</v>
      </c>
      <c r="AY168" s="533">
        <f t="shared" si="901"/>
        <v>0</v>
      </c>
      <c r="AZ168" s="1375">
        <f t="shared" si="901"/>
        <v>0</v>
      </c>
      <c r="BA168" s="1348">
        <v>0</v>
      </c>
      <c r="BB168" s="1393">
        <v>0</v>
      </c>
      <c r="BC168" s="1366">
        <f t="shared" ref="BC168:BH168" si="902">SUM(BC169:BC172)</f>
        <v>223776</v>
      </c>
      <c r="BD168" s="1366">
        <f t="shared" si="902"/>
        <v>792662.86</v>
      </c>
      <c r="BE168" s="1366">
        <f t="shared" si="902"/>
        <v>0</v>
      </c>
      <c r="BF168" s="1366">
        <f t="shared" si="902"/>
        <v>0</v>
      </c>
      <c r="BG168" s="1366">
        <f t="shared" si="902"/>
        <v>223776</v>
      </c>
      <c r="BH168" s="1366">
        <f t="shared" si="902"/>
        <v>792662.86</v>
      </c>
      <c r="BI168" s="1394">
        <f t="shared" si="848"/>
        <v>0.72509471335997788</v>
      </c>
      <c r="BJ168" s="1348">
        <f t="shared" ref="BJ168:BO168" si="903">SUM(BJ169:BJ172)</f>
        <v>671328</v>
      </c>
      <c r="BK168" s="1348">
        <f t="shared" si="903"/>
        <v>792662.86</v>
      </c>
      <c r="BL168" s="1348">
        <f t="shared" si="903"/>
        <v>0</v>
      </c>
      <c r="BM168" s="1348">
        <f t="shared" si="903"/>
        <v>0</v>
      </c>
      <c r="BN168" s="1348">
        <f t="shared" si="903"/>
        <v>671328</v>
      </c>
      <c r="BO168" s="1348">
        <f t="shared" si="903"/>
        <v>792662.86</v>
      </c>
      <c r="BP168" s="1395">
        <f t="shared" si="850"/>
        <v>0.72509471335997788</v>
      </c>
      <c r="BQ168" s="1398" t="s">
        <v>335</v>
      </c>
      <c r="BR168" s="731"/>
      <c r="BS168" s="533"/>
      <c r="BT168" s="725"/>
      <c r="BU168" s="1257">
        <f t="shared" ref="BU168:CF168" si="904">SUM(BU169:BU172)</f>
        <v>0</v>
      </c>
      <c r="BV168" s="1257">
        <f t="shared" si="904"/>
        <v>0</v>
      </c>
      <c r="BW168" s="1257">
        <f t="shared" si="904"/>
        <v>0</v>
      </c>
      <c r="BX168" s="1257">
        <f t="shared" si="904"/>
        <v>0</v>
      </c>
      <c r="BY168" s="1257">
        <f t="shared" si="904"/>
        <v>0</v>
      </c>
      <c r="BZ168" s="532">
        <f t="shared" si="904"/>
        <v>0</v>
      </c>
      <c r="CA168" s="529">
        <f t="shared" si="904"/>
        <v>0</v>
      </c>
      <c r="CB168" s="533">
        <f t="shared" si="904"/>
        <v>0</v>
      </c>
      <c r="CC168" s="533">
        <f t="shared" si="904"/>
        <v>0</v>
      </c>
      <c r="CD168" s="533">
        <f t="shared" si="904"/>
        <v>0</v>
      </c>
      <c r="CE168" s="533">
        <f t="shared" si="904"/>
        <v>0</v>
      </c>
      <c r="CF168" s="1375">
        <f t="shared" si="904"/>
        <v>0</v>
      </c>
      <c r="CG168" s="1376" t="s">
        <v>335</v>
      </c>
      <c r="CH168" s="1377" t="s">
        <v>335</v>
      </c>
      <c r="CI168" s="523">
        <f t="shared" ref="CI168:CN172" si="905">BC168+BU168</f>
        <v>223776</v>
      </c>
      <c r="CJ168" s="525">
        <f t="shared" si="905"/>
        <v>792662.86</v>
      </c>
      <c r="CK168" s="525">
        <f t="shared" si="905"/>
        <v>0</v>
      </c>
      <c r="CL168" s="525">
        <f t="shared" si="905"/>
        <v>0</v>
      </c>
      <c r="CM168" s="525">
        <f t="shared" si="905"/>
        <v>223776</v>
      </c>
      <c r="CN168" s="525">
        <f t="shared" si="905"/>
        <v>792662.86</v>
      </c>
      <c r="CO168" s="526">
        <f t="shared" si="820"/>
        <v>0.72509471335997788</v>
      </c>
      <c r="CP168" s="537">
        <f t="shared" ref="CP168:CU172" si="906">BJ168+CA168</f>
        <v>671328</v>
      </c>
      <c r="CQ168" s="538">
        <f t="shared" si="906"/>
        <v>792662.86</v>
      </c>
      <c r="CR168" s="538">
        <f t="shared" si="906"/>
        <v>0</v>
      </c>
      <c r="CS168" s="538">
        <f t="shared" si="906"/>
        <v>0</v>
      </c>
      <c r="CT168" s="538">
        <f t="shared" si="906"/>
        <v>671328</v>
      </c>
      <c r="CU168" s="538">
        <f t="shared" si="906"/>
        <v>792662.86</v>
      </c>
      <c r="CV168" s="539">
        <f t="shared" si="822"/>
        <v>0.72509471335997788</v>
      </c>
      <c r="CW168" s="1371" t="s">
        <v>335</v>
      </c>
      <c r="CX168" s="731"/>
      <c r="CY168" s="533"/>
      <c r="CZ168" s="725"/>
      <c r="DA168" s="1257">
        <f t="shared" ref="DA168:DL168" si="907">SUM(DA169:DA172)</f>
        <v>0</v>
      </c>
      <c r="DB168" s="1257">
        <f t="shared" si="907"/>
        <v>0</v>
      </c>
      <c r="DC168" s="1257">
        <f t="shared" si="907"/>
        <v>0</v>
      </c>
      <c r="DD168" s="1257">
        <f t="shared" si="907"/>
        <v>0</v>
      </c>
      <c r="DE168" s="1257">
        <f t="shared" si="907"/>
        <v>0</v>
      </c>
      <c r="DF168" s="532">
        <f t="shared" si="907"/>
        <v>0</v>
      </c>
      <c r="DG168" s="529">
        <f t="shared" si="907"/>
        <v>0</v>
      </c>
      <c r="DH168" s="533">
        <f t="shared" si="907"/>
        <v>0</v>
      </c>
      <c r="DI168" s="533">
        <f t="shared" si="907"/>
        <v>0</v>
      </c>
      <c r="DJ168" s="533">
        <f t="shared" si="907"/>
        <v>0</v>
      </c>
      <c r="DK168" s="533">
        <f t="shared" si="907"/>
        <v>0</v>
      </c>
      <c r="DL168" s="1375">
        <f t="shared" si="907"/>
        <v>0</v>
      </c>
      <c r="DM168" s="1376" t="s">
        <v>335</v>
      </c>
      <c r="DN168" s="1377" t="s">
        <v>335</v>
      </c>
      <c r="DO168" s="523">
        <f t="shared" si="856"/>
        <v>223776</v>
      </c>
      <c r="DP168" s="525">
        <f t="shared" si="857"/>
        <v>792662.86</v>
      </c>
      <c r="DQ168" s="525">
        <f t="shared" si="858"/>
        <v>0</v>
      </c>
      <c r="DR168" s="525">
        <f t="shared" si="859"/>
        <v>0</v>
      </c>
      <c r="DS168" s="525">
        <f t="shared" si="860"/>
        <v>223776</v>
      </c>
      <c r="DT168" s="525">
        <f t="shared" si="861"/>
        <v>792662.86</v>
      </c>
      <c r="DU168" s="526">
        <f t="shared" si="825"/>
        <v>0.72509471335997788</v>
      </c>
      <c r="DV168" s="537">
        <f t="shared" si="862"/>
        <v>671328</v>
      </c>
      <c r="DW168" s="538">
        <f t="shared" si="863"/>
        <v>792662.86</v>
      </c>
      <c r="DX168" s="538">
        <f t="shared" si="864"/>
        <v>0</v>
      </c>
      <c r="DY168" s="538">
        <f t="shared" si="865"/>
        <v>0</v>
      </c>
      <c r="DZ168" s="538">
        <f t="shared" si="866"/>
        <v>671328</v>
      </c>
      <c r="EA168" s="538">
        <f t="shared" si="867"/>
        <v>792662.86</v>
      </c>
      <c r="EB168" s="539">
        <f t="shared" si="827"/>
        <v>0.72509471335997788</v>
      </c>
      <c r="EC168" s="1488" t="s">
        <v>335</v>
      </c>
      <c r="ED168" s="1495">
        <f t="shared" ref="ED168:EP168" si="908">SUM(ED169:ED172)</f>
        <v>0</v>
      </c>
      <c r="EE168" s="731">
        <f t="shared" si="908"/>
        <v>0</v>
      </c>
      <c r="EF168" s="1496">
        <f t="shared" si="908"/>
        <v>0</v>
      </c>
      <c r="EG168" s="1257">
        <f t="shared" si="908"/>
        <v>0</v>
      </c>
      <c r="EH168" s="1257">
        <f t="shared" si="908"/>
        <v>0</v>
      </c>
      <c r="EI168" s="1257">
        <f t="shared" si="908"/>
        <v>0</v>
      </c>
      <c r="EJ168" s="1257">
        <f t="shared" si="908"/>
        <v>0</v>
      </c>
      <c r="EK168" s="1257">
        <f t="shared" si="908"/>
        <v>0</v>
      </c>
      <c r="EL168" s="532">
        <f t="shared" si="908"/>
        <v>0</v>
      </c>
      <c r="EM168" s="529">
        <f t="shared" si="908"/>
        <v>0</v>
      </c>
      <c r="EN168" s="529">
        <f t="shared" si="908"/>
        <v>0</v>
      </c>
      <c r="EO168" s="529">
        <f t="shared" si="908"/>
        <v>0</v>
      </c>
      <c r="EP168" s="529">
        <f t="shared" si="908"/>
        <v>0</v>
      </c>
      <c r="EQ168" s="533">
        <f>EM168+EO168</f>
        <v>0</v>
      </c>
      <c r="ER168" s="1375">
        <f>EN168+EP168</f>
        <v>0</v>
      </c>
      <c r="ES168" s="1376" t="s">
        <v>335</v>
      </c>
      <c r="ET168" s="1463" t="s">
        <v>335</v>
      </c>
      <c r="EU168" s="523">
        <f t="shared" si="868"/>
        <v>223776</v>
      </c>
      <c r="EV168" s="525">
        <f t="shared" si="830"/>
        <v>792662.86</v>
      </c>
      <c r="EW168" s="525">
        <f t="shared" si="830"/>
        <v>0</v>
      </c>
      <c r="EX168" s="525">
        <f t="shared" si="830"/>
        <v>0</v>
      </c>
      <c r="EY168" s="525">
        <f t="shared" si="830"/>
        <v>223776</v>
      </c>
      <c r="EZ168" s="525">
        <f t="shared" si="830"/>
        <v>792662.86</v>
      </c>
      <c r="FA168" s="526">
        <f t="shared" si="831"/>
        <v>0.72509471335997788</v>
      </c>
      <c r="FB168" s="537">
        <f t="shared" si="832"/>
        <v>671328</v>
      </c>
      <c r="FC168" s="538">
        <f t="shared" si="833"/>
        <v>792662.86</v>
      </c>
      <c r="FD168" s="538">
        <f t="shared" si="833"/>
        <v>0</v>
      </c>
      <c r="FE168" s="538">
        <f t="shared" si="833"/>
        <v>0</v>
      </c>
      <c r="FF168" s="538">
        <f t="shared" si="833"/>
        <v>671328</v>
      </c>
      <c r="FG168" s="538">
        <f t="shared" si="833"/>
        <v>792662.86</v>
      </c>
      <c r="FH168" s="539">
        <f t="shared" si="869"/>
        <v>0.72509471335997788</v>
      </c>
      <c r="FI168" s="1371" t="s">
        <v>335</v>
      </c>
      <c r="FJ168" s="1495">
        <f t="shared" ref="FJ168:FV168" si="909">SUM(FJ169:FJ172)</f>
        <v>0</v>
      </c>
      <c r="FK168" s="731">
        <f t="shared" si="909"/>
        <v>0</v>
      </c>
      <c r="FL168" s="1496">
        <f t="shared" si="909"/>
        <v>0</v>
      </c>
      <c r="FM168" s="1257">
        <f t="shared" si="909"/>
        <v>0</v>
      </c>
      <c r="FN168" s="1257">
        <f t="shared" si="909"/>
        <v>0</v>
      </c>
      <c r="FO168" s="1257">
        <f t="shared" si="909"/>
        <v>0</v>
      </c>
      <c r="FP168" s="1257">
        <f t="shared" si="909"/>
        <v>0</v>
      </c>
      <c r="FQ168" s="1257">
        <f t="shared" si="909"/>
        <v>0</v>
      </c>
      <c r="FR168" s="532">
        <f t="shared" si="909"/>
        <v>0</v>
      </c>
      <c r="FS168" s="529">
        <f t="shared" si="909"/>
        <v>0</v>
      </c>
      <c r="FT168" s="529">
        <f t="shared" si="909"/>
        <v>0</v>
      </c>
      <c r="FU168" s="529">
        <f t="shared" si="909"/>
        <v>0</v>
      </c>
      <c r="FV168" s="529">
        <f t="shared" si="909"/>
        <v>0</v>
      </c>
      <c r="FW168" s="533">
        <f>FS168+FU168</f>
        <v>0</v>
      </c>
      <c r="FX168" s="1375">
        <f>FT168+FV168</f>
        <v>0</v>
      </c>
      <c r="FY168" s="1376" t="s">
        <v>335</v>
      </c>
      <c r="FZ168" s="1463" t="s">
        <v>335</v>
      </c>
      <c r="GA168" s="523">
        <f t="shared" si="871"/>
        <v>223776</v>
      </c>
      <c r="GB168" s="525">
        <f t="shared" si="872"/>
        <v>792662.86</v>
      </c>
      <c r="GC168" s="525">
        <f t="shared" si="873"/>
        <v>0</v>
      </c>
      <c r="GD168" s="525">
        <f t="shared" si="874"/>
        <v>0</v>
      </c>
      <c r="GE168" s="525">
        <f t="shared" si="875"/>
        <v>223776</v>
      </c>
      <c r="GF168" s="525">
        <f t="shared" si="876"/>
        <v>792662.86</v>
      </c>
      <c r="GG168" s="526">
        <f t="shared" si="836"/>
        <v>0.72509471335997788</v>
      </c>
      <c r="GH168" s="537">
        <f t="shared" si="877"/>
        <v>671328</v>
      </c>
      <c r="GI168" s="538">
        <f t="shared" si="878"/>
        <v>792662.86</v>
      </c>
      <c r="GJ168" s="538">
        <f t="shared" si="879"/>
        <v>0</v>
      </c>
      <c r="GK168" s="538">
        <f t="shared" si="880"/>
        <v>0</v>
      </c>
      <c r="GL168" s="538">
        <f t="shared" si="881"/>
        <v>671328</v>
      </c>
      <c r="GM168" s="538">
        <f t="shared" si="882"/>
        <v>792662.86</v>
      </c>
      <c r="GN168" s="1256">
        <f t="shared" si="897"/>
        <v>0.72509471335997788</v>
      </c>
      <c r="GO168" s="1371" t="s">
        <v>335</v>
      </c>
      <c r="GP168" s="1495">
        <f t="shared" ref="GP168:HB168" si="910">SUM(GP169:GP172)</f>
        <v>0</v>
      </c>
      <c r="GQ168" s="731">
        <f t="shared" si="910"/>
        <v>0</v>
      </c>
      <c r="GR168" s="1496">
        <f t="shared" si="910"/>
        <v>0</v>
      </c>
      <c r="GS168" s="1257">
        <f t="shared" si="910"/>
        <v>0</v>
      </c>
      <c r="GT168" s="1257">
        <f t="shared" si="910"/>
        <v>0</v>
      </c>
      <c r="GU168" s="1257">
        <f t="shared" si="910"/>
        <v>0</v>
      </c>
      <c r="GV168" s="1257">
        <f t="shared" si="910"/>
        <v>0</v>
      </c>
      <c r="GW168" s="1257">
        <f t="shared" si="910"/>
        <v>0</v>
      </c>
      <c r="GX168" s="532">
        <f t="shared" si="910"/>
        <v>0</v>
      </c>
      <c r="GY168" s="529">
        <f t="shared" si="910"/>
        <v>0</v>
      </c>
      <c r="GZ168" s="529">
        <f t="shared" si="910"/>
        <v>0</v>
      </c>
      <c r="HA168" s="529">
        <f t="shared" si="910"/>
        <v>0</v>
      </c>
      <c r="HB168" s="529">
        <f t="shared" si="910"/>
        <v>0</v>
      </c>
      <c r="HC168" s="533">
        <f t="shared" si="883"/>
        <v>0</v>
      </c>
      <c r="HD168" s="1375">
        <f t="shared" si="898"/>
        <v>0</v>
      </c>
      <c r="HE168" s="1691" t="s">
        <v>335</v>
      </c>
      <c r="HF168" s="1463" t="s">
        <v>335</v>
      </c>
      <c r="HG168" s="523">
        <f t="shared" si="885"/>
        <v>223776</v>
      </c>
      <c r="HH168" s="525">
        <f t="shared" si="886"/>
        <v>792662.86</v>
      </c>
      <c r="HI168" s="525">
        <f t="shared" si="887"/>
        <v>0</v>
      </c>
      <c r="HJ168" s="525">
        <f t="shared" si="888"/>
        <v>0</v>
      </c>
      <c r="HK168" s="525">
        <f t="shared" si="889"/>
        <v>223776</v>
      </c>
      <c r="HL168" s="525">
        <f t="shared" si="890"/>
        <v>792662.86</v>
      </c>
      <c r="HM168" s="526">
        <f t="shared" si="840"/>
        <v>0.72509471335997788</v>
      </c>
      <c r="HN168" s="537">
        <f t="shared" si="891"/>
        <v>671328</v>
      </c>
      <c r="HO168" s="538">
        <f t="shared" si="892"/>
        <v>792662.86</v>
      </c>
      <c r="HP168" s="538">
        <f t="shared" si="893"/>
        <v>0</v>
      </c>
      <c r="HQ168" s="538">
        <f t="shared" si="894"/>
        <v>0</v>
      </c>
      <c r="HR168" s="538">
        <f t="shared" si="895"/>
        <v>671328</v>
      </c>
      <c r="HS168" s="538">
        <f t="shared" si="896"/>
        <v>792662.86</v>
      </c>
      <c r="HT168" s="1256">
        <f t="shared" si="842"/>
        <v>0.72509471335997788</v>
      </c>
      <c r="HU168" s="1371" t="s">
        <v>335</v>
      </c>
    </row>
    <row r="169" spans="1:229" s="1170" customFormat="1" ht="18" customHeight="1" outlineLevel="1" x14ac:dyDescent="0.2">
      <c r="A169" s="3671"/>
      <c r="B169" s="3672"/>
      <c r="C169" s="1182">
        <v>1</v>
      </c>
      <c r="D169" s="1516" t="s">
        <v>342</v>
      </c>
      <c r="E169" s="1732" t="s">
        <v>335</v>
      </c>
      <c r="F169" s="1517" t="s">
        <v>335</v>
      </c>
      <c r="G169" s="1517" t="s">
        <v>335</v>
      </c>
      <c r="H169" s="1517" t="s">
        <v>335</v>
      </c>
      <c r="I169" s="1517" t="s">
        <v>335</v>
      </c>
      <c r="J169" s="1517" t="s">
        <v>335</v>
      </c>
      <c r="K169" s="1517" t="s">
        <v>335</v>
      </c>
      <c r="L169" s="1517" t="s">
        <v>335</v>
      </c>
      <c r="M169" s="1517" t="s">
        <v>335</v>
      </c>
      <c r="N169" s="1518" t="s">
        <v>335</v>
      </c>
      <c r="O169" s="1359" t="s">
        <v>335</v>
      </c>
      <c r="P169" s="1360" t="s">
        <v>335</v>
      </c>
      <c r="Q169" s="1360" t="s">
        <v>335</v>
      </c>
      <c r="R169" s="1171">
        <v>361945.41</v>
      </c>
      <c r="S169" s="1240">
        <f>R169</f>
        <v>361945.41</v>
      </c>
      <c r="T169" s="1350" t="s">
        <v>335</v>
      </c>
      <c r="U169" s="1351" t="s">
        <v>335</v>
      </c>
      <c r="V169" s="1352" t="s">
        <v>335</v>
      </c>
      <c r="W169" s="1214">
        <f>18648*6</f>
        <v>111888</v>
      </c>
      <c r="X169" s="1214">
        <v>361945.41</v>
      </c>
      <c r="Y169" s="1214"/>
      <c r="Z169" s="1214"/>
      <c r="AA169" s="1177">
        <f t="shared" ref="AA169:AB172" si="911">W169+Y169</f>
        <v>111888</v>
      </c>
      <c r="AB169" s="1177">
        <f t="shared" si="911"/>
        <v>361945.41</v>
      </c>
      <c r="AC169" s="1178">
        <f>AB169/R169</f>
        <v>1</v>
      </c>
      <c r="AD169" s="1233">
        <f>W169*3</f>
        <v>335664</v>
      </c>
      <c r="AE169" s="1233">
        <v>361945.41</v>
      </c>
      <c r="AF169" s="1233"/>
      <c r="AG169" s="1233"/>
      <c r="AH169" s="1232">
        <f t="shared" ref="AH169:AI172" si="912">AD169+AF169</f>
        <v>335664</v>
      </c>
      <c r="AI169" s="1233">
        <f t="shared" si="912"/>
        <v>361945.41</v>
      </c>
      <c r="AJ169" s="1234">
        <f>AI169/S169</f>
        <v>1</v>
      </c>
      <c r="AK169" s="1519" t="s">
        <v>335</v>
      </c>
      <c r="AL169" s="1195"/>
      <c r="AM169" s="1224"/>
      <c r="AN169" s="1236"/>
      <c r="AO169" s="1243"/>
      <c r="AP169" s="1221"/>
      <c r="AQ169" s="1221"/>
      <c r="AR169" s="1221"/>
      <c r="AS169" s="1221">
        <f t="shared" ref="AS169:AT172" si="913">AO169+AQ169</f>
        <v>0</v>
      </c>
      <c r="AT169" s="1282">
        <f t="shared" si="913"/>
        <v>0</v>
      </c>
      <c r="AU169" s="1245"/>
      <c r="AV169" s="1224"/>
      <c r="AW169" s="1224"/>
      <c r="AX169" s="1224"/>
      <c r="AY169" s="1198">
        <f t="shared" ref="AY169:AZ172" si="914">AU169+AW169</f>
        <v>0</v>
      </c>
      <c r="AZ169" s="1199">
        <f t="shared" si="914"/>
        <v>0</v>
      </c>
      <c r="BA169" s="1175">
        <v>0</v>
      </c>
      <c r="BB169" s="1226">
        <v>0</v>
      </c>
      <c r="BC169" s="1190">
        <f t="shared" ref="BC169:BH172" si="915">W169+AO169</f>
        <v>111888</v>
      </c>
      <c r="BD169" s="1323">
        <f t="shared" si="915"/>
        <v>361945.41</v>
      </c>
      <c r="BE169" s="1323">
        <f t="shared" si="915"/>
        <v>0</v>
      </c>
      <c r="BF169" s="1323">
        <f t="shared" si="915"/>
        <v>0</v>
      </c>
      <c r="BG169" s="1323">
        <f t="shared" si="915"/>
        <v>111888</v>
      </c>
      <c r="BH169" s="1323">
        <f t="shared" si="915"/>
        <v>361945.41</v>
      </c>
      <c r="BI169" s="1324">
        <f t="shared" si="848"/>
        <v>1</v>
      </c>
      <c r="BJ169" s="1329">
        <f t="shared" ref="BJ169:BO172" si="916">AD169+AU169</f>
        <v>335664</v>
      </c>
      <c r="BK169" s="1331">
        <f t="shared" si="916"/>
        <v>361945.41</v>
      </c>
      <c r="BL169" s="1331">
        <f t="shared" si="916"/>
        <v>0</v>
      </c>
      <c r="BM169" s="1331">
        <f t="shared" si="916"/>
        <v>0</v>
      </c>
      <c r="BN169" s="1331">
        <f t="shared" si="916"/>
        <v>335664</v>
      </c>
      <c r="BO169" s="1331">
        <f t="shared" si="916"/>
        <v>361945.41</v>
      </c>
      <c r="BP169" s="1332">
        <f t="shared" si="850"/>
        <v>1</v>
      </c>
      <c r="BQ169" s="1519" t="s">
        <v>335</v>
      </c>
      <c r="BR169" s="1195"/>
      <c r="BS169" s="1224"/>
      <c r="BT169" s="1236"/>
      <c r="BU169" s="1243"/>
      <c r="BV169" s="1221"/>
      <c r="BW169" s="1221"/>
      <c r="BX169" s="1221"/>
      <c r="BY169" s="1221">
        <f t="shared" ref="BY169:BZ172" si="917">BU169+BW169</f>
        <v>0</v>
      </c>
      <c r="BZ169" s="1244">
        <f t="shared" si="917"/>
        <v>0</v>
      </c>
      <c r="CA169" s="1245"/>
      <c r="CB169" s="1224"/>
      <c r="CC169" s="1224"/>
      <c r="CD169" s="1224"/>
      <c r="CE169" s="1198">
        <f t="shared" ref="CE169:CF172" si="918">CA169+CC169</f>
        <v>0</v>
      </c>
      <c r="CF169" s="1199">
        <f t="shared" si="918"/>
        <v>0</v>
      </c>
      <c r="CG169" s="1520" t="s">
        <v>335</v>
      </c>
      <c r="CH169" s="1521" t="s">
        <v>335</v>
      </c>
      <c r="CI169" s="1176">
        <f t="shared" si="905"/>
        <v>111888</v>
      </c>
      <c r="CJ169" s="1177">
        <f t="shared" si="905"/>
        <v>361945.41</v>
      </c>
      <c r="CK169" s="1177">
        <f t="shared" si="905"/>
        <v>0</v>
      </c>
      <c r="CL169" s="1177">
        <f t="shared" si="905"/>
        <v>0</v>
      </c>
      <c r="CM169" s="1177">
        <f t="shared" si="905"/>
        <v>111888</v>
      </c>
      <c r="CN169" s="1177">
        <f t="shared" si="905"/>
        <v>361945.41</v>
      </c>
      <c r="CO169" s="1178">
        <f t="shared" si="820"/>
        <v>1</v>
      </c>
      <c r="CP169" s="1179">
        <f t="shared" si="906"/>
        <v>335664</v>
      </c>
      <c r="CQ169" s="1180">
        <f t="shared" si="906"/>
        <v>361945.41</v>
      </c>
      <c r="CR169" s="1180">
        <f t="shared" si="906"/>
        <v>0</v>
      </c>
      <c r="CS169" s="1180">
        <f t="shared" si="906"/>
        <v>0</v>
      </c>
      <c r="CT169" s="1180">
        <f t="shared" si="906"/>
        <v>335664</v>
      </c>
      <c r="CU169" s="1180">
        <f t="shared" si="906"/>
        <v>361945.41</v>
      </c>
      <c r="CV169" s="1181">
        <f t="shared" si="822"/>
        <v>1</v>
      </c>
      <c r="CW169" s="1522" t="s">
        <v>335</v>
      </c>
      <c r="CX169" s="1195"/>
      <c r="CY169" s="1224"/>
      <c r="CZ169" s="1236"/>
      <c r="DA169" s="1243"/>
      <c r="DB169" s="1221"/>
      <c r="DC169" s="1221"/>
      <c r="DD169" s="1221"/>
      <c r="DE169" s="1221">
        <f t="shared" ref="DE169:DF172" si="919">DA169+DC169</f>
        <v>0</v>
      </c>
      <c r="DF169" s="1244">
        <f t="shared" si="919"/>
        <v>0</v>
      </c>
      <c r="DG169" s="1245"/>
      <c r="DH169" s="1224"/>
      <c r="DI169" s="1224"/>
      <c r="DJ169" s="1224"/>
      <c r="DK169" s="1198">
        <f t="shared" ref="DK169:DL172" si="920">DG169+DI169</f>
        <v>0</v>
      </c>
      <c r="DL169" s="1199">
        <f t="shared" si="920"/>
        <v>0</v>
      </c>
      <c r="DM169" s="1520" t="s">
        <v>335</v>
      </c>
      <c r="DN169" s="1521" t="s">
        <v>335</v>
      </c>
      <c r="DO169" s="1176">
        <f t="shared" si="856"/>
        <v>111888</v>
      </c>
      <c r="DP169" s="1177">
        <f t="shared" si="857"/>
        <v>361945.41</v>
      </c>
      <c r="DQ169" s="1177">
        <f t="shared" si="858"/>
        <v>0</v>
      </c>
      <c r="DR169" s="1177">
        <f t="shared" si="859"/>
        <v>0</v>
      </c>
      <c r="DS169" s="1177">
        <f t="shared" si="860"/>
        <v>111888</v>
      </c>
      <c r="DT169" s="1177">
        <f t="shared" si="861"/>
        <v>361945.41</v>
      </c>
      <c r="DU169" s="1178">
        <f t="shared" si="825"/>
        <v>1</v>
      </c>
      <c r="DV169" s="1179">
        <f t="shared" si="862"/>
        <v>335664</v>
      </c>
      <c r="DW169" s="1180">
        <f t="shared" si="863"/>
        <v>361945.41</v>
      </c>
      <c r="DX169" s="1180">
        <f t="shared" si="864"/>
        <v>0</v>
      </c>
      <c r="DY169" s="1180">
        <f t="shared" si="865"/>
        <v>0</v>
      </c>
      <c r="DZ169" s="1180">
        <f t="shared" si="866"/>
        <v>335664</v>
      </c>
      <c r="EA169" s="1180">
        <f t="shared" si="867"/>
        <v>361945.41</v>
      </c>
      <c r="EB169" s="1181">
        <f t="shared" si="827"/>
        <v>1</v>
      </c>
      <c r="EC169" s="1523" t="s">
        <v>335</v>
      </c>
      <c r="ED169" s="1494"/>
      <c r="EE169" s="1224"/>
      <c r="EF169" s="1236"/>
      <c r="EG169" s="1243"/>
      <c r="EH169" s="1221"/>
      <c r="EI169" s="1221"/>
      <c r="EJ169" s="1221"/>
      <c r="EK169" s="1221">
        <f t="shared" ref="EK169:EL172" si="921">EG169+EI169</f>
        <v>0</v>
      </c>
      <c r="EL169" s="1244">
        <f t="shared" si="921"/>
        <v>0</v>
      </c>
      <c r="EM169" s="1245"/>
      <c r="EN169" s="1224"/>
      <c r="EO169" s="1224"/>
      <c r="EP169" s="1224"/>
      <c r="EQ169" s="1198">
        <f t="shared" ref="EQ169:ER172" si="922">EM169+EO169</f>
        <v>0</v>
      </c>
      <c r="ER169" s="1199">
        <f t="shared" si="922"/>
        <v>0</v>
      </c>
      <c r="ES169" s="1520" t="s">
        <v>335</v>
      </c>
      <c r="ET169" s="1524" t="s">
        <v>335</v>
      </c>
      <c r="EU169" s="1176">
        <f t="shared" si="868"/>
        <v>111888</v>
      </c>
      <c r="EV169" s="1177">
        <f t="shared" si="830"/>
        <v>361945.41</v>
      </c>
      <c r="EW169" s="1177">
        <f t="shared" si="830"/>
        <v>0</v>
      </c>
      <c r="EX169" s="1177">
        <f t="shared" si="830"/>
        <v>0</v>
      </c>
      <c r="EY169" s="1177">
        <f t="shared" si="830"/>
        <v>111888</v>
      </c>
      <c r="EZ169" s="1177">
        <f t="shared" si="830"/>
        <v>361945.41</v>
      </c>
      <c r="FA169" s="1178">
        <f t="shared" si="831"/>
        <v>1</v>
      </c>
      <c r="FB169" s="1179">
        <f t="shared" si="832"/>
        <v>335664</v>
      </c>
      <c r="FC169" s="1180">
        <f t="shared" si="833"/>
        <v>361945.41</v>
      </c>
      <c r="FD169" s="1180">
        <f t="shared" si="833"/>
        <v>0</v>
      </c>
      <c r="FE169" s="1180">
        <f t="shared" si="833"/>
        <v>0</v>
      </c>
      <c r="FF169" s="1180">
        <f t="shared" si="833"/>
        <v>335664</v>
      </c>
      <c r="FG169" s="1180">
        <f t="shared" si="833"/>
        <v>361945.41</v>
      </c>
      <c r="FH169" s="1181">
        <f t="shared" si="869"/>
        <v>1</v>
      </c>
      <c r="FI169" s="1522" t="s">
        <v>335</v>
      </c>
      <c r="FJ169" s="1494"/>
      <c r="FK169" s="1224"/>
      <c r="FL169" s="1236"/>
      <c r="FM169" s="1243"/>
      <c r="FN169" s="1221"/>
      <c r="FO169" s="1221"/>
      <c r="FP169" s="1221"/>
      <c r="FQ169" s="1221">
        <f t="shared" ref="FQ169:FR172" si="923">FM169+FO169</f>
        <v>0</v>
      </c>
      <c r="FR169" s="1244">
        <f t="shared" si="923"/>
        <v>0</v>
      </c>
      <c r="FS169" s="1245"/>
      <c r="FT169" s="1224"/>
      <c r="FU169" s="1224"/>
      <c r="FV169" s="1224"/>
      <c r="FW169" s="1198">
        <f t="shared" ref="FW169:FW175" si="924">FS169+FU169</f>
        <v>0</v>
      </c>
      <c r="FX169" s="1199">
        <f t="shared" ref="FX169:FX175" si="925">FT169+FV169</f>
        <v>0</v>
      </c>
      <c r="FY169" s="1520" t="s">
        <v>335</v>
      </c>
      <c r="FZ169" s="1524" t="s">
        <v>335</v>
      </c>
      <c r="GA169" s="1176">
        <f t="shared" si="871"/>
        <v>111888</v>
      </c>
      <c r="GB169" s="1177">
        <f t="shared" si="872"/>
        <v>361945.41</v>
      </c>
      <c r="GC169" s="1177">
        <f t="shared" si="873"/>
        <v>0</v>
      </c>
      <c r="GD169" s="1177">
        <f t="shared" si="874"/>
        <v>0</v>
      </c>
      <c r="GE169" s="1177">
        <f t="shared" si="875"/>
        <v>111888</v>
      </c>
      <c r="GF169" s="1177">
        <f t="shared" si="876"/>
        <v>361945.41</v>
      </c>
      <c r="GG169" s="1178">
        <f t="shared" si="836"/>
        <v>1</v>
      </c>
      <c r="GH169" s="1179">
        <f t="shared" si="877"/>
        <v>335664</v>
      </c>
      <c r="GI169" s="1180">
        <f t="shared" si="878"/>
        <v>361945.41</v>
      </c>
      <c r="GJ169" s="1180">
        <f t="shared" si="879"/>
        <v>0</v>
      </c>
      <c r="GK169" s="1180">
        <f t="shared" si="880"/>
        <v>0</v>
      </c>
      <c r="GL169" s="1180">
        <f t="shared" si="881"/>
        <v>335664</v>
      </c>
      <c r="GM169" s="1180">
        <f t="shared" si="882"/>
        <v>361945.41</v>
      </c>
      <c r="GN169" s="1181">
        <f t="shared" si="897"/>
        <v>1</v>
      </c>
      <c r="GO169" s="1522" t="s">
        <v>335</v>
      </c>
      <c r="GP169" s="1494"/>
      <c r="GQ169" s="1224"/>
      <c r="GR169" s="1236"/>
      <c r="GS169" s="1243"/>
      <c r="GT169" s="1221"/>
      <c r="GU169" s="1221"/>
      <c r="GV169" s="1221"/>
      <c r="GW169" s="1221">
        <f t="shared" ref="GW169:GX172" si="926">GS169+GU169</f>
        <v>0</v>
      </c>
      <c r="GX169" s="1244">
        <f t="shared" si="926"/>
        <v>0</v>
      </c>
      <c r="GY169" s="1245"/>
      <c r="GZ169" s="1224"/>
      <c r="HA169" s="1224"/>
      <c r="HB169" s="1224"/>
      <c r="HC169" s="1198">
        <f t="shared" si="883"/>
        <v>0</v>
      </c>
      <c r="HD169" s="1199">
        <f t="shared" si="898"/>
        <v>0</v>
      </c>
      <c r="HE169" s="1692" t="s">
        <v>335</v>
      </c>
      <c r="HF169" s="1524" t="s">
        <v>335</v>
      </c>
      <c r="HG169" s="1176">
        <f t="shared" si="885"/>
        <v>111888</v>
      </c>
      <c r="HH169" s="1177">
        <f t="shared" si="886"/>
        <v>361945.41</v>
      </c>
      <c r="HI169" s="1177">
        <f t="shared" si="887"/>
        <v>0</v>
      </c>
      <c r="HJ169" s="1177">
        <f t="shared" si="888"/>
        <v>0</v>
      </c>
      <c r="HK169" s="1177">
        <f t="shared" si="889"/>
        <v>111888</v>
      </c>
      <c r="HL169" s="1177">
        <f t="shared" si="890"/>
        <v>361945.41</v>
      </c>
      <c r="HM169" s="1178">
        <f t="shared" si="840"/>
        <v>1</v>
      </c>
      <c r="HN169" s="1179">
        <f t="shared" si="891"/>
        <v>335664</v>
      </c>
      <c r="HO169" s="1180">
        <f t="shared" si="892"/>
        <v>361945.41</v>
      </c>
      <c r="HP169" s="1180">
        <f t="shared" si="893"/>
        <v>0</v>
      </c>
      <c r="HQ169" s="1180">
        <f t="shared" si="894"/>
        <v>0</v>
      </c>
      <c r="HR169" s="1180">
        <f t="shared" si="895"/>
        <v>335664</v>
      </c>
      <c r="HS169" s="1180">
        <f t="shared" si="896"/>
        <v>361945.41</v>
      </c>
      <c r="HT169" s="1181">
        <f t="shared" si="842"/>
        <v>1</v>
      </c>
      <c r="HU169" s="1522" t="s">
        <v>335</v>
      </c>
    </row>
    <row r="170" spans="1:229" s="1170" customFormat="1" ht="18" customHeight="1" outlineLevel="1" x14ac:dyDescent="0.2">
      <c r="A170" s="3671"/>
      <c r="B170" s="3672"/>
      <c r="C170" s="1201">
        <v>2</v>
      </c>
      <c r="D170" s="1167" t="s">
        <v>343</v>
      </c>
      <c r="E170" s="1732" t="s">
        <v>335</v>
      </c>
      <c r="F170" s="1517" t="s">
        <v>335</v>
      </c>
      <c r="G170" s="1517" t="s">
        <v>335</v>
      </c>
      <c r="H170" s="1517" t="s">
        <v>335</v>
      </c>
      <c r="I170" s="1517" t="s">
        <v>335</v>
      </c>
      <c r="J170" s="1517" t="s">
        <v>335</v>
      </c>
      <c r="K170" s="1517" t="s">
        <v>335</v>
      </c>
      <c r="L170" s="1517" t="s">
        <v>335</v>
      </c>
      <c r="M170" s="1517" t="s">
        <v>335</v>
      </c>
      <c r="N170" s="1518" t="s">
        <v>335</v>
      </c>
      <c r="O170" s="1359" t="s">
        <v>335</v>
      </c>
      <c r="P170" s="1360" t="s">
        <v>335</v>
      </c>
      <c r="Q170" s="1360" t="s">
        <v>335</v>
      </c>
      <c r="R170" s="1171">
        <v>430717.45</v>
      </c>
      <c r="S170" s="1240">
        <f>R170</f>
        <v>430717.45</v>
      </c>
      <c r="T170" s="1350" t="s">
        <v>335</v>
      </c>
      <c r="U170" s="1351" t="s">
        <v>335</v>
      </c>
      <c r="V170" s="1352" t="s">
        <v>335</v>
      </c>
      <c r="W170" s="1214">
        <f>18648*6</f>
        <v>111888</v>
      </c>
      <c r="X170" s="1214">
        <f>112503.64+215358.5+102855.31</f>
        <v>430717.45</v>
      </c>
      <c r="Y170" s="1214"/>
      <c r="Z170" s="1214"/>
      <c r="AA170" s="1177">
        <f t="shared" si="911"/>
        <v>111888</v>
      </c>
      <c r="AB170" s="1177">
        <f t="shared" si="911"/>
        <v>430717.45</v>
      </c>
      <c r="AC170" s="1178">
        <f>AB170/R170</f>
        <v>1</v>
      </c>
      <c r="AD170" s="1233">
        <f>W170*3</f>
        <v>335664</v>
      </c>
      <c r="AE170" s="1233">
        <v>430717.45</v>
      </c>
      <c r="AF170" s="1233"/>
      <c r="AG170" s="1233"/>
      <c r="AH170" s="1232">
        <f t="shared" si="912"/>
        <v>335664</v>
      </c>
      <c r="AI170" s="1233">
        <f t="shared" si="912"/>
        <v>430717.45</v>
      </c>
      <c r="AJ170" s="1234">
        <f>AI170/S170</f>
        <v>1</v>
      </c>
      <c r="AK170" s="1519" t="s">
        <v>335</v>
      </c>
      <c r="AL170" s="1195"/>
      <c r="AM170" s="1224"/>
      <c r="AN170" s="1236"/>
      <c r="AO170" s="1243"/>
      <c r="AP170" s="1221"/>
      <c r="AQ170" s="1221"/>
      <c r="AR170" s="1221"/>
      <c r="AS170" s="1221">
        <f t="shared" si="913"/>
        <v>0</v>
      </c>
      <c r="AT170" s="1282">
        <f t="shared" si="913"/>
        <v>0</v>
      </c>
      <c r="AU170" s="1245"/>
      <c r="AV170" s="1224"/>
      <c r="AW170" s="1224"/>
      <c r="AX170" s="1224"/>
      <c r="AY170" s="1198">
        <f t="shared" si="914"/>
        <v>0</v>
      </c>
      <c r="AZ170" s="1199">
        <f t="shared" si="914"/>
        <v>0</v>
      </c>
      <c r="BA170" s="1175">
        <v>0</v>
      </c>
      <c r="BB170" s="1226">
        <v>0</v>
      </c>
      <c r="BC170" s="1190">
        <f t="shared" si="915"/>
        <v>111888</v>
      </c>
      <c r="BD170" s="1323">
        <f t="shared" si="915"/>
        <v>430717.45</v>
      </c>
      <c r="BE170" s="1323">
        <f t="shared" si="915"/>
        <v>0</v>
      </c>
      <c r="BF170" s="1323">
        <f t="shared" si="915"/>
        <v>0</v>
      </c>
      <c r="BG170" s="1323">
        <f t="shared" si="915"/>
        <v>111888</v>
      </c>
      <c r="BH170" s="1323">
        <f t="shared" si="915"/>
        <v>430717.45</v>
      </c>
      <c r="BI170" s="1324">
        <f t="shared" si="848"/>
        <v>1</v>
      </c>
      <c r="BJ170" s="1329">
        <f t="shared" si="916"/>
        <v>335664</v>
      </c>
      <c r="BK170" s="1331">
        <f t="shared" si="916"/>
        <v>430717.45</v>
      </c>
      <c r="BL170" s="1331">
        <f t="shared" si="916"/>
        <v>0</v>
      </c>
      <c r="BM170" s="1331">
        <f t="shared" si="916"/>
        <v>0</v>
      </c>
      <c r="BN170" s="1331">
        <f t="shared" si="916"/>
        <v>335664</v>
      </c>
      <c r="BO170" s="1331">
        <f t="shared" si="916"/>
        <v>430717.45</v>
      </c>
      <c r="BP170" s="1332">
        <f t="shared" si="850"/>
        <v>1</v>
      </c>
      <c r="BQ170" s="1519" t="s">
        <v>335</v>
      </c>
      <c r="BR170" s="1195"/>
      <c r="BS170" s="1224"/>
      <c r="BT170" s="1236"/>
      <c r="BU170" s="1243"/>
      <c r="BV170" s="1221"/>
      <c r="BW170" s="1221"/>
      <c r="BX170" s="1221"/>
      <c r="BY170" s="1221">
        <f t="shared" si="917"/>
        <v>0</v>
      </c>
      <c r="BZ170" s="1244">
        <f t="shared" si="917"/>
        <v>0</v>
      </c>
      <c r="CA170" s="1245"/>
      <c r="CB170" s="1224"/>
      <c r="CC170" s="1224"/>
      <c r="CD170" s="1224"/>
      <c r="CE170" s="1198">
        <f t="shared" si="918"/>
        <v>0</v>
      </c>
      <c r="CF170" s="1199">
        <f t="shared" si="918"/>
        <v>0</v>
      </c>
      <c r="CG170" s="1525" t="s">
        <v>335</v>
      </c>
      <c r="CH170" s="1526" t="s">
        <v>335</v>
      </c>
      <c r="CI170" s="1176">
        <f t="shared" si="905"/>
        <v>111888</v>
      </c>
      <c r="CJ170" s="1177">
        <f t="shared" si="905"/>
        <v>430717.45</v>
      </c>
      <c r="CK170" s="1177">
        <f t="shared" si="905"/>
        <v>0</v>
      </c>
      <c r="CL170" s="1177">
        <f t="shared" si="905"/>
        <v>0</v>
      </c>
      <c r="CM170" s="1177">
        <f t="shared" si="905"/>
        <v>111888</v>
      </c>
      <c r="CN170" s="1177">
        <f t="shared" si="905"/>
        <v>430717.45</v>
      </c>
      <c r="CO170" s="1178">
        <f t="shared" si="820"/>
        <v>1</v>
      </c>
      <c r="CP170" s="1179">
        <f t="shared" si="906"/>
        <v>335664</v>
      </c>
      <c r="CQ170" s="1180">
        <f t="shared" si="906"/>
        <v>430717.45</v>
      </c>
      <c r="CR170" s="1180">
        <f t="shared" si="906"/>
        <v>0</v>
      </c>
      <c r="CS170" s="1180">
        <f t="shared" si="906"/>
        <v>0</v>
      </c>
      <c r="CT170" s="1180">
        <f t="shared" si="906"/>
        <v>335664</v>
      </c>
      <c r="CU170" s="1180">
        <f t="shared" si="906"/>
        <v>430717.45</v>
      </c>
      <c r="CV170" s="1181">
        <f t="shared" si="822"/>
        <v>1</v>
      </c>
      <c r="CW170" s="1522" t="s">
        <v>335</v>
      </c>
      <c r="CX170" s="1195"/>
      <c r="CY170" s="1224"/>
      <c r="CZ170" s="1236"/>
      <c r="DA170" s="1243"/>
      <c r="DB170" s="1221"/>
      <c r="DC170" s="1221"/>
      <c r="DD170" s="1221"/>
      <c r="DE170" s="1221">
        <f t="shared" si="919"/>
        <v>0</v>
      </c>
      <c r="DF170" s="1244">
        <f t="shared" si="919"/>
        <v>0</v>
      </c>
      <c r="DG170" s="1245"/>
      <c r="DH170" s="1224"/>
      <c r="DI170" s="1224"/>
      <c r="DJ170" s="1224"/>
      <c r="DK170" s="1198">
        <f t="shared" si="920"/>
        <v>0</v>
      </c>
      <c r="DL170" s="1199">
        <f t="shared" si="920"/>
        <v>0</v>
      </c>
      <c r="DM170" s="1525" t="s">
        <v>335</v>
      </c>
      <c r="DN170" s="1526" t="s">
        <v>335</v>
      </c>
      <c r="DO170" s="1176">
        <f t="shared" si="856"/>
        <v>111888</v>
      </c>
      <c r="DP170" s="1177">
        <f t="shared" si="857"/>
        <v>430717.45</v>
      </c>
      <c r="DQ170" s="1177">
        <f t="shared" si="858"/>
        <v>0</v>
      </c>
      <c r="DR170" s="1177">
        <f t="shared" si="859"/>
        <v>0</v>
      </c>
      <c r="DS170" s="1177">
        <f t="shared" si="860"/>
        <v>111888</v>
      </c>
      <c r="DT170" s="1177">
        <f t="shared" si="861"/>
        <v>430717.45</v>
      </c>
      <c r="DU170" s="1178">
        <f t="shared" si="825"/>
        <v>1</v>
      </c>
      <c r="DV170" s="1179">
        <f t="shared" si="862"/>
        <v>335664</v>
      </c>
      <c r="DW170" s="1180">
        <f t="shared" si="863"/>
        <v>430717.45</v>
      </c>
      <c r="DX170" s="1180">
        <f t="shared" si="864"/>
        <v>0</v>
      </c>
      <c r="DY170" s="1180">
        <f t="shared" si="865"/>
        <v>0</v>
      </c>
      <c r="DZ170" s="1180">
        <f t="shared" si="866"/>
        <v>335664</v>
      </c>
      <c r="EA170" s="1180">
        <f t="shared" si="867"/>
        <v>430717.45</v>
      </c>
      <c r="EB170" s="1181">
        <f t="shared" si="827"/>
        <v>1</v>
      </c>
      <c r="EC170" s="1523" t="s">
        <v>335</v>
      </c>
      <c r="ED170" s="1494"/>
      <c r="EE170" s="1224"/>
      <c r="EF170" s="1236"/>
      <c r="EG170" s="1243"/>
      <c r="EH170" s="1221"/>
      <c r="EI170" s="1221"/>
      <c r="EJ170" s="1221"/>
      <c r="EK170" s="1221">
        <f t="shared" si="921"/>
        <v>0</v>
      </c>
      <c r="EL170" s="1244">
        <f t="shared" si="921"/>
        <v>0</v>
      </c>
      <c r="EM170" s="1245"/>
      <c r="EN170" s="1224"/>
      <c r="EO170" s="1224"/>
      <c r="EP170" s="1224"/>
      <c r="EQ170" s="1198">
        <f t="shared" si="922"/>
        <v>0</v>
      </c>
      <c r="ER170" s="1199">
        <f t="shared" si="922"/>
        <v>0</v>
      </c>
      <c r="ES170" s="1525" t="s">
        <v>335</v>
      </c>
      <c r="ET170" s="1527" t="s">
        <v>335</v>
      </c>
      <c r="EU170" s="1176">
        <f t="shared" si="868"/>
        <v>111888</v>
      </c>
      <c r="EV170" s="1177">
        <f t="shared" si="830"/>
        <v>430717.45</v>
      </c>
      <c r="EW170" s="1177">
        <f t="shared" si="830"/>
        <v>0</v>
      </c>
      <c r="EX170" s="1177">
        <f t="shared" si="830"/>
        <v>0</v>
      </c>
      <c r="EY170" s="1177">
        <f t="shared" si="830"/>
        <v>111888</v>
      </c>
      <c r="EZ170" s="1177">
        <f t="shared" si="830"/>
        <v>430717.45</v>
      </c>
      <c r="FA170" s="1178">
        <f t="shared" si="831"/>
        <v>1</v>
      </c>
      <c r="FB170" s="1179">
        <f t="shared" si="832"/>
        <v>335664</v>
      </c>
      <c r="FC170" s="1180">
        <f t="shared" si="833"/>
        <v>430717.45</v>
      </c>
      <c r="FD170" s="1180">
        <f t="shared" si="833"/>
        <v>0</v>
      </c>
      <c r="FE170" s="1180">
        <f t="shared" si="833"/>
        <v>0</v>
      </c>
      <c r="FF170" s="1180">
        <f t="shared" si="833"/>
        <v>335664</v>
      </c>
      <c r="FG170" s="1180">
        <f t="shared" si="833"/>
        <v>430717.45</v>
      </c>
      <c r="FH170" s="1181">
        <f t="shared" si="869"/>
        <v>1</v>
      </c>
      <c r="FI170" s="1522" t="s">
        <v>335</v>
      </c>
      <c r="FJ170" s="1494"/>
      <c r="FK170" s="1224"/>
      <c r="FL170" s="1236"/>
      <c r="FM170" s="1243"/>
      <c r="FN170" s="1221"/>
      <c r="FO170" s="1221"/>
      <c r="FP170" s="1221"/>
      <c r="FQ170" s="1221">
        <f t="shared" si="923"/>
        <v>0</v>
      </c>
      <c r="FR170" s="1244">
        <f t="shared" si="923"/>
        <v>0</v>
      </c>
      <c r="FS170" s="1245"/>
      <c r="FT170" s="1224"/>
      <c r="FU170" s="1224"/>
      <c r="FV170" s="1224"/>
      <c r="FW170" s="1198">
        <f t="shared" si="924"/>
        <v>0</v>
      </c>
      <c r="FX170" s="1199">
        <f t="shared" si="925"/>
        <v>0</v>
      </c>
      <c r="FY170" s="1525" t="s">
        <v>335</v>
      </c>
      <c r="FZ170" s="1527" t="s">
        <v>335</v>
      </c>
      <c r="GA170" s="1176">
        <f t="shared" si="871"/>
        <v>111888</v>
      </c>
      <c r="GB170" s="1177">
        <f t="shared" si="872"/>
        <v>430717.45</v>
      </c>
      <c r="GC170" s="1177">
        <f t="shared" si="873"/>
        <v>0</v>
      </c>
      <c r="GD170" s="1177">
        <f t="shared" si="874"/>
        <v>0</v>
      </c>
      <c r="GE170" s="1177">
        <f t="shared" si="875"/>
        <v>111888</v>
      </c>
      <c r="GF170" s="1177">
        <f t="shared" si="876"/>
        <v>430717.45</v>
      </c>
      <c r="GG170" s="1178">
        <f t="shared" si="836"/>
        <v>1</v>
      </c>
      <c r="GH170" s="1179">
        <f t="shared" si="877"/>
        <v>335664</v>
      </c>
      <c r="GI170" s="1180">
        <f t="shared" si="878"/>
        <v>430717.45</v>
      </c>
      <c r="GJ170" s="1180">
        <f t="shared" si="879"/>
        <v>0</v>
      </c>
      <c r="GK170" s="1180">
        <f t="shared" si="880"/>
        <v>0</v>
      </c>
      <c r="GL170" s="1180">
        <f t="shared" si="881"/>
        <v>335664</v>
      </c>
      <c r="GM170" s="1180">
        <f t="shared" si="882"/>
        <v>430717.45</v>
      </c>
      <c r="GN170" s="1181">
        <f t="shared" si="897"/>
        <v>1</v>
      </c>
      <c r="GO170" s="1522" t="s">
        <v>335</v>
      </c>
      <c r="GP170" s="1494"/>
      <c r="GQ170" s="1224"/>
      <c r="GR170" s="1236"/>
      <c r="GS170" s="1243"/>
      <c r="GT170" s="1221"/>
      <c r="GU170" s="1221"/>
      <c r="GV170" s="1221"/>
      <c r="GW170" s="1221">
        <f t="shared" si="926"/>
        <v>0</v>
      </c>
      <c r="GX170" s="1244">
        <f t="shared" si="926"/>
        <v>0</v>
      </c>
      <c r="GY170" s="1245"/>
      <c r="GZ170" s="1224"/>
      <c r="HA170" s="1224"/>
      <c r="HB170" s="1224"/>
      <c r="HC170" s="1198">
        <f t="shared" si="883"/>
        <v>0</v>
      </c>
      <c r="HD170" s="1199">
        <f t="shared" si="898"/>
        <v>0</v>
      </c>
      <c r="HE170" s="1693" t="s">
        <v>335</v>
      </c>
      <c r="HF170" s="1527" t="s">
        <v>335</v>
      </c>
      <c r="HG170" s="1176">
        <f t="shared" si="885"/>
        <v>111888</v>
      </c>
      <c r="HH170" s="1177">
        <f t="shared" si="886"/>
        <v>430717.45</v>
      </c>
      <c r="HI170" s="1177">
        <f t="shared" si="887"/>
        <v>0</v>
      </c>
      <c r="HJ170" s="1177">
        <f t="shared" si="888"/>
        <v>0</v>
      </c>
      <c r="HK170" s="1177">
        <f t="shared" si="889"/>
        <v>111888</v>
      </c>
      <c r="HL170" s="1177">
        <f t="shared" si="890"/>
        <v>430717.45</v>
      </c>
      <c r="HM170" s="1178">
        <f t="shared" si="840"/>
        <v>1</v>
      </c>
      <c r="HN170" s="1179">
        <f t="shared" si="891"/>
        <v>335664</v>
      </c>
      <c r="HO170" s="1180">
        <f t="shared" si="892"/>
        <v>430717.45</v>
      </c>
      <c r="HP170" s="1180">
        <f t="shared" si="893"/>
        <v>0</v>
      </c>
      <c r="HQ170" s="1180">
        <f t="shared" si="894"/>
        <v>0</v>
      </c>
      <c r="HR170" s="1180">
        <f t="shared" si="895"/>
        <v>335664</v>
      </c>
      <c r="HS170" s="1180">
        <f t="shared" si="896"/>
        <v>430717.45</v>
      </c>
      <c r="HT170" s="1181">
        <f t="shared" si="842"/>
        <v>1</v>
      </c>
      <c r="HU170" s="1522" t="s">
        <v>335</v>
      </c>
    </row>
    <row r="171" spans="1:229" s="1170" customFormat="1" ht="18" customHeight="1" outlineLevel="1" x14ac:dyDescent="0.2">
      <c r="A171" s="3671"/>
      <c r="B171" s="3672"/>
      <c r="C171" s="1201">
        <v>3</v>
      </c>
      <c r="D171" s="1167" t="s">
        <v>339</v>
      </c>
      <c r="E171" s="1732" t="s">
        <v>335</v>
      </c>
      <c r="F171" s="1517" t="s">
        <v>335</v>
      </c>
      <c r="G171" s="1517" t="s">
        <v>335</v>
      </c>
      <c r="H171" s="1517" t="s">
        <v>335</v>
      </c>
      <c r="I171" s="1517" t="s">
        <v>335</v>
      </c>
      <c r="J171" s="1517" t="s">
        <v>335</v>
      </c>
      <c r="K171" s="1517" t="s">
        <v>335</v>
      </c>
      <c r="L171" s="1517" t="s">
        <v>335</v>
      </c>
      <c r="M171" s="1517" t="s">
        <v>335</v>
      </c>
      <c r="N171" s="1518" t="s">
        <v>335</v>
      </c>
      <c r="O171" s="1359" t="s">
        <v>335</v>
      </c>
      <c r="P171" s="1360" t="s">
        <v>335</v>
      </c>
      <c r="Q171" s="1360" t="s">
        <v>335</v>
      </c>
      <c r="R171" s="1171">
        <v>0</v>
      </c>
      <c r="S171" s="1240">
        <f>R171</f>
        <v>0</v>
      </c>
      <c r="T171" s="1350" t="s">
        <v>335</v>
      </c>
      <c r="U171" s="1351" t="s">
        <v>335</v>
      </c>
      <c r="V171" s="1352" t="s">
        <v>335</v>
      </c>
      <c r="W171" s="1214">
        <v>0</v>
      </c>
      <c r="X171" s="1214">
        <v>0</v>
      </c>
      <c r="Y171" s="1214"/>
      <c r="Z171" s="1214"/>
      <c r="AA171" s="1177">
        <f t="shared" si="911"/>
        <v>0</v>
      </c>
      <c r="AB171" s="1177">
        <f t="shared" si="911"/>
        <v>0</v>
      </c>
      <c r="AC171" s="1178" t="e">
        <f>AB171/R171</f>
        <v>#DIV/0!</v>
      </c>
      <c r="AD171" s="1233">
        <f>W171</f>
        <v>0</v>
      </c>
      <c r="AE171" s="1233"/>
      <c r="AF171" s="1233"/>
      <c r="AG171" s="1233"/>
      <c r="AH171" s="1232">
        <f t="shared" si="912"/>
        <v>0</v>
      </c>
      <c r="AI171" s="1233">
        <f t="shared" si="912"/>
        <v>0</v>
      </c>
      <c r="AJ171" s="1234" t="e">
        <f>AI171/S171</f>
        <v>#DIV/0!</v>
      </c>
      <c r="AK171" s="1519" t="s">
        <v>335</v>
      </c>
      <c r="AL171" s="1195"/>
      <c r="AM171" s="1224"/>
      <c r="AN171" s="1236"/>
      <c r="AO171" s="1243"/>
      <c r="AP171" s="1221"/>
      <c r="AQ171" s="1221"/>
      <c r="AR171" s="1221"/>
      <c r="AS171" s="1221">
        <f t="shared" si="913"/>
        <v>0</v>
      </c>
      <c r="AT171" s="1282">
        <f t="shared" si="913"/>
        <v>0</v>
      </c>
      <c r="AU171" s="1245"/>
      <c r="AV171" s="1224"/>
      <c r="AW171" s="1224"/>
      <c r="AX171" s="1224"/>
      <c r="AY171" s="1198">
        <f t="shared" si="914"/>
        <v>0</v>
      </c>
      <c r="AZ171" s="1199">
        <f t="shared" si="914"/>
        <v>0</v>
      </c>
      <c r="BA171" s="1175">
        <v>0</v>
      </c>
      <c r="BB171" s="1226">
        <v>0</v>
      </c>
      <c r="BC171" s="1190">
        <f t="shared" si="915"/>
        <v>0</v>
      </c>
      <c r="BD171" s="1323">
        <f t="shared" si="915"/>
        <v>0</v>
      </c>
      <c r="BE171" s="1323">
        <f t="shared" si="915"/>
        <v>0</v>
      </c>
      <c r="BF171" s="1323">
        <f t="shared" si="915"/>
        <v>0</v>
      </c>
      <c r="BG171" s="1323">
        <f t="shared" si="915"/>
        <v>0</v>
      </c>
      <c r="BH171" s="1323">
        <f t="shared" si="915"/>
        <v>0</v>
      </c>
      <c r="BI171" s="1324" t="e">
        <f t="shared" si="848"/>
        <v>#DIV/0!</v>
      </c>
      <c r="BJ171" s="1329">
        <f t="shared" si="916"/>
        <v>0</v>
      </c>
      <c r="BK171" s="1331">
        <f t="shared" si="916"/>
        <v>0</v>
      </c>
      <c r="BL171" s="1331">
        <f t="shared" si="916"/>
        <v>0</v>
      </c>
      <c r="BM171" s="1331">
        <f t="shared" si="916"/>
        <v>0</v>
      </c>
      <c r="BN171" s="1331">
        <f t="shared" si="916"/>
        <v>0</v>
      </c>
      <c r="BO171" s="1331">
        <f t="shared" si="916"/>
        <v>0</v>
      </c>
      <c r="BP171" s="1332" t="e">
        <f t="shared" si="850"/>
        <v>#DIV/0!</v>
      </c>
      <c r="BQ171" s="1519" t="s">
        <v>335</v>
      </c>
      <c r="BR171" s="1195"/>
      <c r="BS171" s="1224"/>
      <c r="BT171" s="1236"/>
      <c r="BU171" s="1243"/>
      <c r="BV171" s="1221"/>
      <c r="BW171" s="1221"/>
      <c r="BX171" s="1221"/>
      <c r="BY171" s="1221">
        <f t="shared" si="917"/>
        <v>0</v>
      </c>
      <c r="BZ171" s="1244">
        <f t="shared" si="917"/>
        <v>0</v>
      </c>
      <c r="CA171" s="1245"/>
      <c r="CB171" s="1224"/>
      <c r="CC171" s="1224"/>
      <c r="CD171" s="1224"/>
      <c r="CE171" s="1198">
        <f t="shared" si="918"/>
        <v>0</v>
      </c>
      <c r="CF171" s="1199">
        <f t="shared" si="918"/>
        <v>0</v>
      </c>
      <c r="CG171" s="1520" t="s">
        <v>335</v>
      </c>
      <c r="CH171" s="1521" t="s">
        <v>335</v>
      </c>
      <c r="CI171" s="1176">
        <f t="shared" si="905"/>
        <v>0</v>
      </c>
      <c r="CJ171" s="1177">
        <f t="shared" si="905"/>
        <v>0</v>
      </c>
      <c r="CK171" s="1177">
        <f t="shared" si="905"/>
        <v>0</v>
      </c>
      <c r="CL171" s="1177">
        <f t="shared" si="905"/>
        <v>0</v>
      </c>
      <c r="CM171" s="1177">
        <f t="shared" si="905"/>
        <v>0</v>
      </c>
      <c r="CN171" s="1177">
        <f t="shared" si="905"/>
        <v>0</v>
      </c>
      <c r="CO171" s="1178" t="e">
        <f t="shared" si="820"/>
        <v>#DIV/0!</v>
      </c>
      <c r="CP171" s="1179">
        <f t="shared" si="906"/>
        <v>0</v>
      </c>
      <c r="CQ171" s="1180">
        <f t="shared" si="906"/>
        <v>0</v>
      </c>
      <c r="CR171" s="1180">
        <f t="shared" si="906"/>
        <v>0</v>
      </c>
      <c r="CS171" s="1180">
        <f t="shared" si="906"/>
        <v>0</v>
      </c>
      <c r="CT171" s="1180">
        <f t="shared" si="906"/>
        <v>0</v>
      </c>
      <c r="CU171" s="1180">
        <f t="shared" si="906"/>
        <v>0</v>
      </c>
      <c r="CV171" s="1181" t="e">
        <f t="shared" si="822"/>
        <v>#DIV/0!</v>
      </c>
      <c r="CW171" s="1522" t="s">
        <v>335</v>
      </c>
      <c r="CX171" s="1195"/>
      <c r="CY171" s="1224"/>
      <c r="CZ171" s="1236"/>
      <c r="DA171" s="1243"/>
      <c r="DB171" s="1221"/>
      <c r="DC171" s="1221"/>
      <c r="DD171" s="1221"/>
      <c r="DE171" s="1221">
        <f t="shared" si="919"/>
        <v>0</v>
      </c>
      <c r="DF171" s="1244">
        <f t="shared" si="919"/>
        <v>0</v>
      </c>
      <c r="DG171" s="1245"/>
      <c r="DH171" s="1224"/>
      <c r="DI171" s="1224"/>
      <c r="DJ171" s="1224"/>
      <c r="DK171" s="1198">
        <f t="shared" si="920"/>
        <v>0</v>
      </c>
      <c r="DL171" s="1199">
        <f t="shared" si="920"/>
        <v>0</v>
      </c>
      <c r="DM171" s="1520" t="s">
        <v>335</v>
      </c>
      <c r="DN171" s="1521" t="s">
        <v>335</v>
      </c>
      <c r="DO171" s="1176">
        <f t="shared" si="856"/>
        <v>0</v>
      </c>
      <c r="DP171" s="1177">
        <f t="shared" si="857"/>
        <v>0</v>
      </c>
      <c r="DQ171" s="1177">
        <f t="shared" si="858"/>
        <v>0</v>
      </c>
      <c r="DR171" s="1177">
        <f t="shared" si="859"/>
        <v>0</v>
      </c>
      <c r="DS171" s="1177">
        <f t="shared" si="860"/>
        <v>0</v>
      </c>
      <c r="DT171" s="1177">
        <f t="shared" si="861"/>
        <v>0</v>
      </c>
      <c r="DU171" s="1178" t="e">
        <f t="shared" si="825"/>
        <v>#DIV/0!</v>
      </c>
      <c r="DV171" s="1179">
        <f t="shared" si="862"/>
        <v>0</v>
      </c>
      <c r="DW171" s="1180">
        <f t="shared" si="863"/>
        <v>0</v>
      </c>
      <c r="DX171" s="1180">
        <f t="shared" si="864"/>
        <v>0</v>
      </c>
      <c r="DY171" s="1180">
        <f t="shared" si="865"/>
        <v>0</v>
      </c>
      <c r="DZ171" s="1180">
        <f t="shared" si="866"/>
        <v>0</v>
      </c>
      <c r="EA171" s="1180">
        <f t="shared" si="867"/>
        <v>0</v>
      </c>
      <c r="EB171" s="1181" t="e">
        <f t="shared" si="827"/>
        <v>#DIV/0!</v>
      </c>
      <c r="EC171" s="1523" t="s">
        <v>335</v>
      </c>
      <c r="ED171" s="1494"/>
      <c r="EE171" s="1224"/>
      <c r="EF171" s="1236"/>
      <c r="EG171" s="1243"/>
      <c r="EH171" s="1221"/>
      <c r="EI171" s="1221"/>
      <c r="EJ171" s="1221"/>
      <c r="EK171" s="1221">
        <f t="shared" si="921"/>
        <v>0</v>
      </c>
      <c r="EL171" s="1244">
        <f t="shared" si="921"/>
        <v>0</v>
      </c>
      <c r="EM171" s="1245"/>
      <c r="EN171" s="1224"/>
      <c r="EO171" s="1224"/>
      <c r="EP171" s="1224"/>
      <c r="EQ171" s="1198">
        <f t="shared" si="922"/>
        <v>0</v>
      </c>
      <c r="ER171" s="1199">
        <f t="shared" si="922"/>
        <v>0</v>
      </c>
      <c r="ES171" s="1520" t="s">
        <v>335</v>
      </c>
      <c r="ET171" s="1524" t="s">
        <v>335</v>
      </c>
      <c r="EU171" s="1176">
        <f t="shared" si="868"/>
        <v>0</v>
      </c>
      <c r="EV171" s="1177">
        <f t="shared" si="830"/>
        <v>0</v>
      </c>
      <c r="EW171" s="1177">
        <f t="shared" si="830"/>
        <v>0</v>
      </c>
      <c r="EX171" s="1177">
        <f t="shared" si="830"/>
        <v>0</v>
      </c>
      <c r="EY171" s="1177">
        <f t="shared" si="830"/>
        <v>0</v>
      </c>
      <c r="EZ171" s="1177">
        <f t="shared" si="830"/>
        <v>0</v>
      </c>
      <c r="FA171" s="1178" t="e">
        <f t="shared" si="831"/>
        <v>#DIV/0!</v>
      </c>
      <c r="FB171" s="1179">
        <f t="shared" si="832"/>
        <v>0</v>
      </c>
      <c r="FC171" s="1180">
        <f t="shared" si="833"/>
        <v>0</v>
      </c>
      <c r="FD171" s="1180">
        <f t="shared" si="833"/>
        <v>0</v>
      </c>
      <c r="FE171" s="1180">
        <f t="shared" si="833"/>
        <v>0</v>
      </c>
      <c r="FF171" s="1180">
        <f t="shared" si="833"/>
        <v>0</v>
      </c>
      <c r="FG171" s="1180">
        <f t="shared" si="833"/>
        <v>0</v>
      </c>
      <c r="FH171" s="1181" t="e">
        <f t="shared" si="869"/>
        <v>#DIV/0!</v>
      </c>
      <c r="FI171" s="1522" t="s">
        <v>335</v>
      </c>
      <c r="FJ171" s="1494"/>
      <c r="FK171" s="1224"/>
      <c r="FL171" s="1236"/>
      <c r="FM171" s="1243"/>
      <c r="FN171" s="1221"/>
      <c r="FO171" s="1221"/>
      <c r="FP171" s="1221"/>
      <c r="FQ171" s="1221">
        <f t="shared" si="923"/>
        <v>0</v>
      </c>
      <c r="FR171" s="1244">
        <f t="shared" si="923"/>
        <v>0</v>
      </c>
      <c r="FS171" s="1245"/>
      <c r="FT171" s="1224"/>
      <c r="FU171" s="1224"/>
      <c r="FV171" s="1224"/>
      <c r="FW171" s="1198">
        <f t="shared" si="924"/>
        <v>0</v>
      </c>
      <c r="FX171" s="1199">
        <f t="shared" si="925"/>
        <v>0</v>
      </c>
      <c r="FY171" s="1520" t="s">
        <v>335</v>
      </c>
      <c r="FZ171" s="1524" t="s">
        <v>335</v>
      </c>
      <c r="GA171" s="1176">
        <f t="shared" si="871"/>
        <v>0</v>
      </c>
      <c r="GB171" s="1177">
        <f t="shared" si="872"/>
        <v>0</v>
      </c>
      <c r="GC171" s="1177">
        <f t="shared" si="873"/>
        <v>0</v>
      </c>
      <c r="GD171" s="1177">
        <f t="shared" si="874"/>
        <v>0</v>
      </c>
      <c r="GE171" s="1177">
        <f t="shared" si="875"/>
        <v>0</v>
      </c>
      <c r="GF171" s="1177">
        <f t="shared" si="876"/>
        <v>0</v>
      </c>
      <c r="GG171" s="1178" t="e">
        <f t="shared" si="836"/>
        <v>#DIV/0!</v>
      </c>
      <c r="GH171" s="1179">
        <f t="shared" si="877"/>
        <v>0</v>
      </c>
      <c r="GI171" s="1180">
        <f t="shared" si="878"/>
        <v>0</v>
      </c>
      <c r="GJ171" s="1180">
        <f t="shared" si="879"/>
        <v>0</v>
      </c>
      <c r="GK171" s="1180">
        <f t="shared" si="880"/>
        <v>0</v>
      </c>
      <c r="GL171" s="1180">
        <f t="shared" si="881"/>
        <v>0</v>
      </c>
      <c r="GM171" s="1180">
        <f t="shared" si="882"/>
        <v>0</v>
      </c>
      <c r="GN171" s="1181" t="e">
        <f t="shared" si="897"/>
        <v>#DIV/0!</v>
      </c>
      <c r="GO171" s="1522" t="s">
        <v>335</v>
      </c>
      <c r="GP171" s="1494"/>
      <c r="GQ171" s="1224"/>
      <c r="GR171" s="1236"/>
      <c r="GS171" s="1243"/>
      <c r="GT171" s="1221"/>
      <c r="GU171" s="1221"/>
      <c r="GV171" s="1221"/>
      <c r="GW171" s="1221">
        <f t="shared" si="926"/>
        <v>0</v>
      </c>
      <c r="GX171" s="1244">
        <f t="shared" si="926"/>
        <v>0</v>
      </c>
      <c r="GY171" s="1245"/>
      <c r="GZ171" s="1224"/>
      <c r="HA171" s="1224"/>
      <c r="HB171" s="1224"/>
      <c r="HC171" s="1198">
        <f t="shared" si="883"/>
        <v>0</v>
      </c>
      <c r="HD171" s="1199">
        <f t="shared" si="898"/>
        <v>0</v>
      </c>
      <c r="HE171" s="1692" t="s">
        <v>335</v>
      </c>
      <c r="HF171" s="1524" t="s">
        <v>335</v>
      </c>
      <c r="HG171" s="1176">
        <f t="shared" si="885"/>
        <v>0</v>
      </c>
      <c r="HH171" s="1177">
        <f t="shared" si="886"/>
        <v>0</v>
      </c>
      <c r="HI171" s="1177">
        <f t="shared" si="887"/>
        <v>0</v>
      </c>
      <c r="HJ171" s="1177">
        <f t="shared" si="888"/>
        <v>0</v>
      </c>
      <c r="HK171" s="1177">
        <f t="shared" si="889"/>
        <v>0</v>
      </c>
      <c r="HL171" s="1177">
        <f t="shared" si="890"/>
        <v>0</v>
      </c>
      <c r="HM171" s="1178" t="e">
        <f t="shared" si="840"/>
        <v>#DIV/0!</v>
      </c>
      <c r="HN171" s="1179">
        <f t="shared" si="891"/>
        <v>0</v>
      </c>
      <c r="HO171" s="1180">
        <f t="shared" si="892"/>
        <v>0</v>
      </c>
      <c r="HP171" s="1180">
        <f t="shared" si="893"/>
        <v>0</v>
      </c>
      <c r="HQ171" s="1180">
        <f t="shared" si="894"/>
        <v>0</v>
      </c>
      <c r="HR171" s="1180">
        <f t="shared" si="895"/>
        <v>0</v>
      </c>
      <c r="HS171" s="1180">
        <f t="shared" si="896"/>
        <v>0</v>
      </c>
      <c r="HT171" s="1181" t="e">
        <f t="shared" si="842"/>
        <v>#DIV/0!</v>
      </c>
      <c r="HU171" s="1522" t="s">
        <v>335</v>
      </c>
    </row>
    <row r="172" spans="1:229" s="1170" customFormat="1" ht="18" customHeight="1" outlineLevel="1" x14ac:dyDescent="0.2">
      <c r="A172" s="3671"/>
      <c r="B172" s="3672"/>
      <c r="C172" s="1201">
        <v>4</v>
      </c>
      <c r="D172" s="1169" t="s">
        <v>467</v>
      </c>
      <c r="E172" s="1732" t="s">
        <v>335</v>
      </c>
      <c r="F172" s="1517" t="s">
        <v>335</v>
      </c>
      <c r="G172" s="1517" t="s">
        <v>335</v>
      </c>
      <c r="H172" s="1517" t="s">
        <v>335</v>
      </c>
      <c r="I172" s="1517" t="s">
        <v>335</v>
      </c>
      <c r="J172" s="1517" t="s">
        <v>335</v>
      </c>
      <c r="K172" s="1517" t="s">
        <v>335</v>
      </c>
      <c r="L172" s="1517" t="s">
        <v>335</v>
      </c>
      <c r="M172" s="1517" t="s">
        <v>335</v>
      </c>
      <c r="N172" s="1518" t="s">
        <v>335</v>
      </c>
      <c r="O172" s="1359" t="s">
        <v>335</v>
      </c>
      <c r="P172" s="1360" t="s">
        <v>335</v>
      </c>
      <c r="Q172" s="1360" t="s">
        <v>335</v>
      </c>
      <c r="R172" s="1316">
        <v>300522.40999999997</v>
      </c>
      <c r="S172" s="1240">
        <f>R172</f>
        <v>300522.40999999997</v>
      </c>
      <c r="T172" s="1350" t="s">
        <v>335</v>
      </c>
      <c r="U172" s="1351" t="s">
        <v>335</v>
      </c>
      <c r="V172" s="1352" t="s">
        <v>335</v>
      </c>
      <c r="W172" s="1213"/>
      <c r="X172" s="1213"/>
      <c r="Y172" s="1213"/>
      <c r="Z172" s="1213"/>
      <c r="AA172" s="1177">
        <f t="shared" si="911"/>
        <v>0</v>
      </c>
      <c r="AB172" s="1177">
        <f t="shared" si="911"/>
        <v>0</v>
      </c>
      <c r="AC172" s="1178">
        <f>AB172/R172</f>
        <v>0</v>
      </c>
      <c r="AD172" s="1233">
        <f>W172</f>
        <v>0</v>
      </c>
      <c r="AE172" s="1211"/>
      <c r="AF172" s="1211"/>
      <c r="AG172" s="1211"/>
      <c r="AH172" s="1232">
        <f t="shared" si="912"/>
        <v>0</v>
      </c>
      <c r="AI172" s="1233">
        <f t="shared" si="912"/>
        <v>0</v>
      </c>
      <c r="AJ172" s="1234">
        <f>AI172/S172</f>
        <v>0</v>
      </c>
      <c r="AK172" s="1519" t="s">
        <v>335</v>
      </c>
      <c r="AL172" s="1317"/>
      <c r="AM172" s="1218"/>
      <c r="AN172" s="1219"/>
      <c r="AO172" s="1318"/>
      <c r="AP172" s="1278"/>
      <c r="AQ172" s="1278"/>
      <c r="AR172" s="1278"/>
      <c r="AS172" s="1221">
        <f t="shared" si="913"/>
        <v>0</v>
      </c>
      <c r="AT172" s="1282">
        <f t="shared" si="913"/>
        <v>0</v>
      </c>
      <c r="AU172" s="1319"/>
      <c r="AV172" s="1218"/>
      <c r="AW172" s="1218"/>
      <c r="AX172" s="1218"/>
      <c r="AY172" s="1198">
        <f t="shared" si="914"/>
        <v>0</v>
      </c>
      <c r="AZ172" s="1199">
        <f t="shared" si="914"/>
        <v>0</v>
      </c>
      <c r="BA172" s="1175">
        <v>0</v>
      </c>
      <c r="BB172" s="1226">
        <v>0</v>
      </c>
      <c r="BC172" s="1190">
        <f t="shared" si="915"/>
        <v>0</v>
      </c>
      <c r="BD172" s="1323">
        <f t="shared" si="915"/>
        <v>0</v>
      </c>
      <c r="BE172" s="1323">
        <f t="shared" si="915"/>
        <v>0</v>
      </c>
      <c r="BF172" s="1323">
        <f t="shared" si="915"/>
        <v>0</v>
      </c>
      <c r="BG172" s="1323">
        <f t="shared" si="915"/>
        <v>0</v>
      </c>
      <c r="BH172" s="1323">
        <f t="shared" si="915"/>
        <v>0</v>
      </c>
      <c r="BI172" s="1324">
        <f t="shared" si="848"/>
        <v>0</v>
      </c>
      <c r="BJ172" s="1329">
        <f t="shared" si="916"/>
        <v>0</v>
      </c>
      <c r="BK172" s="1331">
        <f t="shared" si="916"/>
        <v>0</v>
      </c>
      <c r="BL172" s="1331">
        <f t="shared" si="916"/>
        <v>0</v>
      </c>
      <c r="BM172" s="1331">
        <f t="shared" si="916"/>
        <v>0</v>
      </c>
      <c r="BN172" s="1331">
        <f t="shared" si="916"/>
        <v>0</v>
      </c>
      <c r="BO172" s="1331">
        <f t="shared" si="916"/>
        <v>0</v>
      </c>
      <c r="BP172" s="1332">
        <f t="shared" si="850"/>
        <v>0</v>
      </c>
      <c r="BQ172" s="1519" t="s">
        <v>335</v>
      </c>
      <c r="BR172" s="1317"/>
      <c r="BS172" s="1218"/>
      <c r="BT172" s="1219"/>
      <c r="BU172" s="1318"/>
      <c r="BV172" s="1278"/>
      <c r="BW172" s="1278"/>
      <c r="BX172" s="1278"/>
      <c r="BY172" s="1221">
        <f t="shared" si="917"/>
        <v>0</v>
      </c>
      <c r="BZ172" s="1244">
        <f t="shared" si="917"/>
        <v>0</v>
      </c>
      <c r="CA172" s="1319"/>
      <c r="CB172" s="1218"/>
      <c r="CC172" s="1218"/>
      <c r="CD172" s="1218"/>
      <c r="CE172" s="1198">
        <f t="shared" si="918"/>
        <v>0</v>
      </c>
      <c r="CF172" s="1199">
        <f t="shared" si="918"/>
        <v>0</v>
      </c>
      <c r="CG172" s="1525" t="s">
        <v>335</v>
      </c>
      <c r="CH172" s="1526" t="s">
        <v>335</v>
      </c>
      <c r="CI172" s="1176">
        <f t="shared" si="905"/>
        <v>0</v>
      </c>
      <c r="CJ172" s="1177">
        <f t="shared" si="905"/>
        <v>0</v>
      </c>
      <c r="CK172" s="1177">
        <f t="shared" si="905"/>
        <v>0</v>
      </c>
      <c r="CL172" s="1177">
        <f t="shared" si="905"/>
        <v>0</v>
      </c>
      <c r="CM172" s="1177">
        <f t="shared" si="905"/>
        <v>0</v>
      </c>
      <c r="CN172" s="1177">
        <f t="shared" si="905"/>
        <v>0</v>
      </c>
      <c r="CO172" s="1178">
        <f t="shared" si="820"/>
        <v>0</v>
      </c>
      <c r="CP172" s="1179">
        <f t="shared" si="906"/>
        <v>0</v>
      </c>
      <c r="CQ172" s="1180">
        <f t="shared" si="906"/>
        <v>0</v>
      </c>
      <c r="CR172" s="1180">
        <f t="shared" si="906"/>
        <v>0</v>
      </c>
      <c r="CS172" s="1180">
        <f t="shared" si="906"/>
        <v>0</v>
      </c>
      <c r="CT172" s="1180">
        <f t="shared" si="906"/>
        <v>0</v>
      </c>
      <c r="CU172" s="1180">
        <f t="shared" si="906"/>
        <v>0</v>
      </c>
      <c r="CV172" s="1181">
        <f t="shared" si="822"/>
        <v>0</v>
      </c>
      <c r="CW172" s="1522" t="s">
        <v>335</v>
      </c>
      <c r="CX172" s="1317"/>
      <c r="CY172" s="1218"/>
      <c r="CZ172" s="1219"/>
      <c r="DA172" s="1318"/>
      <c r="DB172" s="1278"/>
      <c r="DC172" s="1278"/>
      <c r="DD172" s="1278"/>
      <c r="DE172" s="1221">
        <f t="shared" si="919"/>
        <v>0</v>
      </c>
      <c r="DF172" s="1244">
        <f t="shared" si="919"/>
        <v>0</v>
      </c>
      <c r="DG172" s="1319"/>
      <c r="DH172" s="1218"/>
      <c r="DI172" s="1218"/>
      <c r="DJ172" s="1218"/>
      <c r="DK172" s="1198">
        <f t="shared" si="920"/>
        <v>0</v>
      </c>
      <c r="DL172" s="1199">
        <f t="shared" si="920"/>
        <v>0</v>
      </c>
      <c r="DM172" s="1525" t="s">
        <v>335</v>
      </c>
      <c r="DN172" s="1526" t="s">
        <v>335</v>
      </c>
      <c r="DO172" s="1176">
        <f t="shared" si="856"/>
        <v>0</v>
      </c>
      <c r="DP172" s="1177">
        <f t="shared" si="857"/>
        <v>0</v>
      </c>
      <c r="DQ172" s="1177">
        <f t="shared" si="858"/>
        <v>0</v>
      </c>
      <c r="DR172" s="1177">
        <f t="shared" si="859"/>
        <v>0</v>
      </c>
      <c r="DS172" s="1177">
        <f t="shared" si="860"/>
        <v>0</v>
      </c>
      <c r="DT172" s="1177">
        <f t="shared" si="861"/>
        <v>0</v>
      </c>
      <c r="DU172" s="1178">
        <f t="shared" si="825"/>
        <v>0</v>
      </c>
      <c r="DV172" s="1179">
        <f t="shared" si="862"/>
        <v>0</v>
      </c>
      <c r="DW172" s="1180">
        <f t="shared" si="863"/>
        <v>0</v>
      </c>
      <c r="DX172" s="1180">
        <f t="shared" si="864"/>
        <v>0</v>
      </c>
      <c r="DY172" s="1180">
        <f t="shared" si="865"/>
        <v>0</v>
      </c>
      <c r="DZ172" s="1180">
        <f t="shared" si="866"/>
        <v>0</v>
      </c>
      <c r="EA172" s="1180">
        <f t="shared" si="867"/>
        <v>0</v>
      </c>
      <c r="EB172" s="1181">
        <f t="shared" si="827"/>
        <v>0</v>
      </c>
      <c r="EC172" s="1523" t="s">
        <v>335</v>
      </c>
      <c r="ED172" s="1328"/>
      <c r="EE172" s="1218"/>
      <c r="EF172" s="1219"/>
      <c r="EG172" s="1318"/>
      <c r="EH172" s="1278"/>
      <c r="EI172" s="1278"/>
      <c r="EJ172" s="1278"/>
      <c r="EK172" s="1221">
        <f t="shared" si="921"/>
        <v>0</v>
      </c>
      <c r="EL172" s="1244">
        <f t="shared" si="921"/>
        <v>0</v>
      </c>
      <c r="EM172" s="1319"/>
      <c r="EN172" s="1218"/>
      <c r="EO172" s="1218"/>
      <c r="EP172" s="1218"/>
      <c r="EQ172" s="1198">
        <f t="shared" si="922"/>
        <v>0</v>
      </c>
      <c r="ER172" s="1199">
        <f t="shared" si="922"/>
        <v>0</v>
      </c>
      <c r="ES172" s="1525" t="s">
        <v>335</v>
      </c>
      <c r="ET172" s="1527" t="s">
        <v>335</v>
      </c>
      <c r="EU172" s="1176">
        <f t="shared" si="868"/>
        <v>0</v>
      </c>
      <c r="EV172" s="1177">
        <f t="shared" si="830"/>
        <v>0</v>
      </c>
      <c r="EW172" s="1177">
        <f t="shared" si="830"/>
        <v>0</v>
      </c>
      <c r="EX172" s="1177">
        <f t="shared" si="830"/>
        <v>0</v>
      </c>
      <c r="EY172" s="1177">
        <f t="shared" si="830"/>
        <v>0</v>
      </c>
      <c r="EZ172" s="1177">
        <f t="shared" si="830"/>
        <v>0</v>
      </c>
      <c r="FA172" s="1178">
        <f t="shared" si="831"/>
        <v>0</v>
      </c>
      <c r="FB172" s="1179">
        <f t="shared" si="832"/>
        <v>0</v>
      </c>
      <c r="FC172" s="1180">
        <f t="shared" si="833"/>
        <v>0</v>
      </c>
      <c r="FD172" s="1180">
        <f t="shared" si="833"/>
        <v>0</v>
      </c>
      <c r="FE172" s="1180">
        <f t="shared" si="833"/>
        <v>0</v>
      </c>
      <c r="FF172" s="1180">
        <f t="shared" si="833"/>
        <v>0</v>
      </c>
      <c r="FG172" s="1180">
        <f t="shared" si="833"/>
        <v>0</v>
      </c>
      <c r="FH172" s="1181">
        <f t="shared" si="869"/>
        <v>0</v>
      </c>
      <c r="FI172" s="1522" t="s">
        <v>335</v>
      </c>
      <c r="FJ172" s="1328"/>
      <c r="FK172" s="1218"/>
      <c r="FL172" s="1219"/>
      <c r="FM172" s="1318"/>
      <c r="FN172" s="1278"/>
      <c r="FO172" s="1278"/>
      <c r="FP172" s="1278"/>
      <c r="FQ172" s="1221">
        <f t="shared" si="923"/>
        <v>0</v>
      </c>
      <c r="FR172" s="1244">
        <f t="shared" si="923"/>
        <v>0</v>
      </c>
      <c r="FS172" s="1319"/>
      <c r="FT172" s="1218"/>
      <c r="FU172" s="1218"/>
      <c r="FV172" s="1218"/>
      <c r="FW172" s="1198">
        <f t="shared" si="924"/>
        <v>0</v>
      </c>
      <c r="FX172" s="1199">
        <f t="shared" si="925"/>
        <v>0</v>
      </c>
      <c r="FY172" s="1525" t="s">
        <v>335</v>
      </c>
      <c r="FZ172" s="1527" t="s">
        <v>335</v>
      </c>
      <c r="GA172" s="1176">
        <f t="shared" si="871"/>
        <v>0</v>
      </c>
      <c r="GB172" s="1177">
        <f t="shared" si="872"/>
        <v>0</v>
      </c>
      <c r="GC172" s="1177">
        <f t="shared" si="873"/>
        <v>0</v>
      </c>
      <c r="GD172" s="1177">
        <f t="shared" si="874"/>
        <v>0</v>
      </c>
      <c r="GE172" s="1177">
        <f t="shared" si="875"/>
        <v>0</v>
      </c>
      <c r="GF172" s="1177">
        <f t="shared" si="876"/>
        <v>0</v>
      </c>
      <c r="GG172" s="1178">
        <f t="shared" si="836"/>
        <v>0</v>
      </c>
      <c r="GH172" s="1179">
        <f t="shared" si="877"/>
        <v>0</v>
      </c>
      <c r="GI172" s="1180">
        <f t="shared" si="878"/>
        <v>0</v>
      </c>
      <c r="GJ172" s="1180">
        <f t="shared" si="879"/>
        <v>0</v>
      </c>
      <c r="GK172" s="1180">
        <f t="shared" si="880"/>
        <v>0</v>
      </c>
      <c r="GL172" s="1180">
        <f t="shared" si="881"/>
        <v>0</v>
      </c>
      <c r="GM172" s="1180">
        <f t="shared" si="882"/>
        <v>0</v>
      </c>
      <c r="GN172" s="1181">
        <f t="shared" si="897"/>
        <v>0</v>
      </c>
      <c r="GO172" s="1540" t="s">
        <v>335</v>
      </c>
      <c r="GP172" s="1328"/>
      <c r="GQ172" s="1218"/>
      <c r="GR172" s="1219"/>
      <c r="GS172" s="1318"/>
      <c r="GT172" s="1278"/>
      <c r="GU172" s="1278"/>
      <c r="GV172" s="1278"/>
      <c r="GW172" s="1221">
        <f t="shared" si="926"/>
        <v>0</v>
      </c>
      <c r="GX172" s="1244">
        <f t="shared" si="926"/>
        <v>0</v>
      </c>
      <c r="GY172" s="1319"/>
      <c r="GZ172" s="1218"/>
      <c r="HA172" s="1218"/>
      <c r="HB172" s="1218"/>
      <c r="HC172" s="1198">
        <f t="shared" si="883"/>
        <v>0</v>
      </c>
      <c r="HD172" s="1199">
        <f t="shared" si="898"/>
        <v>0</v>
      </c>
      <c r="HE172" s="1693" t="s">
        <v>335</v>
      </c>
      <c r="HF172" s="1527" t="s">
        <v>335</v>
      </c>
      <c r="HG172" s="1176">
        <f t="shared" si="885"/>
        <v>0</v>
      </c>
      <c r="HH172" s="1177">
        <f t="shared" si="886"/>
        <v>0</v>
      </c>
      <c r="HI172" s="1177">
        <f t="shared" si="887"/>
        <v>0</v>
      </c>
      <c r="HJ172" s="1177">
        <f t="shared" si="888"/>
        <v>0</v>
      </c>
      <c r="HK172" s="1177">
        <f t="shared" si="889"/>
        <v>0</v>
      </c>
      <c r="HL172" s="1177">
        <f t="shared" si="890"/>
        <v>0</v>
      </c>
      <c r="HM172" s="1178">
        <f t="shared" si="840"/>
        <v>0</v>
      </c>
      <c r="HN172" s="1179">
        <f t="shared" si="891"/>
        <v>0</v>
      </c>
      <c r="HO172" s="1180">
        <f t="shared" si="892"/>
        <v>0</v>
      </c>
      <c r="HP172" s="1180">
        <f t="shared" si="893"/>
        <v>0</v>
      </c>
      <c r="HQ172" s="1180">
        <f t="shared" si="894"/>
        <v>0</v>
      </c>
      <c r="HR172" s="1180">
        <f t="shared" si="895"/>
        <v>0</v>
      </c>
      <c r="HS172" s="1180">
        <f t="shared" si="896"/>
        <v>0</v>
      </c>
      <c r="HT172" s="1181">
        <f t="shared" si="842"/>
        <v>0</v>
      </c>
      <c r="HU172" s="1540" t="s">
        <v>335</v>
      </c>
    </row>
    <row r="173" spans="1:229" ht="18" customHeight="1" x14ac:dyDescent="0.2">
      <c r="A173" s="3673"/>
      <c r="B173" s="3672"/>
      <c r="C173" s="511">
        <v>2</v>
      </c>
      <c r="D173" s="667" t="s">
        <v>351</v>
      </c>
      <c r="E173" s="663">
        <f>SUM(E174:E190)</f>
        <v>17</v>
      </c>
      <c r="F173" s="258">
        <f>SUM(F174:F190)</f>
        <v>2319.34</v>
      </c>
      <c r="G173" s="745">
        <f t="shared" si="811"/>
        <v>136.43176470588236</v>
      </c>
      <c r="H173" s="663">
        <f>SUM(H174:H190)</f>
        <v>0</v>
      </c>
      <c r="I173" s="258">
        <f>SUM(I174:I190)</f>
        <v>0</v>
      </c>
      <c r="J173" s="664">
        <v>0</v>
      </c>
      <c r="K173" s="663">
        <f>SUM(K174:K190)</f>
        <v>0</v>
      </c>
      <c r="L173" s="258">
        <f>SUM(L174:L190)</f>
        <v>0</v>
      </c>
      <c r="M173" s="664">
        <v>0</v>
      </c>
      <c r="N173" s="585">
        <f>SUM(N174:N190)</f>
        <v>2319.34</v>
      </c>
      <c r="O173" s="1361" t="s">
        <v>335</v>
      </c>
      <c r="P173" s="1362" t="s">
        <v>335</v>
      </c>
      <c r="Q173" s="1362" t="s">
        <v>335</v>
      </c>
      <c r="R173" s="258">
        <f>SUM(R174:R190)</f>
        <v>2105747.8200000003</v>
      </c>
      <c r="S173" s="709">
        <f t="shared" si="843"/>
        <v>2105747.8200000003</v>
      </c>
      <c r="T173" s="726">
        <f t="shared" ref="T173:AB173" si="927">SUM(T174:T190)</f>
        <v>2105747.8200000003</v>
      </c>
      <c r="U173" s="522">
        <f t="shared" si="927"/>
        <v>194274.06</v>
      </c>
      <c r="V173" s="1342">
        <f t="shared" si="927"/>
        <v>194274.06</v>
      </c>
      <c r="W173" s="524">
        <f t="shared" si="927"/>
        <v>319751.86</v>
      </c>
      <c r="X173" s="524">
        <f t="shared" si="927"/>
        <v>194274.06</v>
      </c>
      <c r="Y173" s="524">
        <f t="shared" si="927"/>
        <v>0</v>
      </c>
      <c r="Z173" s="524">
        <f t="shared" si="927"/>
        <v>0</v>
      </c>
      <c r="AA173" s="524">
        <f t="shared" si="927"/>
        <v>319751.86</v>
      </c>
      <c r="AB173" s="524">
        <f t="shared" si="927"/>
        <v>194274.06</v>
      </c>
      <c r="AC173" s="526">
        <f t="shared" si="813"/>
        <v>9.2258939154452019E-2</v>
      </c>
      <c r="AD173" s="522">
        <f t="shared" ref="AD173:AI173" si="928">SUM(AD174:AD190)</f>
        <v>0</v>
      </c>
      <c r="AE173" s="522">
        <f t="shared" si="928"/>
        <v>0</v>
      </c>
      <c r="AF173" s="522">
        <f t="shared" si="928"/>
        <v>319751.86</v>
      </c>
      <c r="AG173" s="522">
        <f t="shared" si="928"/>
        <v>194274.06</v>
      </c>
      <c r="AH173" s="522">
        <f t="shared" si="928"/>
        <v>319751.86</v>
      </c>
      <c r="AI173" s="522">
        <f t="shared" si="928"/>
        <v>194274.06</v>
      </c>
      <c r="AJ173" s="527">
        <f t="shared" si="815"/>
        <v>9.2258939154452019E-2</v>
      </c>
      <c r="AK173" s="528">
        <f t="shared" si="816"/>
        <v>9.2258939154452019E-2</v>
      </c>
      <c r="AL173" s="529">
        <f>SUM(AL174:AL190)</f>
        <v>96378.400000000009</v>
      </c>
      <c r="AM173" s="533">
        <f>SUM(AM174:AM190)</f>
        <v>78382.600000000006</v>
      </c>
      <c r="AN173" s="725">
        <f>AX173</f>
        <v>78382.600000000006</v>
      </c>
      <c r="AO173" s="1257">
        <f t="shared" ref="AO173:AZ173" si="929">SUM(AO174:AO190)</f>
        <v>96378.400000000009</v>
      </c>
      <c r="AP173" s="1257">
        <f t="shared" si="929"/>
        <v>78382.600000000006</v>
      </c>
      <c r="AQ173" s="1257">
        <f t="shared" si="929"/>
        <v>0</v>
      </c>
      <c r="AR173" s="1257">
        <f t="shared" si="929"/>
        <v>0</v>
      </c>
      <c r="AS173" s="1257">
        <f t="shared" si="929"/>
        <v>96378.400000000009</v>
      </c>
      <c r="AT173" s="532">
        <f t="shared" si="929"/>
        <v>78382.600000000006</v>
      </c>
      <c r="AU173" s="529">
        <f t="shared" si="929"/>
        <v>0</v>
      </c>
      <c r="AV173" s="533">
        <f t="shared" si="929"/>
        <v>0</v>
      </c>
      <c r="AW173" s="533">
        <f t="shared" si="929"/>
        <v>96378.400000000009</v>
      </c>
      <c r="AX173" s="533">
        <f t="shared" si="929"/>
        <v>78382.600000000006</v>
      </c>
      <c r="AY173" s="533">
        <f t="shared" si="929"/>
        <v>96378.400000000009</v>
      </c>
      <c r="AZ173" s="534">
        <f t="shared" si="929"/>
        <v>78382.600000000006</v>
      </c>
      <c r="BA173" s="535">
        <f t="shared" ref="BA173:BF177" si="930">U173+AM173</f>
        <v>272656.66000000003</v>
      </c>
      <c r="BB173" s="536">
        <f t="shared" si="930"/>
        <v>272656.66000000003</v>
      </c>
      <c r="BC173" s="524">
        <f t="shared" si="930"/>
        <v>416130.26</v>
      </c>
      <c r="BD173" s="525">
        <f t="shared" si="930"/>
        <v>272656.66000000003</v>
      </c>
      <c r="BE173" s="525">
        <f t="shared" si="930"/>
        <v>0</v>
      </c>
      <c r="BF173" s="525">
        <f t="shared" si="930"/>
        <v>0</v>
      </c>
      <c r="BG173" s="525">
        <f t="shared" ref="BG173:BG183" si="931">AA173+AS173</f>
        <v>416130.26</v>
      </c>
      <c r="BH173" s="525">
        <f t="shared" ref="BH173:BH190" si="932">AB173+AT173</f>
        <v>272656.66000000003</v>
      </c>
      <c r="BI173" s="526">
        <f t="shared" ref="BI173:BI191" si="933">BH173/R173</f>
        <v>0.12948210484197487</v>
      </c>
      <c r="BJ173" s="535">
        <f t="shared" ref="BJ173:BK177" si="934">AD173+AU173</f>
        <v>0</v>
      </c>
      <c r="BK173" s="538">
        <f t="shared" si="934"/>
        <v>0</v>
      </c>
      <c r="BL173" s="538">
        <f t="shared" ref="BL173:BO178" si="935">AF173+AW173</f>
        <v>416130.26</v>
      </c>
      <c r="BM173" s="538">
        <f t="shared" si="935"/>
        <v>272656.66000000003</v>
      </c>
      <c r="BN173" s="538">
        <f t="shared" si="935"/>
        <v>416130.26</v>
      </c>
      <c r="BO173" s="538">
        <f t="shared" si="935"/>
        <v>272656.66000000003</v>
      </c>
      <c r="BP173" s="539">
        <f t="shared" ref="BP173:BP190" si="936">BO173/S173</f>
        <v>0.12948210484197487</v>
      </c>
      <c r="BQ173" s="1272">
        <f t="shared" ref="BQ173:BQ178" si="937">BA173/T173</f>
        <v>0.12948210484197487</v>
      </c>
      <c r="BR173" s="529">
        <f>SUM(BR174:BR190)</f>
        <v>108425.70000000001</v>
      </c>
      <c r="BS173" s="533">
        <f>SUM(BS174:BS190)</f>
        <v>56106.19</v>
      </c>
      <c r="BT173" s="725">
        <f>CD173</f>
        <v>56106.19</v>
      </c>
      <c r="BU173" s="1257">
        <f t="shared" ref="BU173:CN173" si="938">SUM(BU174:BU190)</f>
        <v>108425.70000000001</v>
      </c>
      <c r="BV173" s="1257">
        <f t="shared" si="938"/>
        <v>56106.19</v>
      </c>
      <c r="BW173" s="1257">
        <f t="shared" si="938"/>
        <v>0</v>
      </c>
      <c r="BX173" s="1257">
        <f t="shared" si="938"/>
        <v>0</v>
      </c>
      <c r="BY173" s="1257">
        <f t="shared" si="938"/>
        <v>108425.70000000001</v>
      </c>
      <c r="BZ173" s="532">
        <f t="shared" si="938"/>
        <v>56106.19</v>
      </c>
      <c r="CA173" s="529">
        <f t="shared" si="938"/>
        <v>0</v>
      </c>
      <c r="CB173" s="533">
        <f t="shared" si="938"/>
        <v>0</v>
      </c>
      <c r="CC173" s="533">
        <f t="shared" si="938"/>
        <v>108425.70000000001</v>
      </c>
      <c r="CD173" s="533">
        <f t="shared" si="938"/>
        <v>56106.19</v>
      </c>
      <c r="CE173" s="533">
        <f t="shared" si="938"/>
        <v>108425.70000000001</v>
      </c>
      <c r="CF173" s="534">
        <f t="shared" si="938"/>
        <v>56106.19</v>
      </c>
      <c r="CG173" s="535">
        <f t="shared" si="938"/>
        <v>328762.84999999998</v>
      </c>
      <c r="CH173" s="536">
        <f t="shared" si="938"/>
        <v>328762.84999999998</v>
      </c>
      <c r="CI173" s="524">
        <f t="shared" si="938"/>
        <v>524555.96000000008</v>
      </c>
      <c r="CJ173" s="525">
        <f t="shared" si="938"/>
        <v>328762.84999999998</v>
      </c>
      <c r="CK173" s="525">
        <f t="shared" si="938"/>
        <v>0</v>
      </c>
      <c r="CL173" s="525">
        <f t="shared" si="938"/>
        <v>0</v>
      </c>
      <c r="CM173" s="525">
        <f t="shared" si="938"/>
        <v>524555.96000000008</v>
      </c>
      <c r="CN173" s="525">
        <f t="shared" si="938"/>
        <v>328762.84999999998</v>
      </c>
      <c r="CO173" s="526">
        <f t="shared" ref="CO173:CO178" si="939">CN173/R173</f>
        <v>0.1561264111863119</v>
      </c>
      <c r="CP173" s="535">
        <f t="shared" ref="CP173:CU173" si="940">SUM(CP174:CP190)</f>
        <v>0</v>
      </c>
      <c r="CQ173" s="538">
        <f t="shared" si="940"/>
        <v>0</v>
      </c>
      <c r="CR173" s="538">
        <f t="shared" si="940"/>
        <v>524555.96000000008</v>
      </c>
      <c r="CS173" s="538">
        <f t="shared" si="940"/>
        <v>328762.85000000003</v>
      </c>
      <c r="CT173" s="538">
        <f t="shared" si="940"/>
        <v>524555.96000000008</v>
      </c>
      <c r="CU173" s="538">
        <f t="shared" si="940"/>
        <v>328762.85000000003</v>
      </c>
      <c r="CV173" s="539">
        <f t="shared" si="822"/>
        <v>0.15612641118631193</v>
      </c>
      <c r="CW173" s="1272">
        <f t="shared" si="823"/>
        <v>0.1561264111863119</v>
      </c>
      <c r="CX173" s="529">
        <f>SUM(CX174:CX190)</f>
        <v>108425.70000000001</v>
      </c>
      <c r="CY173" s="533">
        <f>SUM(CY174:CY190)</f>
        <v>90957.19</v>
      </c>
      <c r="CZ173" s="725">
        <f>DJ173</f>
        <v>90957.19</v>
      </c>
      <c r="DA173" s="1257">
        <f t="shared" ref="DA173:DT173" si="941">SUM(DA174:DA190)</f>
        <v>108425.70000000001</v>
      </c>
      <c r="DB173" s="1257">
        <f t="shared" si="941"/>
        <v>90957.19</v>
      </c>
      <c r="DC173" s="1257">
        <f t="shared" si="941"/>
        <v>0</v>
      </c>
      <c r="DD173" s="1257">
        <f t="shared" si="941"/>
        <v>0</v>
      </c>
      <c r="DE173" s="1257">
        <f t="shared" si="941"/>
        <v>108425.70000000001</v>
      </c>
      <c r="DF173" s="532">
        <f t="shared" si="941"/>
        <v>90957.19</v>
      </c>
      <c r="DG173" s="529">
        <f t="shared" si="941"/>
        <v>0</v>
      </c>
      <c r="DH173" s="533">
        <f t="shared" si="941"/>
        <v>0</v>
      </c>
      <c r="DI173" s="533">
        <f t="shared" si="941"/>
        <v>108425.70000000001</v>
      </c>
      <c r="DJ173" s="533">
        <f t="shared" si="941"/>
        <v>90957.19</v>
      </c>
      <c r="DK173" s="533">
        <f t="shared" si="941"/>
        <v>108425.70000000001</v>
      </c>
      <c r="DL173" s="534">
        <f t="shared" si="941"/>
        <v>90957.19</v>
      </c>
      <c r="DM173" s="535">
        <f t="shared" si="941"/>
        <v>419720.04000000004</v>
      </c>
      <c r="DN173" s="536">
        <f t="shared" si="941"/>
        <v>419720.04000000004</v>
      </c>
      <c r="DO173" s="524">
        <f t="shared" si="941"/>
        <v>632981.66</v>
      </c>
      <c r="DP173" s="525">
        <f t="shared" si="941"/>
        <v>419720.04000000004</v>
      </c>
      <c r="DQ173" s="525">
        <f t="shared" si="941"/>
        <v>0</v>
      </c>
      <c r="DR173" s="525">
        <f t="shared" si="941"/>
        <v>0</v>
      </c>
      <c r="DS173" s="525">
        <f t="shared" si="941"/>
        <v>632981.66</v>
      </c>
      <c r="DT173" s="525">
        <f t="shared" si="941"/>
        <v>419720.04000000004</v>
      </c>
      <c r="DU173" s="526">
        <f>DT173/AX173</f>
        <v>5.3547603677346762</v>
      </c>
      <c r="DV173" s="535">
        <f t="shared" ref="DV173:EA173" si="942">SUM(DV174:DV190)</f>
        <v>0</v>
      </c>
      <c r="DW173" s="538">
        <f t="shared" si="942"/>
        <v>0</v>
      </c>
      <c r="DX173" s="538">
        <f t="shared" si="942"/>
        <v>632981.66</v>
      </c>
      <c r="DY173" s="538">
        <f t="shared" si="942"/>
        <v>419720.04000000004</v>
      </c>
      <c r="DZ173" s="538">
        <f t="shared" si="942"/>
        <v>632981.66</v>
      </c>
      <c r="EA173" s="538">
        <f t="shared" si="942"/>
        <v>419720.04000000004</v>
      </c>
      <c r="EB173" s="539">
        <f>EA173/AY173</f>
        <v>4.3549181144322793</v>
      </c>
      <c r="EC173" s="1272">
        <f>DM173/AZ173</f>
        <v>5.3547603677346762</v>
      </c>
      <c r="ED173" s="529">
        <f>SUM(ED174:ED190)</f>
        <v>180710.49999999997</v>
      </c>
      <c r="EE173" s="533">
        <f>SUM(EE174:EE190)</f>
        <v>0</v>
      </c>
      <c r="EF173" s="725">
        <f>EP173</f>
        <v>0</v>
      </c>
      <c r="EG173" s="1257">
        <f t="shared" ref="EG173:EZ173" si="943">SUM(EG174:EG190)</f>
        <v>168662.19999999998</v>
      </c>
      <c r="EH173" s="1257">
        <f t="shared" si="943"/>
        <v>0</v>
      </c>
      <c r="EI173" s="1257">
        <f t="shared" si="943"/>
        <v>0</v>
      </c>
      <c r="EJ173" s="1257">
        <f t="shared" si="943"/>
        <v>0</v>
      </c>
      <c r="EK173" s="1257">
        <f t="shared" si="943"/>
        <v>168662.19999999998</v>
      </c>
      <c r="EL173" s="532">
        <f t="shared" si="943"/>
        <v>0</v>
      </c>
      <c r="EM173" s="529">
        <f t="shared" si="943"/>
        <v>0</v>
      </c>
      <c r="EN173" s="533">
        <f t="shared" si="943"/>
        <v>0</v>
      </c>
      <c r="EO173" s="533">
        <f t="shared" si="943"/>
        <v>168662.19999999998</v>
      </c>
      <c r="EP173" s="533">
        <f t="shared" si="943"/>
        <v>0</v>
      </c>
      <c r="EQ173" s="533">
        <f t="shared" si="943"/>
        <v>168662.19999999998</v>
      </c>
      <c r="ER173" s="534">
        <f t="shared" si="943"/>
        <v>0</v>
      </c>
      <c r="ES173" s="535">
        <f t="shared" si="943"/>
        <v>419720.04000000004</v>
      </c>
      <c r="ET173" s="536">
        <f t="shared" si="943"/>
        <v>419720.04000000004</v>
      </c>
      <c r="EU173" s="524">
        <f t="shared" si="943"/>
        <v>801643.8600000001</v>
      </c>
      <c r="EV173" s="525">
        <f t="shared" si="943"/>
        <v>419720.04000000004</v>
      </c>
      <c r="EW173" s="525">
        <f t="shared" si="943"/>
        <v>0</v>
      </c>
      <c r="EX173" s="525">
        <f t="shared" si="943"/>
        <v>0</v>
      </c>
      <c r="EY173" s="525">
        <f t="shared" si="943"/>
        <v>801643.8600000001</v>
      </c>
      <c r="EZ173" s="525">
        <f t="shared" si="943"/>
        <v>419720.04000000004</v>
      </c>
      <c r="FA173" s="526">
        <f>EZ173/CD173</f>
        <v>7.4808152184277708</v>
      </c>
      <c r="FB173" s="535">
        <f t="shared" ref="FB173:FG173" si="944">SUM(FB174:FB190)</f>
        <v>0</v>
      </c>
      <c r="FC173" s="538">
        <f t="shared" si="944"/>
        <v>0</v>
      </c>
      <c r="FD173" s="538">
        <f t="shared" si="944"/>
        <v>801643.8600000001</v>
      </c>
      <c r="FE173" s="538">
        <f t="shared" si="944"/>
        <v>419720.04000000004</v>
      </c>
      <c r="FF173" s="538">
        <f t="shared" si="944"/>
        <v>801643.8600000001</v>
      </c>
      <c r="FG173" s="538">
        <f t="shared" si="944"/>
        <v>419720.04000000004</v>
      </c>
      <c r="FH173" s="539">
        <f>FG173/CE173</f>
        <v>3.8710383239398038</v>
      </c>
      <c r="FI173" s="1272">
        <f>ES173/CF173</f>
        <v>7.4808152184277708</v>
      </c>
      <c r="FJ173" s="529">
        <f>SUM(FJ174:FJ190)</f>
        <v>156614.9</v>
      </c>
      <c r="FK173" s="533">
        <f>SUM(FK174:FK190)</f>
        <v>157080.91</v>
      </c>
      <c r="FL173" s="725">
        <f>FV173</f>
        <v>157080.91</v>
      </c>
      <c r="FM173" s="1257">
        <f t="shared" ref="FM173:GF173" si="945">SUM(FM174:FM190)</f>
        <v>156614.9</v>
      </c>
      <c r="FN173" s="1257">
        <f t="shared" si="945"/>
        <v>157080.91</v>
      </c>
      <c r="FO173" s="1257">
        <f t="shared" si="945"/>
        <v>0</v>
      </c>
      <c r="FP173" s="1257">
        <f t="shared" si="945"/>
        <v>0</v>
      </c>
      <c r="FQ173" s="1257">
        <f t="shared" si="945"/>
        <v>156614.9</v>
      </c>
      <c r="FR173" s="532">
        <f t="shared" si="945"/>
        <v>157080.91</v>
      </c>
      <c r="FS173" s="529">
        <f t="shared" si="945"/>
        <v>0</v>
      </c>
      <c r="FT173" s="533">
        <f t="shared" si="945"/>
        <v>0</v>
      </c>
      <c r="FU173" s="533">
        <f t="shared" si="945"/>
        <v>156614.9</v>
      </c>
      <c r="FV173" s="533">
        <f t="shared" si="945"/>
        <v>157080.91</v>
      </c>
      <c r="FW173" s="533">
        <f t="shared" si="945"/>
        <v>156614.9</v>
      </c>
      <c r="FX173" s="534">
        <f t="shared" si="945"/>
        <v>157080.91</v>
      </c>
      <c r="FY173" s="535">
        <f t="shared" si="945"/>
        <v>576800.95000000007</v>
      </c>
      <c r="FZ173" s="536">
        <f t="shared" si="945"/>
        <v>576800.95000000007</v>
      </c>
      <c r="GA173" s="524">
        <f t="shared" si="945"/>
        <v>958258.76</v>
      </c>
      <c r="GB173" s="525">
        <f t="shared" si="945"/>
        <v>576800.95000000007</v>
      </c>
      <c r="GC173" s="525">
        <f t="shared" si="945"/>
        <v>0</v>
      </c>
      <c r="GD173" s="525">
        <f t="shared" si="945"/>
        <v>0</v>
      </c>
      <c r="GE173" s="525">
        <f t="shared" si="945"/>
        <v>958258.76</v>
      </c>
      <c r="GF173" s="525">
        <f t="shared" si="945"/>
        <v>576800.95000000007</v>
      </c>
      <c r="GG173" s="526">
        <f>GF173/DJ173</f>
        <v>6.3414552494420731</v>
      </c>
      <c r="GH173" s="535">
        <f t="shared" ref="GH173:GM173" si="946">SUM(GH174:GH190)</f>
        <v>0</v>
      </c>
      <c r="GI173" s="538">
        <f t="shared" si="946"/>
        <v>0</v>
      </c>
      <c r="GJ173" s="538">
        <f t="shared" si="946"/>
        <v>958258.76</v>
      </c>
      <c r="GK173" s="538">
        <f t="shared" si="946"/>
        <v>576800.95000000007</v>
      </c>
      <c r="GL173" s="538">
        <f t="shared" si="946"/>
        <v>958258.76</v>
      </c>
      <c r="GM173" s="538">
        <f t="shared" si="946"/>
        <v>576800.95000000007</v>
      </c>
      <c r="GN173" s="539">
        <f>GM173/DK173</f>
        <v>5.3197807346413262</v>
      </c>
      <c r="GO173" s="1272">
        <f>FY173/DL173</f>
        <v>6.3414552494420731</v>
      </c>
      <c r="GP173" s="529">
        <f>SUM(GP174:GP190)</f>
        <v>156614.9</v>
      </c>
      <c r="GQ173" s="533">
        <f>SUM(GQ174:GQ190)</f>
        <v>130351.73999999999</v>
      </c>
      <c r="GR173" s="725">
        <f>HB173</f>
        <v>130351.73999999999</v>
      </c>
      <c r="GS173" s="1257">
        <f t="shared" ref="GS173:HL173" si="947">SUM(GS174:GS190)</f>
        <v>156614.89999999997</v>
      </c>
      <c r="GT173" s="1257">
        <f t="shared" si="947"/>
        <v>130351.73999999999</v>
      </c>
      <c r="GU173" s="1257">
        <f t="shared" si="947"/>
        <v>0</v>
      </c>
      <c r="GV173" s="1257">
        <f t="shared" si="947"/>
        <v>0</v>
      </c>
      <c r="GW173" s="1257">
        <f t="shared" si="947"/>
        <v>156614.89999999997</v>
      </c>
      <c r="GX173" s="532">
        <f t="shared" si="947"/>
        <v>130351.73999999999</v>
      </c>
      <c r="GY173" s="529">
        <f t="shared" si="947"/>
        <v>0</v>
      </c>
      <c r="GZ173" s="533">
        <f t="shared" si="947"/>
        <v>0</v>
      </c>
      <c r="HA173" s="533">
        <f t="shared" si="947"/>
        <v>156614.89999999997</v>
      </c>
      <c r="HB173" s="533">
        <f t="shared" si="947"/>
        <v>130351.73999999999</v>
      </c>
      <c r="HC173" s="533">
        <f t="shared" si="947"/>
        <v>156614.89999999997</v>
      </c>
      <c r="HD173" s="534">
        <f t="shared" si="947"/>
        <v>130351.73999999999</v>
      </c>
      <c r="HE173" s="1679">
        <f t="shared" si="947"/>
        <v>707152.69000000006</v>
      </c>
      <c r="HF173" s="536">
        <f t="shared" si="947"/>
        <v>707152.69000000006</v>
      </c>
      <c r="HG173" s="524">
        <f t="shared" si="947"/>
        <v>1114873.6600000001</v>
      </c>
      <c r="HH173" s="525">
        <f t="shared" si="947"/>
        <v>707152.69000000006</v>
      </c>
      <c r="HI173" s="525">
        <f t="shared" si="947"/>
        <v>0</v>
      </c>
      <c r="HJ173" s="525">
        <f t="shared" si="947"/>
        <v>0</v>
      </c>
      <c r="HK173" s="525">
        <f t="shared" si="947"/>
        <v>1114873.6600000001</v>
      </c>
      <c r="HL173" s="525">
        <f t="shared" si="947"/>
        <v>707152.69000000006</v>
      </c>
      <c r="HM173" s="526">
        <f t="shared" si="840"/>
        <v>0.33582021706663812</v>
      </c>
      <c r="HN173" s="535">
        <f t="shared" ref="HN173:HS173" si="948">SUM(HN174:HN190)</f>
        <v>0</v>
      </c>
      <c r="HO173" s="538">
        <f t="shared" si="948"/>
        <v>0</v>
      </c>
      <c r="HP173" s="538">
        <f t="shared" si="948"/>
        <v>1114873.6600000001</v>
      </c>
      <c r="HQ173" s="538">
        <f t="shared" si="948"/>
        <v>707152.69000000006</v>
      </c>
      <c r="HR173" s="538">
        <f t="shared" si="948"/>
        <v>1114873.6600000001</v>
      </c>
      <c r="HS173" s="538">
        <f t="shared" si="948"/>
        <v>707152.69000000006</v>
      </c>
      <c r="HT173" s="539">
        <f t="shared" si="842"/>
        <v>0.33582021706663812</v>
      </c>
      <c r="HU173" s="1272">
        <f>HE173/T173</f>
        <v>0.33582021706663812</v>
      </c>
    </row>
    <row r="174" spans="1:229" s="1170" customFormat="1" ht="18" hidden="1" customHeight="1" outlineLevel="2" x14ac:dyDescent="0.2">
      <c r="A174" s="3673"/>
      <c r="B174" s="3672"/>
      <c r="C174" s="3676" t="s">
        <v>353</v>
      </c>
      <c r="D174" s="1168" t="s">
        <v>338</v>
      </c>
      <c r="E174" s="1247">
        <v>1</v>
      </c>
      <c r="F174" s="1206">
        <v>126.73</v>
      </c>
      <c r="G174" s="1248">
        <f t="shared" si="811"/>
        <v>126.73</v>
      </c>
      <c r="H174" s="1207">
        <v>0</v>
      </c>
      <c r="I174" s="1206">
        <v>0</v>
      </c>
      <c r="J174" s="1206">
        <v>0</v>
      </c>
      <c r="K174" s="1207">
        <v>0</v>
      </c>
      <c r="L174" s="1206">
        <v>0</v>
      </c>
      <c r="M174" s="1206">
        <v>0</v>
      </c>
      <c r="N174" s="1208">
        <f>F174+I174+L174</f>
        <v>126.73</v>
      </c>
      <c r="O174" s="1363" t="s">
        <v>335</v>
      </c>
      <c r="P174" s="1364" t="s">
        <v>335</v>
      </c>
      <c r="Q174" s="1364" t="s">
        <v>335</v>
      </c>
      <c r="R174" s="1206">
        <v>188196.75</v>
      </c>
      <c r="S174" s="1249">
        <f t="shared" si="843"/>
        <v>188196.75</v>
      </c>
      <c r="T174" s="1210">
        <v>188196.75</v>
      </c>
      <c r="U174" s="1211">
        <v>0</v>
      </c>
      <c r="V174" s="1211">
        <v>0</v>
      </c>
      <c r="W174" s="1212">
        <v>42685.5</v>
      </c>
      <c r="X174" s="1213">
        <v>0</v>
      </c>
      <c r="Y174" s="1213">
        <v>0</v>
      </c>
      <c r="Z174" s="1213">
        <v>0</v>
      </c>
      <c r="AA174" s="1174">
        <f>W174+Y174</f>
        <v>42685.5</v>
      </c>
      <c r="AB174" s="1213">
        <f>X174+Z174</f>
        <v>0</v>
      </c>
      <c r="AC174" s="1260">
        <f t="shared" si="813"/>
        <v>0</v>
      </c>
      <c r="AD174" s="1211">
        <v>0</v>
      </c>
      <c r="AE174" s="1211">
        <v>0</v>
      </c>
      <c r="AF174" s="1215">
        <v>42685.5</v>
      </c>
      <c r="AG174" s="1211"/>
      <c r="AH174" s="1215">
        <f>AD174+AF174</f>
        <v>42685.5</v>
      </c>
      <c r="AI174" s="1211">
        <f>AE174+AG174</f>
        <v>0</v>
      </c>
      <c r="AJ174" s="1216">
        <f t="shared" si="815"/>
        <v>0</v>
      </c>
      <c r="AK174" s="1217">
        <f t="shared" si="816"/>
        <v>0</v>
      </c>
      <c r="AL174" s="1317">
        <v>12047.3</v>
      </c>
      <c r="AM174" s="1218"/>
      <c r="AN174" s="1219">
        <f>AX174</f>
        <v>0</v>
      </c>
      <c r="AO174" s="1284">
        <v>12047.3</v>
      </c>
      <c r="AP174" s="1278"/>
      <c r="AQ174" s="1278"/>
      <c r="AR174" s="1278"/>
      <c r="AS174" s="1278">
        <f>AO174+AQ174</f>
        <v>12047.3</v>
      </c>
      <c r="AT174" s="1396">
        <f>AP174+AR174</f>
        <v>0</v>
      </c>
      <c r="AU174" s="1319"/>
      <c r="AV174" s="1218"/>
      <c r="AW174" s="1218">
        <f>AO174</f>
        <v>12047.3</v>
      </c>
      <c r="AX174" s="1218">
        <f>AP174</f>
        <v>0</v>
      </c>
      <c r="AY174" s="1218">
        <f t="shared" ref="AY174:AY190" si="949">AU174+AW174</f>
        <v>12047.3</v>
      </c>
      <c r="AZ174" s="1281">
        <f>AV174+AX174</f>
        <v>0</v>
      </c>
      <c r="BA174" s="1321">
        <f t="shared" si="930"/>
        <v>0</v>
      </c>
      <c r="BB174" s="1259">
        <f t="shared" si="930"/>
        <v>0</v>
      </c>
      <c r="BC174" s="1212">
        <f t="shared" si="930"/>
        <v>54732.800000000003</v>
      </c>
      <c r="BD174" s="1174">
        <f t="shared" si="930"/>
        <v>0</v>
      </c>
      <c r="BE174" s="1174">
        <f t="shared" si="930"/>
        <v>0</v>
      </c>
      <c r="BF174" s="1174">
        <f t="shared" si="930"/>
        <v>0</v>
      </c>
      <c r="BG174" s="1174">
        <f t="shared" si="931"/>
        <v>54732.800000000003</v>
      </c>
      <c r="BH174" s="1174">
        <f t="shared" si="932"/>
        <v>0</v>
      </c>
      <c r="BI174" s="1260">
        <f t="shared" si="933"/>
        <v>0</v>
      </c>
      <c r="BJ174" s="1321">
        <f t="shared" si="934"/>
        <v>0</v>
      </c>
      <c r="BK174" s="1173">
        <f t="shared" si="934"/>
        <v>0</v>
      </c>
      <c r="BL174" s="1173">
        <f t="shared" si="935"/>
        <v>54732.800000000003</v>
      </c>
      <c r="BM174" s="1173">
        <f t="shared" si="935"/>
        <v>0</v>
      </c>
      <c r="BN174" s="1173">
        <f t="shared" si="935"/>
        <v>54732.800000000003</v>
      </c>
      <c r="BO174" s="1173">
        <f t="shared" si="935"/>
        <v>0</v>
      </c>
      <c r="BP174" s="1354">
        <f t="shared" si="936"/>
        <v>0</v>
      </c>
      <c r="BQ174" s="1261">
        <f t="shared" si="937"/>
        <v>0</v>
      </c>
      <c r="BR174" s="1317">
        <v>12047.3</v>
      </c>
      <c r="BS174" s="1218">
        <f t="shared" ref="BS174:BS185" si="950">BV174</f>
        <v>0</v>
      </c>
      <c r="BT174" s="1219">
        <f>CD174</f>
        <v>0</v>
      </c>
      <c r="BU174" s="1284">
        <v>12047.3</v>
      </c>
      <c r="BV174" s="1278"/>
      <c r="BW174" s="1278"/>
      <c r="BX174" s="1278"/>
      <c r="BY174" s="1278">
        <f>BU174+BW174</f>
        <v>12047.3</v>
      </c>
      <c r="BZ174" s="1279">
        <f>BV174+BX174</f>
        <v>0</v>
      </c>
      <c r="CA174" s="1280"/>
      <c r="CB174" s="1218"/>
      <c r="CC174" s="1218">
        <f>BU174</f>
        <v>12047.3</v>
      </c>
      <c r="CD174" s="1218">
        <f>BV174</f>
        <v>0</v>
      </c>
      <c r="CE174" s="1218">
        <f t="shared" ref="CE174:CE190" si="951">CA174+CC174</f>
        <v>12047.3</v>
      </c>
      <c r="CF174" s="1281">
        <f>CB174+CD174</f>
        <v>0</v>
      </c>
      <c r="CG174" s="1263">
        <f t="shared" ref="CG174:CG189" si="952">BA174+BS174</f>
        <v>0</v>
      </c>
      <c r="CH174" s="1259">
        <f t="shared" ref="CH174:CH189" si="953">BB174+BT174</f>
        <v>0</v>
      </c>
      <c r="CI174" s="1212">
        <f t="shared" ref="CI174:CI189" si="954">BC174+BU174</f>
        <v>66780.100000000006</v>
      </c>
      <c r="CJ174" s="1174">
        <f t="shared" ref="CJ174:CJ189" si="955">BD174+BV174</f>
        <v>0</v>
      </c>
      <c r="CK174" s="1174">
        <f t="shared" ref="CK174:CK189" si="956">BE174+BW174</f>
        <v>0</v>
      </c>
      <c r="CL174" s="1174">
        <f t="shared" ref="CL174:CL189" si="957">BF174+BX174</f>
        <v>0</v>
      </c>
      <c r="CM174" s="1174">
        <f t="shared" ref="CM174:CM190" si="958">BG174+BY174</f>
        <v>66780.100000000006</v>
      </c>
      <c r="CN174" s="1174">
        <f t="shared" ref="CN174:CN190" si="959">BH174+BZ174</f>
        <v>0</v>
      </c>
      <c r="CO174" s="1260">
        <f t="shared" si="939"/>
        <v>0</v>
      </c>
      <c r="CP174" s="1264">
        <f t="shared" ref="CP174:CP189" si="960">BJ174+CA174</f>
        <v>0</v>
      </c>
      <c r="CQ174" s="1173">
        <f t="shared" ref="CQ174:CQ189" si="961">BK174+CB174</f>
        <v>0</v>
      </c>
      <c r="CR174" s="1173">
        <f t="shared" ref="CR174:CR189" si="962">BL174+CC174</f>
        <v>66780.100000000006</v>
      </c>
      <c r="CS174" s="1173">
        <f t="shared" ref="CS174:CS189" si="963">BM174+CD174</f>
        <v>0</v>
      </c>
      <c r="CT174" s="1173">
        <f t="shared" ref="CT174:CT190" si="964">BN174+CE174</f>
        <v>66780.100000000006</v>
      </c>
      <c r="CU174" s="1173">
        <f t="shared" ref="CU174:CU190" si="965">BO174+CF174</f>
        <v>0</v>
      </c>
      <c r="CV174" s="1265">
        <f t="shared" si="822"/>
        <v>0</v>
      </c>
      <c r="CW174" s="1261">
        <f t="shared" si="823"/>
        <v>0</v>
      </c>
      <c r="CX174" s="1317">
        <v>12047.3</v>
      </c>
      <c r="CY174" s="1218"/>
      <c r="CZ174" s="1219"/>
      <c r="DA174" s="1284">
        <f>CX174</f>
        <v>12047.3</v>
      </c>
      <c r="DB174" s="1278"/>
      <c r="DC174" s="1278"/>
      <c r="DD174" s="1278"/>
      <c r="DE174" s="1278">
        <f>DA174+DC174</f>
        <v>12047.3</v>
      </c>
      <c r="DF174" s="1279">
        <f>DB174+DD174</f>
        <v>0</v>
      </c>
      <c r="DG174" s="1280"/>
      <c r="DH174" s="1218"/>
      <c r="DI174" s="1218">
        <f>DA174</f>
        <v>12047.3</v>
      </c>
      <c r="DJ174" s="1218">
        <f>DB174</f>
        <v>0</v>
      </c>
      <c r="DK174" s="1218">
        <f t="shared" ref="DK174:DK190" si="966">DG174+DI174</f>
        <v>12047.3</v>
      </c>
      <c r="DL174" s="1281">
        <f>DH174+DJ174</f>
        <v>0</v>
      </c>
      <c r="DM174" s="1263">
        <f t="shared" ref="DM174:DM189" si="967">CG174+CY174</f>
        <v>0</v>
      </c>
      <c r="DN174" s="1259">
        <f t="shared" ref="DN174:DN189" si="968">CH174+CZ174</f>
        <v>0</v>
      </c>
      <c r="DO174" s="1212">
        <f t="shared" ref="DO174:DO210" si="969">CI174+DA174</f>
        <v>78827.400000000009</v>
      </c>
      <c r="DP174" s="1174">
        <f t="shared" ref="DP174:DP210" si="970">CJ174+DB174</f>
        <v>0</v>
      </c>
      <c r="DQ174" s="1174">
        <f t="shared" ref="DQ174:DQ210" si="971">CK174+DC174</f>
        <v>0</v>
      </c>
      <c r="DR174" s="1174">
        <f t="shared" ref="DR174:DR210" si="972">CL174+DD174</f>
        <v>0</v>
      </c>
      <c r="DS174" s="1174">
        <f t="shared" ref="DS174:DS210" si="973">CM174+DE174</f>
        <v>78827.400000000009</v>
      </c>
      <c r="DT174" s="1174">
        <f t="shared" ref="DT174:DT210" si="974">CN174+DF174</f>
        <v>0</v>
      </c>
      <c r="DU174" s="1260">
        <f t="shared" si="825"/>
        <v>0</v>
      </c>
      <c r="DV174" s="1264">
        <f t="shared" ref="DV174:DW177" si="975">CP174+DG174</f>
        <v>0</v>
      </c>
      <c r="DW174" s="1173">
        <f t="shared" si="975"/>
        <v>0</v>
      </c>
      <c r="DX174" s="1173">
        <f t="shared" ref="DX174:DY177" si="976">CR174+DI174</f>
        <v>78827.400000000009</v>
      </c>
      <c r="DY174" s="1173">
        <f t="shared" si="976"/>
        <v>0</v>
      </c>
      <c r="DZ174" s="1173">
        <f t="shared" ref="DZ174:DZ210" si="977">CT174+DK174</f>
        <v>78827.400000000009</v>
      </c>
      <c r="EA174" s="1173">
        <f t="shared" ref="EA174:EA210" si="978">CU174+DL174</f>
        <v>0</v>
      </c>
      <c r="EB174" s="1265">
        <f t="shared" si="827"/>
        <v>0</v>
      </c>
      <c r="EC174" s="1487">
        <f>DM174/T174</f>
        <v>0</v>
      </c>
      <c r="ED174" s="1328">
        <v>12047.3</v>
      </c>
      <c r="EE174" s="1218"/>
      <c r="EF174" s="1219"/>
      <c r="EG174" s="1318">
        <v>12047.3</v>
      </c>
      <c r="EH174" s="1278"/>
      <c r="EI174" s="1278"/>
      <c r="EJ174" s="1278"/>
      <c r="EK174" s="1278">
        <f>EG174+EI174</f>
        <v>12047.3</v>
      </c>
      <c r="EL174" s="1279">
        <f>EH174+EJ174</f>
        <v>0</v>
      </c>
      <c r="EM174" s="1280"/>
      <c r="EN174" s="1218"/>
      <c r="EO174" s="1218">
        <f>EG174</f>
        <v>12047.3</v>
      </c>
      <c r="EP174" s="1218">
        <f>EH174</f>
        <v>0</v>
      </c>
      <c r="EQ174" s="1218">
        <f>EM174+EO174</f>
        <v>12047.3</v>
      </c>
      <c r="ER174" s="1281">
        <f>EN174+EP174</f>
        <v>0</v>
      </c>
      <c r="ES174" s="1263">
        <f t="shared" ref="ES174:ET176" si="979">DM174+EE174</f>
        <v>0</v>
      </c>
      <c r="ET174" s="1461">
        <f t="shared" si="979"/>
        <v>0</v>
      </c>
      <c r="EU174" s="1176">
        <f t="shared" si="868"/>
        <v>90874.700000000012</v>
      </c>
      <c r="EV174" s="1177">
        <f t="shared" si="830"/>
        <v>0</v>
      </c>
      <c r="EW174" s="1177">
        <f t="shared" si="830"/>
        <v>0</v>
      </c>
      <c r="EX174" s="1177">
        <f t="shared" si="830"/>
        <v>0</v>
      </c>
      <c r="EY174" s="1177">
        <f t="shared" si="830"/>
        <v>90874.700000000012</v>
      </c>
      <c r="EZ174" s="1177">
        <f t="shared" si="830"/>
        <v>0</v>
      </c>
      <c r="FA174" s="1178">
        <f>EZ174/R174</f>
        <v>0</v>
      </c>
      <c r="FB174" s="1179">
        <f t="shared" si="832"/>
        <v>0</v>
      </c>
      <c r="FC174" s="1180">
        <f t="shared" si="833"/>
        <v>0</v>
      </c>
      <c r="FD174" s="1180">
        <f t="shared" si="833"/>
        <v>90874.700000000012</v>
      </c>
      <c r="FE174" s="1180">
        <f t="shared" si="833"/>
        <v>0</v>
      </c>
      <c r="FF174" s="1180">
        <f t="shared" si="833"/>
        <v>90874.700000000012</v>
      </c>
      <c r="FG174" s="1180">
        <f t="shared" si="833"/>
        <v>0</v>
      </c>
      <c r="FH174" s="1181">
        <f t="shared" si="869"/>
        <v>0</v>
      </c>
      <c r="FI174" s="1261">
        <f>ES174/T174</f>
        <v>0</v>
      </c>
      <c r="FJ174" s="1328"/>
      <c r="FK174" s="1218"/>
      <c r="FL174" s="1219">
        <f>FN174</f>
        <v>0</v>
      </c>
      <c r="FM174" s="1318"/>
      <c r="FN174" s="1278"/>
      <c r="FO174" s="1278"/>
      <c r="FP174" s="1278"/>
      <c r="FQ174" s="1278">
        <f>FM174+FO174</f>
        <v>0</v>
      </c>
      <c r="FR174" s="1279">
        <f>FN174+FP174</f>
        <v>0</v>
      </c>
      <c r="FS174" s="1280"/>
      <c r="FT174" s="1218"/>
      <c r="FU174" s="1218">
        <f>FM174</f>
        <v>0</v>
      </c>
      <c r="FV174" s="1218">
        <f>FN174</f>
        <v>0</v>
      </c>
      <c r="FW174" s="1218">
        <f t="shared" si="924"/>
        <v>0</v>
      </c>
      <c r="FX174" s="1281">
        <f t="shared" si="925"/>
        <v>0</v>
      </c>
      <c r="FY174" s="1263">
        <f t="shared" ref="FY174:FZ176" si="980">ES174+FK174</f>
        <v>0</v>
      </c>
      <c r="FZ174" s="1461">
        <f t="shared" si="980"/>
        <v>0</v>
      </c>
      <c r="GA174" s="1176">
        <f t="shared" si="871"/>
        <v>90874.700000000012</v>
      </c>
      <c r="GB174" s="1177">
        <f t="shared" si="872"/>
        <v>0</v>
      </c>
      <c r="GC174" s="1177">
        <f t="shared" si="873"/>
        <v>0</v>
      </c>
      <c r="GD174" s="1177">
        <f t="shared" si="874"/>
        <v>0</v>
      </c>
      <c r="GE174" s="1177">
        <f t="shared" si="875"/>
        <v>90874.700000000012</v>
      </c>
      <c r="GF174" s="1177">
        <f t="shared" si="876"/>
        <v>0</v>
      </c>
      <c r="GG174" s="1178">
        <f t="shared" si="836"/>
        <v>0</v>
      </c>
      <c r="GH174" s="1179">
        <f t="shared" si="877"/>
        <v>0</v>
      </c>
      <c r="GI174" s="1180">
        <f t="shared" si="878"/>
        <v>0</v>
      </c>
      <c r="GJ174" s="1180">
        <f t="shared" si="879"/>
        <v>90874.700000000012</v>
      </c>
      <c r="GK174" s="1180">
        <f t="shared" si="880"/>
        <v>0</v>
      </c>
      <c r="GL174" s="1180">
        <f t="shared" si="881"/>
        <v>90874.700000000012</v>
      </c>
      <c r="GM174" s="1180">
        <f t="shared" si="882"/>
        <v>0</v>
      </c>
      <c r="GN174" s="1181">
        <f t="shared" si="897"/>
        <v>0</v>
      </c>
      <c r="GO174" s="1228">
        <f>FY174/T174</f>
        <v>0</v>
      </c>
      <c r="GP174" s="1328"/>
      <c r="GQ174" s="1218"/>
      <c r="GR174" s="1219">
        <f t="shared" ref="GR174:GR179" si="981">GT174</f>
        <v>0</v>
      </c>
      <c r="GS174" s="1318"/>
      <c r="GT174" s="1278"/>
      <c r="GU174" s="1278"/>
      <c r="GV174" s="1278"/>
      <c r="GW174" s="1278">
        <f>GS174+GU174</f>
        <v>0</v>
      </c>
      <c r="GX174" s="1279">
        <f>GT174+GV174</f>
        <v>0</v>
      </c>
      <c r="GY174" s="1280"/>
      <c r="GZ174" s="1218"/>
      <c r="HA174" s="1218">
        <f t="shared" ref="HA174:HA182" si="982">GS174</f>
        <v>0</v>
      </c>
      <c r="HB174" s="1218">
        <f t="shared" ref="HB174:HB182" si="983">GT174</f>
        <v>0</v>
      </c>
      <c r="HC174" s="1218">
        <f>GY174+HA174</f>
        <v>0</v>
      </c>
      <c r="HD174" s="1281">
        <f>GZ174+HB174</f>
        <v>0</v>
      </c>
      <c r="HE174" s="1689">
        <f t="shared" ref="HE174:HE183" si="984">FY174+GQ174</f>
        <v>0</v>
      </c>
      <c r="HF174" s="1461">
        <f t="shared" ref="HF174:HF183" si="985">FZ174+GR174</f>
        <v>0</v>
      </c>
      <c r="HG174" s="1176">
        <f t="shared" ref="HG174:HG190" si="986">GS174+GA174</f>
        <v>90874.700000000012</v>
      </c>
      <c r="HH174" s="1177">
        <f t="shared" ref="HH174:HH190" si="987">GT174+GB174</f>
        <v>0</v>
      </c>
      <c r="HI174" s="1177">
        <f t="shared" ref="HI174:HI190" si="988">GU174+GC174</f>
        <v>0</v>
      </c>
      <c r="HJ174" s="1177">
        <f t="shared" ref="HJ174:HJ190" si="989">GV174+GD174</f>
        <v>0</v>
      </c>
      <c r="HK174" s="1177">
        <f t="shared" ref="HK174:HK190" si="990">GW174+GE174</f>
        <v>90874.700000000012</v>
      </c>
      <c r="HL174" s="1177">
        <f t="shared" ref="HL174:HL190" si="991">GX174+GF174</f>
        <v>0</v>
      </c>
      <c r="HM174" s="1178">
        <f t="shared" si="840"/>
        <v>0</v>
      </c>
      <c r="HN174" s="1179">
        <f t="shared" ref="HN174:HN190" si="992">GH174+GY174</f>
        <v>0</v>
      </c>
      <c r="HO174" s="1180">
        <f t="shared" ref="HO174:HO190" si="993">GI174+GZ174</f>
        <v>0</v>
      </c>
      <c r="HP174" s="1180">
        <f t="shared" ref="HP174:HP190" si="994">GJ174+HA174</f>
        <v>90874.700000000012</v>
      </c>
      <c r="HQ174" s="1180">
        <f t="shared" ref="HQ174:HQ190" si="995">GK174+HB174</f>
        <v>0</v>
      </c>
      <c r="HR174" s="1180">
        <f t="shared" ref="HR174:HR190" si="996">GL174+HC174</f>
        <v>90874.700000000012</v>
      </c>
      <c r="HS174" s="1180">
        <f t="shared" ref="HS174:HS190" si="997">GM174+HD174</f>
        <v>0</v>
      </c>
      <c r="HT174" s="1181">
        <f t="shared" si="842"/>
        <v>0</v>
      </c>
      <c r="HU174" s="1228">
        <f>HE174/T174</f>
        <v>0</v>
      </c>
    </row>
    <row r="175" spans="1:229" s="1170" customFormat="1" ht="18" hidden="1" customHeight="1" outlineLevel="2" x14ac:dyDescent="0.2">
      <c r="A175" s="3673"/>
      <c r="B175" s="3672"/>
      <c r="C175" s="3677"/>
      <c r="D175" s="1167" t="s">
        <v>340</v>
      </c>
      <c r="E175" s="1202">
        <v>1</v>
      </c>
      <c r="F175" s="1203">
        <v>119</v>
      </c>
      <c r="G175" s="1229">
        <f t="shared" si="811"/>
        <v>119</v>
      </c>
      <c r="H175" s="1205">
        <v>0</v>
      </c>
      <c r="I175" s="1203">
        <v>0</v>
      </c>
      <c r="J175" s="1203">
        <v>0</v>
      </c>
      <c r="K175" s="1205">
        <v>0</v>
      </c>
      <c r="L175" s="1203">
        <v>0</v>
      </c>
      <c r="M175" s="1203">
        <v>0</v>
      </c>
      <c r="N175" s="1230">
        <f>F175+I175+L175</f>
        <v>119</v>
      </c>
      <c r="O175" s="1359" t="s">
        <v>335</v>
      </c>
      <c r="P175" s="1360" t="s">
        <v>335</v>
      </c>
      <c r="Q175" s="1360" t="s">
        <v>335</v>
      </c>
      <c r="R175" s="1203">
        <v>169390.17</v>
      </c>
      <c r="S175" s="1209">
        <f t="shared" ref="S175:S188" si="998">R175</f>
        <v>169390.17</v>
      </c>
      <c r="T175" s="1231">
        <v>169390.17</v>
      </c>
      <c r="U175" s="1211">
        <v>30246.989999999998</v>
      </c>
      <c r="V175" s="1211">
        <v>30246.989999999998</v>
      </c>
      <c r="W175" s="1212">
        <v>58135.16</v>
      </c>
      <c r="X175" s="1213">
        <v>30246.989999999998</v>
      </c>
      <c r="Y175" s="1213">
        <v>0</v>
      </c>
      <c r="Z175" s="1213">
        <v>0</v>
      </c>
      <c r="AA175" s="1177">
        <f t="shared" ref="AA175:AA190" si="999">W175+Y175</f>
        <v>58135.16</v>
      </c>
      <c r="AB175" s="1214">
        <f t="shared" ref="AB175:AB190" si="1000">X175+Z175</f>
        <v>30246.989999999998</v>
      </c>
      <c r="AC175" s="1178">
        <f t="shared" ref="AC175:AC190" si="1001">AB175/R175</f>
        <v>0.17856402174931399</v>
      </c>
      <c r="AD175" s="1211">
        <v>0</v>
      </c>
      <c r="AE175" s="1211">
        <v>0</v>
      </c>
      <c r="AF175" s="1215">
        <v>58135.16</v>
      </c>
      <c r="AG175" s="1211">
        <f>11407+2882.78+1159.88+13301.38+1495.95</f>
        <v>30246.99</v>
      </c>
      <c r="AH175" s="1215">
        <f t="shared" ref="AH175:AH190" si="1002">AD175+AF175</f>
        <v>58135.16</v>
      </c>
      <c r="AI175" s="1211">
        <f t="shared" ref="AI175:AI190" si="1003">AE175+AG175</f>
        <v>30246.99</v>
      </c>
      <c r="AJ175" s="1216">
        <f t="shared" ref="AJ175:AJ190" si="1004">AI175/S175</f>
        <v>0.17856402174931402</v>
      </c>
      <c r="AK175" s="1217">
        <f t="shared" ref="AK175:AK190" si="1005">U175/T175</f>
        <v>0.17856402174931399</v>
      </c>
      <c r="AL175" s="1195">
        <v>12047.3</v>
      </c>
      <c r="AM175" s="1218">
        <f>AP175</f>
        <v>1800</v>
      </c>
      <c r="AN175" s="1219">
        <f t="shared" ref="AN175:AN189" si="1006">AX175</f>
        <v>1800</v>
      </c>
      <c r="AO175" s="1220">
        <v>12047.3</v>
      </c>
      <c r="AP175" s="1221">
        <v>1800</v>
      </c>
      <c r="AQ175" s="1221"/>
      <c r="AR175" s="1221"/>
      <c r="AS175" s="1221">
        <f>AO175+AQ175</f>
        <v>12047.3</v>
      </c>
      <c r="AT175" s="1282">
        <f>AP175+AR175</f>
        <v>1800</v>
      </c>
      <c r="AU175" s="1245"/>
      <c r="AV175" s="1224"/>
      <c r="AW175" s="1218">
        <f t="shared" ref="AW175:AW188" si="1007">AO175</f>
        <v>12047.3</v>
      </c>
      <c r="AX175" s="1218">
        <f>AP175</f>
        <v>1800</v>
      </c>
      <c r="AY175" s="1224">
        <f t="shared" si="949"/>
        <v>12047.3</v>
      </c>
      <c r="AZ175" s="1225">
        <f>AV175+AX175</f>
        <v>1800</v>
      </c>
      <c r="BA175" s="1175">
        <f t="shared" si="930"/>
        <v>32046.989999999998</v>
      </c>
      <c r="BB175" s="1226">
        <f t="shared" si="930"/>
        <v>32046.989999999998</v>
      </c>
      <c r="BC175" s="1176">
        <f t="shared" si="930"/>
        <v>70182.460000000006</v>
      </c>
      <c r="BD175" s="1177">
        <f t="shared" si="930"/>
        <v>32046.989999999998</v>
      </c>
      <c r="BE175" s="1177">
        <f t="shared" si="930"/>
        <v>0</v>
      </c>
      <c r="BF175" s="1177">
        <f t="shared" si="930"/>
        <v>0</v>
      </c>
      <c r="BG175" s="1177">
        <f t="shared" si="931"/>
        <v>70182.460000000006</v>
      </c>
      <c r="BH175" s="1177">
        <f t="shared" si="932"/>
        <v>32046.989999999998</v>
      </c>
      <c r="BI175" s="1178">
        <f t="shared" si="933"/>
        <v>0.18919037627744276</v>
      </c>
      <c r="BJ175" s="1175">
        <f t="shared" si="934"/>
        <v>0</v>
      </c>
      <c r="BK175" s="1180">
        <f t="shared" si="934"/>
        <v>0</v>
      </c>
      <c r="BL175" s="1180">
        <f t="shared" si="935"/>
        <v>70182.460000000006</v>
      </c>
      <c r="BM175" s="1180">
        <f t="shared" si="935"/>
        <v>32046.99</v>
      </c>
      <c r="BN175" s="1180">
        <f t="shared" si="935"/>
        <v>70182.460000000006</v>
      </c>
      <c r="BO175" s="1180">
        <f t="shared" si="935"/>
        <v>32046.99</v>
      </c>
      <c r="BP175" s="1227">
        <f t="shared" si="936"/>
        <v>0.18919037627744278</v>
      </c>
      <c r="BQ175" s="1228">
        <f t="shared" si="937"/>
        <v>0.18919037627744276</v>
      </c>
      <c r="BR175" s="1283">
        <v>12047.3</v>
      </c>
      <c r="BS175" s="1218">
        <f t="shared" si="950"/>
        <v>0</v>
      </c>
      <c r="BT175" s="1219">
        <f>CD175</f>
        <v>0</v>
      </c>
      <c r="BU175" s="1284">
        <v>12047.3</v>
      </c>
      <c r="BV175" s="1221"/>
      <c r="BW175" s="1221"/>
      <c r="BX175" s="1221"/>
      <c r="BY175" s="1221">
        <f>BU175+BW175</f>
        <v>12047.3</v>
      </c>
      <c r="BZ175" s="1222">
        <f>BV175+BX175</f>
        <v>0</v>
      </c>
      <c r="CA175" s="1223"/>
      <c r="CB175" s="1224"/>
      <c r="CC175" s="1218">
        <f t="shared" ref="CC175:CC188" si="1008">BU175</f>
        <v>12047.3</v>
      </c>
      <c r="CD175" s="1218">
        <f>BV175</f>
        <v>0</v>
      </c>
      <c r="CE175" s="1224">
        <f t="shared" si="951"/>
        <v>12047.3</v>
      </c>
      <c r="CF175" s="1225">
        <f>CB175+CD175</f>
        <v>0</v>
      </c>
      <c r="CG175" s="1262">
        <f t="shared" si="952"/>
        <v>32046.989999999998</v>
      </c>
      <c r="CH175" s="1226">
        <f t="shared" si="953"/>
        <v>32046.989999999998</v>
      </c>
      <c r="CI175" s="1176">
        <f t="shared" si="954"/>
        <v>82229.760000000009</v>
      </c>
      <c r="CJ175" s="1177">
        <f t="shared" si="955"/>
        <v>32046.989999999998</v>
      </c>
      <c r="CK175" s="1177">
        <f t="shared" si="956"/>
        <v>0</v>
      </c>
      <c r="CL175" s="1177">
        <f t="shared" si="957"/>
        <v>0</v>
      </c>
      <c r="CM175" s="1177">
        <f t="shared" si="958"/>
        <v>82229.760000000009</v>
      </c>
      <c r="CN175" s="1177">
        <f t="shared" si="959"/>
        <v>32046.989999999998</v>
      </c>
      <c r="CO175" s="1178">
        <f t="shared" si="939"/>
        <v>0.18919037627744276</v>
      </c>
      <c r="CP175" s="1179">
        <f t="shared" si="960"/>
        <v>0</v>
      </c>
      <c r="CQ175" s="1180">
        <f t="shared" si="961"/>
        <v>0</v>
      </c>
      <c r="CR175" s="1180">
        <f t="shared" si="962"/>
        <v>82229.760000000009</v>
      </c>
      <c r="CS175" s="1180">
        <f t="shared" si="963"/>
        <v>32046.99</v>
      </c>
      <c r="CT175" s="1180">
        <f t="shared" si="964"/>
        <v>82229.760000000009</v>
      </c>
      <c r="CU175" s="1180">
        <f t="shared" si="965"/>
        <v>32046.99</v>
      </c>
      <c r="CV175" s="1181">
        <f t="shared" si="822"/>
        <v>0.18919037627744278</v>
      </c>
      <c r="CW175" s="1228">
        <f t="shared" si="823"/>
        <v>0.18919037627744276</v>
      </c>
      <c r="CX175" s="1317">
        <v>12047.3</v>
      </c>
      <c r="CY175" s="1218"/>
      <c r="CZ175" s="1219"/>
      <c r="DA175" s="1284">
        <f t="shared" ref="DA175:DA189" si="1009">CX175</f>
        <v>12047.3</v>
      </c>
      <c r="DB175" s="1221"/>
      <c r="DC175" s="1221"/>
      <c r="DD175" s="1221"/>
      <c r="DE175" s="1221">
        <f>DA175+DC175</f>
        <v>12047.3</v>
      </c>
      <c r="DF175" s="1222">
        <f>DB175+DD175</f>
        <v>0</v>
      </c>
      <c r="DG175" s="1223"/>
      <c r="DH175" s="1224"/>
      <c r="DI175" s="1218">
        <f t="shared" ref="DI175:DI188" si="1010">DA175</f>
        <v>12047.3</v>
      </c>
      <c r="DJ175" s="1218">
        <f>DB175</f>
        <v>0</v>
      </c>
      <c r="DK175" s="1224">
        <f t="shared" si="966"/>
        <v>12047.3</v>
      </c>
      <c r="DL175" s="1225">
        <f>DH175+DJ175</f>
        <v>0</v>
      </c>
      <c r="DM175" s="1262">
        <f t="shared" si="967"/>
        <v>32046.989999999998</v>
      </c>
      <c r="DN175" s="1226">
        <f t="shared" si="968"/>
        <v>32046.989999999998</v>
      </c>
      <c r="DO175" s="1176">
        <f t="shared" si="969"/>
        <v>94277.060000000012</v>
      </c>
      <c r="DP175" s="1177">
        <f t="shared" si="970"/>
        <v>32046.989999999998</v>
      </c>
      <c r="DQ175" s="1177">
        <f t="shared" si="971"/>
        <v>0</v>
      </c>
      <c r="DR175" s="1177">
        <f t="shared" si="972"/>
        <v>0</v>
      </c>
      <c r="DS175" s="1177">
        <f t="shared" si="973"/>
        <v>94277.060000000012</v>
      </c>
      <c r="DT175" s="1177">
        <f t="shared" si="974"/>
        <v>32046.989999999998</v>
      </c>
      <c r="DU175" s="1260">
        <f t="shared" ref="DU175:DU190" si="1011">DT175/R175</f>
        <v>0.18919037627744276</v>
      </c>
      <c r="DV175" s="1179">
        <f t="shared" si="975"/>
        <v>0</v>
      </c>
      <c r="DW175" s="1180">
        <f t="shared" si="975"/>
        <v>0</v>
      </c>
      <c r="DX175" s="1180">
        <f t="shared" si="976"/>
        <v>94277.060000000012</v>
      </c>
      <c r="DY175" s="1180">
        <f t="shared" si="976"/>
        <v>32046.99</v>
      </c>
      <c r="DZ175" s="1180">
        <f t="shared" si="977"/>
        <v>94277.060000000012</v>
      </c>
      <c r="EA175" s="1180">
        <f t="shared" si="978"/>
        <v>32046.99</v>
      </c>
      <c r="EB175" s="1265">
        <f t="shared" ref="EB175:EB190" si="1012">EA175/S175</f>
        <v>0.18919037627744278</v>
      </c>
      <c r="EC175" s="1487">
        <f t="shared" ref="EC175:EC190" si="1013">DM175/T175</f>
        <v>0.18919037627744276</v>
      </c>
      <c r="ED175" s="1328">
        <v>12047.3</v>
      </c>
      <c r="EE175" s="1218"/>
      <c r="EF175" s="1219"/>
      <c r="EG175" s="1318">
        <v>12047.3</v>
      </c>
      <c r="EH175" s="1221"/>
      <c r="EI175" s="1221"/>
      <c r="EJ175" s="1221"/>
      <c r="EK175" s="1278">
        <f t="shared" ref="EK175:EK190" si="1014">EG175+EI175</f>
        <v>12047.3</v>
      </c>
      <c r="EL175" s="1222">
        <f>EH175+EJ175</f>
        <v>0</v>
      </c>
      <c r="EM175" s="1223"/>
      <c r="EN175" s="1224"/>
      <c r="EO175" s="1218">
        <f t="shared" ref="EO175:EO190" si="1015">EG175</f>
        <v>12047.3</v>
      </c>
      <c r="EP175" s="1218">
        <f t="shared" ref="EP175:EP190" si="1016">EH175</f>
        <v>0</v>
      </c>
      <c r="EQ175" s="1224">
        <f>EM175+EO175</f>
        <v>12047.3</v>
      </c>
      <c r="ER175" s="1225">
        <f>EN175+EP175</f>
        <v>0</v>
      </c>
      <c r="ES175" s="1262">
        <f t="shared" si="979"/>
        <v>32046.989999999998</v>
      </c>
      <c r="ET175" s="1462">
        <f t="shared" si="979"/>
        <v>32046.989999999998</v>
      </c>
      <c r="EU175" s="1176">
        <f t="shared" si="868"/>
        <v>106324.36000000002</v>
      </c>
      <c r="EV175" s="1177">
        <f t="shared" si="830"/>
        <v>32046.989999999998</v>
      </c>
      <c r="EW175" s="1177">
        <f t="shared" si="830"/>
        <v>0</v>
      </c>
      <c r="EX175" s="1177">
        <f t="shared" si="830"/>
        <v>0</v>
      </c>
      <c r="EY175" s="1177">
        <f t="shared" si="830"/>
        <v>106324.36000000002</v>
      </c>
      <c r="EZ175" s="1177">
        <f t="shared" si="830"/>
        <v>32046.989999999998</v>
      </c>
      <c r="FA175" s="1178">
        <f>EZ175/R175</f>
        <v>0.18919037627744276</v>
      </c>
      <c r="FB175" s="1179">
        <f t="shared" si="832"/>
        <v>0</v>
      </c>
      <c r="FC175" s="1180">
        <f t="shared" si="833"/>
        <v>0</v>
      </c>
      <c r="FD175" s="1180">
        <f t="shared" si="833"/>
        <v>106324.36000000002</v>
      </c>
      <c r="FE175" s="1180">
        <f t="shared" si="833"/>
        <v>32046.99</v>
      </c>
      <c r="FF175" s="1180">
        <f t="shared" si="833"/>
        <v>106324.36000000002</v>
      </c>
      <c r="FG175" s="1180">
        <f t="shared" si="833"/>
        <v>32046.99</v>
      </c>
      <c r="FH175" s="1181">
        <f t="shared" si="869"/>
        <v>0.18919037627744278</v>
      </c>
      <c r="FI175" s="1261">
        <f t="shared" ref="FI175:FI190" si="1017">ES175/T175</f>
        <v>0.18919037627744276</v>
      </c>
      <c r="FJ175" s="1328"/>
      <c r="FK175" s="1218"/>
      <c r="FL175" s="1219">
        <f t="shared" ref="FL175:FL190" si="1018">FN175</f>
        <v>0</v>
      </c>
      <c r="FM175" s="1318"/>
      <c r="FN175" s="1221"/>
      <c r="FO175" s="1221"/>
      <c r="FP175" s="1221"/>
      <c r="FQ175" s="1278">
        <f t="shared" ref="FQ175:FQ190" si="1019">FM175+FO175</f>
        <v>0</v>
      </c>
      <c r="FR175" s="1222">
        <f>FN175+FP175</f>
        <v>0</v>
      </c>
      <c r="FS175" s="1223"/>
      <c r="FT175" s="1224"/>
      <c r="FU175" s="1218">
        <f t="shared" ref="FU175:FU190" si="1020">FM175</f>
        <v>0</v>
      </c>
      <c r="FV175" s="1218">
        <f t="shared" ref="FV175:FV190" si="1021">FN175</f>
        <v>0</v>
      </c>
      <c r="FW175" s="1224">
        <f t="shared" si="924"/>
        <v>0</v>
      </c>
      <c r="FX175" s="1225">
        <f t="shared" si="925"/>
        <v>0</v>
      </c>
      <c r="FY175" s="1262">
        <f t="shared" si="980"/>
        <v>32046.989999999998</v>
      </c>
      <c r="FZ175" s="1462">
        <f t="shared" si="980"/>
        <v>32046.989999999998</v>
      </c>
      <c r="GA175" s="1176">
        <f t="shared" si="871"/>
        <v>106324.36000000002</v>
      </c>
      <c r="GB175" s="1177">
        <f t="shared" si="872"/>
        <v>32046.989999999998</v>
      </c>
      <c r="GC175" s="1177">
        <f t="shared" si="873"/>
        <v>0</v>
      </c>
      <c r="GD175" s="1177">
        <f t="shared" si="874"/>
        <v>0</v>
      </c>
      <c r="GE175" s="1177">
        <f t="shared" si="875"/>
        <v>106324.36000000002</v>
      </c>
      <c r="GF175" s="1177">
        <f t="shared" si="876"/>
        <v>32046.989999999998</v>
      </c>
      <c r="GG175" s="1178">
        <f>GF175/R175</f>
        <v>0.18919037627744276</v>
      </c>
      <c r="GH175" s="1179">
        <f t="shared" si="877"/>
        <v>0</v>
      </c>
      <c r="GI175" s="1180">
        <f t="shared" si="878"/>
        <v>0</v>
      </c>
      <c r="GJ175" s="1180">
        <f t="shared" si="879"/>
        <v>106324.36000000002</v>
      </c>
      <c r="GK175" s="1180">
        <f t="shared" si="880"/>
        <v>32046.99</v>
      </c>
      <c r="GL175" s="1180">
        <f t="shared" si="881"/>
        <v>106324.36000000002</v>
      </c>
      <c r="GM175" s="1180">
        <f t="shared" si="882"/>
        <v>32046.99</v>
      </c>
      <c r="GN175" s="1181">
        <f t="shared" ref="GN175:GN210" si="1022">GM175/S175</f>
        <v>0.18919037627744278</v>
      </c>
      <c r="GO175" s="1228">
        <f t="shared" ref="GO175:GO190" si="1023">FY175/T175</f>
        <v>0.18919037627744276</v>
      </c>
      <c r="GP175" s="1328"/>
      <c r="GQ175" s="1218"/>
      <c r="GR175" s="1219">
        <f t="shared" si="981"/>
        <v>0</v>
      </c>
      <c r="GS175" s="1318"/>
      <c r="GT175" s="1221"/>
      <c r="GU175" s="1221"/>
      <c r="GV175" s="1221"/>
      <c r="GW175" s="1278">
        <f t="shared" ref="GW175:GW181" si="1024">GS175+GU175</f>
        <v>0</v>
      </c>
      <c r="GX175" s="1222">
        <f>GT175+GV175</f>
        <v>0</v>
      </c>
      <c r="GY175" s="1223"/>
      <c r="GZ175" s="1224"/>
      <c r="HA175" s="1218">
        <f t="shared" si="982"/>
        <v>0</v>
      </c>
      <c r="HB175" s="1218">
        <f t="shared" si="983"/>
        <v>0</v>
      </c>
      <c r="HC175" s="1224">
        <f>GY175+HA175</f>
        <v>0</v>
      </c>
      <c r="HD175" s="1225">
        <f>GZ175+HB175</f>
        <v>0</v>
      </c>
      <c r="HE175" s="1690">
        <f t="shared" si="984"/>
        <v>32046.989999999998</v>
      </c>
      <c r="HF175" s="1462">
        <f t="shared" si="985"/>
        <v>32046.989999999998</v>
      </c>
      <c r="HG175" s="1176">
        <f t="shared" si="986"/>
        <v>106324.36000000002</v>
      </c>
      <c r="HH175" s="1177">
        <f t="shared" si="987"/>
        <v>32046.989999999998</v>
      </c>
      <c r="HI175" s="1177">
        <f t="shared" si="988"/>
        <v>0</v>
      </c>
      <c r="HJ175" s="1177">
        <f t="shared" si="989"/>
        <v>0</v>
      </c>
      <c r="HK175" s="1177">
        <f t="shared" si="990"/>
        <v>106324.36000000002</v>
      </c>
      <c r="HL175" s="1177">
        <f t="shared" si="991"/>
        <v>32046.989999999998</v>
      </c>
      <c r="HM175" s="1178">
        <f t="shared" ref="HM175:HM190" si="1025">HL175/R175</f>
        <v>0.18919037627744276</v>
      </c>
      <c r="HN175" s="1179">
        <f t="shared" si="992"/>
        <v>0</v>
      </c>
      <c r="HO175" s="1180">
        <f t="shared" si="993"/>
        <v>0</v>
      </c>
      <c r="HP175" s="1180">
        <f t="shared" si="994"/>
        <v>106324.36000000002</v>
      </c>
      <c r="HQ175" s="1180">
        <f t="shared" si="995"/>
        <v>32046.99</v>
      </c>
      <c r="HR175" s="1180">
        <f t="shared" si="996"/>
        <v>106324.36000000002</v>
      </c>
      <c r="HS175" s="1180">
        <f t="shared" si="997"/>
        <v>32046.99</v>
      </c>
      <c r="HT175" s="1181">
        <f t="shared" ref="HT175:HT190" si="1026">HS175/S175</f>
        <v>0.18919037627744278</v>
      </c>
      <c r="HU175" s="1228">
        <f t="shared" ref="HU175:HU190" si="1027">HE175/T175</f>
        <v>0.18919037627744276</v>
      </c>
    </row>
    <row r="176" spans="1:229" s="1170" customFormat="1" ht="18" hidden="1" customHeight="1" outlineLevel="2" x14ac:dyDescent="0.2">
      <c r="A176" s="3673"/>
      <c r="B176" s="3672"/>
      <c r="C176" s="3697" t="s">
        <v>330</v>
      </c>
      <c r="D176" s="1168" t="s">
        <v>465</v>
      </c>
      <c r="E176" s="1247">
        <v>1</v>
      </c>
      <c r="F176" s="1206">
        <v>156.02000000000001</v>
      </c>
      <c r="G176" s="1250">
        <f t="shared" ref="G176:G189" si="1028">F176/E176</f>
        <v>156.02000000000001</v>
      </c>
      <c r="H176" s="1207">
        <v>0</v>
      </c>
      <c r="I176" s="1206">
        <v>0</v>
      </c>
      <c r="J176" s="1206">
        <v>0</v>
      </c>
      <c r="K176" s="1207">
        <v>0</v>
      </c>
      <c r="L176" s="1206">
        <v>0</v>
      </c>
      <c r="M176" s="1206">
        <v>0</v>
      </c>
      <c r="N176" s="1208">
        <f t="shared" ref="N176:N190" si="1029">F176+I176+L176</f>
        <v>156.02000000000001</v>
      </c>
      <c r="O176" s="1359" t="s">
        <v>335</v>
      </c>
      <c r="P176" s="1360" t="s">
        <v>335</v>
      </c>
      <c r="Q176" s="1360" t="s">
        <v>335</v>
      </c>
      <c r="R176" s="1206">
        <v>181898.64</v>
      </c>
      <c r="S176" s="1209">
        <f t="shared" si="998"/>
        <v>181898.64</v>
      </c>
      <c r="T176" s="1210">
        <f>R176</f>
        <v>181898.64</v>
      </c>
      <c r="U176" s="1211">
        <v>0</v>
      </c>
      <c r="V176" s="1211">
        <v>0</v>
      </c>
      <c r="W176" s="1212">
        <v>0</v>
      </c>
      <c r="X176" s="1213">
        <v>0</v>
      </c>
      <c r="Y176" s="1213">
        <v>0</v>
      </c>
      <c r="Z176" s="1213">
        <v>0</v>
      </c>
      <c r="AA176" s="1177">
        <f t="shared" si="999"/>
        <v>0</v>
      </c>
      <c r="AB176" s="1214">
        <f t="shared" si="1000"/>
        <v>0</v>
      </c>
      <c r="AC176" s="1178">
        <f t="shared" si="1001"/>
        <v>0</v>
      </c>
      <c r="AD176" s="1211">
        <v>0</v>
      </c>
      <c r="AE176" s="1211">
        <v>0</v>
      </c>
      <c r="AF176" s="1215"/>
      <c r="AG176" s="1211"/>
      <c r="AH176" s="1215">
        <f t="shared" si="1002"/>
        <v>0</v>
      </c>
      <c r="AI176" s="1211">
        <f t="shared" si="1003"/>
        <v>0</v>
      </c>
      <c r="AJ176" s="1216">
        <f t="shared" si="1004"/>
        <v>0</v>
      </c>
      <c r="AK176" s="1217">
        <f t="shared" si="1005"/>
        <v>0</v>
      </c>
      <c r="AL176" s="1195">
        <v>0</v>
      </c>
      <c r="AM176" s="1218">
        <v>0</v>
      </c>
      <c r="AN176" s="1219">
        <v>0</v>
      </c>
      <c r="AO176" s="1220">
        <v>0</v>
      </c>
      <c r="AP176" s="1221">
        <v>0</v>
      </c>
      <c r="AQ176" s="1221">
        <v>0</v>
      </c>
      <c r="AR176" s="1221">
        <v>0</v>
      </c>
      <c r="AS176" s="1221">
        <f t="shared" ref="AS176:AS190" si="1030">AO176+AQ176</f>
        <v>0</v>
      </c>
      <c r="AT176" s="1282">
        <f t="shared" ref="AT176:AT190" si="1031">AR176+AP176</f>
        <v>0</v>
      </c>
      <c r="AU176" s="1245"/>
      <c r="AV176" s="1224"/>
      <c r="AW176" s="1218">
        <f t="shared" si="1007"/>
        <v>0</v>
      </c>
      <c r="AX176" s="1218"/>
      <c r="AY176" s="1224">
        <f t="shared" si="949"/>
        <v>0</v>
      </c>
      <c r="AZ176" s="1225">
        <f t="shared" ref="AZ176:AZ190" si="1032">AX176+AV176</f>
        <v>0</v>
      </c>
      <c r="BA176" s="1175">
        <f t="shared" si="930"/>
        <v>0</v>
      </c>
      <c r="BB176" s="1226">
        <f t="shared" si="930"/>
        <v>0</v>
      </c>
      <c r="BC176" s="1176">
        <f t="shared" si="930"/>
        <v>0</v>
      </c>
      <c r="BD176" s="1177">
        <f t="shared" si="930"/>
        <v>0</v>
      </c>
      <c r="BE176" s="1177">
        <f t="shared" si="930"/>
        <v>0</v>
      </c>
      <c r="BF176" s="1177">
        <f t="shared" si="930"/>
        <v>0</v>
      </c>
      <c r="BG176" s="1177">
        <f t="shared" si="931"/>
        <v>0</v>
      </c>
      <c r="BH176" s="1177">
        <f t="shared" si="932"/>
        <v>0</v>
      </c>
      <c r="BI176" s="1178">
        <f t="shared" si="933"/>
        <v>0</v>
      </c>
      <c r="BJ176" s="1175">
        <f t="shared" si="934"/>
        <v>0</v>
      </c>
      <c r="BK176" s="1180">
        <f t="shared" si="934"/>
        <v>0</v>
      </c>
      <c r="BL176" s="1180">
        <f t="shared" si="935"/>
        <v>0</v>
      </c>
      <c r="BM176" s="1180">
        <f t="shared" si="935"/>
        <v>0</v>
      </c>
      <c r="BN176" s="1180">
        <f t="shared" si="935"/>
        <v>0</v>
      </c>
      <c r="BO176" s="1180">
        <f t="shared" si="935"/>
        <v>0</v>
      </c>
      <c r="BP176" s="1227">
        <f t="shared" si="936"/>
        <v>0</v>
      </c>
      <c r="BQ176" s="1228">
        <f t="shared" si="937"/>
        <v>0</v>
      </c>
      <c r="BR176" s="1283">
        <v>12047.3</v>
      </c>
      <c r="BS176" s="1218">
        <f t="shared" si="950"/>
        <v>0</v>
      </c>
      <c r="BT176" s="1219">
        <f t="shared" ref="BT176:BT189" si="1033">CD176</f>
        <v>0</v>
      </c>
      <c r="BU176" s="1284">
        <v>12047.3</v>
      </c>
      <c r="BV176" s="1221"/>
      <c r="BW176" s="1221"/>
      <c r="BX176" s="1221"/>
      <c r="BY176" s="1221">
        <f t="shared" ref="BY176:BY190" si="1034">BU176+BW176</f>
        <v>12047.3</v>
      </c>
      <c r="BZ176" s="1222">
        <f t="shared" ref="BZ176:BZ190" si="1035">BX176+BV176</f>
        <v>0</v>
      </c>
      <c r="CA176" s="1223"/>
      <c r="CB176" s="1224"/>
      <c r="CC176" s="1218">
        <f t="shared" si="1008"/>
        <v>12047.3</v>
      </c>
      <c r="CD176" s="1218">
        <f>BV176</f>
        <v>0</v>
      </c>
      <c r="CE176" s="1224">
        <f t="shared" si="951"/>
        <v>12047.3</v>
      </c>
      <c r="CF176" s="1225">
        <f t="shared" ref="CF176:CF190" si="1036">CD176+CB176</f>
        <v>0</v>
      </c>
      <c r="CG176" s="1262">
        <f t="shared" si="952"/>
        <v>0</v>
      </c>
      <c r="CH176" s="1226">
        <f t="shared" si="953"/>
        <v>0</v>
      </c>
      <c r="CI176" s="1176">
        <f t="shared" si="954"/>
        <v>12047.3</v>
      </c>
      <c r="CJ176" s="1177">
        <f t="shared" si="955"/>
        <v>0</v>
      </c>
      <c r="CK176" s="1177">
        <f t="shared" si="956"/>
        <v>0</v>
      </c>
      <c r="CL176" s="1177">
        <f t="shared" si="957"/>
        <v>0</v>
      </c>
      <c r="CM176" s="1177">
        <f t="shared" si="958"/>
        <v>12047.3</v>
      </c>
      <c r="CN176" s="1177">
        <f t="shared" si="959"/>
        <v>0</v>
      </c>
      <c r="CO176" s="1178">
        <f t="shared" si="939"/>
        <v>0</v>
      </c>
      <c r="CP176" s="1179">
        <f t="shared" si="960"/>
        <v>0</v>
      </c>
      <c r="CQ176" s="1180">
        <f t="shared" si="961"/>
        <v>0</v>
      </c>
      <c r="CR176" s="1180">
        <f t="shared" si="962"/>
        <v>12047.3</v>
      </c>
      <c r="CS176" s="1180">
        <f t="shared" si="963"/>
        <v>0</v>
      </c>
      <c r="CT176" s="1180">
        <f t="shared" si="964"/>
        <v>12047.3</v>
      </c>
      <c r="CU176" s="1180">
        <f t="shared" si="965"/>
        <v>0</v>
      </c>
      <c r="CV176" s="1181">
        <f t="shared" si="822"/>
        <v>0</v>
      </c>
      <c r="CW176" s="1228">
        <f t="shared" si="823"/>
        <v>0</v>
      </c>
      <c r="CX176" s="1317">
        <v>12047.3</v>
      </c>
      <c r="CY176" s="1218"/>
      <c r="CZ176" s="1219"/>
      <c r="DA176" s="1284">
        <f t="shared" si="1009"/>
        <v>12047.3</v>
      </c>
      <c r="DB176" s="1221"/>
      <c r="DC176" s="1221"/>
      <c r="DD176" s="1221"/>
      <c r="DE176" s="1221">
        <f t="shared" ref="DE176:DE190" si="1037">DA176+DC176</f>
        <v>12047.3</v>
      </c>
      <c r="DF176" s="1222">
        <f t="shared" ref="DF176:DF190" si="1038">DD176+DB176</f>
        <v>0</v>
      </c>
      <c r="DG176" s="1223"/>
      <c r="DH176" s="1224"/>
      <c r="DI176" s="1218">
        <f t="shared" si="1010"/>
        <v>12047.3</v>
      </c>
      <c r="DJ176" s="1218">
        <f>DB176</f>
        <v>0</v>
      </c>
      <c r="DK176" s="1224">
        <f t="shared" si="966"/>
        <v>12047.3</v>
      </c>
      <c r="DL176" s="1225">
        <f t="shared" ref="DL176:DL190" si="1039">DJ176+DH176</f>
        <v>0</v>
      </c>
      <c r="DM176" s="1262">
        <f t="shared" si="967"/>
        <v>0</v>
      </c>
      <c r="DN176" s="1226">
        <f t="shared" si="968"/>
        <v>0</v>
      </c>
      <c r="DO176" s="1176">
        <f t="shared" si="969"/>
        <v>24094.6</v>
      </c>
      <c r="DP176" s="1177">
        <f t="shared" si="970"/>
        <v>0</v>
      </c>
      <c r="DQ176" s="1177">
        <f t="shared" si="971"/>
        <v>0</v>
      </c>
      <c r="DR176" s="1177">
        <f t="shared" si="972"/>
        <v>0</v>
      </c>
      <c r="DS176" s="1177">
        <f t="shared" si="973"/>
        <v>24094.6</v>
      </c>
      <c r="DT176" s="1177">
        <f t="shared" si="974"/>
        <v>0</v>
      </c>
      <c r="DU176" s="1260">
        <f t="shared" si="1011"/>
        <v>0</v>
      </c>
      <c r="DV176" s="1179">
        <f t="shared" si="975"/>
        <v>0</v>
      </c>
      <c r="DW176" s="1180">
        <f t="shared" si="975"/>
        <v>0</v>
      </c>
      <c r="DX176" s="1180">
        <f t="shared" si="976"/>
        <v>24094.6</v>
      </c>
      <c r="DY176" s="1180">
        <f t="shared" si="976"/>
        <v>0</v>
      </c>
      <c r="DZ176" s="1180">
        <f t="shared" si="977"/>
        <v>24094.6</v>
      </c>
      <c r="EA176" s="1180">
        <f t="shared" si="978"/>
        <v>0</v>
      </c>
      <c r="EB176" s="1265">
        <f t="shared" si="1012"/>
        <v>0</v>
      </c>
      <c r="EC176" s="1487">
        <f t="shared" si="1013"/>
        <v>0</v>
      </c>
      <c r="ED176" s="1328">
        <v>12047.3</v>
      </c>
      <c r="EE176" s="1218"/>
      <c r="EF176" s="1219"/>
      <c r="EG176" s="1318">
        <v>12047.3</v>
      </c>
      <c r="EH176" s="1221"/>
      <c r="EI176" s="1221"/>
      <c r="EJ176" s="1221"/>
      <c r="EK176" s="1278">
        <f t="shared" si="1014"/>
        <v>12047.3</v>
      </c>
      <c r="EL176" s="1222">
        <f>EJ176+EH176</f>
        <v>0</v>
      </c>
      <c r="EM176" s="1223"/>
      <c r="EN176" s="1224"/>
      <c r="EO176" s="1218">
        <f t="shared" si="1015"/>
        <v>12047.3</v>
      </c>
      <c r="EP176" s="1218">
        <f t="shared" si="1016"/>
        <v>0</v>
      </c>
      <c r="EQ176" s="1224">
        <f>EM176+EO176</f>
        <v>12047.3</v>
      </c>
      <c r="ER176" s="1225">
        <f>EP176+EN176</f>
        <v>0</v>
      </c>
      <c r="ES176" s="1262">
        <f t="shared" si="979"/>
        <v>0</v>
      </c>
      <c r="ET176" s="1462">
        <f t="shared" si="979"/>
        <v>0</v>
      </c>
      <c r="EU176" s="1176">
        <f t="shared" si="868"/>
        <v>36141.899999999994</v>
      </c>
      <c r="EV176" s="1177">
        <f t="shared" si="830"/>
        <v>0</v>
      </c>
      <c r="EW176" s="1177">
        <f t="shared" si="830"/>
        <v>0</v>
      </c>
      <c r="EX176" s="1177">
        <f t="shared" si="830"/>
        <v>0</v>
      </c>
      <c r="EY176" s="1177">
        <f t="shared" si="830"/>
        <v>36141.899999999994</v>
      </c>
      <c r="EZ176" s="1177">
        <f t="shared" si="830"/>
        <v>0</v>
      </c>
      <c r="FA176" s="1178">
        <f>EZ176/R176</f>
        <v>0</v>
      </c>
      <c r="FB176" s="1179">
        <f t="shared" si="832"/>
        <v>0</v>
      </c>
      <c r="FC176" s="1180">
        <f t="shared" si="833"/>
        <v>0</v>
      </c>
      <c r="FD176" s="1180">
        <f t="shared" si="833"/>
        <v>36141.899999999994</v>
      </c>
      <c r="FE176" s="1180">
        <f t="shared" si="833"/>
        <v>0</v>
      </c>
      <c r="FF176" s="1180">
        <f t="shared" si="833"/>
        <v>36141.899999999994</v>
      </c>
      <c r="FG176" s="1180">
        <f t="shared" si="833"/>
        <v>0</v>
      </c>
      <c r="FH176" s="1181">
        <f t="shared" si="869"/>
        <v>0</v>
      </c>
      <c r="FI176" s="1261">
        <f t="shared" si="1017"/>
        <v>0</v>
      </c>
      <c r="FJ176" s="1328">
        <f>12047.3*4</f>
        <v>48189.2</v>
      </c>
      <c r="FK176" s="1218">
        <f>FL176</f>
        <v>49206.15</v>
      </c>
      <c r="FL176" s="1219">
        <f t="shared" si="1018"/>
        <v>49206.15</v>
      </c>
      <c r="FM176" s="1318">
        <f>FJ176</f>
        <v>48189.2</v>
      </c>
      <c r="FN176" s="1221">
        <f>49206.15</f>
        <v>49206.15</v>
      </c>
      <c r="FO176" s="1221"/>
      <c r="FP176" s="1221"/>
      <c r="FQ176" s="1278">
        <f t="shared" si="1019"/>
        <v>48189.2</v>
      </c>
      <c r="FR176" s="1222">
        <f>FP176+FN176</f>
        <v>49206.15</v>
      </c>
      <c r="FS176" s="1223"/>
      <c r="FT176" s="1224"/>
      <c r="FU176" s="1218">
        <f t="shared" si="1020"/>
        <v>48189.2</v>
      </c>
      <c r="FV176" s="1218">
        <f t="shared" si="1021"/>
        <v>49206.15</v>
      </c>
      <c r="FW176" s="1224">
        <f>FS176+FU176</f>
        <v>48189.2</v>
      </c>
      <c r="FX176" s="1225">
        <f>FV176+FT176</f>
        <v>49206.15</v>
      </c>
      <c r="FY176" s="1262">
        <f t="shared" si="980"/>
        <v>49206.15</v>
      </c>
      <c r="FZ176" s="1462">
        <f t="shared" si="980"/>
        <v>49206.15</v>
      </c>
      <c r="GA176" s="1176">
        <f t="shared" si="871"/>
        <v>84331.099999999991</v>
      </c>
      <c r="GB176" s="1177">
        <f t="shared" si="872"/>
        <v>49206.15</v>
      </c>
      <c r="GC176" s="1177">
        <f t="shared" si="873"/>
        <v>0</v>
      </c>
      <c r="GD176" s="1177">
        <f t="shared" si="874"/>
        <v>0</v>
      </c>
      <c r="GE176" s="1177">
        <f t="shared" si="875"/>
        <v>84331.099999999991</v>
      </c>
      <c r="GF176" s="1177">
        <f t="shared" si="876"/>
        <v>49206.15</v>
      </c>
      <c r="GG176" s="1178">
        <f>GF176/R176</f>
        <v>0.27051411709290402</v>
      </c>
      <c r="GH176" s="1179">
        <f t="shared" si="877"/>
        <v>0</v>
      </c>
      <c r="GI176" s="1180">
        <f t="shared" si="878"/>
        <v>0</v>
      </c>
      <c r="GJ176" s="1180">
        <f t="shared" si="879"/>
        <v>84331.099999999991</v>
      </c>
      <c r="GK176" s="1180">
        <f t="shared" si="880"/>
        <v>49206.15</v>
      </c>
      <c r="GL176" s="1180">
        <f t="shared" si="881"/>
        <v>84331.099999999991</v>
      </c>
      <c r="GM176" s="1180">
        <f t="shared" si="882"/>
        <v>49206.15</v>
      </c>
      <c r="GN176" s="1181">
        <f t="shared" si="1022"/>
        <v>0.27051411709290402</v>
      </c>
      <c r="GO176" s="1228">
        <f t="shared" si="1023"/>
        <v>0.27051411709290402</v>
      </c>
      <c r="GP176" s="1328">
        <f>12047.3*4</f>
        <v>48189.2</v>
      </c>
      <c r="GQ176" s="1218">
        <f>GR176</f>
        <v>22115.4</v>
      </c>
      <c r="GR176" s="1219">
        <f t="shared" si="981"/>
        <v>22115.4</v>
      </c>
      <c r="GS176" s="1318">
        <f>12047.3*2</f>
        <v>24094.6</v>
      </c>
      <c r="GT176" s="1221">
        <v>22115.4</v>
      </c>
      <c r="GU176" s="1221"/>
      <c r="GV176" s="1221"/>
      <c r="GW176" s="1278">
        <f t="shared" si="1024"/>
        <v>24094.6</v>
      </c>
      <c r="GX176" s="1222">
        <f>GV176+GT176</f>
        <v>22115.4</v>
      </c>
      <c r="GY176" s="1223"/>
      <c r="GZ176" s="1224"/>
      <c r="HA176" s="1218">
        <f t="shared" si="982"/>
        <v>24094.6</v>
      </c>
      <c r="HB176" s="1218">
        <f t="shared" si="983"/>
        <v>22115.4</v>
      </c>
      <c r="HC176" s="1224">
        <f t="shared" ref="HC176:HC183" si="1040">GY176+HA176</f>
        <v>24094.6</v>
      </c>
      <c r="HD176" s="1225">
        <f t="shared" ref="HD176:HD183" si="1041">HB176+GZ176</f>
        <v>22115.4</v>
      </c>
      <c r="HE176" s="1690">
        <f t="shared" si="984"/>
        <v>71321.55</v>
      </c>
      <c r="HF176" s="1462">
        <f t="shared" si="985"/>
        <v>71321.55</v>
      </c>
      <c r="HG176" s="1176">
        <f t="shared" si="986"/>
        <v>108425.69999999998</v>
      </c>
      <c r="HH176" s="1177">
        <f t="shared" si="987"/>
        <v>71321.55</v>
      </c>
      <c r="HI176" s="1177">
        <f t="shared" si="988"/>
        <v>0</v>
      </c>
      <c r="HJ176" s="1177">
        <f t="shared" si="989"/>
        <v>0</v>
      </c>
      <c r="HK176" s="1177">
        <f t="shared" si="990"/>
        <v>108425.69999999998</v>
      </c>
      <c r="HL176" s="1177">
        <f t="shared" si="991"/>
        <v>71321.55</v>
      </c>
      <c r="HM176" s="1178">
        <f t="shared" si="1025"/>
        <v>0.39209501511391176</v>
      </c>
      <c r="HN176" s="1179">
        <f t="shared" si="992"/>
        <v>0</v>
      </c>
      <c r="HO176" s="1180">
        <f t="shared" si="993"/>
        <v>0</v>
      </c>
      <c r="HP176" s="1180">
        <f t="shared" si="994"/>
        <v>108425.69999999998</v>
      </c>
      <c r="HQ176" s="1180">
        <f t="shared" si="995"/>
        <v>71321.55</v>
      </c>
      <c r="HR176" s="1180">
        <f t="shared" si="996"/>
        <v>108425.69999999998</v>
      </c>
      <c r="HS176" s="1180">
        <f t="shared" si="997"/>
        <v>71321.55</v>
      </c>
      <c r="HT176" s="1181">
        <f t="shared" si="1026"/>
        <v>0.39209501511391176</v>
      </c>
      <c r="HU176" s="1228">
        <f t="shared" si="1027"/>
        <v>0.39209501511391176</v>
      </c>
    </row>
    <row r="177" spans="1:229" s="1170" customFormat="1" ht="18" hidden="1" customHeight="1" outlineLevel="2" x14ac:dyDescent="0.2">
      <c r="A177" s="3673"/>
      <c r="B177" s="3672"/>
      <c r="C177" s="3698"/>
      <c r="D177" s="1168" t="s">
        <v>499</v>
      </c>
      <c r="E177" s="1247">
        <v>1</v>
      </c>
      <c r="F177" s="1206">
        <v>102.65</v>
      </c>
      <c r="G177" s="1250">
        <f t="shared" si="1028"/>
        <v>102.65</v>
      </c>
      <c r="H177" s="1207">
        <v>0</v>
      </c>
      <c r="I177" s="1206">
        <v>0</v>
      </c>
      <c r="J177" s="1206">
        <v>0</v>
      </c>
      <c r="K177" s="1207">
        <v>0</v>
      </c>
      <c r="L177" s="1206">
        <v>0</v>
      </c>
      <c r="M177" s="1206">
        <v>0</v>
      </c>
      <c r="N177" s="1208">
        <f t="shared" si="1029"/>
        <v>102.65</v>
      </c>
      <c r="O177" s="1359" t="s">
        <v>335</v>
      </c>
      <c r="P177" s="1360" t="s">
        <v>335</v>
      </c>
      <c r="Q177" s="1360" t="s">
        <v>335</v>
      </c>
      <c r="R177" s="1206">
        <v>148242.72</v>
      </c>
      <c r="S177" s="1209">
        <f t="shared" si="998"/>
        <v>148242.72</v>
      </c>
      <c r="T177" s="1210">
        <f>R177</f>
        <v>148242.72</v>
      </c>
      <c r="U177" s="1211">
        <v>0</v>
      </c>
      <c r="V177" s="1211">
        <v>0</v>
      </c>
      <c r="W177" s="1212">
        <v>0</v>
      </c>
      <c r="X177" s="1213">
        <v>0</v>
      </c>
      <c r="Y177" s="1213">
        <v>0</v>
      </c>
      <c r="Z177" s="1213">
        <v>0</v>
      </c>
      <c r="AA177" s="1177">
        <f t="shared" si="999"/>
        <v>0</v>
      </c>
      <c r="AB177" s="1214">
        <f t="shared" si="1000"/>
        <v>0</v>
      </c>
      <c r="AC177" s="1178">
        <f t="shared" si="1001"/>
        <v>0</v>
      </c>
      <c r="AD177" s="1211">
        <v>0</v>
      </c>
      <c r="AE177" s="1211">
        <v>0</v>
      </c>
      <c r="AF177" s="1211">
        <v>0</v>
      </c>
      <c r="AG177" s="1211">
        <v>0</v>
      </c>
      <c r="AH177" s="1215">
        <f t="shared" si="1002"/>
        <v>0</v>
      </c>
      <c r="AI177" s="1211">
        <f t="shared" si="1003"/>
        <v>0</v>
      </c>
      <c r="AJ177" s="1216">
        <f t="shared" si="1004"/>
        <v>0</v>
      </c>
      <c r="AK177" s="1217">
        <f t="shared" si="1005"/>
        <v>0</v>
      </c>
      <c r="AL177" s="1195"/>
      <c r="AM177" s="1195"/>
      <c r="AN177" s="1195"/>
      <c r="AO177" s="1220">
        <v>0</v>
      </c>
      <c r="AP177" s="1221">
        <v>0</v>
      </c>
      <c r="AQ177" s="1221">
        <v>0</v>
      </c>
      <c r="AR177" s="1221">
        <v>0</v>
      </c>
      <c r="AS177" s="1221">
        <f t="shared" si="1030"/>
        <v>0</v>
      </c>
      <c r="AT177" s="1282">
        <f t="shared" si="1031"/>
        <v>0</v>
      </c>
      <c r="AU177" s="1195"/>
      <c r="AV177" s="1195"/>
      <c r="AW177" s="1195"/>
      <c r="AX177" s="1195"/>
      <c r="AY177" s="1224">
        <f t="shared" si="949"/>
        <v>0</v>
      </c>
      <c r="AZ177" s="1225">
        <f t="shared" si="1032"/>
        <v>0</v>
      </c>
      <c r="BA177" s="1175">
        <f t="shared" si="930"/>
        <v>0</v>
      </c>
      <c r="BB177" s="1226">
        <f t="shared" si="930"/>
        <v>0</v>
      </c>
      <c r="BC177" s="1176">
        <f t="shared" si="930"/>
        <v>0</v>
      </c>
      <c r="BD177" s="1177">
        <f t="shared" si="930"/>
        <v>0</v>
      </c>
      <c r="BE177" s="1177">
        <f t="shared" si="930"/>
        <v>0</v>
      </c>
      <c r="BF177" s="1177">
        <f t="shared" si="930"/>
        <v>0</v>
      </c>
      <c r="BG177" s="1177">
        <f t="shared" si="931"/>
        <v>0</v>
      </c>
      <c r="BH177" s="1177">
        <f t="shared" si="932"/>
        <v>0</v>
      </c>
      <c r="BI177" s="1178">
        <f t="shared" si="933"/>
        <v>0</v>
      </c>
      <c r="BJ177" s="1175">
        <f t="shared" si="934"/>
        <v>0</v>
      </c>
      <c r="BK177" s="1180">
        <f t="shared" si="934"/>
        <v>0</v>
      </c>
      <c r="BL177" s="1180">
        <f t="shared" si="935"/>
        <v>0</v>
      </c>
      <c r="BM177" s="1180">
        <f t="shared" si="935"/>
        <v>0</v>
      </c>
      <c r="BN177" s="1180">
        <f t="shared" si="935"/>
        <v>0</v>
      </c>
      <c r="BO177" s="1180">
        <f t="shared" si="935"/>
        <v>0</v>
      </c>
      <c r="BP177" s="1227">
        <f t="shared" si="936"/>
        <v>0</v>
      </c>
      <c r="BQ177" s="1228">
        <f t="shared" si="937"/>
        <v>0</v>
      </c>
      <c r="BR177" s="1195">
        <v>0</v>
      </c>
      <c r="BS177" s="1195">
        <v>0</v>
      </c>
      <c r="BT177" s="1195"/>
      <c r="BU177" s="1284">
        <v>0</v>
      </c>
      <c r="BV177" s="1221"/>
      <c r="BW177" s="1221"/>
      <c r="BX177" s="1221"/>
      <c r="BY177" s="1221">
        <f t="shared" si="1034"/>
        <v>0</v>
      </c>
      <c r="BZ177" s="1282">
        <f t="shared" si="1035"/>
        <v>0</v>
      </c>
      <c r="CA177" s="1195"/>
      <c r="CB177" s="1195"/>
      <c r="CC177" s="1195"/>
      <c r="CD177" s="1195"/>
      <c r="CE177" s="1224">
        <f t="shared" si="951"/>
        <v>0</v>
      </c>
      <c r="CF177" s="1225">
        <f t="shared" si="1036"/>
        <v>0</v>
      </c>
      <c r="CG177" s="1262">
        <f t="shared" si="952"/>
        <v>0</v>
      </c>
      <c r="CH177" s="1226">
        <f t="shared" si="953"/>
        <v>0</v>
      </c>
      <c r="CI177" s="1176">
        <f t="shared" si="954"/>
        <v>0</v>
      </c>
      <c r="CJ177" s="1177">
        <f t="shared" si="955"/>
        <v>0</v>
      </c>
      <c r="CK177" s="1177">
        <f t="shared" si="956"/>
        <v>0</v>
      </c>
      <c r="CL177" s="1177">
        <f t="shared" si="957"/>
        <v>0</v>
      </c>
      <c r="CM177" s="1177">
        <f t="shared" si="958"/>
        <v>0</v>
      </c>
      <c r="CN177" s="1177">
        <f t="shared" si="959"/>
        <v>0</v>
      </c>
      <c r="CO177" s="1178">
        <f t="shared" si="939"/>
        <v>0</v>
      </c>
      <c r="CP177" s="1179">
        <f t="shared" si="960"/>
        <v>0</v>
      </c>
      <c r="CQ177" s="1180">
        <f t="shared" si="961"/>
        <v>0</v>
      </c>
      <c r="CR177" s="1180">
        <f t="shared" si="962"/>
        <v>0</v>
      </c>
      <c r="CS177" s="1180">
        <f t="shared" si="963"/>
        <v>0</v>
      </c>
      <c r="CT177" s="1180">
        <f t="shared" si="964"/>
        <v>0</v>
      </c>
      <c r="CU177" s="1180">
        <f t="shared" si="965"/>
        <v>0</v>
      </c>
      <c r="CV177" s="1181">
        <f t="shared" si="822"/>
        <v>0</v>
      </c>
      <c r="CW177" s="1228">
        <f t="shared" si="823"/>
        <v>0</v>
      </c>
      <c r="CX177" s="1195"/>
      <c r="CY177" s="1195"/>
      <c r="CZ177" s="1195"/>
      <c r="DA177" s="1284">
        <f t="shared" si="1009"/>
        <v>0</v>
      </c>
      <c r="DB177" s="1221"/>
      <c r="DC177" s="1221"/>
      <c r="DD177" s="1221"/>
      <c r="DE177" s="1221">
        <f t="shared" si="1037"/>
        <v>0</v>
      </c>
      <c r="DF177" s="1282">
        <f t="shared" si="1038"/>
        <v>0</v>
      </c>
      <c r="DG177" s="1195">
        <v>0</v>
      </c>
      <c r="DH177" s="1195">
        <v>0</v>
      </c>
      <c r="DI177" s="1195">
        <v>0</v>
      </c>
      <c r="DJ177" s="1195">
        <v>0</v>
      </c>
      <c r="DK177" s="1224">
        <f t="shared" si="966"/>
        <v>0</v>
      </c>
      <c r="DL177" s="1225">
        <f t="shared" si="1039"/>
        <v>0</v>
      </c>
      <c r="DM177" s="1262">
        <f t="shared" si="967"/>
        <v>0</v>
      </c>
      <c r="DN177" s="1226">
        <f t="shared" si="968"/>
        <v>0</v>
      </c>
      <c r="DO177" s="1176">
        <f t="shared" si="969"/>
        <v>0</v>
      </c>
      <c r="DP177" s="1177">
        <f t="shared" si="970"/>
        <v>0</v>
      </c>
      <c r="DQ177" s="1177">
        <f t="shared" si="971"/>
        <v>0</v>
      </c>
      <c r="DR177" s="1177">
        <f t="shared" si="972"/>
        <v>0</v>
      </c>
      <c r="DS177" s="1177">
        <f t="shared" si="973"/>
        <v>0</v>
      </c>
      <c r="DT177" s="1177">
        <f t="shared" si="974"/>
        <v>0</v>
      </c>
      <c r="DU177" s="1260">
        <f t="shared" si="1011"/>
        <v>0</v>
      </c>
      <c r="DV177" s="1179">
        <f t="shared" si="975"/>
        <v>0</v>
      </c>
      <c r="DW177" s="1180">
        <f t="shared" si="975"/>
        <v>0</v>
      </c>
      <c r="DX177" s="1180">
        <f t="shared" si="976"/>
        <v>0</v>
      </c>
      <c r="DY177" s="1180">
        <f t="shared" si="976"/>
        <v>0</v>
      </c>
      <c r="DZ177" s="1180">
        <f t="shared" si="977"/>
        <v>0</v>
      </c>
      <c r="EA177" s="1180">
        <f t="shared" si="978"/>
        <v>0</v>
      </c>
      <c r="EB177" s="1265">
        <f t="shared" si="1012"/>
        <v>0</v>
      </c>
      <c r="EC177" s="1487">
        <f t="shared" si="1013"/>
        <v>0</v>
      </c>
      <c r="ED177" s="1328">
        <v>12047.3</v>
      </c>
      <c r="EE177" s="1218"/>
      <c r="EF177" s="1219"/>
      <c r="EG177" s="1318">
        <v>12047.3</v>
      </c>
      <c r="EH177" s="1221"/>
      <c r="EI177" s="1221"/>
      <c r="EJ177" s="1221"/>
      <c r="EK177" s="1278">
        <f t="shared" si="1014"/>
        <v>12047.3</v>
      </c>
      <c r="EL177" s="1222">
        <f>EJ177+EH177</f>
        <v>0</v>
      </c>
      <c r="EM177" s="1223"/>
      <c r="EN177" s="1224"/>
      <c r="EO177" s="1218">
        <f t="shared" si="1015"/>
        <v>12047.3</v>
      </c>
      <c r="EP177" s="1218">
        <f t="shared" si="1016"/>
        <v>0</v>
      </c>
      <c r="EQ177" s="1224">
        <f>EM177+EO177</f>
        <v>12047.3</v>
      </c>
      <c r="ER177" s="1225">
        <f>EP177+EN177</f>
        <v>0</v>
      </c>
      <c r="ES177" s="1262">
        <f t="shared" ref="ES177:ET179" si="1042">DM177+EE177</f>
        <v>0</v>
      </c>
      <c r="ET177" s="1462">
        <f t="shared" si="1042"/>
        <v>0</v>
      </c>
      <c r="EU177" s="1176">
        <f t="shared" si="868"/>
        <v>12047.3</v>
      </c>
      <c r="EV177" s="1177">
        <f t="shared" si="830"/>
        <v>0</v>
      </c>
      <c r="EW177" s="1177">
        <f t="shared" si="830"/>
        <v>0</v>
      </c>
      <c r="EX177" s="1177">
        <f t="shared" si="830"/>
        <v>0</v>
      </c>
      <c r="EY177" s="1177">
        <f t="shared" si="830"/>
        <v>12047.3</v>
      </c>
      <c r="EZ177" s="1177">
        <f t="shared" si="830"/>
        <v>0</v>
      </c>
      <c r="FA177" s="1178">
        <f>EZ177/R177</f>
        <v>0</v>
      </c>
      <c r="FB177" s="1179">
        <f t="shared" ref="FB177:FB190" si="1043">DV177+EM177</f>
        <v>0</v>
      </c>
      <c r="FC177" s="1180">
        <f t="shared" ref="FC177:FC190" si="1044">DW177+EN177</f>
        <v>0</v>
      </c>
      <c r="FD177" s="1180">
        <f t="shared" ref="FD177:FD190" si="1045">DX177+EO177</f>
        <v>12047.3</v>
      </c>
      <c r="FE177" s="1180">
        <f t="shared" ref="FE177:FE190" si="1046">DY177+EP177</f>
        <v>0</v>
      </c>
      <c r="FF177" s="1180">
        <f t="shared" ref="FF177:FF190" si="1047">DZ177+EQ177</f>
        <v>12047.3</v>
      </c>
      <c r="FG177" s="1180">
        <f t="shared" ref="FG177:FG190" si="1048">EA177+ER177</f>
        <v>0</v>
      </c>
      <c r="FH177" s="1181">
        <f t="shared" ref="FH177:FH190" si="1049">FG177/S177</f>
        <v>0</v>
      </c>
      <c r="FI177" s="1261">
        <f t="shared" si="1017"/>
        <v>0</v>
      </c>
      <c r="FJ177" s="1328"/>
      <c r="FK177" s="1218"/>
      <c r="FL177" s="1219">
        <f t="shared" si="1018"/>
        <v>0</v>
      </c>
      <c r="FM177" s="1318"/>
      <c r="FN177" s="1221"/>
      <c r="FO177" s="1221"/>
      <c r="FP177" s="1221"/>
      <c r="FQ177" s="1278">
        <f t="shared" si="1019"/>
        <v>0</v>
      </c>
      <c r="FR177" s="1222">
        <f>FP177+FN177</f>
        <v>0</v>
      </c>
      <c r="FS177" s="1223"/>
      <c r="FT177" s="1224"/>
      <c r="FU177" s="1218">
        <f t="shared" si="1020"/>
        <v>0</v>
      </c>
      <c r="FV177" s="1218">
        <f t="shared" si="1021"/>
        <v>0</v>
      </c>
      <c r="FW177" s="1224">
        <f>FS177+FU177</f>
        <v>0</v>
      </c>
      <c r="FX177" s="1225">
        <f>FV177+FT177</f>
        <v>0</v>
      </c>
      <c r="FY177" s="1262">
        <f t="shared" ref="FY177:FY190" si="1050">ES177+FK177</f>
        <v>0</v>
      </c>
      <c r="FZ177" s="1462">
        <f t="shared" ref="FZ177:FZ190" si="1051">ET177+FL177</f>
        <v>0</v>
      </c>
      <c r="GA177" s="1176">
        <f t="shared" si="871"/>
        <v>12047.3</v>
      </c>
      <c r="GB177" s="1177">
        <f t="shared" si="872"/>
        <v>0</v>
      </c>
      <c r="GC177" s="1177">
        <f t="shared" si="873"/>
        <v>0</v>
      </c>
      <c r="GD177" s="1177">
        <f t="shared" si="874"/>
        <v>0</v>
      </c>
      <c r="GE177" s="1177">
        <f t="shared" si="875"/>
        <v>12047.3</v>
      </c>
      <c r="GF177" s="1177">
        <f t="shared" si="876"/>
        <v>0</v>
      </c>
      <c r="GG177" s="1178">
        <f>GF177/R177</f>
        <v>0</v>
      </c>
      <c r="GH177" s="1179">
        <f t="shared" si="877"/>
        <v>0</v>
      </c>
      <c r="GI177" s="1180">
        <f t="shared" si="878"/>
        <v>0</v>
      </c>
      <c r="GJ177" s="1180">
        <f t="shared" si="879"/>
        <v>12047.3</v>
      </c>
      <c r="GK177" s="1180">
        <f t="shared" si="880"/>
        <v>0</v>
      </c>
      <c r="GL177" s="1180">
        <f t="shared" si="881"/>
        <v>12047.3</v>
      </c>
      <c r="GM177" s="1180">
        <f t="shared" si="882"/>
        <v>0</v>
      </c>
      <c r="GN177" s="1181">
        <f t="shared" si="1022"/>
        <v>0</v>
      </c>
      <c r="GO177" s="1228">
        <f t="shared" si="1023"/>
        <v>0</v>
      </c>
      <c r="GP177" s="1328"/>
      <c r="GQ177" s="1218"/>
      <c r="GR177" s="1219">
        <f t="shared" si="981"/>
        <v>0</v>
      </c>
      <c r="GS177" s="1318"/>
      <c r="GT177" s="1221"/>
      <c r="GU177" s="1221"/>
      <c r="GV177" s="1221"/>
      <c r="GW177" s="1278">
        <f t="shared" si="1024"/>
        <v>0</v>
      </c>
      <c r="GX177" s="1222">
        <f>GV177+GT177</f>
        <v>0</v>
      </c>
      <c r="GY177" s="1223"/>
      <c r="GZ177" s="1224"/>
      <c r="HA177" s="1218">
        <f t="shared" si="982"/>
        <v>0</v>
      </c>
      <c r="HB177" s="1218">
        <f t="shared" si="983"/>
        <v>0</v>
      </c>
      <c r="HC177" s="1224">
        <f t="shared" si="1040"/>
        <v>0</v>
      </c>
      <c r="HD177" s="1225">
        <f t="shared" si="1041"/>
        <v>0</v>
      </c>
      <c r="HE177" s="1690">
        <f t="shared" si="984"/>
        <v>0</v>
      </c>
      <c r="HF177" s="1462">
        <f t="shared" si="985"/>
        <v>0</v>
      </c>
      <c r="HG177" s="1176">
        <f t="shared" si="986"/>
        <v>12047.3</v>
      </c>
      <c r="HH177" s="1177">
        <f t="shared" si="987"/>
        <v>0</v>
      </c>
      <c r="HI177" s="1177">
        <f t="shared" si="988"/>
        <v>0</v>
      </c>
      <c r="HJ177" s="1177">
        <f t="shared" si="989"/>
        <v>0</v>
      </c>
      <c r="HK177" s="1177">
        <f t="shared" si="990"/>
        <v>12047.3</v>
      </c>
      <c r="HL177" s="1177">
        <f t="shared" si="991"/>
        <v>0</v>
      </c>
      <c r="HM177" s="1178">
        <f t="shared" si="1025"/>
        <v>0</v>
      </c>
      <c r="HN177" s="1179">
        <f t="shared" si="992"/>
        <v>0</v>
      </c>
      <c r="HO177" s="1180">
        <f t="shared" si="993"/>
        <v>0</v>
      </c>
      <c r="HP177" s="1180">
        <f t="shared" si="994"/>
        <v>12047.3</v>
      </c>
      <c r="HQ177" s="1180">
        <f t="shared" si="995"/>
        <v>0</v>
      </c>
      <c r="HR177" s="1180">
        <f t="shared" si="996"/>
        <v>12047.3</v>
      </c>
      <c r="HS177" s="1180">
        <f t="shared" si="997"/>
        <v>0</v>
      </c>
      <c r="HT177" s="1181">
        <f t="shared" si="1026"/>
        <v>0</v>
      </c>
      <c r="HU177" s="1228">
        <f t="shared" si="1027"/>
        <v>0</v>
      </c>
    </row>
    <row r="178" spans="1:229" s="1170" customFormat="1" ht="18" hidden="1" customHeight="1" outlineLevel="2" x14ac:dyDescent="0.2">
      <c r="A178" s="3673"/>
      <c r="B178" s="3672"/>
      <c r="C178" s="3698"/>
      <c r="D178" s="1168" t="s">
        <v>515</v>
      </c>
      <c r="E178" s="1247">
        <v>1</v>
      </c>
      <c r="F178" s="1206">
        <v>199.43</v>
      </c>
      <c r="G178" s="1250">
        <f t="shared" si="1028"/>
        <v>199.43</v>
      </c>
      <c r="H178" s="1207">
        <v>0</v>
      </c>
      <c r="I178" s="1206">
        <v>0</v>
      </c>
      <c r="J178" s="1206">
        <v>0</v>
      </c>
      <c r="K178" s="1207">
        <v>0</v>
      </c>
      <c r="L178" s="1206">
        <v>0</v>
      </c>
      <c r="M178" s="1206">
        <v>0</v>
      </c>
      <c r="N178" s="1208">
        <f t="shared" si="1029"/>
        <v>199.43</v>
      </c>
      <c r="O178" s="1359" t="s">
        <v>335</v>
      </c>
      <c r="P178" s="1360" t="s">
        <v>335</v>
      </c>
      <c r="Q178" s="1360" t="s">
        <v>335</v>
      </c>
      <c r="R178" s="1206">
        <v>102424.61</v>
      </c>
      <c r="S178" s="1209">
        <f t="shared" si="998"/>
        <v>102424.61</v>
      </c>
      <c r="T178" s="1210">
        <f t="shared" ref="T178:T185" si="1052">R178</f>
        <v>102424.61</v>
      </c>
      <c r="U178" s="1211">
        <v>0</v>
      </c>
      <c r="V178" s="1211">
        <v>0</v>
      </c>
      <c r="W178" s="1212">
        <v>0</v>
      </c>
      <c r="X178" s="1213">
        <v>0</v>
      </c>
      <c r="Y178" s="1213">
        <v>0</v>
      </c>
      <c r="Z178" s="1213">
        <v>0</v>
      </c>
      <c r="AA178" s="1177">
        <f t="shared" si="999"/>
        <v>0</v>
      </c>
      <c r="AB178" s="1214">
        <f t="shared" si="1000"/>
        <v>0</v>
      </c>
      <c r="AC178" s="1178">
        <f t="shared" si="1001"/>
        <v>0</v>
      </c>
      <c r="AD178" s="1211">
        <v>0</v>
      </c>
      <c r="AE178" s="1211">
        <v>0</v>
      </c>
      <c r="AF178" s="1211">
        <v>0</v>
      </c>
      <c r="AG178" s="1211">
        <v>0</v>
      </c>
      <c r="AH178" s="1215">
        <f t="shared" si="1002"/>
        <v>0</v>
      </c>
      <c r="AI178" s="1211">
        <f t="shared" si="1003"/>
        <v>0</v>
      </c>
      <c r="AJ178" s="1216">
        <f t="shared" si="1004"/>
        <v>0</v>
      </c>
      <c r="AK178" s="1217">
        <f t="shared" si="1005"/>
        <v>0</v>
      </c>
      <c r="AL178" s="1195">
        <v>0</v>
      </c>
      <c r="AM178" s="1218">
        <v>0</v>
      </c>
      <c r="AN178" s="1219">
        <v>0</v>
      </c>
      <c r="AO178" s="1220">
        <v>0</v>
      </c>
      <c r="AP178" s="1221">
        <v>0</v>
      </c>
      <c r="AQ178" s="1221">
        <v>0</v>
      </c>
      <c r="AR178" s="1221">
        <v>0</v>
      </c>
      <c r="AS178" s="1221">
        <f t="shared" si="1030"/>
        <v>0</v>
      </c>
      <c r="AT178" s="1282">
        <f t="shared" si="1031"/>
        <v>0</v>
      </c>
      <c r="AU178" s="1245">
        <v>0</v>
      </c>
      <c r="AV178" s="1224">
        <v>0</v>
      </c>
      <c r="AW178" s="1218">
        <v>0</v>
      </c>
      <c r="AX178" s="1218">
        <v>0</v>
      </c>
      <c r="AY178" s="1224">
        <f t="shared" si="949"/>
        <v>0</v>
      </c>
      <c r="AZ178" s="1225">
        <f t="shared" si="1032"/>
        <v>0</v>
      </c>
      <c r="BA178" s="1175">
        <v>0</v>
      </c>
      <c r="BB178" s="1226">
        <v>0</v>
      </c>
      <c r="BC178" s="1176">
        <v>0</v>
      </c>
      <c r="BD178" s="1177">
        <v>0</v>
      </c>
      <c r="BE178" s="1177">
        <v>0</v>
      </c>
      <c r="BF178" s="1177">
        <v>0</v>
      </c>
      <c r="BG178" s="1177">
        <f t="shared" si="931"/>
        <v>0</v>
      </c>
      <c r="BH178" s="1177">
        <f t="shared" si="932"/>
        <v>0</v>
      </c>
      <c r="BI178" s="1178">
        <f t="shared" si="933"/>
        <v>0</v>
      </c>
      <c r="BJ178" s="1175">
        <v>0</v>
      </c>
      <c r="BK178" s="1180">
        <v>0</v>
      </c>
      <c r="BL178" s="1180">
        <v>0</v>
      </c>
      <c r="BM178" s="1180">
        <v>0</v>
      </c>
      <c r="BN178" s="1180">
        <v>0</v>
      </c>
      <c r="BO178" s="1180">
        <f t="shared" si="935"/>
        <v>0</v>
      </c>
      <c r="BP178" s="1227">
        <f t="shared" si="936"/>
        <v>0</v>
      </c>
      <c r="BQ178" s="1228">
        <f t="shared" si="937"/>
        <v>0</v>
      </c>
      <c r="BR178" s="1283">
        <v>0</v>
      </c>
      <c r="BS178" s="1218">
        <v>0</v>
      </c>
      <c r="BT178" s="1219">
        <v>0</v>
      </c>
      <c r="BU178" s="1284">
        <v>0</v>
      </c>
      <c r="BV178" s="1221">
        <v>0</v>
      </c>
      <c r="BW178" s="1221">
        <v>0</v>
      </c>
      <c r="BX178" s="1221">
        <v>0</v>
      </c>
      <c r="BY178" s="1221">
        <f t="shared" si="1034"/>
        <v>0</v>
      </c>
      <c r="BZ178" s="1222">
        <f t="shared" si="1035"/>
        <v>0</v>
      </c>
      <c r="CA178" s="1223">
        <v>0</v>
      </c>
      <c r="CB178" s="1224">
        <v>0</v>
      </c>
      <c r="CC178" s="1218">
        <v>0</v>
      </c>
      <c r="CD178" s="1218">
        <v>0</v>
      </c>
      <c r="CE178" s="1224">
        <f t="shared" si="951"/>
        <v>0</v>
      </c>
      <c r="CF178" s="1225">
        <f t="shared" si="1036"/>
        <v>0</v>
      </c>
      <c r="CG178" s="1262">
        <v>0</v>
      </c>
      <c r="CH178" s="1226">
        <v>0</v>
      </c>
      <c r="CI178" s="1176">
        <v>0</v>
      </c>
      <c r="CJ178" s="1177">
        <v>0</v>
      </c>
      <c r="CK178" s="1177">
        <v>0</v>
      </c>
      <c r="CL178" s="1177">
        <v>0</v>
      </c>
      <c r="CM178" s="1177">
        <f t="shared" si="958"/>
        <v>0</v>
      </c>
      <c r="CN178" s="1177">
        <f t="shared" si="959"/>
        <v>0</v>
      </c>
      <c r="CO178" s="1178">
        <f t="shared" si="939"/>
        <v>0</v>
      </c>
      <c r="CP178" s="1179">
        <v>0</v>
      </c>
      <c r="CQ178" s="1180">
        <v>0</v>
      </c>
      <c r="CR178" s="1180">
        <v>0</v>
      </c>
      <c r="CS178" s="1180">
        <v>0</v>
      </c>
      <c r="CT178" s="1180">
        <f t="shared" si="964"/>
        <v>0</v>
      </c>
      <c r="CU178" s="1180">
        <f t="shared" si="965"/>
        <v>0</v>
      </c>
      <c r="CV178" s="1181">
        <f t="shared" si="822"/>
        <v>0</v>
      </c>
      <c r="CW178" s="1228">
        <f t="shared" si="823"/>
        <v>0</v>
      </c>
      <c r="CX178" s="1317">
        <v>0</v>
      </c>
      <c r="CY178" s="1218">
        <v>0</v>
      </c>
      <c r="CZ178" s="1219">
        <v>0</v>
      </c>
      <c r="DA178" s="1284">
        <v>0</v>
      </c>
      <c r="DB178" s="1221">
        <v>0</v>
      </c>
      <c r="DC178" s="1221">
        <v>0</v>
      </c>
      <c r="DD178" s="1221">
        <v>0</v>
      </c>
      <c r="DE178" s="1221">
        <f t="shared" si="1037"/>
        <v>0</v>
      </c>
      <c r="DF178" s="1222">
        <f t="shared" si="1038"/>
        <v>0</v>
      </c>
      <c r="DG178" s="1223">
        <v>0</v>
      </c>
      <c r="DH178" s="1224">
        <v>0</v>
      </c>
      <c r="DI178" s="1218">
        <v>0</v>
      </c>
      <c r="DJ178" s="1218">
        <v>0</v>
      </c>
      <c r="DK178" s="1224">
        <f t="shared" si="966"/>
        <v>0</v>
      </c>
      <c r="DL178" s="1225">
        <f t="shared" si="1039"/>
        <v>0</v>
      </c>
      <c r="DM178" s="1262">
        <v>0</v>
      </c>
      <c r="DN178" s="1226">
        <v>0</v>
      </c>
      <c r="DO178" s="1176">
        <v>0</v>
      </c>
      <c r="DP178" s="1177">
        <v>0</v>
      </c>
      <c r="DQ178" s="1177">
        <v>0</v>
      </c>
      <c r="DR178" s="1177">
        <v>0</v>
      </c>
      <c r="DS178" s="1177">
        <f t="shared" si="973"/>
        <v>0</v>
      </c>
      <c r="DT178" s="1177">
        <f t="shared" si="974"/>
        <v>0</v>
      </c>
      <c r="DU178" s="1260">
        <f t="shared" si="1011"/>
        <v>0</v>
      </c>
      <c r="DV178" s="1179">
        <v>0</v>
      </c>
      <c r="DW178" s="1180">
        <v>0</v>
      </c>
      <c r="DX178" s="1180">
        <v>0</v>
      </c>
      <c r="DY178" s="1180">
        <v>0</v>
      </c>
      <c r="DZ178" s="1180">
        <f t="shared" si="977"/>
        <v>0</v>
      </c>
      <c r="EA178" s="1180">
        <f t="shared" si="978"/>
        <v>0</v>
      </c>
      <c r="EB178" s="1265">
        <f t="shared" si="1012"/>
        <v>0</v>
      </c>
      <c r="EC178" s="1487">
        <f t="shared" si="1013"/>
        <v>0</v>
      </c>
      <c r="ED178" s="1328">
        <v>12047.3</v>
      </c>
      <c r="EE178" s="1218"/>
      <c r="EF178" s="1219"/>
      <c r="EG178" s="1318">
        <v>12047.3</v>
      </c>
      <c r="EH178" s="1221"/>
      <c r="EI178" s="1221"/>
      <c r="EJ178" s="1221"/>
      <c r="EK178" s="1278">
        <f t="shared" si="1014"/>
        <v>12047.3</v>
      </c>
      <c r="EL178" s="1222">
        <f>EJ178+EH178</f>
        <v>0</v>
      </c>
      <c r="EM178" s="1223"/>
      <c r="EN178" s="1224"/>
      <c r="EO178" s="1218">
        <f t="shared" si="1015"/>
        <v>12047.3</v>
      </c>
      <c r="EP178" s="1218">
        <f t="shared" si="1016"/>
        <v>0</v>
      </c>
      <c r="EQ178" s="1224">
        <f t="shared" ref="EQ178:EQ190" si="1053">EM178+EO178</f>
        <v>12047.3</v>
      </c>
      <c r="ER178" s="1225">
        <f t="shared" ref="ER178:ER190" si="1054">EP178+EN178</f>
        <v>0</v>
      </c>
      <c r="ES178" s="1262">
        <f t="shared" si="1042"/>
        <v>0</v>
      </c>
      <c r="ET178" s="1462">
        <f t="shared" si="1042"/>
        <v>0</v>
      </c>
      <c r="EU178" s="1176">
        <f t="shared" si="868"/>
        <v>12047.3</v>
      </c>
      <c r="EV178" s="1177">
        <f t="shared" ref="EV178:EV190" si="1055">EH178+DP178</f>
        <v>0</v>
      </c>
      <c r="EW178" s="1177">
        <f t="shared" ref="EW178:EW190" si="1056">EI178+DQ178</f>
        <v>0</v>
      </c>
      <c r="EX178" s="1177">
        <f t="shared" ref="EX178:EX190" si="1057">EJ178+DR178</f>
        <v>0</v>
      </c>
      <c r="EY178" s="1177">
        <f t="shared" ref="EY178:EY190" si="1058">EK178+DS178</f>
        <v>12047.3</v>
      </c>
      <c r="EZ178" s="1177">
        <f t="shared" ref="EZ178:EZ190" si="1059">EL178+DT178</f>
        <v>0</v>
      </c>
      <c r="FA178" s="1178">
        <f t="shared" ref="FA178:FA190" si="1060">EZ178/R178</f>
        <v>0</v>
      </c>
      <c r="FB178" s="1179">
        <f t="shared" si="1043"/>
        <v>0</v>
      </c>
      <c r="FC178" s="1180">
        <f t="shared" si="1044"/>
        <v>0</v>
      </c>
      <c r="FD178" s="1180">
        <f t="shared" si="1045"/>
        <v>12047.3</v>
      </c>
      <c r="FE178" s="1180">
        <f t="shared" si="1046"/>
        <v>0</v>
      </c>
      <c r="FF178" s="1180">
        <f t="shared" si="1047"/>
        <v>12047.3</v>
      </c>
      <c r="FG178" s="1180">
        <f t="shared" si="1048"/>
        <v>0</v>
      </c>
      <c r="FH178" s="1181">
        <f t="shared" si="1049"/>
        <v>0</v>
      </c>
      <c r="FI178" s="1261">
        <f t="shared" si="1017"/>
        <v>0</v>
      </c>
      <c r="FJ178" s="1328"/>
      <c r="FK178" s="1218"/>
      <c r="FL178" s="1219">
        <f t="shared" si="1018"/>
        <v>0</v>
      </c>
      <c r="FM178" s="1318"/>
      <c r="FN178" s="1221"/>
      <c r="FO178" s="1221"/>
      <c r="FP178" s="1221"/>
      <c r="FQ178" s="1278">
        <f t="shared" si="1019"/>
        <v>0</v>
      </c>
      <c r="FR178" s="1222">
        <f>FP178+FN178</f>
        <v>0</v>
      </c>
      <c r="FS178" s="1223"/>
      <c r="FT178" s="1224"/>
      <c r="FU178" s="1218">
        <f t="shared" si="1020"/>
        <v>0</v>
      </c>
      <c r="FV178" s="1218">
        <f t="shared" si="1021"/>
        <v>0</v>
      </c>
      <c r="FW178" s="1224">
        <f t="shared" ref="FW178:FW190" si="1061">FS178+FU178</f>
        <v>0</v>
      </c>
      <c r="FX178" s="1225">
        <f t="shared" ref="FX178:FX190" si="1062">FV178+FT178</f>
        <v>0</v>
      </c>
      <c r="FY178" s="1262">
        <f t="shared" si="1050"/>
        <v>0</v>
      </c>
      <c r="FZ178" s="1462">
        <f t="shared" si="1051"/>
        <v>0</v>
      </c>
      <c r="GA178" s="1176">
        <f t="shared" si="871"/>
        <v>12047.3</v>
      </c>
      <c r="GB178" s="1177">
        <f t="shared" ref="GB178:GB190" si="1063">FN178+EV178</f>
        <v>0</v>
      </c>
      <c r="GC178" s="1177">
        <f t="shared" ref="GC178:GC190" si="1064">FO178+EW178</f>
        <v>0</v>
      </c>
      <c r="GD178" s="1177">
        <f t="shared" ref="GD178:GD190" si="1065">FP178+EX178</f>
        <v>0</v>
      </c>
      <c r="GE178" s="1177">
        <f t="shared" ref="GE178:GE190" si="1066">FQ178+EY178</f>
        <v>12047.3</v>
      </c>
      <c r="GF178" s="1177">
        <f t="shared" ref="GF178:GF190" si="1067">FR178+EZ178</f>
        <v>0</v>
      </c>
      <c r="GG178" s="1178">
        <f t="shared" ref="GG178:GG190" si="1068">GF178/R178</f>
        <v>0</v>
      </c>
      <c r="GH178" s="1179">
        <f t="shared" ref="GH178:GH190" si="1069">FB178+FS178</f>
        <v>0</v>
      </c>
      <c r="GI178" s="1180">
        <f t="shared" ref="GI178:GI190" si="1070">FC178+FT178</f>
        <v>0</v>
      </c>
      <c r="GJ178" s="1180">
        <f t="shared" ref="GJ178:GJ190" si="1071">FD178+FU178</f>
        <v>12047.3</v>
      </c>
      <c r="GK178" s="1180">
        <f t="shared" ref="GK178:GK190" si="1072">FE178+FV178</f>
        <v>0</v>
      </c>
      <c r="GL178" s="1180">
        <f t="shared" ref="GL178:GL190" si="1073">FF178+FW178</f>
        <v>12047.3</v>
      </c>
      <c r="GM178" s="1180">
        <f t="shared" ref="GM178:GM190" si="1074">FG178+FX178</f>
        <v>0</v>
      </c>
      <c r="GN178" s="1181">
        <f t="shared" ref="GN178:GN190" si="1075">GM178/S178</f>
        <v>0</v>
      </c>
      <c r="GO178" s="1228">
        <f t="shared" si="1023"/>
        <v>0</v>
      </c>
      <c r="GP178" s="1328"/>
      <c r="GQ178" s="1218"/>
      <c r="GR178" s="1219">
        <f t="shared" si="981"/>
        <v>0</v>
      </c>
      <c r="GS178" s="1318"/>
      <c r="GT178" s="1221"/>
      <c r="GU178" s="1221"/>
      <c r="GV178" s="1221"/>
      <c r="GW178" s="1278">
        <f t="shared" si="1024"/>
        <v>0</v>
      </c>
      <c r="GX178" s="1222">
        <f>GV178+GT178</f>
        <v>0</v>
      </c>
      <c r="GY178" s="1223"/>
      <c r="GZ178" s="1224"/>
      <c r="HA178" s="1218">
        <f t="shared" si="982"/>
        <v>0</v>
      </c>
      <c r="HB178" s="1218">
        <f t="shared" si="983"/>
        <v>0</v>
      </c>
      <c r="HC178" s="1224">
        <f t="shared" si="1040"/>
        <v>0</v>
      </c>
      <c r="HD178" s="1225">
        <f t="shared" si="1041"/>
        <v>0</v>
      </c>
      <c r="HE178" s="1690">
        <f t="shared" si="984"/>
        <v>0</v>
      </c>
      <c r="HF178" s="1462">
        <f t="shared" si="985"/>
        <v>0</v>
      </c>
      <c r="HG178" s="1176">
        <f t="shared" si="986"/>
        <v>12047.3</v>
      </c>
      <c r="HH178" s="1177">
        <f t="shared" si="987"/>
        <v>0</v>
      </c>
      <c r="HI178" s="1177">
        <f t="shared" si="988"/>
        <v>0</v>
      </c>
      <c r="HJ178" s="1177">
        <f t="shared" si="989"/>
        <v>0</v>
      </c>
      <c r="HK178" s="1177">
        <f t="shared" si="990"/>
        <v>12047.3</v>
      </c>
      <c r="HL178" s="1177">
        <f t="shared" si="991"/>
        <v>0</v>
      </c>
      <c r="HM178" s="1178">
        <f t="shared" si="1025"/>
        <v>0</v>
      </c>
      <c r="HN178" s="1179">
        <f t="shared" si="992"/>
        <v>0</v>
      </c>
      <c r="HO178" s="1180">
        <f t="shared" si="993"/>
        <v>0</v>
      </c>
      <c r="HP178" s="1180">
        <f t="shared" si="994"/>
        <v>12047.3</v>
      </c>
      <c r="HQ178" s="1180">
        <f t="shared" si="995"/>
        <v>0</v>
      </c>
      <c r="HR178" s="1180">
        <f t="shared" si="996"/>
        <v>12047.3</v>
      </c>
      <c r="HS178" s="1180">
        <f t="shared" si="997"/>
        <v>0</v>
      </c>
      <c r="HT178" s="1181">
        <f t="shared" si="1026"/>
        <v>0</v>
      </c>
      <c r="HU178" s="1228">
        <f t="shared" si="1027"/>
        <v>0</v>
      </c>
    </row>
    <row r="179" spans="1:229" s="1170" customFormat="1" ht="18" hidden="1" customHeight="1" outlineLevel="2" x14ac:dyDescent="0.2">
      <c r="A179" s="3673"/>
      <c r="B179" s="3672"/>
      <c r="C179" s="3698"/>
      <c r="D179" s="1168" t="s">
        <v>534</v>
      </c>
      <c r="E179" s="1247">
        <v>1</v>
      </c>
      <c r="F179" s="1206">
        <v>168.64</v>
      </c>
      <c r="G179" s="1250">
        <f t="shared" si="1028"/>
        <v>168.64</v>
      </c>
      <c r="H179" s="1207">
        <v>0</v>
      </c>
      <c r="I179" s="1206">
        <v>0</v>
      </c>
      <c r="J179" s="1206">
        <v>0</v>
      </c>
      <c r="K179" s="1207">
        <v>0</v>
      </c>
      <c r="L179" s="1206">
        <v>0</v>
      </c>
      <c r="M179" s="1206">
        <v>0</v>
      </c>
      <c r="N179" s="1208">
        <f>F179+I179+L179</f>
        <v>168.64</v>
      </c>
      <c r="O179" s="1359" t="s">
        <v>335</v>
      </c>
      <c r="P179" s="1360" t="s">
        <v>335</v>
      </c>
      <c r="Q179" s="1360" t="s">
        <v>335</v>
      </c>
      <c r="R179" s="1206">
        <v>192081.19</v>
      </c>
      <c r="S179" s="1209">
        <f>R179</f>
        <v>192081.19</v>
      </c>
      <c r="T179" s="1210">
        <f>S179</f>
        <v>192081.19</v>
      </c>
      <c r="U179" s="1211">
        <v>0</v>
      </c>
      <c r="V179" s="1211">
        <v>0</v>
      </c>
      <c r="W179" s="1212">
        <v>0</v>
      </c>
      <c r="X179" s="1213">
        <v>0</v>
      </c>
      <c r="Y179" s="1213">
        <v>0</v>
      </c>
      <c r="Z179" s="1213">
        <v>0</v>
      </c>
      <c r="AA179" s="1177">
        <f>W179+Y179</f>
        <v>0</v>
      </c>
      <c r="AB179" s="1214">
        <f>X179+Z179</f>
        <v>0</v>
      </c>
      <c r="AC179" s="1178">
        <f>AB179/R179</f>
        <v>0</v>
      </c>
      <c r="AD179" s="1211">
        <v>0</v>
      </c>
      <c r="AE179" s="1211">
        <v>0</v>
      </c>
      <c r="AF179" s="1211">
        <v>0</v>
      </c>
      <c r="AG179" s="1211">
        <v>0</v>
      </c>
      <c r="AH179" s="1215">
        <f>AD179+AF179</f>
        <v>0</v>
      </c>
      <c r="AI179" s="1211">
        <f>AE179+AG179</f>
        <v>0</v>
      </c>
      <c r="AJ179" s="1216">
        <f>AI179/S179</f>
        <v>0</v>
      </c>
      <c r="AK179" s="1217">
        <f>U179/T179</f>
        <v>0</v>
      </c>
      <c r="AL179" s="1195">
        <v>0</v>
      </c>
      <c r="AM179" s="1218">
        <v>0</v>
      </c>
      <c r="AN179" s="1219">
        <v>0</v>
      </c>
      <c r="AO179" s="1220">
        <v>0</v>
      </c>
      <c r="AP179" s="1221">
        <v>0</v>
      </c>
      <c r="AQ179" s="1221">
        <v>0</v>
      </c>
      <c r="AR179" s="1221">
        <v>0</v>
      </c>
      <c r="AS179" s="1221">
        <f>AO179+AQ179</f>
        <v>0</v>
      </c>
      <c r="AT179" s="1282">
        <f>AR179+AP179</f>
        <v>0</v>
      </c>
      <c r="AU179" s="1245">
        <v>0</v>
      </c>
      <c r="AV179" s="1224">
        <v>0</v>
      </c>
      <c r="AW179" s="1218">
        <v>0</v>
      </c>
      <c r="AX179" s="1218">
        <v>0</v>
      </c>
      <c r="AY179" s="1224">
        <f>AU179+AW179</f>
        <v>0</v>
      </c>
      <c r="AZ179" s="1225">
        <f>AX179+AV179</f>
        <v>0</v>
      </c>
      <c r="BA179" s="1175">
        <v>0</v>
      </c>
      <c r="BB179" s="1226">
        <v>0</v>
      </c>
      <c r="BC179" s="1176">
        <v>0</v>
      </c>
      <c r="BD179" s="1177">
        <v>0</v>
      </c>
      <c r="BE179" s="1177">
        <v>0</v>
      </c>
      <c r="BF179" s="1177">
        <v>0</v>
      </c>
      <c r="BG179" s="1177">
        <f t="shared" si="931"/>
        <v>0</v>
      </c>
      <c r="BH179" s="1177">
        <f>AB179+AT179</f>
        <v>0</v>
      </c>
      <c r="BI179" s="1178">
        <f>BH179/R179</f>
        <v>0</v>
      </c>
      <c r="BJ179" s="1175">
        <v>0</v>
      </c>
      <c r="BK179" s="1180">
        <v>0</v>
      </c>
      <c r="BL179" s="1180">
        <v>0</v>
      </c>
      <c r="BM179" s="1180">
        <v>0</v>
      </c>
      <c r="BN179" s="1180">
        <v>0</v>
      </c>
      <c r="BO179" s="1180">
        <f>AI179+AZ179</f>
        <v>0</v>
      </c>
      <c r="BP179" s="1227">
        <f>BO179/S179</f>
        <v>0</v>
      </c>
      <c r="BQ179" s="1228">
        <f>BA179/T179</f>
        <v>0</v>
      </c>
      <c r="BR179" s="1283">
        <v>0</v>
      </c>
      <c r="BS179" s="1218">
        <v>0</v>
      </c>
      <c r="BT179" s="1219">
        <v>0</v>
      </c>
      <c r="BU179" s="1284">
        <v>0</v>
      </c>
      <c r="BV179" s="1221">
        <v>0</v>
      </c>
      <c r="BW179" s="1221">
        <v>0</v>
      </c>
      <c r="BX179" s="1221">
        <v>0</v>
      </c>
      <c r="BY179" s="1221">
        <f>BU179+BW179</f>
        <v>0</v>
      </c>
      <c r="BZ179" s="1222">
        <f>BX179+BV179</f>
        <v>0</v>
      </c>
      <c r="CA179" s="1223">
        <v>0</v>
      </c>
      <c r="CB179" s="1224">
        <v>0</v>
      </c>
      <c r="CC179" s="1218">
        <v>0</v>
      </c>
      <c r="CD179" s="1218">
        <v>0</v>
      </c>
      <c r="CE179" s="1224">
        <f>CA179+CC179</f>
        <v>0</v>
      </c>
      <c r="CF179" s="1225">
        <f>CD179+CB179</f>
        <v>0</v>
      </c>
      <c r="CG179" s="1262">
        <v>0</v>
      </c>
      <c r="CH179" s="1226">
        <v>0</v>
      </c>
      <c r="CI179" s="1176">
        <v>0</v>
      </c>
      <c r="CJ179" s="1177">
        <v>0</v>
      </c>
      <c r="CK179" s="1177">
        <v>0</v>
      </c>
      <c r="CL179" s="1177">
        <v>0</v>
      </c>
      <c r="CM179" s="1177">
        <f>BG179+BY179</f>
        <v>0</v>
      </c>
      <c r="CN179" s="1177">
        <f>BH179+BZ179</f>
        <v>0</v>
      </c>
      <c r="CO179" s="1178">
        <f>CN179/R179</f>
        <v>0</v>
      </c>
      <c r="CP179" s="1179">
        <v>0</v>
      </c>
      <c r="CQ179" s="1180">
        <v>0</v>
      </c>
      <c r="CR179" s="1180">
        <v>0</v>
      </c>
      <c r="CS179" s="1180">
        <v>0</v>
      </c>
      <c r="CT179" s="1180">
        <f>BN179+CE179</f>
        <v>0</v>
      </c>
      <c r="CU179" s="1180">
        <f>BO179+CF179</f>
        <v>0</v>
      </c>
      <c r="CV179" s="1181">
        <f t="shared" si="822"/>
        <v>0</v>
      </c>
      <c r="CW179" s="1228">
        <f>CG179/T179</f>
        <v>0</v>
      </c>
      <c r="CX179" s="1317">
        <v>0</v>
      </c>
      <c r="CY179" s="1218">
        <v>0</v>
      </c>
      <c r="CZ179" s="1219">
        <v>0</v>
      </c>
      <c r="DA179" s="1284">
        <v>0</v>
      </c>
      <c r="DB179" s="1221">
        <v>0</v>
      </c>
      <c r="DC179" s="1221">
        <v>0</v>
      </c>
      <c r="DD179" s="1221">
        <v>0</v>
      </c>
      <c r="DE179" s="1221">
        <f>DA179+DC179</f>
        <v>0</v>
      </c>
      <c r="DF179" s="1222">
        <f>DD179+DB179</f>
        <v>0</v>
      </c>
      <c r="DG179" s="1223">
        <v>0</v>
      </c>
      <c r="DH179" s="1224">
        <v>0</v>
      </c>
      <c r="DI179" s="1218">
        <v>0</v>
      </c>
      <c r="DJ179" s="1218">
        <v>0</v>
      </c>
      <c r="DK179" s="1224">
        <f>DG179+DI179</f>
        <v>0</v>
      </c>
      <c r="DL179" s="1225">
        <f>DJ179+DH179</f>
        <v>0</v>
      </c>
      <c r="DM179" s="1262">
        <v>0</v>
      </c>
      <c r="DN179" s="1226">
        <v>0</v>
      </c>
      <c r="DO179" s="1176">
        <v>0</v>
      </c>
      <c r="DP179" s="1177">
        <v>0</v>
      </c>
      <c r="DQ179" s="1177">
        <v>0</v>
      </c>
      <c r="DR179" s="1177">
        <v>0</v>
      </c>
      <c r="DS179" s="1177">
        <f>CM179+DE179</f>
        <v>0</v>
      </c>
      <c r="DT179" s="1177">
        <f>CN179+DF179</f>
        <v>0</v>
      </c>
      <c r="DU179" s="1260">
        <f>DT179/R179</f>
        <v>0</v>
      </c>
      <c r="DV179" s="1179">
        <v>0</v>
      </c>
      <c r="DW179" s="1180">
        <v>0</v>
      </c>
      <c r="DX179" s="1180">
        <v>0</v>
      </c>
      <c r="DY179" s="1180">
        <v>0</v>
      </c>
      <c r="DZ179" s="1180">
        <f>CT179+DK179</f>
        <v>0</v>
      </c>
      <c r="EA179" s="1180">
        <f>CU179+DL179</f>
        <v>0</v>
      </c>
      <c r="EB179" s="1265">
        <f>EA179/S179</f>
        <v>0</v>
      </c>
      <c r="EC179" s="1487">
        <f>DM179/T179</f>
        <v>0</v>
      </c>
      <c r="ED179" s="1328">
        <v>12048.3</v>
      </c>
      <c r="EE179" s="1218"/>
      <c r="EF179" s="1219"/>
      <c r="EG179" s="1318">
        <v>0</v>
      </c>
      <c r="EH179" s="1221"/>
      <c r="EI179" s="1221"/>
      <c r="EJ179" s="1221"/>
      <c r="EK179" s="1278">
        <f t="shared" si="1014"/>
        <v>0</v>
      </c>
      <c r="EL179" s="1222">
        <f>EJ179+EH179</f>
        <v>0</v>
      </c>
      <c r="EM179" s="1223"/>
      <c r="EN179" s="1224"/>
      <c r="EO179" s="1218">
        <f t="shared" si="1015"/>
        <v>0</v>
      </c>
      <c r="EP179" s="1218"/>
      <c r="EQ179" s="1224">
        <f t="shared" si="1053"/>
        <v>0</v>
      </c>
      <c r="ER179" s="1225">
        <f t="shared" si="1054"/>
        <v>0</v>
      </c>
      <c r="ES179" s="1262">
        <f t="shared" si="1042"/>
        <v>0</v>
      </c>
      <c r="ET179" s="1462">
        <f t="shared" si="1042"/>
        <v>0</v>
      </c>
      <c r="EU179" s="1176">
        <f t="shared" si="868"/>
        <v>0</v>
      </c>
      <c r="EV179" s="1177">
        <v>0</v>
      </c>
      <c r="EW179" s="1177">
        <v>0</v>
      </c>
      <c r="EX179" s="1177">
        <v>0</v>
      </c>
      <c r="EY179" s="1177">
        <f>EK179+DS179</f>
        <v>0</v>
      </c>
      <c r="EZ179" s="1177">
        <f>EL179+DT179</f>
        <v>0</v>
      </c>
      <c r="FA179" s="1178">
        <f>EZ179/R179</f>
        <v>0</v>
      </c>
      <c r="FB179" s="1179">
        <f t="shared" ref="FB179:FG179" si="1076">DV179+EM179</f>
        <v>0</v>
      </c>
      <c r="FC179" s="1180">
        <f t="shared" si="1076"/>
        <v>0</v>
      </c>
      <c r="FD179" s="1180">
        <f t="shared" si="1076"/>
        <v>0</v>
      </c>
      <c r="FE179" s="1180">
        <f t="shared" si="1076"/>
        <v>0</v>
      </c>
      <c r="FF179" s="1180">
        <f t="shared" si="1076"/>
        <v>0</v>
      </c>
      <c r="FG179" s="1180">
        <f t="shared" si="1076"/>
        <v>0</v>
      </c>
      <c r="FH179" s="1181">
        <f>FG179/S179</f>
        <v>0</v>
      </c>
      <c r="FI179" s="1261">
        <f>ES179/T179</f>
        <v>0</v>
      </c>
      <c r="FJ179" s="1328"/>
      <c r="FK179" s="1218"/>
      <c r="FL179" s="1219">
        <f>FN179</f>
        <v>0</v>
      </c>
      <c r="FM179" s="1318">
        <v>0</v>
      </c>
      <c r="FN179" s="1221">
        <v>0</v>
      </c>
      <c r="FO179" s="1221">
        <v>0</v>
      </c>
      <c r="FP179" s="1221">
        <v>0</v>
      </c>
      <c r="FQ179" s="1278">
        <f t="shared" si="1019"/>
        <v>0</v>
      </c>
      <c r="FR179" s="1222">
        <f>FP179+FN179</f>
        <v>0</v>
      </c>
      <c r="FS179" s="1223">
        <v>0</v>
      </c>
      <c r="FT179" s="1224">
        <v>0</v>
      </c>
      <c r="FU179" s="1218">
        <f>FM179</f>
        <v>0</v>
      </c>
      <c r="FV179" s="1218">
        <f>FN179</f>
        <v>0</v>
      </c>
      <c r="FW179" s="1224">
        <f>FS179+FU179</f>
        <v>0</v>
      </c>
      <c r="FX179" s="1225">
        <f>FV179+FT179</f>
        <v>0</v>
      </c>
      <c r="FY179" s="1262">
        <f>ES179+FK179</f>
        <v>0</v>
      </c>
      <c r="FZ179" s="1462">
        <f>ET179+FL179</f>
        <v>0</v>
      </c>
      <c r="GA179" s="1176">
        <f t="shared" ref="GA179:GF179" si="1077">FM179+EU179</f>
        <v>0</v>
      </c>
      <c r="GB179" s="1177">
        <f t="shared" si="1077"/>
        <v>0</v>
      </c>
      <c r="GC179" s="1177">
        <f t="shared" si="1077"/>
        <v>0</v>
      </c>
      <c r="GD179" s="1177">
        <f t="shared" si="1077"/>
        <v>0</v>
      </c>
      <c r="GE179" s="1177">
        <f t="shared" si="1077"/>
        <v>0</v>
      </c>
      <c r="GF179" s="1177">
        <f t="shared" si="1077"/>
        <v>0</v>
      </c>
      <c r="GG179" s="1178">
        <f>GF179/R179</f>
        <v>0</v>
      </c>
      <c r="GH179" s="1179">
        <f t="shared" ref="GH179:GM179" si="1078">FB179+FS179</f>
        <v>0</v>
      </c>
      <c r="GI179" s="1180">
        <f t="shared" si="1078"/>
        <v>0</v>
      </c>
      <c r="GJ179" s="1180">
        <f t="shared" si="1078"/>
        <v>0</v>
      </c>
      <c r="GK179" s="1180">
        <f t="shared" si="1078"/>
        <v>0</v>
      </c>
      <c r="GL179" s="1180">
        <f t="shared" si="1078"/>
        <v>0</v>
      </c>
      <c r="GM179" s="1180">
        <f t="shared" si="1078"/>
        <v>0</v>
      </c>
      <c r="GN179" s="1181">
        <f>GM179/S179</f>
        <v>0</v>
      </c>
      <c r="GO179" s="1228">
        <f>FY179/T179</f>
        <v>0</v>
      </c>
      <c r="GP179" s="1328"/>
      <c r="GQ179" s="1218">
        <f>GR179</f>
        <v>1319.42</v>
      </c>
      <c r="GR179" s="1219">
        <f t="shared" si="981"/>
        <v>1319.42</v>
      </c>
      <c r="GS179" s="1318">
        <v>12047.3</v>
      </c>
      <c r="GT179" s="1221">
        <v>1319.42</v>
      </c>
      <c r="GU179" s="1221"/>
      <c r="GV179" s="1221"/>
      <c r="GW179" s="1278">
        <f t="shared" si="1024"/>
        <v>12047.3</v>
      </c>
      <c r="GX179" s="1222">
        <f>GV179+GT179</f>
        <v>1319.42</v>
      </c>
      <c r="GY179" s="1223"/>
      <c r="GZ179" s="1224"/>
      <c r="HA179" s="1218">
        <f t="shared" si="982"/>
        <v>12047.3</v>
      </c>
      <c r="HB179" s="1218">
        <f t="shared" si="983"/>
        <v>1319.42</v>
      </c>
      <c r="HC179" s="1224">
        <f t="shared" si="1040"/>
        <v>12047.3</v>
      </c>
      <c r="HD179" s="1225">
        <f t="shared" si="1041"/>
        <v>1319.42</v>
      </c>
      <c r="HE179" s="1690">
        <f t="shared" si="984"/>
        <v>1319.42</v>
      </c>
      <c r="HF179" s="1462">
        <f t="shared" si="985"/>
        <v>1319.42</v>
      </c>
      <c r="HG179" s="1176">
        <f t="shared" si="986"/>
        <v>12047.3</v>
      </c>
      <c r="HH179" s="1177">
        <f t="shared" si="987"/>
        <v>1319.42</v>
      </c>
      <c r="HI179" s="1177">
        <f t="shared" si="988"/>
        <v>0</v>
      </c>
      <c r="HJ179" s="1177">
        <f t="shared" si="989"/>
        <v>0</v>
      </c>
      <c r="HK179" s="1177">
        <f t="shared" si="990"/>
        <v>12047.3</v>
      </c>
      <c r="HL179" s="1177">
        <f t="shared" si="991"/>
        <v>1319.42</v>
      </c>
      <c r="HM179" s="1178">
        <f t="shared" si="1025"/>
        <v>6.8690744783494939E-3</v>
      </c>
      <c r="HN179" s="1179">
        <f t="shared" si="992"/>
        <v>0</v>
      </c>
      <c r="HO179" s="1180">
        <f t="shared" si="993"/>
        <v>0</v>
      </c>
      <c r="HP179" s="1180">
        <f t="shared" si="994"/>
        <v>12047.3</v>
      </c>
      <c r="HQ179" s="1180">
        <f t="shared" si="995"/>
        <v>1319.42</v>
      </c>
      <c r="HR179" s="1180">
        <f t="shared" si="996"/>
        <v>12047.3</v>
      </c>
      <c r="HS179" s="1180">
        <f t="shared" si="997"/>
        <v>1319.42</v>
      </c>
      <c r="HT179" s="1181">
        <f t="shared" si="1026"/>
        <v>6.8690744783494939E-3</v>
      </c>
      <c r="HU179" s="1228">
        <f t="shared" si="1027"/>
        <v>6.8690744783494939E-3</v>
      </c>
    </row>
    <row r="180" spans="1:229" s="1170" customFormat="1" ht="18" hidden="1" customHeight="1" outlineLevel="2" x14ac:dyDescent="0.2">
      <c r="A180" s="3673"/>
      <c r="B180" s="3672"/>
      <c r="C180" s="3698"/>
      <c r="D180" s="1167" t="s">
        <v>344</v>
      </c>
      <c r="E180" s="1202">
        <v>1</v>
      </c>
      <c r="F180" s="1203">
        <v>166.51</v>
      </c>
      <c r="G180" s="1204">
        <f t="shared" si="1028"/>
        <v>166.51</v>
      </c>
      <c r="H180" s="1205">
        <v>0</v>
      </c>
      <c r="I180" s="1206">
        <v>0</v>
      </c>
      <c r="J180" s="1206">
        <v>0</v>
      </c>
      <c r="K180" s="1207">
        <v>0</v>
      </c>
      <c r="L180" s="1206">
        <v>0</v>
      </c>
      <c r="M180" s="1206">
        <v>0</v>
      </c>
      <c r="N180" s="1208">
        <f t="shared" si="1029"/>
        <v>166.51</v>
      </c>
      <c r="O180" s="1359" t="s">
        <v>335</v>
      </c>
      <c r="P180" s="1360" t="s">
        <v>335</v>
      </c>
      <c r="Q180" s="1360" t="s">
        <v>335</v>
      </c>
      <c r="R180" s="1203">
        <v>189240.95</v>
      </c>
      <c r="S180" s="1209">
        <f t="shared" si="998"/>
        <v>189240.95</v>
      </c>
      <c r="T180" s="1210">
        <f t="shared" si="1052"/>
        <v>189240.95</v>
      </c>
      <c r="U180" s="1211">
        <v>0</v>
      </c>
      <c r="V180" s="1211">
        <v>0</v>
      </c>
      <c r="W180" s="1212">
        <v>42685.5</v>
      </c>
      <c r="X180" s="1213">
        <v>0</v>
      </c>
      <c r="Y180" s="1213">
        <v>0</v>
      </c>
      <c r="Z180" s="1213">
        <v>0</v>
      </c>
      <c r="AA180" s="1177">
        <f t="shared" si="999"/>
        <v>42685.5</v>
      </c>
      <c r="AB180" s="1214">
        <f t="shared" si="1000"/>
        <v>0</v>
      </c>
      <c r="AC180" s="1178">
        <f t="shared" si="1001"/>
        <v>0</v>
      </c>
      <c r="AD180" s="1211">
        <v>0</v>
      </c>
      <c r="AE180" s="1211">
        <v>0</v>
      </c>
      <c r="AF180" s="1233">
        <v>42685.5</v>
      </c>
      <c r="AG180" s="1211"/>
      <c r="AH180" s="1215">
        <f t="shared" si="1002"/>
        <v>42685.5</v>
      </c>
      <c r="AI180" s="1211">
        <f t="shared" si="1003"/>
        <v>0</v>
      </c>
      <c r="AJ180" s="1216">
        <f t="shared" si="1004"/>
        <v>0</v>
      </c>
      <c r="AK180" s="1217">
        <f t="shared" si="1005"/>
        <v>0</v>
      </c>
      <c r="AL180" s="1195">
        <v>12047.3</v>
      </c>
      <c r="AM180" s="1218">
        <f t="shared" ref="AM180:AM189" si="1079">AP180</f>
        <v>0</v>
      </c>
      <c r="AN180" s="1219">
        <f t="shared" si="1006"/>
        <v>0</v>
      </c>
      <c r="AO180" s="1220">
        <v>12047.3</v>
      </c>
      <c r="AP180" s="1221"/>
      <c r="AQ180" s="1221"/>
      <c r="AR180" s="1221"/>
      <c r="AS180" s="1221">
        <f t="shared" si="1030"/>
        <v>12047.3</v>
      </c>
      <c r="AT180" s="1282">
        <f t="shared" si="1031"/>
        <v>0</v>
      </c>
      <c r="AU180" s="1245"/>
      <c r="AV180" s="1224"/>
      <c r="AW180" s="1218">
        <f t="shared" si="1007"/>
        <v>12047.3</v>
      </c>
      <c r="AX180" s="1218">
        <f>AP180</f>
        <v>0</v>
      </c>
      <c r="AY180" s="1224">
        <f t="shared" si="949"/>
        <v>12047.3</v>
      </c>
      <c r="AZ180" s="1225">
        <f t="shared" si="1032"/>
        <v>0</v>
      </c>
      <c r="BA180" s="1175">
        <f>U180+AM180</f>
        <v>0</v>
      </c>
      <c r="BB180" s="1226">
        <f t="shared" ref="BB180:BB189" si="1080">V180+AN180</f>
        <v>0</v>
      </c>
      <c r="BC180" s="1176">
        <f t="shared" ref="BC180:BF181" si="1081">W180+AO180</f>
        <v>54732.800000000003</v>
      </c>
      <c r="BD180" s="1177">
        <f t="shared" si="1081"/>
        <v>0</v>
      </c>
      <c r="BE180" s="1177">
        <f t="shared" si="1081"/>
        <v>0</v>
      </c>
      <c r="BF180" s="1177">
        <f t="shared" si="1081"/>
        <v>0</v>
      </c>
      <c r="BG180" s="1177">
        <f t="shared" si="931"/>
        <v>54732.800000000003</v>
      </c>
      <c r="BH180" s="1177">
        <f t="shared" si="932"/>
        <v>0</v>
      </c>
      <c r="BI180" s="1178">
        <f t="shared" si="933"/>
        <v>0</v>
      </c>
      <c r="BJ180" s="1175">
        <f>AD180+AU180</f>
        <v>0</v>
      </c>
      <c r="BK180" s="1180">
        <f>AE180+AV180</f>
        <v>0</v>
      </c>
      <c r="BL180" s="1180">
        <f t="shared" ref="BL180:BN190" si="1082">AF180+AW180</f>
        <v>54732.800000000003</v>
      </c>
      <c r="BM180" s="1180">
        <f t="shared" si="1082"/>
        <v>0</v>
      </c>
      <c r="BN180" s="1180">
        <f t="shared" si="1082"/>
        <v>54732.800000000003</v>
      </c>
      <c r="BO180" s="1180">
        <f t="shared" ref="BO180:BO190" si="1083">AI180+AZ180</f>
        <v>0</v>
      </c>
      <c r="BP180" s="1227">
        <f t="shared" si="936"/>
        <v>0</v>
      </c>
      <c r="BQ180" s="1228">
        <f t="shared" ref="BQ180:BQ190" si="1084">BA180/T180</f>
        <v>0</v>
      </c>
      <c r="BR180" s="1283">
        <v>12047.3</v>
      </c>
      <c r="BS180" s="1218">
        <f t="shared" si="950"/>
        <v>0</v>
      </c>
      <c r="BT180" s="1219">
        <f t="shared" si="1033"/>
        <v>0</v>
      </c>
      <c r="BU180" s="1284">
        <v>12047.3</v>
      </c>
      <c r="BV180" s="1221"/>
      <c r="BW180" s="1221"/>
      <c r="BX180" s="1221"/>
      <c r="BY180" s="1221">
        <f t="shared" si="1034"/>
        <v>12047.3</v>
      </c>
      <c r="BZ180" s="1282">
        <f t="shared" si="1035"/>
        <v>0</v>
      </c>
      <c r="CA180" s="1223"/>
      <c r="CB180" s="1224"/>
      <c r="CC180" s="1218">
        <f t="shared" si="1008"/>
        <v>12047.3</v>
      </c>
      <c r="CD180" s="1218">
        <f t="shared" ref="CD180:CD189" si="1085">BV180</f>
        <v>0</v>
      </c>
      <c r="CE180" s="1224">
        <f t="shared" si="951"/>
        <v>12047.3</v>
      </c>
      <c r="CF180" s="1225">
        <f t="shared" si="1036"/>
        <v>0</v>
      </c>
      <c r="CG180" s="1262">
        <f t="shared" si="952"/>
        <v>0</v>
      </c>
      <c r="CH180" s="1226">
        <f t="shared" si="953"/>
        <v>0</v>
      </c>
      <c r="CI180" s="1176">
        <f t="shared" si="954"/>
        <v>66780.100000000006</v>
      </c>
      <c r="CJ180" s="1177">
        <f t="shared" si="955"/>
        <v>0</v>
      </c>
      <c r="CK180" s="1177">
        <f t="shared" si="956"/>
        <v>0</v>
      </c>
      <c r="CL180" s="1177">
        <f t="shared" si="957"/>
        <v>0</v>
      </c>
      <c r="CM180" s="1177">
        <f t="shared" si="958"/>
        <v>66780.100000000006</v>
      </c>
      <c r="CN180" s="1177">
        <f t="shared" si="959"/>
        <v>0</v>
      </c>
      <c r="CO180" s="1178">
        <f t="shared" ref="CO180:CO190" si="1086">CN180/R180</f>
        <v>0</v>
      </c>
      <c r="CP180" s="1179">
        <f t="shared" si="960"/>
        <v>0</v>
      </c>
      <c r="CQ180" s="1180">
        <f t="shared" si="961"/>
        <v>0</v>
      </c>
      <c r="CR180" s="1180">
        <f t="shared" si="962"/>
        <v>66780.100000000006</v>
      </c>
      <c r="CS180" s="1180">
        <f t="shared" si="963"/>
        <v>0</v>
      </c>
      <c r="CT180" s="1180">
        <f t="shared" si="964"/>
        <v>66780.100000000006</v>
      </c>
      <c r="CU180" s="1180">
        <f t="shared" si="965"/>
        <v>0</v>
      </c>
      <c r="CV180" s="1181">
        <f t="shared" si="822"/>
        <v>0</v>
      </c>
      <c r="CW180" s="1228">
        <f t="shared" si="823"/>
        <v>0</v>
      </c>
      <c r="CX180" s="1317">
        <v>12047.3</v>
      </c>
      <c r="CY180" s="1218"/>
      <c r="CZ180" s="1219"/>
      <c r="DA180" s="1284">
        <f t="shared" si="1009"/>
        <v>12047.3</v>
      </c>
      <c r="DB180" s="1221"/>
      <c r="DC180" s="1221"/>
      <c r="DD180" s="1221"/>
      <c r="DE180" s="1221">
        <f t="shared" si="1037"/>
        <v>12047.3</v>
      </c>
      <c r="DF180" s="1282">
        <f t="shared" si="1038"/>
        <v>0</v>
      </c>
      <c r="DG180" s="1223"/>
      <c r="DH180" s="1224"/>
      <c r="DI180" s="1218">
        <f t="shared" si="1010"/>
        <v>12047.3</v>
      </c>
      <c r="DJ180" s="1218">
        <f t="shared" ref="DJ180:DJ189" si="1087">DB180</f>
        <v>0</v>
      </c>
      <c r="DK180" s="1224">
        <f t="shared" si="966"/>
        <v>12047.3</v>
      </c>
      <c r="DL180" s="1225">
        <f t="shared" si="1039"/>
        <v>0</v>
      </c>
      <c r="DM180" s="1262">
        <f t="shared" si="967"/>
        <v>0</v>
      </c>
      <c r="DN180" s="1226">
        <f t="shared" si="968"/>
        <v>0</v>
      </c>
      <c r="DO180" s="1176">
        <f t="shared" si="969"/>
        <v>78827.400000000009</v>
      </c>
      <c r="DP180" s="1177">
        <f t="shared" si="970"/>
        <v>0</v>
      </c>
      <c r="DQ180" s="1177">
        <f t="shared" si="971"/>
        <v>0</v>
      </c>
      <c r="DR180" s="1177">
        <f t="shared" si="972"/>
        <v>0</v>
      </c>
      <c r="DS180" s="1177">
        <f t="shared" si="973"/>
        <v>78827.400000000009</v>
      </c>
      <c r="DT180" s="1177">
        <f t="shared" si="974"/>
        <v>0</v>
      </c>
      <c r="DU180" s="1260">
        <f t="shared" si="1011"/>
        <v>0</v>
      </c>
      <c r="DV180" s="1179">
        <f t="shared" ref="DV180:DY181" si="1088">CP180+DG180</f>
        <v>0</v>
      </c>
      <c r="DW180" s="1180">
        <f t="shared" si="1088"/>
        <v>0</v>
      </c>
      <c r="DX180" s="1180">
        <f t="shared" si="1088"/>
        <v>78827.400000000009</v>
      </c>
      <c r="DY180" s="1180">
        <f t="shared" si="1088"/>
        <v>0</v>
      </c>
      <c r="DZ180" s="1180">
        <f t="shared" si="977"/>
        <v>78827.400000000009</v>
      </c>
      <c r="EA180" s="1180">
        <f t="shared" si="978"/>
        <v>0</v>
      </c>
      <c r="EB180" s="1265">
        <f t="shared" si="1012"/>
        <v>0</v>
      </c>
      <c r="EC180" s="1487">
        <f t="shared" si="1013"/>
        <v>0</v>
      </c>
      <c r="ED180" s="1328">
        <v>12047.3</v>
      </c>
      <c r="EE180" s="1218"/>
      <c r="EF180" s="1219"/>
      <c r="EG180" s="1318">
        <v>12047.3</v>
      </c>
      <c r="EH180" s="1221"/>
      <c r="EI180" s="1221"/>
      <c r="EJ180" s="1221"/>
      <c r="EK180" s="1278">
        <f t="shared" si="1014"/>
        <v>12047.3</v>
      </c>
      <c r="EL180" s="1282">
        <f t="shared" ref="EL180:EL191" si="1089">EJ180+EH180</f>
        <v>0</v>
      </c>
      <c r="EM180" s="1223"/>
      <c r="EN180" s="1224"/>
      <c r="EO180" s="1218">
        <f t="shared" si="1015"/>
        <v>12047.3</v>
      </c>
      <c r="EP180" s="1218">
        <f t="shared" si="1016"/>
        <v>0</v>
      </c>
      <c r="EQ180" s="1224">
        <f t="shared" si="1053"/>
        <v>12047.3</v>
      </c>
      <c r="ER180" s="1225">
        <f t="shared" si="1054"/>
        <v>0</v>
      </c>
      <c r="ES180" s="1262">
        <f t="shared" ref="ES180:ES189" si="1090">DM180+EE180</f>
        <v>0</v>
      </c>
      <c r="ET180" s="1462">
        <f t="shared" ref="ET180:ET189" si="1091">DN180+EF180</f>
        <v>0</v>
      </c>
      <c r="EU180" s="1176">
        <f t="shared" si="868"/>
        <v>90874.700000000012</v>
      </c>
      <c r="EV180" s="1177">
        <f t="shared" si="1055"/>
        <v>0</v>
      </c>
      <c r="EW180" s="1177">
        <f t="shared" si="1056"/>
        <v>0</v>
      </c>
      <c r="EX180" s="1177">
        <f t="shared" si="1057"/>
        <v>0</v>
      </c>
      <c r="EY180" s="1177">
        <f t="shared" si="1058"/>
        <v>90874.700000000012</v>
      </c>
      <c r="EZ180" s="1177">
        <f t="shared" si="1059"/>
        <v>0</v>
      </c>
      <c r="FA180" s="1178">
        <f t="shared" si="1060"/>
        <v>0</v>
      </c>
      <c r="FB180" s="1179">
        <f t="shared" si="1043"/>
        <v>0</v>
      </c>
      <c r="FC180" s="1180">
        <f t="shared" si="1044"/>
        <v>0</v>
      </c>
      <c r="FD180" s="1180">
        <f t="shared" si="1045"/>
        <v>90874.700000000012</v>
      </c>
      <c r="FE180" s="1180">
        <f t="shared" si="1046"/>
        <v>0</v>
      </c>
      <c r="FF180" s="1180">
        <f t="shared" si="1047"/>
        <v>90874.700000000012</v>
      </c>
      <c r="FG180" s="1180">
        <f t="shared" si="1048"/>
        <v>0</v>
      </c>
      <c r="FH180" s="1181">
        <f t="shared" si="1049"/>
        <v>0</v>
      </c>
      <c r="FI180" s="1261">
        <f t="shared" si="1017"/>
        <v>0</v>
      </c>
      <c r="FJ180" s="1328"/>
      <c r="FK180" s="1218"/>
      <c r="FL180" s="1219">
        <f t="shared" si="1018"/>
        <v>0</v>
      </c>
      <c r="FM180" s="1318"/>
      <c r="FN180" s="1221"/>
      <c r="FO180" s="1221"/>
      <c r="FP180" s="1221"/>
      <c r="FQ180" s="1278">
        <f t="shared" si="1019"/>
        <v>0</v>
      </c>
      <c r="FR180" s="1222">
        <f>FP180+FN180</f>
        <v>0</v>
      </c>
      <c r="FS180" s="1223"/>
      <c r="FT180" s="1224"/>
      <c r="FU180" s="1218">
        <f t="shared" si="1020"/>
        <v>0</v>
      </c>
      <c r="FV180" s="1218">
        <f t="shared" si="1021"/>
        <v>0</v>
      </c>
      <c r="FW180" s="1224">
        <f t="shared" si="1061"/>
        <v>0</v>
      </c>
      <c r="FX180" s="1225">
        <f t="shared" si="1062"/>
        <v>0</v>
      </c>
      <c r="FY180" s="1262">
        <f t="shared" si="1050"/>
        <v>0</v>
      </c>
      <c r="FZ180" s="1462">
        <f t="shared" si="1051"/>
        <v>0</v>
      </c>
      <c r="GA180" s="1176">
        <f t="shared" si="871"/>
        <v>90874.700000000012</v>
      </c>
      <c r="GB180" s="1177">
        <f t="shared" si="1063"/>
        <v>0</v>
      </c>
      <c r="GC180" s="1177">
        <f t="shared" si="1064"/>
        <v>0</v>
      </c>
      <c r="GD180" s="1177">
        <f t="shared" si="1065"/>
        <v>0</v>
      </c>
      <c r="GE180" s="1177">
        <f t="shared" si="1066"/>
        <v>90874.700000000012</v>
      </c>
      <c r="GF180" s="1177">
        <f t="shared" si="1067"/>
        <v>0</v>
      </c>
      <c r="GG180" s="1178">
        <f t="shared" si="1068"/>
        <v>0</v>
      </c>
      <c r="GH180" s="1179">
        <f t="shared" si="1069"/>
        <v>0</v>
      </c>
      <c r="GI180" s="1180">
        <f t="shared" si="1070"/>
        <v>0</v>
      </c>
      <c r="GJ180" s="1180">
        <f t="shared" si="1071"/>
        <v>90874.700000000012</v>
      </c>
      <c r="GK180" s="1180">
        <f t="shared" si="1072"/>
        <v>0</v>
      </c>
      <c r="GL180" s="1180">
        <f t="shared" si="1073"/>
        <v>90874.700000000012</v>
      </c>
      <c r="GM180" s="1180">
        <f t="shared" si="1074"/>
        <v>0</v>
      </c>
      <c r="GN180" s="1181">
        <f t="shared" si="1075"/>
        <v>0</v>
      </c>
      <c r="GO180" s="1228">
        <f t="shared" si="1023"/>
        <v>0</v>
      </c>
      <c r="GP180" s="1328"/>
      <c r="GQ180" s="1218"/>
      <c r="GR180" s="1219">
        <f t="shared" ref="GR180:GR190" si="1092">GT180</f>
        <v>0</v>
      </c>
      <c r="GS180" s="1318"/>
      <c r="GT180" s="1221"/>
      <c r="GU180" s="1221"/>
      <c r="GV180" s="1221"/>
      <c r="GW180" s="1278">
        <f t="shared" si="1024"/>
        <v>0</v>
      </c>
      <c r="GX180" s="1222">
        <f>GV180+GT180</f>
        <v>0</v>
      </c>
      <c r="GY180" s="1223"/>
      <c r="GZ180" s="1224"/>
      <c r="HA180" s="1218">
        <f t="shared" si="982"/>
        <v>0</v>
      </c>
      <c r="HB180" s="1218">
        <f t="shared" si="983"/>
        <v>0</v>
      </c>
      <c r="HC180" s="1224">
        <f t="shared" si="1040"/>
        <v>0</v>
      </c>
      <c r="HD180" s="1225">
        <f t="shared" si="1041"/>
        <v>0</v>
      </c>
      <c r="HE180" s="1690">
        <f t="shared" si="984"/>
        <v>0</v>
      </c>
      <c r="HF180" s="1462">
        <f t="shared" si="985"/>
        <v>0</v>
      </c>
      <c r="HG180" s="1176">
        <f t="shared" si="986"/>
        <v>90874.700000000012</v>
      </c>
      <c r="HH180" s="1177">
        <f t="shared" si="987"/>
        <v>0</v>
      </c>
      <c r="HI180" s="1177">
        <f t="shared" si="988"/>
        <v>0</v>
      </c>
      <c r="HJ180" s="1177">
        <f t="shared" si="989"/>
        <v>0</v>
      </c>
      <c r="HK180" s="1177">
        <f t="shared" si="990"/>
        <v>90874.700000000012</v>
      </c>
      <c r="HL180" s="1177">
        <f t="shared" si="991"/>
        <v>0</v>
      </c>
      <c r="HM180" s="1178">
        <f t="shared" si="1025"/>
        <v>0</v>
      </c>
      <c r="HN180" s="1179">
        <f t="shared" si="992"/>
        <v>0</v>
      </c>
      <c r="HO180" s="1180">
        <f t="shared" si="993"/>
        <v>0</v>
      </c>
      <c r="HP180" s="1180">
        <f t="shared" si="994"/>
        <v>90874.700000000012</v>
      </c>
      <c r="HQ180" s="1180">
        <f t="shared" si="995"/>
        <v>0</v>
      </c>
      <c r="HR180" s="1180">
        <f t="shared" si="996"/>
        <v>90874.700000000012</v>
      </c>
      <c r="HS180" s="1180">
        <f t="shared" si="997"/>
        <v>0</v>
      </c>
      <c r="HT180" s="1181">
        <f t="shared" si="1026"/>
        <v>0</v>
      </c>
      <c r="HU180" s="1228">
        <f t="shared" si="1027"/>
        <v>0</v>
      </c>
    </row>
    <row r="181" spans="1:229" s="1170" customFormat="1" ht="18" hidden="1" customHeight="1" outlineLevel="2" x14ac:dyDescent="0.2">
      <c r="A181" s="3673"/>
      <c r="B181" s="3672"/>
      <c r="C181" s="3698"/>
      <c r="D181" s="1167" t="s">
        <v>417</v>
      </c>
      <c r="E181" s="1202">
        <v>1</v>
      </c>
      <c r="F181" s="1203">
        <v>134.85</v>
      </c>
      <c r="G181" s="1204">
        <f t="shared" si="1028"/>
        <v>134.85</v>
      </c>
      <c r="H181" s="1205">
        <v>0</v>
      </c>
      <c r="I181" s="1206">
        <v>0</v>
      </c>
      <c r="J181" s="1206">
        <v>0</v>
      </c>
      <c r="K181" s="1207">
        <v>0</v>
      </c>
      <c r="L181" s="1206">
        <v>0</v>
      </c>
      <c r="M181" s="1206">
        <v>0</v>
      </c>
      <c r="N181" s="1208">
        <f t="shared" ref="N181:N187" si="1093">F181+I181+L181</f>
        <v>134.85</v>
      </c>
      <c r="O181" s="1359" t="s">
        <v>335</v>
      </c>
      <c r="P181" s="1360" t="s">
        <v>335</v>
      </c>
      <c r="Q181" s="1360" t="s">
        <v>335</v>
      </c>
      <c r="R181" s="1203">
        <v>142626.07</v>
      </c>
      <c r="S181" s="1209">
        <f t="shared" si="998"/>
        <v>142626.07</v>
      </c>
      <c r="T181" s="1210">
        <f t="shared" si="1052"/>
        <v>142626.07</v>
      </c>
      <c r="U181" s="1211">
        <v>0</v>
      </c>
      <c r="V181" s="1211">
        <v>0</v>
      </c>
      <c r="W181" s="1212">
        <v>24094.6</v>
      </c>
      <c r="X181" s="1213">
        <v>0</v>
      </c>
      <c r="Y181" s="1213">
        <v>0</v>
      </c>
      <c r="Z181" s="1213">
        <v>0</v>
      </c>
      <c r="AA181" s="1177">
        <f t="shared" si="999"/>
        <v>24094.6</v>
      </c>
      <c r="AB181" s="1214">
        <f t="shared" si="1000"/>
        <v>0</v>
      </c>
      <c r="AC181" s="1178">
        <f t="shared" si="1001"/>
        <v>0</v>
      </c>
      <c r="AD181" s="1211">
        <v>0</v>
      </c>
      <c r="AE181" s="1211">
        <v>0</v>
      </c>
      <c r="AF181" s="1215">
        <v>24094.6</v>
      </c>
      <c r="AG181" s="1211"/>
      <c r="AH181" s="1215">
        <f t="shared" si="1002"/>
        <v>24094.6</v>
      </c>
      <c r="AI181" s="1211">
        <f t="shared" si="1003"/>
        <v>0</v>
      </c>
      <c r="AJ181" s="1216">
        <f t="shared" si="1004"/>
        <v>0</v>
      </c>
      <c r="AK181" s="1217">
        <f t="shared" si="1005"/>
        <v>0</v>
      </c>
      <c r="AL181" s="1195">
        <v>12047.3</v>
      </c>
      <c r="AM181" s="1218">
        <f t="shared" si="1079"/>
        <v>0</v>
      </c>
      <c r="AN181" s="1219">
        <f t="shared" si="1006"/>
        <v>0</v>
      </c>
      <c r="AO181" s="1220">
        <v>12047.3</v>
      </c>
      <c r="AP181" s="1221"/>
      <c r="AQ181" s="1221"/>
      <c r="AR181" s="1221"/>
      <c r="AS181" s="1221">
        <f t="shared" si="1030"/>
        <v>12047.3</v>
      </c>
      <c r="AT181" s="1282">
        <f t="shared" si="1031"/>
        <v>0</v>
      </c>
      <c r="AU181" s="1245"/>
      <c r="AV181" s="1224"/>
      <c r="AW181" s="1218">
        <f t="shared" si="1007"/>
        <v>12047.3</v>
      </c>
      <c r="AX181" s="1218">
        <f>AP181</f>
        <v>0</v>
      </c>
      <c r="AY181" s="1224">
        <f t="shared" si="949"/>
        <v>12047.3</v>
      </c>
      <c r="AZ181" s="1225">
        <f t="shared" si="1032"/>
        <v>0</v>
      </c>
      <c r="BA181" s="1175">
        <f>U181+AM181</f>
        <v>0</v>
      </c>
      <c r="BB181" s="1226">
        <f t="shared" si="1080"/>
        <v>0</v>
      </c>
      <c r="BC181" s="1176">
        <f t="shared" si="1081"/>
        <v>36141.899999999994</v>
      </c>
      <c r="BD181" s="1177">
        <f t="shared" si="1081"/>
        <v>0</v>
      </c>
      <c r="BE181" s="1177">
        <f t="shared" si="1081"/>
        <v>0</v>
      </c>
      <c r="BF181" s="1177">
        <f t="shared" si="1081"/>
        <v>0</v>
      </c>
      <c r="BG181" s="1177">
        <f t="shared" si="931"/>
        <v>36141.899999999994</v>
      </c>
      <c r="BH181" s="1177">
        <f t="shared" si="932"/>
        <v>0</v>
      </c>
      <c r="BI181" s="1178">
        <f t="shared" si="933"/>
        <v>0</v>
      </c>
      <c r="BJ181" s="1175">
        <f>AD181+AU181</f>
        <v>0</v>
      </c>
      <c r="BK181" s="1180">
        <f>AE181+AV181</f>
        <v>0</v>
      </c>
      <c r="BL181" s="1180">
        <f t="shared" si="1082"/>
        <v>36141.899999999994</v>
      </c>
      <c r="BM181" s="1180">
        <f t="shared" si="1082"/>
        <v>0</v>
      </c>
      <c r="BN181" s="1180">
        <f t="shared" si="1082"/>
        <v>36141.899999999994</v>
      </c>
      <c r="BO181" s="1180">
        <f t="shared" si="1083"/>
        <v>0</v>
      </c>
      <c r="BP181" s="1227">
        <f t="shared" si="936"/>
        <v>0</v>
      </c>
      <c r="BQ181" s="1228">
        <f t="shared" si="1084"/>
        <v>0</v>
      </c>
      <c r="BR181" s="1283">
        <v>12047.3</v>
      </c>
      <c r="BS181" s="1218">
        <f t="shared" si="950"/>
        <v>0</v>
      </c>
      <c r="BT181" s="1219">
        <f t="shared" si="1033"/>
        <v>0</v>
      </c>
      <c r="BU181" s="1284">
        <v>12047.3</v>
      </c>
      <c r="BV181" s="1221"/>
      <c r="BW181" s="1221"/>
      <c r="BX181" s="1221"/>
      <c r="BY181" s="1221">
        <f t="shared" si="1034"/>
        <v>12047.3</v>
      </c>
      <c r="BZ181" s="1282">
        <f t="shared" si="1035"/>
        <v>0</v>
      </c>
      <c r="CA181" s="1223"/>
      <c r="CB181" s="1224"/>
      <c r="CC181" s="1218">
        <f t="shared" si="1008"/>
        <v>12047.3</v>
      </c>
      <c r="CD181" s="1218">
        <f t="shared" si="1085"/>
        <v>0</v>
      </c>
      <c r="CE181" s="1224">
        <f t="shared" si="951"/>
        <v>12047.3</v>
      </c>
      <c r="CF181" s="1225">
        <f t="shared" si="1036"/>
        <v>0</v>
      </c>
      <c r="CG181" s="1263">
        <f t="shared" si="952"/>
        <v>0</v>
      </c>
      <c r="CH181" s="1259">
        <f t="shared" si="953"/>
        <v>0</v>
      </c>
      <c r="CI181" s="1212">
        <f t="shared" si="954"/>
        <v>48189.2</v>
      </c>
      <c r="CJ181" s="1174">
        <f t="shared" si="955"/>
        <v>0</v>
      </c>
      <c r="CK181" s="1174">
        <f t="shared" si="956"/>
        <v>0</v>
      </c>
      <c r="CL181" s="1174">
        <f t="shared" si="957"/>
        <v>0</v>
      </c>
      <c r="CM181" s="1174">
        <f t="shared" si="958"/>
        <v>48189.2</v>
      </c>
      <c r="CN181" s="1174">
        <f t="shared" si="959"/>
        <v>0</v>
      </c>
      <c r="CO181" s="1260">
        <f t="shared" si="1086"/>
        <v>0</v>
      </c>
      <c r="CP181" s="1264">
        <f t="shared" si="960"/>
        <v>0</v>
      </c>
      <c r="CQ181" s="1173">
        <f t="shared" si="961"/>
        <v>0</v>
      </c>
      <c r="CR181" s="1173">
        <f t="shared" si="962"/>
        <v>48189.2</v>
      </c>
      <c r="CS181" s="1173">
        <f t="shared" si="963"/>
        <v>0</v>
      </c>
      <c r="CT181" s="1173">
        <f t="shared" si="964"/>
        <v>48189.2</v>
      </c>
      <c r="CU181" s="1173">
        <f t="shared" si="965"/>
        <v>0</v>
      </c>
      <c r="CV181" s="1265">
        <f t="shared" si="822"/>
        <v>0</v>
      </c>
      <c r="CW181" s="1261">
        <f t="shared" si="823"/>
        <v>0</v>
      </c>
      <c r="CX181" s="1317">
        <v>12047.3</v>
      </c>
      <c r="CY181" s="1218">
        <f>DB181</f>
        <v>90957.19</v>
      </c>
      <c r="CZ181" s="1219"/>
      <c r="DA181" s="1284">
        <f t="shared" si="1009"/>
        <v>12047.3</v>
      </c>
      <c r="DB181" s="1221">
        <v>90957.19</v>
      </c>
      <c r="DC181" s="1221"/>
      <c r="DD181" s="1221"/>
      <c r="DE181" s="1221">
        <f t="shared" si="1037"/>
        <v>12047.3</v>
      </c>
      <c r="DF181" s="1282">
        <f t="shared" si="1038"/>
        <v>90957.19</v>
      </c>
      <c r="DG181" s="1223"/>
      <c r="DH181" s="1224"/>
      <c r="DI181" s="1218">
        <f t="shared" si="1010"/>
        <v>12047.3</v>
      </c>
      <c r="DJ181" s="1218">
        <f t="shared" si="1087"/>
        <v>90957.19</v>
      </c>
      <c r="DK181" s="1224">
        <f t="shared" si="966"/>
        <v>12047.3</v>
      </c>
      <c r="DL181" s="1225">
        <f t="shared" si="1039"/>
        <v>90957.19</v>
      </c>
      <c r="DM181" s="1263">
        <f t="shared" si="967"/>
        <v>90957.19</v>
      </c>
      <c r="DN181" s="1259">
        <f>DM181</f>
        <v>90957.19</v>
      </c>
      <c r="DO181" s="1212">
        <f t="shared" si="969"/>
        <v>60236.5</v>
      </c>
      <c r="DP181" s="1174">
        <f t="shared" si="970"/>
        <v>90957.19</v>
      </c>
      <c r="DQ181" s="1174">
        <f t="shared" si="971"/>
        <v>0</v>
      </c>
      <c r="DR181" s="1174">
        <f t="shared" si="972"/>
        <v>0</v>
      </c>
      <c r="DS181" s="1174">
        <f t="shared" si="973"/>
        <v>60236.5</v>
      </c>
      <c r="DT181" s="1174">
        <f t="shared" si="974"/>
        <v>90957.19</v>
      </c>
      <c r="DU181" s="1260">
        <f t="shared" si="1011"/>
        <v>0.63773186767328016</v>
      </c>
      <c r="DV181" s="1264">
        <f t="shared" si="1088"/>
        <v>0</v>
      </c>
      <c r="DW181" s="1173">
        <f t="shared" si="1088"/>
        <v>0</v>
      </c>
      <c r="DX181" s="1173">
        <f t="shared" si="1088"/>
        <v>60236.5</v>
      </c>
      <c r="DY181" s="1173">
        <f t="shared" si="1088"/>
        <v>90957.19</v>
      </c>
      <c r="DZ181" s="1173">
        <f t="shared" si="977"/>
        <v>60236.5</v>
      </c>
      <c r="EA181" s="1173">
        <f t="shared" si="978"/>
        <v>90957.19</v>
      </c>
      <c r="EB181" s="1265">
        <f t="shared" si="1012"/>
        <v>0.63773186767328016</v>
      </c>
      <c r="EC181" s="1487">
        <f t="shared" si="1013"/>
        <v>0.63773186767328016</v>
      </c>
      <c r="ED181" s="1328">
        <v>12047.3</v>
      </c>
      <c r="EE181" s="1218"/>
      <c r="EF181" s="1219"/>
      <c r="EG181" s="1318">
        <v>12047.3</v>
      </c>
      <c r="EH181" s="1221"/>
      <c r="EI181" s="1221"/>
      <c r="EJ181" s="1221"/>
      <c r="EK181" s="1278">
        <f t="shared" si="1014"/>
        <v>12047.3</v>
      </c>
      <c r="EL181" s="1282">
        <f t="shared" si="1089"/>
        <v>0</v>
      </c>
      <c r="EM181" s="1223"/>
      <c r="EN181" s="1224"/>
      <c r="EO181" s="1218">
        <f t="shared" si="1015"/>
        <v>12047.3</v>
      </c>
      <c r="EP181" s="1218">
        <f t="shared" si="1016"/>
        <v>0</v>
      </c>
      <c r="EQ181" s="1224">
        <f t="shared" si="1053"/>
        <v>12047.3</v>
      </c>
      <c r="ER181" s="1225">
        <f t="shared" si="1054"/>
        <v>0</v>
      </c>
      <c r="ES181" s="1263">
        <f t="shared" si="1090"/>
        <v>90957.19</v>
      </c>
      <c r="ET181" s="1461">
        <f t="shared" si="1091"/>
        <v>90957.19</v>
      </c>
      <c r="EU181" s="1176">
        <f t="shared" si="868"/>
        <v>72283.8</v>
      </c>
      <c r="EV181" s="1177">
        <f t="shared" si="1055"/>
        <v>90957.19</v>
      </c>
      <c r="EW181" s="1177">
        <f t="shared" si="1056"/>
        <v>0</v>
      </c>
      <c r="EX181" s="1177">
        <f t="shared" si="1057"/>
        <v>0</v>
      </c>
      <c r="EY181" s="1177">
        <f t="shared" si="1058"/>
        <v>72283.8</v>
      </c>
      <c r="EZ181" s="1177">
        <f t="shared" si="1059"/>
        <v>90957.19</v>
      </c>
      <c r="FA181" s="1178">
        <f t="shared" si="1060"/>
        <v>0.63773186767328016</v>
      </c>
      <c r="FB181" s="1179">
        <f t="shared" si="1043"/>
        <v>0</v>
      </c>
      <c r="FC181" s="1180">
        <f t="shared" si="1044"/>
        <v>0</v>
      </c>
      <c r="FD181" s="1180">
        <f t="shared" si="1045"/>
        <v>72283.8</v>
      </c>
      <c r="FE181" s="1180">
        <f t="shared" si="1046"/>
        <v>90957.19</v>
      </c>
      <c r="FF181" s="1180">
        <f t="shared" si="1047"/>
        <v>72283.8</v>
      </c>
      <c r="FG181" s="1180">
        <f t="shared" si="1048"/>
        <v>90957.19</v>
      </c>
      <c r="FH181" s="1181">
        <f t="shared" si="1049"/>
        <v>0.63773186767328016</v>
      </c>
      <c r="FI181" s="1261">
        <f t="shared" si="1017"/>
        <v>0.63773186767328016</v>
      </c>
      <c r="FJ181" s="1328">
        <f>12047.3*4</f>
        <v>48189.2</v>
      </c>
      <c r="FK181" s="1218">
        <f>FL181</f>
        <v>51668.88</v>
      </c>
      <c r="FL181" s="1219">
        <f t="shared" si="1018"/>
        <v>51668.88</v>
      </c>
      <c r="FM181" s="1318">
        <f>FJ181</f>
        <v>48189.2</v>
      </c>
      <c r="FN181" s="1221">
        <v>51668.88</v>
      </c>
      <c r="FO181" s="1221"/>
      <c r="FP181" s="1221"/>
      <c r="FQ181" s="1278">
        <f t="shared" si="1019"/>
        <v>48189.2</v>
      </c>
      <c r="FR181" s="1282">
        <f t="shared" ref="FR181:FR189" si="1094">FP181+FN181</f>
        <v>51668.88</v>
      </c>
      <c r="FS181" s="1223"/>
      <c r="FT181" s="1224"/>
      <c r="FU181" s="1218">
        <f t="shared" si="1020"/>
        <v>48189.2</v>
      </c>
      <c r="FV181" s="1218">
        <f t="shared" si="1021"/>
        <v>51668.88</v>
      </c>
      <c r="FW181" s="1224">
        <f t="shared" si="1061"/>
        <v>48189.2</v>
      </c>
      <c r="FX181" s="1225">
        <f t="shared" si="1062"/>
        <v>51668.88</v>
      </c>
      <c r="FY181" s="1262">
        <f t="shared" si="1050"/>
        <v>142626.07</v>
      </c>
      <c r="FZ181" s="1462">
        <f t="shared" si="1051"/>
        <v>142626.07</v>
      </c>
      <c r="GA181" s="1176">
        <f t="shared" si="871"/>
        <v>120473</v>
      </c>
      <c r="GB181" s="1177">
        <f t="shared" si="1063"/>
        <v>142626.07</v>
      </c>
      <c r="GC181" s="1177">
        <f t="shared" si="1064"/>
        <v>0</v>
      </c>
      <c r="GD181" s="1177">
        <f t="shared" si="1065"/>
        <v>0</v>
      </c>
      <c r="GE181" s="1177">
        <f t="shared" si="1066"/>
        <v>120473</v>
      </c>
      <c r="GF181" s="1177">
        <f t="shared" si="1067"/>
        <v>142626.07</v>
      </c>
      <c r="GG181" s="1178">
        <f t="shared" si="1068"/>
        <v>1</v>
      </c>
      <c r="GH181" s="1179">
        <f t="shared" si="1069"/>
        <v>0</v>
      </c>
      <c r="GI181" s="1180">
        <f t="shared" si="1070"/>
        <v>0</v>
      </c>
      <c r="GJ181" s="1180">
        <f t="shared" si="1071"/>
        <v>120473</v>
      </c>
      <c r="GK181" s="1180">
        <f t="shared" si="1072"/>
        <v>142626.07</v>
      </c>
      <c r="GL181" s="1180">
        <f t="shared" si="1073"/>
        <v>120473</v>
      </c>
      <c r="GM181" s="1180">
        <f t="shared" si="1074"/>
        <v>142626.07</v>
      </c>
      <c r="GN181" s="1181">
        <f t="shared" si="1075"/>
        <v>1</v>
      </c>
      <c r="GO181" s="1228">
        <f t="shared" si="1023"/>
        <v>1</v>
      </c>
      <c r="GP181" s="1328">
        <f>12047.3*4</f>
        <v>48189.2</v>
      </c>
      <c r="GQ181" s="1218"/>
      <c r="GR181" s="1219">
        <f t="shared" si="1092"/>
        <v>0</v>
      </c>
      <c r="GS181" s="1318"/>
      <c r="GT181" s="1221"/>
      <c r="GU181" s="1221"/>
      <c r="GV181" s="1221"/>
      <c r="GW181" s="1278">
        <f t="shared" si="1024"/>
        <v>0</v>
      </c>
      <c r="GX181" s="1282">
        <f t="shared" ref="GX181:GX189" si="1095">GV181+GT181</f>
        <v>0</v>
      </c>
      <c r="GY181" s="1223"/>
      <c r="GZ181" s="1224"/>
      <c r="HA181" s="1218">
        <f t="shared" si="982"/>
        <v>0</v>
      </c>
      <c r="HB181" s="1218">
        <f t="shared" si="983"/>
        <v>0</v>
      </c>
      <c r="HC181" s="1224">
        <f t="shared" si="1040"/>
        <v>0</v>
      </c>
      <c r="HD181" s="1225">
        <f t="shared" si="1041"/>
        <v>0</v>
      </c>
      <c r="HE181" s="1690">
        <f t="shared" si="984"/>
        <v>142626.07</v>
      </c>
      <c r="HF181" s="1462">
        <f t="shared" si="985"/>
        <v>142626.07</v>
      </c>
      <c r="HG181" s="1176">
        <f t="shared" si="986"/>
        <v>120473</v>
      </c>
      <c r="HH181" s="1177">
        <f t="shared" si="987"/>
        <v>142626.07</v>
      </c>
      <c r="HI181" s="1177">
        <f t="shared" si="988"/>
        <v>0</v>
      </c>
      <c r="HJ181" s="1177">
        <f t="shared" si="989"/>
        <v>0</v>
      </c>
      <c r="HK181" s="1177">
        <f t="shared" si="990"/>
        <v>120473</v>
      </c>
      <c r="HL181" s="1177">
        <f t="shared" si="991"/>
        <v>142626.07</v>
      </c>
      <c r="HM181" s="1178">
        <f t="shared" si="1025"/>
        <v>1</v>
      </c>
      <c r="HN181" s="1179">
        <f t="shared" si="992"/>
        <v>0</v>
      </c>
      <c r="HO181" s="1180">
        <f t="shared" si="993"/>
        <v>0</v>
      </c>
      <c r="HP181" s="1180">
        <f t="shared" si="994"/>
        <v>120473</v>
      </c>
      <c r="HQ181" s="1180">
        <f t="shared" si="995"/>
        <v>142626.07</v>
      </c>
      <c r="HR181" s="1180">
        <f t="shared" si="996"/>
        <v>120473</v>
      </c>
      <c r="HS181" s="1180">
        <f t="shared" si="997"/>
        <v>142626.07</v>
      </c>
      <c r="HT181" s="1181">
        <f t="shared" si="1026"/>
        <v>1</v>
      </c>
      <c r="HU181" s="1228">
        <f t="shared" si="1027"/>
        <v>1</v>
      </c>
    </row>
    <row r="182" spans="1:229" s="1170" customFormat="1" ht="18" hidden="1" customHeight="1" outlineLevel="2" x14ac:dyDescent="0.2">
      <c r="A182" s="3673"/>
      <c r="B182" s="3672"/>
      <c r="C182" s="3698"/>
      <c r="D182" s="1167" t="s">
        <v>516</v>
      </c>
      <c r="E182" s="1202">
        <v>1</v>
      </c>
      <c r="F182" s="1203">
        <v>132.69</v>
      </c>
      <c r="G182" s="1204">
        <f t="shared" si="1028"/>
        <v>132.69</v>
      </c>
      <c r="H182" s="1205">
        <v>0</v>
      </c>
      <c r="I182" s="1206">
        <v>0</v>
      </c>
      <c r="J182" s="1206">
        <v>0</v>
      </c>
      <c r="K182" s="1207">
        <v>0</v>
      </c>
      <c r="L182" s="1206">
        <v>0</v>
      </c>
      <c r="M182" s="1206">
        <v>0</v>
      </c>
      <c r="N182" s="1208">
        <f t="shared" si="1093"/>
        <v>132.69</v>
      </c>
      <c r="O182" s="1359" t="s">
        <v>335</v>
      </c>
      <c r="P182" s="1360" t="s">
        <v>335</v>
      </c>
      <c r="Q182" s="1360" t="s">
        <v>335</v>
      </c>
      <c r="R182" s="1203">
        <v>105416.92</v>
      </c>
      <c r="S182" s="1209">
        <f t="shared" si="998"/>
        <v>105416.92</v>
      </c>
      <c r="T182" s="1210">
        <f t="shared" si="1052"/>
        <v>105416.92</v>
      </c>
      <c r="U182" s="1211">
        <v>0</v>
      </c>
      <c r="V182" s="1211">
        <v>0</v>
      </c>
      <c r="W182" s="1212">
        <v>0</v>
      </c>
      <c r="X182" s="1213">
        <v>0</v>
      </c>
      <c r="Y182" s="1213">
        <v>0</v>
      </c>
      <c r="Z182" s="1213">
        <v>0</v>
      </c>
      <c r="AA182" s="1177">
        <f t="shared" si="999"/>
        <v>0</v>
      </c>
      <c r="AB182" s="1214">
        <f t="shared" si="1000"/>
        <v>0</v>
      </c>
      <c r="AC182" s="1178">
        <f t="shared" si="1001"/>
        <v>0</v>
      </c>
      <c r="AD182" s="1211">
        <v>0</v>
      </c>
      <c r="AE182" s="1211">
        <v>0</v>
      </c>
      <c r="AF182" s="1211">
        <v>0</v>
      </c>
      <c r="AG182" s="1211">
        <v>0</v>
      </c>
      <c r="AH182" s="1215">
        <f t="shared" si="1002"/>
        <v>0</v>
      </c>
      <c r="AI182" s="1211">
        <f t="shared" si="1003"/>
        <v>0</v>
      </c>
      <c r="AJ182" s="1216">
        <f t="shared" si="1004"/>
        <v>0</v>
      </c>
      <c r="AK182" s="1217">
        <f t="shared" si="1005"/>
        <v>0</v>
      </c>
      <c r="AL182" s="1195">
        <v>0</v>
      </c>
      <c r="AM182" s="1218">
        <v>0</v>
      </c>
      <c r="AN182" s="1219">
        <v>0</v>
      </c>
      <c r="AO182" s="1220">
        <v>0</v>
      </c>
      <c r="AP182" s="1221">
        <v>0</v>
      </c>
      <c r="AQ182" s="1221">
        <v>0</v>
      </c>
      <c r="AR182" s="1221">
        <v>0</v>
      </c>
      <c r="AS182" s="1221">
        <f t="shared" si="1030"/>
        <v>0</v>
      </c>
      <c r="AT182" s="1282">
        <f t="shared" si="1031"/>
        <v>0</v>
      </c>
      <c r="AU182" s="1245">
        <v>0</v>
      </c>
      <c r="AV182" s="1224">
        <v>0</v>
      </c>
      <c r="AW182" s="1218">
        <v>0</v>
      </c>
      <c r="AX182" s="1218">
        <v>0</v>
      </c>
      <c r="AY182" s="1224">
        <f t="shared" si="949"/>
        <v>0</v>
      </c>
      <c r="AZ182" s="1225">
        <f t="shared" si="1032"/>
        <v>0</v>
      </c>
      <c r="BA182" s="1175">
        <v>0</v>
      </c>
      <c r="BB182" s="1226">
        <v>0</v>
      </c>
      <c r="BC182" s="1176">
        <v>0</v>
      </c>
      <c r="BD182" s="1177">
        <v>0</v>
      </c>
      <c r="BE182" s="1177">
        <v>0</v>
      </c>
      <c r="BF182" s="1177">
        <v>0</v>
      </c>
      <c r="BG182" s="1177">
        <f t="shared" si="931"/>
        <v>0</v>
      </c>
      <c r="BH182" s="1177">
        <f t="shared" si="932"/>
        <v>0</v>
      </c>
      <c r="BI182" s="1178">
        <f t="shared" si="933"/>
        <v>0</v>
      </c>
      <c r="BJ182" s="1175">
        <v>0</v>
      </c>
      <c r="BK182" s="1180">
        <v>0</v>
      </c>
      <c r="BL182" s="1180">
        <v>0</v>
      </c>
      <c r="BM182" s="1180">
        <v>0</v>
      </c>
      <c r="BN182" s="1180">
        <f t="shared" si="1082"/>
        <v>0</v>
      </c>
      <c r="BO182" s="1180">
        <f t="shared" si="1083"/>
        <v>0</v>
      </c>
      <c r="BP182" s="1227">
        <f t="shared" si="936"/>
        <v>0</v>
      </c>
      <c r="BQ182" s="1228">
        <f t="shared" si="1084"/>
        <v>0</v>
      </c>
      <c r="BR182" s="1283">
        <v>0</v>
      </c>
      <c r="BS182" s="1218">
        <v>0</v>
      </c>
      <c r="BT182" s="1219">
        <v>0</v>
      </c>
      <c r="BU182" s="1284">
        <v>0</v>
      </c>
      <c r="BV182" s="1221">
        <v>0</v>
      </c>
      <c r="BW182" s="1221">
        <v>0</v>
      </c>
      <c r="BX182" s="1221">
        <v>0</v>
      </c>
      <c r="BY182" s="1221">
        <f t="shared" si="1034"/>
        <v>0</v>
      </c>
      <c r="BZ182" s="1282">
        <f t="shared" si="1035"/>
        <v>0</v>
      </c>
      <c r="CA182" s="1223">
        <v>0</v>
      </c>
      <c r="CB182" s="1224">
        <v>0</v>
      </c>
      <c r="CC182" s="1218">
        <v>0</v>
      </c>
      <c r="CD182" s="1218">
        <v>0</v>
      </c>
      <c r="CE182" s="1224">
        <f t="shared" si="951"/>
        <v>0</v>
      </c>
      <c r="CF182" s="1225">
        <f t="shared" si="1036"/>
        <v>0</v>
      </c>
      <c r="CG182" s="1263">
        <v>0</v>
      </c>
      <c r="CH182" s="1259">
        <v>0</v>
      </c>
      <c r="CI182" s="1212">
        <v>0</v>
      </c>
      <c r="CJ182" s="1174">
        <v>0</v>
      </c>
      <c r="CK182" s="1174">
        <v>0</v>
      </c>
      <c r="CL182" s="1174">
        <v>0</v>
      </c>
      <c r="CM182" s="1174">
        <f t="shared" si="958"/>
        <v>0</v>
      </c>
      <c r="CN182" s="1174">
        <f t="shared" si="959"/>
        <v>0</v>
      </c>
      <c r="CO182" s="1260">
        <f t="shared" si="1086"/>
        <v>0</v>
      </c>
      <c r="CP182" s="1264">
        <v>0</v>
      </c>
      <c r="CQ182" s="1173">
        <v>0</v>
      </c>
      <c r="CR182" s="1173">
        <v>0</v>
      </c>
      <c r="CS182" s="1173">
        <v>0</v>
      </c>
      <c r="CT182" s="1173">
        <f t="shared" si="964"/>
        <v>0</v>
      </c>
      <c r="CU182" s="1173">
        <f t="shared" si="965"/>
        <v>0</v>
      </c>
      <c r="CV182" s="1265">
        <f t="shared" si="822"/>
        <v>0</v>
      </c>
      <c r="CW182" s="1261">
        <f t="shared" si="823"/>
        <v>0</v>
      </c>
      <c r="CX182" s="1317">
        <v>0</v>
      </c>
      <c r="CY182" s="1218">
        <v>0</v>
      </c>
      <c r="CZ182" s="1219">
        <v>0</v>
      </c>
      <c r="DA182" s="1284">
        <v>0</v>
      </c>
      <c r="DB182" s="1221">
        <v>0</v>
      </c>
      <c r="DC182" s="1221">
        <v>0</v>
      </c>
      <c r="DD182" s="1221">
        <v>0</v>
      </c>
      <c r="DE182" s="1221">
        <f t="shared" si="1037"/>
        <v>0</v>
      </c>
      <c r="DF182" s="1282">
        <f t="shared" si="1038"/>
        <v>0</v>
      </c>
      <c r="DG182" s="1223">
        <v>0</v>
      </c>
      <c r="DH182" s="1224">
        <v>0</v>
      </c>
      <c r="DI182" s="1218">
        <v>0</v>
      </c>
      <c r="DJ182" s="1218">
        <v>0</v>
      </c>
      <c r="DK182" s="1224">
        <f t="shared" si="966"/>
        <v>0</v>
      </c>
      <c r="DL182" s="1225">
        <f t="shared" si="1039"/>
        <v>0</v>
      </c>
      <c r="DM182" s="1263">
        <v>0</v>
      </c>
      <c r="DN182" s="1259">
        <v>0</v>
      </c>
      <c r="DO182" s="1212">
        <v>0</v>
      </c>
      <c r="DP182" s="1174">
        <v>0</v>
      </c>
      <c r="DQ182" s="1174">
        <v>0</v>
      </c>
      <c r="DR182" s="1174">
        <v>0</v>
      </c>
      <c r="DS182" s="1174">
        <f t="shared" si="973"/>
        <v>0</v>
      </c>
      <c r="DT182" s="1174">
        <f t="shared" si="974"/>
        <v>0</v>
      </c>
      <c r="DU182" s="1260">
        <f t="shared" si="1011"/>
        <v>0</v>
      </c>
      <c r="DV182" s="1264">
        <v>0</v>
      </c>
      <c r="DW182" s="1173">
        <v>0</v>
      </c>
      <c r="DX182" s="1173">
        <v>0</v>
      </c>
      <c r="DY182" s="1173">
        <v>0</v>
      </c>
      <c r="DZ182" s="1173">
        <f t="shared" si="977"/>
        <v>0</v>
      </c>
      <c r="EA182" s="1173">
        <f t="shared" si="978"/>
        <v>0</v>
      </c>
      <c r="EB182" s="1265">
        <f t="shared" si="1012"/>
        <v>0</v>
      </c>
      <c r="EC182" s="1487">
        <f t="shared" si="1013"/>
        <v>0</v>
      </c>
      <c r="ED182" s="1328">
        <v>12047.3</v>
      </c>
      <c r="EE182" s="1218"/>
      <c r="EF182" s="1219"/>
      <c r="EG182" s="1318">
        <v>12047.3</v>
      </c>
      <c r="EH182" s="1221"/>
      <c r="EI182" s="1221"/>
      <c r="EJ182" s="1221"/>
      <c r="EK182" s="1278">
        <f t="shared" si="1014"/>
        <v>12047.3</v>
      </c>
      <c r="EL182" s="1282">
        <f t="shared" si="1089"/>
        <v>0</v>
      </c>
      <c r="EM182" s="1223"/>
      <c r="EN182" s="1224"/>
      <c r="EO182" s="1218">
        <f t="shared" si="1015"/>
        <v>12047.3</v>
      </c>
      <c r="EP182" s="1218">
        <f t="shared" si="1016"/>
        <v>0</v>
      </c>
      <c r="EQ182" s="1224">
        <f t="shared" si="1053"/>
        <v>12047.3</v>
      </c>
      <c r="ER182" s="1225">
        <f t="shared" si="1054"/>
        <v>0</v>
      </c>
      <c r="ES182" s="1263">
        <f>DM182+EE182</f>
        <v>0</v>
      </c>
      <c r="ET182" s="1461">
        <f>DN182+EF182</f>
        <v>0</v>
      </c>
      <c r="EU182" s="1176">
        <f t="shared" ref="EU182:EZ183" si="1096">EG182+DO182</f>
        <v>12047.3</v>
      </c>
      <c r="EV182" s="1177">
        <f t="shared" si="1096"/>
        <v>0</v>
      </c>
      <c r="EW182" s="1177">
        <f t="shared" si="1096"/>
        <v>0</v>
      </c>
      <c r="EX182" s="1177">
        <f t="shared" si="1096"/>
        <v>0</v>
      </c>
      <c r="EY182" s="1177">
        <f t="shared" si="1096"/>
        <v>12047.3</v>
      </c>
      <c r="EZ182" s="1177">
        <f t="shared" si="1096"/>
        <v>0</v>
      </c>
      <c r="FA182" s="1178">
        <f>EZ182/R182</f>
        <v>0</v>
      </c>
      <c r="FB182" s="1179">
        <f t="shared" ref="FB182:FG183" si="1097">DV182+EM182</f>
        <v>0</v>
      </c>
      <c r="FC182" s="1180">
        <f t="shared" si="1097"/>
        <v>0</v>
      </c>
      <c r="FD182" s="1180">
        <f t="shared" si="1097"/>
        <v>12047.3</v>
      </c>
      <c r="FE182" s="1180">
        <f t="shared" si="1097"/>
        <v>0</v>
      </c>
      <c r="FF182" s="1180">
        <f t="shared" si="1097"/>
        <v>12047.3</v>
      </c>
      <c r="FG182" s="1180">
        <f t="shared" si="1097"/>
        <v>0</v>
      </c>
      <c r="FH182" s="1181">
        <f>FG182/S182</f>
        <v>0</v>
      </c>
      <c r="FI182" s="1261">
        <f>ES182/T182</f>
        <v>0</v>
      </c>
      <c r="FJ182" s="1328"/>
      <c r="FK182" s="1218"/>
      <c r="FL182" s="1219">
        <f t="shared" si="1018"/>
        <v>0</v>
      </c>
      <c r="FM182" s="1318"/>
      <c r="FN182" s="1221"/>
      <c r="FO182" s="1221"/>
      <c r="FP182" s="1221"/>
      <c r="FQ182" s="1278">
        <f>FM182+FO182</f>
        <v>0</v>
      </c>
      <c r="FR182" s="1282">
        <f t="shared" si="1094"/>
        <v>0</v>
      </c>
      <c r="FS182" s="1223"/>
      <c r="FT182" s="1224"/>
      <c r="FU182" s="1218">
        <f t="shared" si="1020"/>
        <v>0</v>
      </c>
      <c r="FV182" s="1218">
        <f t="shared" si="1021"/>
        <v>0</v>
      </c>
      <c r="FW182" s="1224">
        <f t="shared" si="1061"/>
        <v>0</v>
      </c>
      <c r="FX182" s="1225">
        <f t="shared" si="1062"/>
        <v>0</v>
      </c>
      <c r="FY182" s="1262">
        <f t="shared" si="1050"/>
        <v>0</v>
      </c>
      <c r="FZ182" s="1462">
        <f t="shared" si="1051"/>
        <v>0</v>
      </c>
      <c r="GA182" s="1176">
        <f t="shared" si="871"/>
        <v>12047.3</v>
      </c>
      <c r="GB182" s="1177">
        <f t="shared" si="1063"/>
        <v>0</v>
      </c>
      <c r="GC182" s="1177">
        <f t="shared" si="1064"/>
        <v>0</v>
      </c>
      <c r="GD182" s="1177">
        <f t="shared" si="1065"/>
        <v>0</v>
      </c>
      <c r="GE182" s="1177">
        <f t="shared" si="1066"/>
        <v>12047.3</v>
      </c>
      <c r="GF182" s="1177">
        <f t="shared" si="1067"/>
        <v>0</v>
      </c>
      <c r="GG182" s="1178">
        <f t="shared" si="1068"/>
        <v>0</v>
      </c>
      <c r="GH182" s="1179">
        <f t="shared" si="1069"/>
        <v>0</v>
      </c>
      <c r="GI182" s="1180">
        <f t="shared" si="1070"/>
        <v>0</v>
      </c>
      <c r="GJ182" s="1180">
        <f t="shared" si="1071"/>
        <v>12047.3</v>
      </c>
      <c r="GK182" s="1180">
        <f t="shared" si="1072"/>
        <v>0</v>
      </c>
      <c r="GL182" s="1180">
        <f t="shared" si="1073"/>
        <v>12047.3</v>
      </c>
      <c r="GM182" s="1180">
        <f t="shared" si="1074"/>
        <v>0</v>
      </c>
      <c r="GN182" s="1181">
        <f t="shared" si="1075"/>
        <v>0</v>
      </c>
      <c r="GO182" s="1228">
        <f t="shared" si="1023"/>
        <v>0</v>
      </c>
      <c r="GP182" s="1328"/>
      <c r="GQ182" s="1218">
        <f>GR182</f>
        <v>105416.92</v>
      </c>
      <c r="GR182" s="1219">
        <f t="shared" si="1092"/>
        <v>105416.92</v>
      </c>
      <c r="GS182" s="1318">
        <f>12047.3*9</f>
        <v>108425.7</v>
      </c>
      <c r="GT182" s="1221">
        <f>10600+94816.92</f>
        <v>105416.92</v>
      </c>
      <c r="GU182" s="1221"/>
      <c r="GV182" s="1221"/>
      <c r="GW182" s="1278">
        <f t="shared" ref="GW182:GW190" si="1098">GS182+GU182</f>
        <v>108425.7</v>
      </c>
      <c r="GX182" s="1282">
        <f t="shared" si="1095"/>
        <v>105416.92</v>
      </c>
      <c r="GY182" s="1223"/>
      <c r="GZ182" s="1224"/>
      <c r="HA182" s="1218">
        <f t="shared" si="982"/>
        <v>108425.7</v>
      </c>
      <c r="HB182" s="1218">
        <f t="shared" si="983"/>
        <v>105416.92</v>
      </c>
      <c r="HC182" s="1224">
        <f t="shared" si="1040"/>
        <v>108425.7</v>
      </c>
      <c r="HD182" s="1225">
        <f t="shared" si="1041"/>
        <v>105416.92</v>
      </c>
      <c r="HE182" s="1690">
        <f t="shared" si="984"/>
        <v>105416.92</v>
      </c>
      <c r="HF182" s="1462">
        <f t="shared" si="985"/>
        <v>105416.92</v>
      </c>
      <c r="HG182" s="1176">
        <f t="shared" si="986"/>
        <v>120473</v>
      </c>
      <c r="HH182" s="1177">
        <f t="shared" si="987"/>
        <v>105416.92</v>
      </c>
      <c r="HI182" s="1177">
        <f t="shared" si="988"/>
        <v>0</v>
      </c>
      <c r="HJ182" s="1177">
        <f t="shared" si="989"/>
        <v>0</v>
      </c>
      <c r="HK182" s="1177">
        <f t="shared" si="990"/>
        <v>120473</v>
      </c>
      <c r="HL182" s="1177">
        <f t="shared" si="991"/>
        <v>105416.92</v>
      </c>
      <c r="HM182" s="1178">
        <f t="shared" si="1025"/>
        <v>1</v>
      </c>
      <c r="HN182" s="1179">
        <f t="shared" si="992"/>
        <v>0</v>
      </c>
      <c r="HO182" s="1180">
        <f t="shared" si="993"/>
        <v>0</v>
      </c>
      <c r="HP182" s="1180">
        <f t="shared" si="994"/>
        <v>120473</v>
      </c>
      <c r="HQ182" s="1180">
        <f t="shared" si="995"/>
        <v>105416.92</v>
      </c>
      <c r="HR182" s="1180">
        <f t="shared" si="996"/>
        <v>120473</v>
      </c>
      <c r="HS182" s="1180">
        <f t="shared" si="997"/>
        <v>105416.92</v>
      </c>
      <c r="HT182" s="1181">
        <f t="shared" si="1026"/>
        <v>1</v>
      </c>
      <c r="HU182" s="1228">
        <f t="shared" si="1027"/>
        <v>1</v>
      </c>
    </row>
    <row r="183" spans="1:229" s="1170" customFormat="1" ht="18" hidden="1" customHeight="1" outlineLevel="2" x14ac:dyDescent="0.2">
      <c r="A183" s="3673"/>
      <c r="B183" s="3672"/>
      <c r="C183" s="3698"/>
      <c r="D183" s="1167" t="s">
        <v>540</v>
      </c>
      <c r="E183" s="1202">
        <v>1</v>
      </c>
      <c r="F183" s="1203">
        <v>127</v>
      </c>
      <c r="G183" s="1204">
        <f t="shared" si="1028"/>
        <v>127</v>
      </c>
      <c r="H183" s="1205">
        <v>0</v>
      </c>
      <c r="I183" s="1206">
        <v>0</v>
      </c>
      <c r="J183" s="1206">
        <v>0</v>
      </c>
      <c r="K183" s="1207">
        <v>0</v>
      </c>
      <c r="L183" s="1206">
        <v>0</v>
      </c>
      <c r="M183" s="1206">
        <v>0</v>
      </c>
      <c r="N183" s="1208">
        <f t="shared" si="1093"/>
        <v>127</v>
      </c>
      <c r="O183" s="1359" t="s">
        <v>335</v>
      </c>
      <c r="P183" s="1360" t="s">
        <v>335</v>
      </c>
      <c r="Q183" s="1360" t="s">
        <v>335</v>
      </c>
      <c r="R183" s="1203"/>
      <c r="S183" s="1209"/>
      <c r="T183" s="1210">
        <f t="shared" si="1052"/>
        <v>0</v>
      </c>
      <c r="U183" s="1211">
        <v>0</v>
      </c>
      <c r="V183" s="1211">
        <v>0</v>
      </c>
      <c r="W183" s="1212">
        <v>0</v>
      </c>
      <c r="X183" s="1213">
        <v>0</v>
      </c>
      <c r="Y183" s="1213">
        <v>0</v>
      </c>
      <c r="Z183" s="1213">
        <v>0</v>
      </c>
      <c r="AA183" s="1177">
        <f t="shared" si="999"/>
        <v>0</v>
      </c>
      <c r="AB183" s="1214">
        <f t="shared" si="1000"/>
        <v>0</v>
      </c>
      <c r="AC183" s="1178" t="e">
        <f t="shared" si="1001"/>
        <v>#DIV/0!</v>
      </c>
      <c r="AD183" s="1211">
        <v>0</v>
      </c>
      <c r="AE183" s="1211">
        <v>0</v>
      </c>
      <c r="AF183" s="1211">
        <v>0</v>
      </c>
      <c r="AG183" s="1211">
        <v>0</v>
      </c>
      <c r="AH183" s="1215">
        <f t="shared" si="1002"/>
        <v>0</v>
      </c>
      <c r="AI183" s="1211">
        <f t="shared" si="1003"/>
        <v>0</v>
      </c>
      <c r="AJ183" s="1216" t="e">
        <f t="shared" si="1004"/>
        <v>#DIV/0!</v>
      </c>
      <c r="AK183" s="1217" t="e">
        <f t="shared" si="1005"/>
        <v>#DIV/0!</v>
      </c>
      <c r="AL183" s="1195">
        <v>0</v>
      </c>
      <c r="AM183" s="1218">
        <v>0</v>
      </c>
      <c r="AN183" s="1219">
        <v>0</v>
      </c>
      <c r="AO183" s="1220">
        <v>0</v>
      </c>
      <c r="AP183" s="1221">
        <v>0</v>
      </c>
      <c r="AQ183" s="1221">
        <v>0</v>
      </c>
      <c r="AR183" s="1221">
        <v>0</v>
      </c>
      <c r="AS183" s="1221">
        <f t="shared" si="1030"/>
        <v>0</v>
      </c>
      <c r="AT183" s="1282">
        <f t="shared" si="1031"/>
        <v>0</v>
      </c>
      <c r="AU183" s="1245">
        <v>0</v>
      </c>
      <c r="AV183" s="1224">
        <v>0</v>
      </c>
      <c r="AW183" s="1218">
        <v>0</v>
      </c>
      <c r="AX183" s="1218">
        <v>0</v>
      </c>
      <c r="AY183" s="1224">
        <f>AU183+AW183</f>
        <v>0</v>
      </c>
      <c r="AZ183" s="1225">
        <f>AX183+AV183</f>
        <v>0</v>
      </c>
      <c r="BA183" s="1175">
        <v>0</v>
      </c>
      <c r="BB183" s="1226">
        <v>0</v>
      </c>
      <c r="BC183" s="1176">
        <v>0</v>
      </c>
      <c r="BD183" s="1177">
        <v>0</v>
      </c>
      <c r="BE183" s="1177">
        <v>0</v>
      </c>
      <c r="BF183" s="1177">
        <v>0</v>
      </c>
      <c r="BG183" s="1177">
        <f t="shared" si="931"/>
        <v>0</v>
      </c>
      <c r="BH183" s="1177">
        <f>AB183+AT183</f>
        <v>0</v>
      </c>
      <c r="BI183" s="1178" t="e">
        <f>BH183/R183</f>
        <v>#DIV/0!</v>
      </c>
      <c r="BJ183" s="1175">
        <v>0</v>
      </c>
      <c r="BK183" s="1180">
        <v>0</v>
      </c>
      <c r="BL183" s="1180">
        <v>0</v>
      </c>
      <c r="BM183" s="1180">
        <v>0</v>
      </c>
      <c r="BN183" s="1180">
        <f>AH183+AY183</f>
        <v>0</v>
      </c>
      <c r="BO183" s="1180">
        <f>AI183+AZ183</f>
        <v>0</v>
      </c>
      <c r="BP183" s="1227" t="e">
        <f>BO183/S183</f>
        <v>#DIV/0!</v>
      </c>
      <c r="BQ183" s="1228" t="e">
        <f>BA183/T183</f>
        <v>#DIV/0!</v>
      </c>
      <c r="BR183" s="1283">
        <v>0</v>
      </c>
      <c r="BS183" s="1218">
        <v>0</v>
      </c>
      <c r="BT183" s="1219">
        <v>0</v>
      </c>
      <c r="BU183" s="1284">
        <v>0</v>
      </c>
      <c r="BV183" s="1221">
        <v>0</v>
      </c>
      <c r="BW183" s="1221">
        <v>0</v>
      </c>
      <c r="BX183" s="1221">
        <v>0</v>
      </c>
      <c r="BY183" s="1221">
        <f>BU183+BW183</f>
        <v>0</v>
      </c>
      <c r="BZ183" s="1282">
        <f>BX183+BV183</f>
        <v>0</v>
      </c>
      <c r="CA183" s="1223">
        <v>0</v>
      </c>
      <c r="CB183" s="1224">
        <v>0</v>
      </c>
      <c r="CC183" s="1218">
        <v>0</v>
      </c>
      <c r="CD183" s="1218">
        <v>0</v>
      </c>
      <c r="CE183" s="1224">
        <f>CA183+CC183</f>
        <v>0</v>
      </c>
      <c r="CF183" s="1225">
        <f>CD183+CB183</f>
        <v>0</v>
      </c>
      <c r="CG183" s="1263">
        <v>0</v>
      </c>
      <c r="CH183" s="1259">
        <v>0</v>
      </c>
      <c r="CI183" s="1212">
        <v>0</v>
      </c>
      <c r="CJ183" s="1174">
        <v>0</v>
      </c>
      <c r="CK183" s="1174">
        <v>0</v>
      </c>
      <c r="CL183" s="1174">
        <v>0</v>
      </c>
      <c r="CM183" s="1174">
        <f>BG183+BY183</f>
        <v>0</v>
      </c>
      <c r="CN183" s="1174">
        <f>BH183+BZ183</f>
        <v>0</v>
      </c>
      <c r="CO183" s="1260" t="e">
        <f>CN183/R183</f>
        <v>#DIV/0!</v>
      </c>
      <c r="CP183" s="1264">
        <v>0</v>
      </c>
      <c r="CQ183" s="1173">
        <v>0</v>
      </c>
      <c r="CR183" s="1173">
        <v>0</v>
      </c>
      <c r="CS183" s="1173">
        <v>0</v>
      </c>
      <c r="CT183" s="1173">
        <f>BN183+CE183</f>
        <v>0</v>
      </c>
      <c r="CU183" s="1173">
        <f>BO183+CF183</f>
        <v>0</v>
      </c>
      <c r="CV183" s="1265" t="e">
        <f t="shared" si="822"/>
        <v>#DIV/0!</v>
      </c>
      <c r="CW183" s="1261" t="e">
        <f>CG183/T183</f>
        <v>#DIV/0!</v>
      </c>
      <c r="CX183" s="1317">
        <v>0</v>
      </c>
      <c r="CY183" s="1218">
        <v>0</v>
      </c>
      <c r="CZ183" s="1219">
        <v>0</v>
      </c>
      <c r="DA183" s="1284">
        <v>0</v>
      </c>
      <c r="DB183" s="1221">
        <v>0</v>
      </c>
      <c r="DC183" s="1221">
        <v>0</v>
      </c>
      <c r="DD183" s="1221">
        <v>0</v>
      </c>
      <c r="DE183" s="1221">
        <f>DA183+DC183</f>
        <v>0</v>
      </c>
      <c r="DF183" s="1282">
        <f>DD183+DB183</f>
        <v>0</v>
      </c>
      <c r="DG183" s="1223">
        <v>0</v>
      </c>
      <c r="DH183" s="1224">
        <v>0</v>
      </c>
      <c r="DI183" s="1218">
        <v>0</v>
      </c>
      <c r="DJ183" s="1218">
        <v>0</v>
      </c>
      <c r="DK183" s="1224">
        <f t="shared" si="966"/>
        <v>0</v>
      </c>
      <c r="DL183" s="1225">
        <f t="shared" si="1039"/>
        <v>0</v>
      </c>
      <c r="DM183" s="1263">
        <v>0</v>
      </c>
      <c r="DN183" s="1259">
        <v>0</v>
      </c>
      <c r="DO183" s="1212">
        <v>0</v>
      </c>
      <c r="DP183" s="1174">
        <v>0</v>
      </c>
      <c r="DQ183" s="1174">
        <v>0</v>
      </c>
      <c r="DR183" s="1174">
        <v>0</v>
      </c>
      <c r="DS183" s="1174">
        <f>CM183+DE183</f>
        <v>0</v>
      </c>
      <c r="DT183" s="1174">
        <f>CN183+DF183</f>
        <v>0</v>
      </c>
      <c r="DU183" s="1260" t="e">
        <f>DT183/R183</f>
        <v>#DIV/0!</v>
      </c>
      <c r="DV183" s="1264">
        <v>0</v>
      </c>
      <c r="DW183" s="1173">
        <v>0</v>
      </c>
      <c r="DX183" s="1173">
        <v>0</v>
      </c>
      <c r="DY183" s="1173">
        <v>0</v>
      </c>
      <c r="DZ183" s="1173">
        <f>CT183+DK183</f>
        <v>0</v>
      </c>
      <c r="EA183" s="1173">
        <f>CU183+DL183</f>
        <v>0</v>
      </c>
      <c r="EB183" s="1265" t="e">
        <f>EA183/S183</f>
        <v>#DIV/0!</v>
      </c>
      <c r="EC183" s="1487" t="e">
        <f>DM183/T183</f>
        <v>#DIV/0!</v>
      </c>
      <c r="ED183" s="1328">
        <v>0</v>
      </c>
      <c r="EE183" s="1218">
        <v>0</v>
      </c>
      <c r="EF183" s="1219">
        <v>0</v>
      </c>
      <c r="EG183" s="1318">
        <v>0</v>
      </c>
      <c r="EH183" s="1221">
        <v>0</v>
      </c>
      <c r="EI183" s="1221">
        <v>0</v>
      </c>
      <c r="EJ183" s="1221">
        <v>0</v>
      </c>
      <c r="EK183" s="1278">
        <f t="shared" si="1014"/>
        <v>0</v>
      </c>
      <c r="EL183" s="1282">
        <f t="shared" si="1089"/>
        <v>0</v>
      </c>
      <c r="EM183" s="1223">
        <v>0</v>
      </c>
      <c r="EN183" s="1224">
        <v>0</v>
      </c>
      <c r="EO183" s="1218">
        <f t="shared" si="1015"/>
        <v>0</v>
      </c>
      <c r="EP183" s="1218">
        <v>0</v>
      </c>
      <c r="EQ183" s="1224">
        <f t="shared" si="1053"/>
        <v>0</v>
      </c>
      <c r="ER183" s="1225">
        <f t="shared" si="1054"/>
        <v>0</v>
      </c>
      <c r="ES183" s="1263">
        <f>DM183+EE183</f>
        <v>0</v>
      </c>
      <c r="ET183" s="1461">
        <f>DN183+EF183</f>
        <v>0</v>
      </c>
      <c r="EU183" s="1176">
        <f t="shared" si="1096"/>
        <v>0</v>
      </c>
      <c r="EV183" s="1177">
        <f t="shared" si="1096"/>
        <v>0</v>
      </c>
      <c r="EW183" s="1177">
        <f t="shared" si="1096"/>
        <v>0</v>
      </c>
      <c r="EX183" s="1177">
        <f t="shared" si="1096"/>
        <v>0</v>
      </c>
      <c r="EY183" s="1177">
        <f t="shared" si="1096"/>
        <v>0</v>
      </c>
      <c r="EZ183" s="1177">
        <f t="shared" si="1096"/>
        <v>0</v>
      </c>
      <c r="FA183" s="1178" t="e">
        <f>EZ183/R183</f>
        <v>#DIV/0!</v>
      </c>
      <c r="FB183" s="1179">
        <f t="shared" si="1097"/>
        <v>0</v>
      </c>
      <c r="FC183" s="1180">
        <f t="shared" si="1097"/>
        <v>0</v>
      </c>
      <c r="FD183" s="1180">
        <f t="shared" si="1097"/>
        <v>0</v>
      </c>
      <c r="FE183" s="1180">
        <f t="shared" si="1097"/>
        <v>0</v>
      </c>
      <c r="FF183" s="1180">
        <f t="shared" si="1097"/>
        <v>0</v>
      </c>
      <c r="FG183" s="1180">
        <f t="shared" si="1097"/>
        <v>0</v>
      </c>
      <c r="FH183" s="1181" t="e">
        <f>FG183/S183</f>
        <v>#DIV/0!</v>
      </c>
      <c r="FI183" s="1261" t="e">
        <f>ES183/T183</f>
        <v>#DIV/0!</v>
      </c>
      <c r="FJ183" s="1328">
        <v>0</v>
      </c>
      <c r="FK183" s="1218">
        <v>0</v>
      </c>
      <c r="FL183" s="1219">
        <f t="shared" si="1018"/>
        <v>0</v>
      </c>
      <c r="FM183" s="1318">
        <v>0</v>
      </c>
      <c r="FN183" s="1221">
        <v>0</v>
      </c>
      <c r="FO183" s="1221">
        <v>0</v>
      </c>
      <c r="FP183" s="1221">
        <v>0</v>
      </c>
      <c r="FQ183" s="1278">
        <f>FM183+FO183</f>
        <v>0</v>
      </c>
      <c r="FR183" s="1282">
        <f t="shared" si="1094"/>
        <v>0</v>
      </c>
      <c r="FS183" s="1223">
        <v>0</v>
      </c>
      <c r="FT183" s="1224">
        <v>0</v>
      </c>
      <c r="FU183" s="1218">
        <v>0</v>
      </c>
      <c r="FV183" s="1218">
        <v>0</v>
      </c>
      <c r="FW183" s="1224">
        <f>FS183+FU183</f>
        <v>0</v>
      </c>
      <c r="FX183" s="1225">
        <f>FV183+FT183</f>
        <v>0</v>
      </c>
      <c r="FY183" s="1262">
        <f>ES183+FK183</f>
        <v>0</v>
      </c>
      <c r="FZ183" s="1462">
        <f>ET183+FL183</f>
        <v>0</v>
      </c>
      <c r="GA183" s="1176">
        <f t="shared" ref="GA183:GF183" si="1099">FM183+EU183</f>
        <v>0</v>
      </c>
      <c r="GB183" s="1177">
        <f t="shared" si="1099"/>
        <v>0</v>
      </c>
      <c r="GC183" s="1177">
        <f t="shared" si="1099"/>
        <v>0</v>
      </c>
      <c r="GD183" s="1177">
        <f t="shared" si="1099"/>
        <v>0</v>
      </c>
      <c r="GE183" s="1177">
        <f t="shared" si="1099"/>
        <v>0</v>
      </c>
      <c r="GF183" s="1177">
        <f t="shared" si="1099"/>
        <v>0</v>
      </c>
      <c r="GG183" s="1178" t="e">
        <f>GF183/R183</f>
        <v>#DIV/0!</v>
      </c>
      <c r="GH183" s="1179">
        <f t="shared" ref="GH183:GM183" si="1100">FB183+FS183</f>
        <v>0</v>
      </c>
      <c r="GI183" s="1180">
        <f t="shared" si="1100"/>
        <v>0</v>
      </c>
      <c r="GJ183" s="1180">
        <f t="shared" si="1100"/>
        <v>0</v>
      </c>
      <c r="GK183" s="1180">
        <f t="shared" si="1100"/>
        <v>0</v>
      </c>
      <c r="GL183" s="1180">
        <f t="shared" si="1100"/>
        <v>0</v>
      </c>
      <c r="GM183" s="1180">
        <f t="shared" si="1100"/>
        <v>0</v>
      </c>
      <c r="GN183" s="1181" t="e">
        <f>GM183/S183</f>
        <v>#DIV/0!</v>
      </c>
      <c r="GO183" s="1228" t="e">
        <f>FY183/T183</f>
        <v>#DIV/0!</v>
      </c>
      <c r="GP183" s="1328">
        <v>0</v>
      </c>
      <c r="GQ183" s="1218">
        <v>0</v>
      </c>
      <c r="GR183" s="1219">
        <f t="shared" si="1092"/>
        <v>0</v>
      </c>
      <c r="GS183" s="1318"/>
      <c r="GT183" s="1221"/>
      <c r="GU183" s="1221"/>
      <c r="GV183" s="1221"/>
      <c r="GW183" s="1278">
        <f t="shared" si="1098"/>
        <v>0</v>
      </c>
      <c r="GX183" s="1282">
        <f t="shared" si="1095"/>
        <v>0</v>
      </c>
      <c r="GY183" s="1223"/>
      <c r="GZ183" s="1224"/>
      <c r="HA183" s="1218">
        <v>0</v>
      </c>
      <c r="HB183" s="1218">
        <v>0</v>
      </c>
      <c r="HC183" s="1224">
        <f t="shared" si="1040"/>
        <v>0</v>
      </c>
      <c r="HD183" s="1225">
        <f t="shared" si="1041"/>
        <v>0</v>
      </c>
      <c r="HE183" s="1690">
        <f t="shared" si="984"/>
        <v>0</v>
      </c>
      <c r="HF183" s="1462">
        <f t="shared" si="985"/>
        <v>0</v>
      </c>
      <c r="HG183" s="1176">
        <f t="shared" si="986"/>
        <v>0</v>
      </c>
      <c r="HH183" s="1177">
        <f t="shared" si="987"/>
        <v>0</v>
      </c>
      <c r="HI183" s="1177">
        <f t="shared" si="988"/>
        <v>0</v>
      </c>
      <c r="HJ183" s="1177">
        <f t="shared" si="989"/>
        <v>0</v>
      </c>
      <c r="HK183" s="1177">
        <f t="shared" si="990"/>
        <v>0</v>
      </c>
      <c r="HL183" s="1177">
        <f t="shared" si="991"/>
        <v>0</v>
      </c>
      <c r="HM183" s="1178" t="e">
        <f t="shared" si="1025"/>
        <v>#DIV/0!</v>
      </c>
      <c r="HN183" s="1179">
        <f t="shared" si="992"/>
        <v>0</v>
      </c>
      <c r="HO183" s="1180">
        <f t="shared" si="993"/>
        <v>0</v>
      </c>
      <c r="HP183" s="1180">
        <f t="shared" si="994"/>
        <v>0</v>
      </c>
      <c r="HQ183" s="1180">
        <f t="shared" si="995"/>
        <v>0</v>
      </c>
      <c r="HR183" s="1180">
        <f t="shared" si="996"/>
        <v>0</v>
      </c>
      <c r="HS183" s="1180">
        <f t="shared" si="997"/>
        <v>0</v>
      </c>
      <c r="HT183" s="1181" t="e">
        <f t="shared" si="1026"/>
        <v>#DIV/0!</v>
      </c>
      <c r="HU183" s="1228" t="e">
        <f t="shared" si="1027"/>
        <v>#DIV/0!</v>
      </c>
    </row>
    <row r="184" spans="1:229" s="1170" customFormat="1" ht="18" hidden="1" customHeight="1" outlineLevel="2" x14ac:dyDescent="0.2">
      <c r="A184" s="3673"/>
      <c r="B184" s="3672"/>
      <c r="C184" s="3698"/>
      <c r="D184" s="1167" t="s">
        <v>505</v>
      </c>
      <c r="E184" s="1202">
        <v>1</v>
      </c>
      <c r="F184" s="1203">
        <v>147.93</v>
      </c>
      <c r="G184" s="1204">
        <f t="shared" si="1028"/>
        <v>147.93</v>
      </c>
      <c r="H184" s="1205">
        <v>0</v>
      </c>
      <c r="I184" s="1206">
        <v>0</v>
      </c>
      <c r="J184" s="1206">
        <v>0</v>
      </c>
      <c r="K184" s="1207">
        <v>0</v>
      </c>
      <c r="L184" s="1206">
        <v>0</v>
      </c>
      <c r="M184" s="1206">
        <v>0</v>
      </c>
      <c r="N184" s="1208">
        <f t="shared" si="1093"/>
        <v>147.93</v>
      </c>
      <c r="O184" s="1359" t="s">
        <v>335</v>
      </c>
      <c r="P184" s="1360" t="s">
        <v>335</v>
      </c>
      <c r="Q184" s="1360" t="s">
        <v>335</v>
      </c>
      <c r="R184" s="1203">
        <v>89600.7</v>
      </c>
      <c r="S184" s="1209">
        <f>R184</f>
        <v>89600.7</v>
      </c>
      <c r="T184" s="1210">
        <f t="shared" si="1052"/>
        <v>89600.7</v>
      </c>
      <c r="U184" s="1211">
        <v>0</v>
      </c>
      <c r="V184" s="1211">
        <v>0</v>
      </c>
      <c r="W184" s="1212">
        <v>0</v>
      </c>
      <c r="X184" s="1213">
        <v>0</v>
      </c>
      <c r="Y184" s="1213">
        <v>0</v>
      </c>
      <c r="Z184" s="1213">
        <v>0</v>
      </c>
      <c r="AA184" s="1177">
        <f>W184+Y184</f>
        <v>0</v>
      </c>
      <c r="AB184" s="1214">
        <f>X184+Z184</f>
        <v>0</v>
      </c>
      <c r="AC184" s="1178">
        <f>AB184/R184</f>
        <v>0</v>
      </c>
      <c r="AD184" s="1211">
        <v>0</v>
      </c>
      <c r="AE184" s="1211">
        <v>0</v>
      </c>
      <c r="AF184" s="1211">
        <v>0</v>
      </c>
      <c r="AG184" s="1211">
        <v>0</v>
      </c>
      <c r="AH184" s="1215">
        <f t="shared" si="1002"/>
        <v>0</v>
      </c>
      <c r="AI184" s="1211">
        <f t="shared" si="1003"/>
        <v>0</v>
      </c>
      <c r="AJ184" s="1216">
        <f t="shared" si="1004"/>
        <v>0</v>
      </c>
      <c r="AK184" s="1217">
        <f t="shared" si="1005"/>
        <v>0</v>
      </c>
      <c r="AL184" s="1195">
        <v>0</v>
      </c>
      <c r="AM184" s="1218">
        <v>0</v>
      </c>
      <c r="AN184" s="1219">
        <v>0</v>
      </c>
      <c r="AO184" s="1220">
        <v>0</v>
      </c>
      <c r="AP184" s="1221">
        <v>0</v>
      </c>
      <c r="AQ184" s="1221">
        <v>0</v>
      </c>
      <c r="AR184" s="1221">
        <v>0</v>
      </c>
      <c r="AS184" s="1221">
        <f t="shared" si="1030"/>
        <v>0</v>
      </c>
      <c r="AT184" s="1282">
        <f t="shared" si="1031"/>
        <v>0</v>
      </c>
      <c r="AU184" s="1245">
        <v>0</v>
      </c>
      <c r="AV184" s="1224">
        <v>0</v>
      </c>
      <c r="AW184" s="1218">
        <f t="shared" si="1007"/>
        <v>0</v>
      </c>
      <c r="AX184" s="1218">
        <v>0</v>
      </c>
      <c r="AY184" s="1224">
        <f t="shared" si="949"/>
        <v>0</v>
      </c>
      <c r="AZ184" s="1225">
        <f t="shared" si="1032"/>
        <v>0</v>
      </c>
      <c r="BA184" s="1175">
        <f t="shared" ref="BA184:BG184" si="1101">U184+AM184</f>
        <v>0</v>
      </c>
      <c r="BB184" s="1226">
        <f t="shared" si="1101"/>
        <v>0</v>
      </c>
      <c r="BC184" s="1176">
        <f t="shared" si="1101"/>
        <v>0</v>
      </c>
      <c r="BD184" s="1177">
        <f t="shared" si="1101"/>
        <v>0</v>
      </c>
      <c r="BE184" s="1177">
        <f t="shared" si="1101"/>
        <v>0</v>
      </c>
      <c r="BF184" s="1177">
        <f t="shared" si="1101"/>
        <v>0</v>
      </c>
      <c r="BG184" s="1177">
        <f t="shared" si="1101"/>
        <v>0</v>
      </c>
      <c r="BH184" s="1177">
        <f t="shared" si="932"/>
        <v>0</v>
      </c>
      <c r="BI184" s="1178">
        <f t="shared" si="933"/>
        <v>0</v>
      </c>
      <c r="BJ184" s="1175">
        <f t="shared" ref="BJ184:BK190" si="1102">AD184+AU184</f>
        <v>0</v>
      </c>
      <c r="BK184" s="1180">
        <f t="shared" si="1102"/>
        <v>0</v>
      </c>
      <c r="BL184" s="1180">
        <f t="shared" si="1082"/>
        <v>0</v>
      </c>
      <c r="BM184" s="1180">
        <f t="shared" si="1082"/>
        <v>0</v>
      </c>
      <c r="BN184" s="1180">
        <f t="shared" si="1082"/>
        <v>0</v>
      </c>
      <c r="BO184" s="1180">
        <f>AI184+AZ184</f>
        <v>0</v>
      </c>
      <c r="BP184" s="1227">
        <f t="shared" si="936"/>
        <v>0</v>
      </c>
      <c r="BQ184" s="1228">
        <f t="shared" si="1084"/>
        <v>0</v>
      </c>
      <c r="BR184" s="1283">
        <v>0</v>
      </c>
      <c r="BS184" s="1218">
        <v>0</v>
      </c>
      <c r="BT184" s="1219">
        <v>0</v>
      </c>
      <c r="BU184" s="1284">
        <v>0</v>
      </c>
      <c r="BV184" s="1221">
        <v>0</v>
      </c>
      <c r="BW184" s="1221">
        <v>0</v>
      </c>
      <c r="BX184" s="1221">
        <v>0</v>
      </c>
      <c r="BY184" s="1221">
        <f t="shared" si="1034"/>
        <v>0</v>
      </c>
      <c r="BZ184" s="1282">
        <f t="shared" si="1035"/>
        <v>0</v>
      </c>
      <c r="CA184" s="1223">
        <v>0</v>
      </c>
      <c r="CB184" s="1224">
        <v>0</v>
      </c>
      <c r="CC184" s="1218">
        <f t="shared" si="1008"/>
        <v>0</v>
      </c>
      <c r="CD184" s="1218">
        <v>0</v>
      </c>
      <c r="CE184" s="1224">
        <f t="shared" si="951"/>
        <v>0</v>
      </c>
      <c r="CF184" s="1225">
        <f t="shared" si="1036"/>
        <v>0</v>
      </c>
      <c r="CG184" s="1263">
        <f t="shared" ref="CG184:CN184" si="1103">BA184+BS184</f>
        <v>0</v>
      </c>
      <c r="CH184" s="1259">
        <f t="shared" si="1103"/>
        <v>0</v>
      </c>
      <c r="CI184" s="1212">
        <f t="shared" si="1103"/>
        <v>0</v>
      </c>
      <c r="CJ184" s="1174">
        <f t="shared" si="1103"/>
        <v>0</v>
      </c>
      <c r="CK184" s="1174">
        <f t="shared" si="1103"/>
        <v>0</v>
      </c>
      <c r="CL184" s="1174">
        <f t="shared" si="1103"/>
        <v>0</v>
      </c>
      <c r="CM184" s="1174">
        <f t="shared" si="1103"/>
        <v>0</v>
      </c>
      <c r="CN184" s="1174">
        <f t="shared" si="1103"/>
        <v>0</v>
      </c>
      <c r="CO184" s="1260">
        <f t="shared" si="1086"/>
        <v>0</v>
      </c>
      <c r="CP184" s="1264">
        <f t="shared" ref="CP184:CU184" si="1104">BJ184+CA184</f>
        <v>0</v>
      </c>
      <c r="CQ184" s="1173">
        <f t="shared" si="1104"/>
        <v>0</v>
      </c>
      <c r="CR184" s="1173">
        <f t="shared" si="1104"/>
        <v>0</v>
      </c>
      <c r="CS184" s="1173">
        <f t="shared" si="1104"/>
        <v>0</v>
      </c>
      <c r="CT184" s="1173">
        <f t="shared" si="1104"/>
        <v>0</v>
      </c>
      <c r="CU184" s="1173">
        <f t="shared" si="1104"/>
        <v>0</v>
      </c>
      <c r="CV184" s="1265">
        <f t="shared" si="822"/>
        <v>0</v>
      </c>
      <c r="CW184" s="1261">
        <f>CG184/T184</f>
        <v>0</v>
      </c>
      <c r="CX184" s="1317">
        <v>0</v>
      </c>
      <c r="CY184" s="1218">
        <v>0</v>
      </c>
      <c r="CZ184" s="1219">
        <v>0</v>
      </c>
      <c r="DA184" s="1284">
        <v>0</v>
      </c>
      <c r="DB184" s="1221">
        <v>0</v>
      </c>
      <c r="DC184" s="1221">
        <v>0</v>
      </c>
      <c r="DD184" s="1221">
        <v>0</v>
      </c>
      <c r="DE184" s="1221">
        <f t="shared" si="1037"/>
        <v>0</v>
      </c>
      <c r="DF184" s="1282">
        <f t="shared" si="1038"/>
        <v>0</v>
      </c>
      <c r="DG184" s="1223"/>
      <c r="DH184" s="1224">
        <v>0</v>
      </c>
      <c r="DI184" s="1218">
        <f t="shared" si="1010"/>
        <v>0</v>
      </c>
      <c r="DJ184" s="1218">
        <v>0</v>
      </c>
      <c r="DK184" s="1224">
        <f t="shared" si="966"/>
        <v>0</v>
      </c>
      <c r="DL184" s="1225">
        <f t="shared" si="1039"/>
        <v>0</v>
      </c>
      <c r="DM184" s="1263">
        <f t="shared" ref="DM184:DT184" si="1105">CG184+CY184</f>
        <v>0</v>
      </c>
      <c r="DN184" s="1259">
        <f t="shared" si="1105"/>
        <v>0</v>
      </c>
      <c r="DO184" s="1212">
        <f t="shared" si="1105"/>
        <v>0</v>
      </c>
      <c r="DP184" s="1174">
        <f t="shared" si="1105"/>
        <v>0</v>
      </c>
      <c r="DQ184" s="1174">
        <f t="shared" si="1105"/>
        <v>0</v>
      </c>
      <c r="DR184" s="1174">
        <f t="shared" si="1105"/>
        <v>0</v>
      </c>
      <c r="DS184" s="1174">
        <f t="shared" si="1105"/>
        <v>0</v>
      </c>
      <c r="DT184" s="1174">
        <f t="shared" si="1105"/>
        <v>0</v>
      </c>
      <c r="DU184" s="1260">
        <f>DT184/R184</f>
        <v>0</v>
      </c>
      <c r="DV184" s="1264">
        <f t="shared" ref="DV184:EA184" si="1106">CP184+DG184</f>
        <v>0</v>
      </c>
      <c r="DW184" s="1173">
        <f t="shared" si="1106"/>
        <v>0</v>
      </c>
      <c r="DX184" s="1173">
        <f t="shared" si="1106"/>
        <v>0</v>
      </c>
      <c r="DY184" s="1173">
        <f t="shared" si="1106"/>
        <v>0</v>
      </c>
      <c r="DZ184" s="1173">
        <f t="shared" si="1106"/>
        <v>0</v>
      </c>
      <c r="EA184" s="1173">
        <f t="shared" si="1106"/>
        <v>0</v>
      </c>
      <c r="EB184" s="1265">
        <f>EA184/S184</f>
        <v>0</v>
      </c>
      <c r="EC184" s="1487">
        <f>DM184/T184</f>
        <v>0</v>
      </c>
      <c r="ED184" s="1328">
        <v>12047.3</v>
      </c>
      <c r="EE184" s="1218"/>
      <c r="EF184" s="1219"/>
      <c r="EG184" s="1318">
        <v>12047.3</v>
      </c>
      <c r="EH184" s="1221"/>
      <c r="EI184" s="1221"/>
      <c r="EJ184" s="1221"/>
      <c r="EK184" s="1278">
        <f t="shared" si="1014"/>
        <v>12047.3</v>
      </c>
      <c r="EL184" s="1282">
        <f t="shared" si="1089"/>
        <v>0</v>
      </c>
      <c r="EM184" s="1223"/>
      <c r="EN184" s="1224"/>
      <c r="EO184" s="1218">
        <f t="shared" si="1015"/>
        <v>12047.3</v>
      </c>
      <c r="EP184" s="1218">
        <f t="shared" si="1016"/>
        <v>0</v>
      </c>
      <c r="EQ184" s="1224">
        <f t="shared" si="1053"/>
        <v>12047.3</v>
      </c>
      <c r="ER184" s="1225">
        <f t="shared" si="1054"/>
        <v>0</v>
      </c>
      <c r="ES184" s="1263">
        <f t="shared" si="1090"/>
        <v>0</v>
      </c>
      <c r="ET184" s="1461">
        <f t="shared" si="1091"/>
        <v>0</v>
      </c>
      <c r="EU184" s="1176">
        <f t="shared" si="868"/>
        <v>12047.3</v>
      </c>
      <c r="EV184" s="1177">
        <f t="shared" si="1055"/>
        <v>0</v>
      </c>
      <c r="EW184" s="1177">
        <f t="shared" si="1056"/>
        <v>0</v>
      </c>
      <c r="EX184" s="1177">
        <f t="shared" si="1057"/>
        <v>0</v>
      </c>
      <c r="EY184" s="1177">
        <f t="shared" si="1058"/>
        <v>12047.3</v>
      </c>
      <c r="EZ184" s="1177">
        <f t="shared" si="1059"/>
        <v>0</v>
      </c>
      <c r="FA184" s="1178">
        <f t="shared" si="1060"/>
        <v>0</v>
      </c>
      <c r="FB184" s="1179">
        <f t="shared" si="1043"/>
        <v>0</v>
      </c>
      <c r="FC184" s="1180">
        <f t="shared" si="1044"/>
        <v>0</v>
      </c>
      <c r="FD184" s="1180">
        <f t="shared" si="1045"/>
        <v>12047.3</v>
      </c>
      <c r="FE184" s="1180">
        <f t="shared" si="1046"/>
        <v>0</v>
      </c>
      <c r="FF184" s="1180">
        <f t="shared" si="1047"/>
        <v>12047.3</v>
      </c>
      <c r="FG184" s="1180">
        <f t="shared" si="1048"/>
        <v>0</v>
      </c>
      <c r="FH184" s="1181">
        <f t="shared" si="1049"/>
        <v>0</v>
      </c>
      <c r="FI184" s="1261">
        <f t="shared" si="1017"/>
        <v>0</v>
      </c>
      <c r="FJ184" s="1328"/>
      <c r="FK184" s="1218"/>
      <c r="FL184" s="1219">
        <f t="shared" si="1018"/>
        <v>0</v>
      </c>
      <c r="FM184" s="1318"/>
      <c r="FN184" s="1221"/>
      <c r="FO184" s="1221"/>
      <c r="FP184" s="1221"/>
      <c r="FQ184" s="1278">
        <f t="shared" si="1019"/>
        <v>0</v>
      </c>
      <c r="FR184" s="1282">
        <f t="shared" si="1094"/>
        <v>0</v>
      </c>
      <c r="FS184" s="1223"/>
      <c r="FT184" s="1224"/>
      <c r="FU184" s="1218">
        <f t="shared" si="1020"/>
        <v>0</v>
      </c>
      <c r="FV184" s="1218">
        <f t="shared" si="1021"/>
        <v>0</v>
      </c>
      <c r="FW184" s="1224">
        <f t="shared" si="1061"/>
        <v>0</v>
      </c>
      <c r="FX184" s="1225">
        <f t="shared" si="1062"/>
        <v>0</v>
      </c>
      <c r="FY184" s="1262">
        <f t="shared" si="1050"/>
        <v>0</v>
      </c>
      <c r="FZ184" s="1462">
        <f t="shared" si="1051"/>
        <v>0</v>
      </c>
      <c r="GA184" s="1176">
        <f t="shared" si="871"/>
        <v>12047.3</v>
      </c>
      <c r="GB184" s="1177">
        <f t="shared" si="1063"/>
        <v>0</v>
      </c>
      <c r="GC184" s="1177">
        <f t="shared" si="1064"/>
        <v>0</v>
      </c>
      <c r="GD184" s="1177">
        <f t="shared" si="1065"/>
        <v>0</v>
      </c>
      <c r="GE184" s="1177">
        <f t="shared" si="1066"/>
        <v>12047.3</v>
      </c>
      <c r="GF184" s="1177">
        <f t="shared" si="1067"/>
        <v>0</v>
      </c>
      <c r="GG184" s="1178">
        <f t="shared" si="1068"/>
        <v>0</v>
      </c>
      <c r="GH184" s="1179">
        <f t="shared" si="1069"/>
        <v>0</v>
      </c>
      <c r="GI184" s="1180">
        <f t="shared" si="1070"/>
        <v>0</v>
      </c>
      <c r="GJ184" s="1180">
        <f t="shared" si="1071"/>
        <v>12047.3</v>
      </c>
      <c r="GK184" s="1180">
        <f t="shared" si="1072"/>
        <v>0</v>
      </c>
      <c r="GL184" s="1180">
        <f t="shared" si="1073"/>
        <v>12047.3</v>
      </c>
      <c r="GM184" s="1180">
        <f t="shared" si="1074"/>
        <v>0</v>
      </c>
      <c r="GN184" s="1181">
        <f t="shared" si="1075"/>
        <v>0</v>
      </c>
      <c r="GO184" s="1228">
        <f t="shared" si="1023"/>
        <v>0</v>
      </c>
      <c r="GP184" s="1328"/>
      <c r="GQ184" s="1218"/>
      <c r="GR184" s="1219">
        <f t="shared" si="1092"/>
        <v>0</v>
      </c>
      <c r="GS184" s="1318"/>
      <c r="GT184" s="1221"/>
      <c r="GU184" s="1221"/>
      <c r="GV184" s="1221"/>
      <c r="GW184" s="1278">
        <f t="shared" si="1098"/>
        <v>0</v>
      </c>
      <c r="GX184" s="1282">
        <f t="shared" si="1095"/>
        <v>0</v>
      </c>
      <c r="GY184" s="1223"/>
      <c r="GZ184" s="1224"/>
      <c r="HA184" s="1218">
        <f t="shared" ref="HA184:HB190" si="1107">GS184</f>
        <v>0</v>
      </c>
      <c r="HB184" s="1218">
        <f t="shared" si="1107"/>
        <v>0</v>
      </c>
      <c r="HC184" s="1224">
        <f t="shared" ref="HC184:HC190" si="1108">GY184+HA184</f>
        <v>0</v>
      </c>
      <c r="HD184" s="1225">
        <f t="shared" ref="HD184:HD190" si="1109">HB184+GZ184</f>
        <v>0</v>
      </c>
      <c r="HE184" s="1690">
        <f t="shared" ref="HE184:HE190" si="1110">FY184+GQ184</f>
        <v>0</v>
      </c>
      <c r="HF184" s="1462">
        <f t="shared" ref="HF184:HF190" si="1111">FZ184+GR184</f>
        <v>0</v>
      </c>
      <c r="HG184" s="1176">
        <f t="shared" si="986"/>
        <v>12047.3</v>
      </c>
      <c r="HH184" s="1177">
        <f t="shared" si="987"/>
        <v>0</v>
      </c>
      <c r="HI184" s="1177">
        <f t="shared" si="988"/>
        <v>0</v>
      </c>
      <c r="HJ184" s="1177">
        <f t="shared" si="989"/>
        <v>0</v>
      </c>
      <c r="HK184" s="1177">
        <f t="shared" si="990"/>
        <v>12047.3</v>
      </c>
      <c r="HL184" s="1177">
        <f t="shared" si="991"/>
        <v>0</v>
      </c>
      <c r="HM184" s="1178">
        <f t="shared" si="1025"/>
        <v>0</v>
      </c>
      <c r="HN184" s="1179">
        <f t="shared" si="992"/>
        <v>0</v>
      </c>
      <c r="HO184" s="1180">
        <f t="shared" si="993"/>
        <v>0</v>
      </c>
      <c r="HP184" s="1180">
        <f t="shared" si="994"/>
        <v>12047.3</v>
      </c>
      <c r="HQ184" s="1180">
        <f t="shared" si="995"/>
        <v>0</v>
      </c>
      <c r="HR184" s="1180">
        <f t="shared" si="996"/>
        <v>12047.3</v>
      </c>
      <c r="HS184" s="1180">
        <f t="shared" si="997"/>
        <v>0</v>
      </c>
      <c r="HT184" s="1181">
        <f t="shared" si="1026"/>
        <v>0</v>
      </c>
      <c r="HU184" s="1228">
        <f t="shared" si="1027"/>
        <v>0</v>
      </c>
    </row>
    <row r="185" spans="1:229" s="1170" customFormat="1" ht="18" hidden="1" customHeight="1" outlineLevel="2" x14ac:dyDescent="0.2">
      <c r="A185" s="3673"/>
      <c r="B185" s="3672"/>
      <c r="C185" s="3698"/>
      <c r="D185" s="1167" t="s">
        <v>347</v>
      </c>
      <c r="E185" s="1202">
        <v>1</v>
      </c>
      <c r="F185" s="1203">
        <v>151.54</v>
      </c>
      <c r="G185" s="1204">
        <f t="shared" si="1028"/>
        <v>151.54</v>
      </c>
      <c r="H185" s="1205">
        <v>0</v>
      </c>
      <c r="I185" s="1206">
        <v>0</v>
      </c>
      <c r="J185" s="1206">
        <v>0</v>
      </c>
      <c r="K185" s="1207">
        <v>0</v>
      </c>
      <c r="L185" s="1206">
        <v>0</v>
      </c>
      <c r="M185" s="1206">
        <v>0</v>
      </c>
      <c r="N185" s="1208">
        <f t="shared" si="1093"/>
        <v>151.54</v>
      </c>
      <c r="O185" s="1359" t="s">
        <v>335</v>
      </c>
      <c r="P185" s="1360" t="s">
        <v>335</v>
      </c>
      <c r="Q185" s="1360" t="s">
        <v>335</v>
      </c>
      <c r="R185" s="1203">
        <v>139548.85999999999</v>
      </c>
      <c r="S185" s="1209">
        <f t="shared" si="998"/>
        <v>139548.85999999999</v>
      </c>
      <c r="T185" s="1210">
        <f t="shared" si="1052"/>
        <v>139548.85999999999</v>
      </c>
      <c r="U185" s="1211">
        <v>106775.98</v>
      </c>
      <c r="V185" s="1211">
        <v>106775.98</v>
      </c>
      <c r="W185" s="1212">
        <v>42685.5</v>
      </c>
      <c r="X185" s="1213">
        <v>106775.98</v>
      </c>
      <c r="Y185" s="1213">
        <v>0</v>
      </c>
      <c r="Z185" s="1213">
        <v>0</v>
      </c>
      <c r="AA185" s="1177">
        <f t="shared" si="999"/>
        <v>42685.5</v>
      </c>
      <c r="AB185" s="1214">
        <f t="shared" si="1000"/>
        <v>106775.98</v>
      </c>
      <c r="AC185" s="1178">
        <f t="shared" si="1001"/>
        <v>0.76515121657031093</v>
      </c>
      <c r="AD185" s="1211">
        <v>0</v>
      </c>
      <c r="AE185" s="1211">
        <v>0</v>
      </c>
      <c r="AF185" s="1233">
        <v>42685.5</v>
      </c>
      <c r="AG185" s="1211">
        <f>56530+30500+11004.07+8741.91</f>
        <v>106775.98000000001</v>
      </c>
      <c r="AH185" s="1215">
        <f t="shared" si="1002"/>
        <v>42685.5</v>
      </c>
      <c r="AI185" s="1211">
        <f t="shared" si="1003"/>
        <v>106775.98000000001</v>
      </c>
      <c r="AJ185" s="1216">
        <f t="shared" si="1004"/>
        <v>0.76515121657031104</v>
      </c>
      <c r="AK185" s="1217">
        <f t="shared" si="1005"/>
        <v>0.76515121657031093</v>
      </c>
      <c r="AL185" s="1195">
        <v>12047.3</v>
      </c>
      <c r="AM185" s="1218">
        <f t="shared" si="1079"/>
        <v>25216.6</v>
      </c>
      <c r="AN185" s="1219">
        <f t="shared" si="1006"/>
        <v>25216.6</v>
      </c>
      <c r="AO185" s="1220">
        <v>12047.3</v>
      </c>
      <c r="AP185" s="1221">
        <f>16055.71+9160.89</f>
        <v>25216.6</v>
      </c>
      <c r="AQ185" s="1221"/>
      <c r="AR185" s="1221"/>
      <c r="AS185" s="1221">
        <f t="shared" si="1030"/>
        <v>12047.3</v>
      </c>
      <c r="AT185" s="1282">
        <f t="shared" si="1031"/>
        <v>25216.6</v>
      </c>
      <c r="AU185" s="1245"/>
      <c r="AV185" s="1224"/>
      <c r="AW185" s="1218">
        <f t="shared" si="1007"/>
        <v>12047.3</v>
      </c>
      <c r="AX185" s="1218">
        <f>AP185</f>
        <v>25216.6</v>
      </c>
      <c r="AY185" s="1224">
        <f t="shared" si="949"/>
        <v>12047.3</v>
      </c>
      <c r="AZ185" s="1225">
        <f t="shared" si="1032"/>
        <v>25216.6</v>
      </c>
      <c r="BA185" s="1175">
        <f>U185+AM185</f>
        <v>131992.57999999999</v>
      </c>
      <c r="BB185" s="1226">
        <f t="shared" si="1080"/>
        <v>131992.57999999999</v>
      </c>
      <c r="BC185" s="1176">
        <f t="shared" ref="BC185:BF189" si="1112">W185+AO185</f>
        <v>54732.800000000003</v>
      </c>
      <c r="BD185" s="1177">
        <f t="shared" si="1112"/>
        <v>131992.57999999999</v>
      </c>
      <c r="BE185" s="1177">
        <f t="shared" si="1112"/>
        <v>0</v>
      </c>
      <c r="BF185" s="1177">
        <f t="shared" si="1112"/>
        <v>0</v>
      </c>
      <c r="BG185" s="1177">
        <f t="shared" ref="BG185:BG190" si="1113">AA185+AS185</f>
        <v>54732.800000000003</v>
      </c>
      <c r="BH185" s="1177">
        <f t="shared" si="932"/>
        <v>131992.57999999999</v>
      </c>
      <c r="BI185" s="1178">
        <f t="shared" si="933"/>
        <v>0.94585208363579609</v>
      </c>
      <c r="BJ185" s="1175">
        <f t="shared" si="1102"/>
        <v>0</v>
      </c>
      <c r="BK185" s="1180">
        <f t="shared" si="1102"/>
        <v>0</v>
      </c>
      <c r="BL185" s="1180">
        <f t="shared" si="1082"/>
        <v>54732.800000000003</v>
      </c>
      <c r="BM185" s="1180">
        <f t="shared" si="1082"/>
        <v>131992.58000000002</v>
      </c>
      <c r="BN185" s="1180">
        <f t="shared" si="1082"/>
        <v>54732.800000000003</v>
      </c>
      <c r="BO185" s="1180">
        <f t="shared" si="1083"/>
        <v>131992.58000000002</v>
      </c>
      <c r="BP185" s="1227">
        <f t="shared" si="936"/>
        <v>0.94585208363579631</v>
      </c>
      <c r="BQ185" s="1228">
        <f t="shared" si="1084"/>
        <v>0.94585208363579609</v>
      </c>
      <c r="BR185" s="1283">
        <v>12047.3</v>
      </c>
      <c r="BS185" s="1218">
        <f t="shared" si="950"/>
        <v>0</v>
      </c>
      <c r="BT185" s="1219">
        <f t="shared" si="1033"/>
        <v>0</v>
      </c>
      <c r="BU185" s="1284">
        <v>12047.3</v>
      </c>
      <c r="BV185" s="1221"/>
      <c r="BW185" s="1221"/>
      <c r="BX185" s="1221"/>
      <c r="BY185" s="1221">
        <f t="shared" si="1034"/>
        <v>12047.3</v>
      </c>
      <c r="BZ185" s="1282">
        <f t="shared" si="1035"/>
        <v>0</v>
      </c>
      <c r="CA185" s="1223"/>
      <c r="CB185" s="1224"/>
      <c r="CC185" s="1218">
        <f t="shared" si="1008"/>
        <v>12047.3</v>
      </c>
      <c r="CD185" s="1218">
        <f t="shared" si="1085"/>
        <v>0</v>
      </c>
      <c r="CE185" s="1224">
        <f t="shared" si="951"/>
        <v>12047.3</v>
      </c>
      <c r="CF185" s="1225">
        <f t="shared" si="1036"/>
        <v>0</v>
      </c>
      <c r="CG185" s="1263">
        <f t="shared" si="952"/>
        <v>131992.57999999999</v>
      </c>
      <c r="CH185" s="1259">
        <f t="shared" si="953"/>
        <v>131992.57999999999</v>
      </c>
      <c r="CI185" s="1212">
        <f t="shared" si="954"/>
        <v>66780.100000000006</v>
      </c>
      <c r="CJ185" s="1174">
        <f t="shared" si="955"/>
        <v>131992.57999999999</v>
      </c>
      <c r="CK185" s="1174">
        <f t="shared" si="956"/>
        <v>0</v>
      </c>
      <c r="CL185" s="1174">
        <f t="shared" si="957"/>
        <v>0</v>
      </c>
      <c r="CM185" s="1174">
        <f t="shared" si="958"/>
        <v>66780.100000000006</v>
      </c>
      <c r="CN185" s="1174">
        <f t="shared" si="959"/>
        <v>131992.57999999999</v>
      </c>
      <c r="CO185" s="1260">
        <f t="shared" si="1086"/>
        <v>0.94585208363579609</v>
      </c>
      <c r="CP185" s="1264">
        <f t="shared" si="960"/>
        <v>0</v>
      </c>
      <c r="CQ185" s="1173">
        <f t="shared" si="961"/>
        <v>0</v>
      </c>
      <c r="CR185" s="1173">
        <f t="shared" si="962"/>
        <v>66780.100000000006</v>
      </c>
      <c r="CS185" s="1173">
        <f t="shared" si="963"/>
        <v>131992.58000000002</v>
      </c>
      <c r="CT185" s="1173">
        <f t="shared" si="964"/>
        <v>66780.100000000006</v>
      </c>
      <c r="CU185" s="1173">
        <f t="shared" si="965"/>
        <v>131992.58000000002</v>
      </c>
      <c r="CV185" s="1265">
        <f t="shared" si="822"/>
        <v>0.94585208363579631</v>
      </c>
      <c r="CW185" s="1261">
        <f t="shared" si="823"/>
        <v>0.94585208363579609</v>
      </c>
      <c r="CX185" s="1317">
        <v>12047.3</v>
      </c>
      <c r="CY185" s="1218"/>
      <c r="CZ185" s="1219"/>
      <c r="DA185" s="1284">
        <f t="shared" si="1009"/>
        <v>12047.3</v>
      </c>
      <c r="DB185" s="1221"/>
      <c r="DC185" s="1221"/>
      <c r="DD185" s="1221"/>
      <c r="DE185" s="1221">
        <f t="shared" si="1037"/>
        <v>12047.3</v>
      </c>
      <c r="DF185" s="1282">
        <f t="shared" si="1038"/>
        <v>0</v>
      </c>
      <c r="DG185" s="1223"/>
      <c r="DH185" s="1224"/>
      <c r="DI185" s="1218">
        <f t="shared" si="1010"/>
        <v>12047.3</v>
      </c>
      <c r="DJ185" s="1218">
        <f t="shared" si="1087"/>
        <v>0</v>
      </c>
      <c r="DK185" s="1224">
        <f t="shared" si="966"/>
        <v>12047.3</v>
      </c>
      <c r="DL185" s="1225">
        <f t="shared" si="1039"/>
        <v>0</v>
      </c>
      <c r="DM185" s="1263">
        <f t="shared" si="967"/>
        <v>131992.57999999999</v>
      </c>
      <c r="DN185" s="1259">
        <f t="shared" si="968"/>
        <v>131992.57999999999</v>
      </c>
      <c r="DO185" s="1212">
        <f t="shared" si="969"/>
        <v>78827.400000000009</v>
      </c>
      <c r="DP185" s="1174">
        <f t="shared" si="970"/>
        <v>131992.57999999999</v>
      </c>
      <c r="DQ185" s="1174">
        <f t="shared" si="971"/>
        <v>0</v>
      </c>
      <c r="DR185" s="1174">
        <f t="shared" si="972"/>
        <v>0</v>
      </c>
      <c r="DS185" s="1174">
        <f t="shared" si="973"/>
        <v>78827.400000000009</v>
      </c>
      <c r="DT185" s="1174">
        <f t="shared" si="974"/>
        <v>131992.57999999999</v>
      </c>
      <c r="DU185" s="1260">
        <f t="shared" si="1011"/>
        <v>0.94585208363579609</v>
      </c>
      <c r="DV185" s="1264">
        <f t="shared" ref="DV185:DW189" si="1114">CP185+DG185</f>
        <v>0</v>
      </c>
      <c r="DW185" s="1173">
        <f t="shared" si="1114"/>
        <v>0</v>
      </c>
      <c r="DX185" s="1173">
        <f t="shared" ref="DX185:DY189" si="1115">CR185+DI185</f>
        <v>78827.400000000009</v>
      </c>
      <c r="DY185" s="1173">
        <f t="shared" si="1115"/>
        <v>131992.58000000002</v>
      </c>
      <c r="DZ185" s="1173">
        <f t="shared" si="977"/>
        <v>78827.400000000009</v>
      </c>
      <c r="EA185" s="1173">
        <f t="shared" si="978"/>
        <v>131992.58000000002</v>
      </c>
      <c r="EB185" s="1265">
        <f t="shared" si="1012"/>
        <v>0.94585208363579631</v>
      </c>
      <c r="EC185" s="1487">
        <f t="shared" si="1013"/>
        <v>0.94585208363579609</v>
      </c>
      <c r="ED185" s="1328">
        <v>12047.3</v>
      </c>
      <c r="EE185" s="1218"/>
      <c r="EF185" s="1219"/>
      <c r="EG185" s="1318">
        <v>12047.3</v>
      </c>
      <c r="EH185" s="1221"/>
      <c r="EI185" s="1221"/>
      <c r="EJ185" s="1221"/>
      <c r="EK185" s="1278">
        <f t="shared" si="1014"/>
        <v>12047.3</v>
      </c>
      <c r="EL185" s="1282">
        <f t="shared" si="1089"/>
        <v>0</v>
      </c>
      <c r="EM185" s="1223"/>
      <c r="EN185" s="1224"/>
      <c r="EO185" s="1218">
        <f t="shared" si="1015"/>
        <v>12047.3</v>
      </c>
      <c r="EP185" s="1218">
        <f t="shared" si="1016"/>
        <v>0</v>
      </c>
      <c r="EQ185" s="1224">
        <f t="shared" si="1053"/>
        <v>12047.3</v>
      </c>
      <c r="ER185" s="1225">
        <f t="shared" si="1054"/>
        <v>0</v>
      </c>
      <c r="ES185" s="1263">
        <f t="shared" si="1090"/>
        <v>131992.57999999999</v>
      </c>
      <c r="ET185" s="1461">
        <f t="shared" si="1091"/>
        <v>131992.57999999999</v>
      </c>
      <c r="EU185" s="1176">
        <f t="shared" si="868"/>
        <v>90874.700000000012</v>
      </c>
      <c r="EV185" s="1177">
        <f t="shared" si="1055"/>
        <v>131992.57999999999</v>
      </c>
      <c r="EW185" s="1177">
        <f t="shared" si="1056"/>
        <v>0</v>
      </c>
      <c r="EX185" s="1177">
        <f t="shared" si="1057"/>
        <v>0</v>
      </c>
      <c r="EY185" s="1177">
        <f t="shared" si="1058"/>
        <v>90874.700000000012</v>
      </c>
      <c r="EZ185" s="1177">
        <f t="shared" si="1059"/>
        <v>131992.57999999999</v>
      </c>
      <c r="FA185" s="1178">
        <f t="shared" si="1060"/>
        <v>0.94585208363579609</v>
      </c>
      <c r="FB185" s="1179">
        <f t="shared" si="1043"/>
        <v>0</v>
      </c>
      <c r="FC185" s="1180">
        <f t="shared" si="1044"/>
        <v>0</v>
      </c>
      <c r="FD185" s="1180">
        <f t="shared" si="1045"/>
        <v>90874.700000000012</v>
      </c>
      <c r="FE185" s="1180">
        <f t="shared" si="1046"/>
        <v>131992.58000000002</v>
      </c>
      <c r="FF185" s="1180">
        <f t="shared" si="1047"/>
        <v>90874.700000000012</v>
      </c>
      <c r="FG185" s="1180">
        <f t="shared" si="1048"/>
        <v>131992.58000000002</v>
      </c>
      <c r="FH185" s="1181">
        <f t="shared" si="1049"/>
        <v>0.94585208363579631</v>
      </c>
      <c r="FI185" s="1261">
        <f t="shared" si="1017"/>
        <v>0.94585208363579609</v>
      </c>
      <c r="FJ185" s="1328">
        <v>12047.3</v>
      </c>
      <c r="FK185" s="1218">
        <f>FL185</f>
        <v>7556.28</v>
      </c>
      <c r="FL185" s="1219">
        <f t="shared" si="1018"/>
        <v>7556.28</v>
      </c>
      <c r="FM185" s="1318">
        <f>FJ185</f>
        <v>12047.3</v>
      </c>
      <c r="FN185" s="1221">
        <v>7556.28</v>
      </c>
      <c r="FO185" s="1221"/>
      <c r="FP185" s="1221"/>
      <c r="FQ185" s="1278">
        <f t="shared" si="1019"/>
        <v>12047.3</v>
      </c>
      <c r="FR185" s="1282">
        <f t="shared" si="1094"/>
        <v>7556.28</v>
      </c>
      <c r="FS185" s="1223"/>
      <c r="FT185" s="1224"/>
      <c r="FU185" s="1218">
        <f t="shared" si="1020"/>
        <v>12047.3</v>
      </c>
      <c r="FV185" s="1218">
        <f t="shared" si="1021"/>
        <v>7556.28</v>
      </c>
      <c r="FW185" s="1224">
        <f t="shared" si="1061"/>
        <v>12047.3</v>
      </c>
      <c r="FX185" s="1225">
        <f t="shared" si="1062"/>
        <v>7556.28</v>
      </c>
      <c r="FY185" s="1262">
        <f t="shared" si="1050"/>
        <v>139548.85999999999</v>
      </c>
      <c r="FZ185" s="1462">
        <f t="shared" si="1051"/>
        <v>139548.85999999999</v>
      </c>
      <c r="GA185" s="1176">
        <f t="shared" si="871"/>
        <v>102922.00000000001</v>
      </c>
      <c r="GB185" s="1177">
        <f t="shared" si="1063"/>
        <v>139548.85999999999</v>
      </c>
      <c r="GC185" s="1177">
        <f t="shared" si="1064"/>
        <v>0</v>
      </c>
      <c r="GD185" s="1177">
        <f t="shared" si="1065"/>
        <v>0</v>
      </c>
      <c r="GE185" s="1177">
        <f t="shared" si="1066"/>
        <v>102922.00000000001</v>
      </c>
      <c r="GF185" s="1177">
        <f t="shared" si="1067"/>
        <v>139548.85999999999</v>
      </c>
      <c r="GG185" s="1178">
        <f t="shared" si="1068"/>
        <v>1</v>
      </c>
      <c r="GH185" s="1179">
        <f t="shared" si="1069"/>
        <v>0</v>
      </c>
      <c r="GI185" s="1180">
        <f t="shared" si="1070"/>
        <v>0</v>
      </c>
      <c r="GJ185" s="1180">
        <f t="shared" si="1071"/>
        <v>102922.00000000001</v>
      </c>
      <c r="GK185" s="1180">
        <f t="shared" si="1072"/>
        <v>139548.86000000002</v>
      </c>
      <c r="GL185" s="1180">
        <f t="shared" si="1073"/>
        <v>102922.00000000001</v>
      </c>
      <c r="GM185" s="1180">
        <f t="shared" si="1074"/>
        <v>139548.86000000002</v>
      </c>
      <c r="GN185" s="1181">
        <f t="shared" si="1075"/>
        <v>1.0000000000000002</v>
      </c>
      <c r="GO185" s="1228">
        <f t="shared" si="1023"/>
        <v>1</v>
      </c>
      <c r="GP185" s="1328">
        <v>12047.3</v>
      </c>
      <c r="GQ185" s="1218"/>
      <c r="GR185" s="1219">
        <f t="shared" si="1092"/>
        <v>0</v>
      </c>
      <c r="GS185" s="1318"/>
      <c r="GT185" s="1221"/>
      <c r="GU185" s="1221"/>
      <c r="GV185" s="1221"/>
      <c r="GW185" s="1278">
        <f t="shared" si="1098"/>
        <v>0</v>
      </c>
      <c r="GX185" s="1282">
        <f t="shared" si="1095"/>
        <v>0</v>
      </c>
      <c r="GY185" s="1223"/>
      <c r="GZ185" s="1224"/>
      <c r="HA185" s="1218">
        <f t="shared" si="1107"/>
        <v>0</v>
      </c>
      <c r="HB185" s="1218">
        <f t="shared" si="1107"/>
        <v>0</v>
      </c>
      <c r="HC185" s="1224">
        <f t="shared" si="1108"/>
        <v>0</v>
      </c>
      <c r="HD185" s="1225">
        <f t="shared" si="1109"/>
        <v>0</v>
      </c>
      <c r="HE185" s="1690">
        <f t="shared" si="1110"/>
        <v>139548.85999999999</v>
      </c>
      <c r="HF185" s="1462">
        <f t="shared" si="1111"/>
        <v>139548.85999999999</v>
      </c>
      <c r="HG185" s="1176">
        <f t="shared" si="986"/>
        <v>102922.00000000001</v>
      </c>
      <c r="HH185" s="1177">
        <f t="shared" si="987"/>
        <v>139548.85999999999</v>
      </c>
      <c r="HI185" s="1177">
        <f t="shared" si="988"/>
        <v>0</v>
      </c>
      <c r="HJ185" s="1177">
        <f t="shared" si="989"/>
        <v>0</v>
      </c>
      <c r="HK185" s="1177">
        <f t="shared" si="990"/>
        <v>102922.00000000001</v>
      </c>
      <c r="HL185" s="1177">
        <f t="shared" si="991"/>
        <v>139548.85999999999</v>
      </c>
      <c r="HM185" s="1178">
        <f t="shared" si="1025"/>
        <v>1</v>
      </c>
      <c r="HN185" s="1179">
        <f t="shared" si="992"/>
        <v>0</v>
      </c>
      <c r="HO185" s="1180">
        <f t="shared" si="993"/>
        <v>0</v>
      </c>
      <c r="HP185" s="1180">
        <f t="shared" si="994"/>
        <v>102922.00000000001</v>
      </c>
      <c r="HQ185" s="1180">
        <f t="shared" si="995"/>
        <v>139548.86000000002</v>
      </c>
      <c r="HR185" s="1180">
        <f t="shared" si="996"/>
        <v>102922.00000000001</v>
      </c>
      <c r="HS185" s="1180">
        <f t="shared" si="997"/>
        <v>139548.86000000002</v>
      </c>
      <c r="HT185" s="1181">
        <f t="shared" si="1026"/>
        <v>1.0000000000000002</v>
      </c>
      <c r="HU185" s="1228">
        <f t="shared" si="1027"/>
        <v>1</v>
      </c>
    </row>
    <row r="186" spans="1:229" s="1170" customFormat="1" ht="18" hidden="1" customHeight="1" outlineLevel="2" x14ac:dyDescent="0.2">
      <c r="A186" s="3673"/>
      <c r="B186" s="3672"/>
      <c r="C186" s="3698"/>
      <c r="D186" s="1167" t="s">
        <v>418</v>
      </c>
      <c r="E186" s="1202">
        <v>1</v>
      </c>
      <c r="F186" s="1251">
        <v>134.52000000000001</v>
      </c>
      <c r="G186" s="1204">
        <f t="shared" si="1028"/>
        <v>134.52000000000001</v>
      </c>
      <c r="H186" s="1205">
        <v>0</v>
      </c>
      <c r="I186" s="1206">
        <v>0</v>
      </c>
      <c r="J186" s="1206">
        <v>0</v>
      </c>
      <c r="K186" s="1207">
        <v>0</v>
      </c>
      <c r="L186" s="1206">
        <v>0</v>
      </c>
      <c r="M186" s="1206">
        <v>0</v>
      </c>
      <c r="N186" s="1208">
        <f t="shared" si="1093"/>
        <v>134.52000000000001</v>
      </c>
      <c r="O186" s="1359" t="s">
        <v>335</v>
      </c>
      <c r="P186" s="1360" t="s">
        <v>335</v>
      </c>
      <c r="Q186" s="1360" t="s">
        <v>335</v>
      </c>
      <c r="R186" s="1251">
        <v>180005</v>
      </c>
      <c r="S186" s="1209">
        <f t="shared" si="998"/>
        <v>180005</v>
      </c>
      <c r="T186" s="1210">
        <f>R186</f>
        <v>180005</v>
      </c>
      <c r="U186" s="1211">
        <v>57251.090000000004</v>
      </c>
      <c r="V186" s="1211">
        <v>57251.090000000004</v>
      </c>
      <c r="W186" s="1212">
        <v>24094.6</v>
      </c>
      <c r="X186" s="1213">
        <v>57251.090000000004</v>
      </c>
      <c r="Y186" s="1213">
        <v>0</v>
      </c>
      <c r="Z186" s="1213">
        <v>0</v>
      </c>
      <c r="AA186" s="1177">
        <f t="shared" si="999"/>
        <v>24094.6</v>
      </c>
      <c r="AB186" s="1214">
        <f t="shared" si="1000"/>
        <v>57251.090000000004</v>
      </c>
      <c r="AC186" s="1178">
        <f t="shared" si="1001"/>
        <v>0.31805277631176915</v>
      </c>
      <c r="AD186" s="1211">
        <v>0</v>
      </c>
      <c r="AE186" s="1211">
        <v>0</v>
      </c>
      <c r="AF186" s="1215">
        <v>24094.6</v>
      </c>
      <c r="AG186" s="1211">
        <f>4058.37+1625.04+50350+1217.68</f>
        <v>57251.090000000004</v>
      </c>
      <c r="AH186" s="1215">
        <f t="shared" si="1002"/>
        <v>24094.6</v>
      </c>
      <c r="AI186" s="1211">
        <f t="shared" si="1003"/>
        <v>57251.090000000004</v>
      </c>
      <c r="AJ186" s="1216">
        <f t="shared" si="1004"/>
        <v>0.31805277631176915</v>
      </c>
      <c r="AK186" s="1217">
        <f t="shared" si="1005"/>
        <v>0.31805277631176915</v>
      </c>
      <c r="AL186" s="1195">
        <v>12047.3</v>
      </c>
      <c r="AM186" s="1218">
        <f t="shared" si="1079"/>
        <v>0</v>
      </c>
      <c r="AN186" s="1219">
        <f t="shared" si="1006"/>
        <v>0</v>
      </c>
      <c r="AO186" s="1220">
        <v>12047.3</v>
      </c>
      <c r="AP186" s="1221"/>
      <c r="AQ186" s="1221"/>
      <c r="AR186" s="1221"/>
      <c r="AS186" s="1221">
        <f t="shared" si="1030"/>
        <v>12047.3</v>
      </c>
      <c r="AT186" s="1282">
        <f t="shared" si="1031"/>
        <v>0</v>
      </c>
      <c r="AU186" s="1245"/>
      <c r="AV186" s="1224"/>
      <c r="AW186" s="1218">
        <f t="shared" si="1007"/>
        <v>12047.3</v>
      </c>
      <c r="AX186" s="1218">
        <f>AP186</f>
        <v>0</v>
      </c>
      <c r="AY186" s="1224">
        <f t="shared" si="949"/>
        <v>12047.3</v>
      </c>
      <c r="AZ186" s="1225">
        <f t="shared" si="1032"/>
        <v>0</v>
      </c>
      <c r="BA186" s="1175">
        <f>U186+AM186</f>
        <v>57251.090000000004</v>
      </c>
      <c r="BB186" s="1226">
        <f t="shared" si="1080"/>
        <v>57251.090000000004</v>
      </c>
      <c r="BC186" s="1176">
        <f t="shared" si="1112"/>
        <v>36141.899999999994</v>
      </c>
      <c r="BD186" s="1177">
        <f t="shared" si="1112"/>
        <v>57251.090000000004</v>
      </c>
      <c r="BE186" s="1177">
        <f t="shared" si="1112"/>
        <v>0</v>
      </c>
      <c r="BF186" s="1177">
        <f t="shared" si="1112"/>
        <v>0</v>
      </c>
      <c r="BG186" s="1177">
        <f t="shared" si="1113"/>
        <v>36141.899999999994</v>
      </c>
      <c r="BH186" s="1177">
        <f t="shared" si="932"/>
        <v>57251.090000000004</v>
      </c>
      <c r="BI186" s="1178">
        <f t="shared" si="933"/>
        <v>0.31805277631176915</v>
      </c>
      <c r="BJ186" s="1175">
        <f t="shared" si="1102"/>
        <v>0</v>
      </c>
      <c r="BK186" s="1180">
        <f t="shared" si="1102"/>
        <v>0</v>
      </c>
      <c r="BL186" s="1180">
        <f t="shared" si="1082"/>
        <v>36141.899999999994</v>
      </c>
      <c r="BM186" s="1180">
        <f t="shared" si="1082"/>
        <v>57251.090000000004</v>
      </c>
      <c r="BN186" s="1180">
        <f t="shared" si="1082"/>
        <v>36141.899999999994</v>
      </c>
      <c r="BO186" s="1180">
        <f t="shared" si="1083"/>
        <v>57251.090000000004</v>
      </c>
      <c r="BP186" s="1227">
        <f t="shared" si="936"/>
        <v>0.31805277631176915</v>
      </c>
      <c r="BQ186" s="1228">
        <f t="shared" si="1084"/>
        <v>0.31805277631176915</v>
      </c>
      <c r="BR186" s="1283">
        <v>12047.3</v>
      </c>
      <c r="BS186" s="1218">
        <f>BV186</f>
        <v>48999.3</v>
      </c>
      <c r="BT186" s="1219">
        <f t="shared" si="1033"/>
        <v>48999.3</v>
      </c>
      <c r="BU186" s="1284">
        <v>12047.3</v>
      </c>
      <c r="BV186" s="1221">
        <f>47842+1157.3</f>
        <v>48999.3</v>
      </c>
      <c r="BW186" s="1221"/>
      <c r="BX186" s="1221"/>
      <c r="BY186" s="1221">
        <f t="shared" si="1034"/>
        <v>12047.3</v>
      </c>
      <c r="BZ186" s="1282">
        <f t="shared" si="1035"/>
        <v>48999.3</v>
      </c>
      <c r="CA186" s="1223"/>
      <c r="CB186" s="1224"/>
      <c r="CC186" s="1218">
        <f t="shared" si="1008"/>
        <v>12047.3</v>
      </c>
      <c r="CD186" s="1218">
        <f t="shared" si="1085"/>
        <v>48999.3</v>
      </c>
      <c r="CE186" s="1224">
        <f t="shared" si="951"/>
        <v>12047.3</v>
      </c>
      <c r="CF186" s="1225">
        <f t="shared" si="1036"/>
        <v>48999.3</v>
      </c>
      <c r="CG186" s="1263">
        <f t="shared" si="952"/>
        <v>106250.39000000001</v>
      </c>
      <c r="CH186" s="1259">
        <f t="shared" si="953"/>
        <v>106250.39000000001</v>
      </c>
      <c r="CI186" s="1212">
        <f t="shared" si="954"/>
        <v>48189.2</v>
      </c>
      <c r="CJ186" s="1174">
        <f t="shared" si="955"/>
        <v>106250.39000000001</v>
      </c>
      <c r="CK186" s="1174">
        <f t="shared" si="956"/>
        <v>0</v>
      </c>
      <c r="CL186" s="1174">
        <f t="shared" si="957"/>
        <v>0</v>
      </c>
      <c r="CM186" s="1174">
        <f t="shared" si="958"/>
        <v>48189.2</v>
      </c>
      <c r="CN186" s="1174">
        <f t="shared" si="959"/>
        <v>106250.39000000001</v>
      </c>
      <c r="CO186" s="1260">
        <f t="shared" si="1086"/>
        <v>0.59026354823477134</v>
      </c>
      <c r="CP186" s="1264">
        <f t="shared" si="960"/>
        <v>0</v>
      </c>
      <c r="CQ186" s="1173">
        <f t="shared" si="961"/>
        <v>0</v>
      </c>
      <c r="CR186" s="1173">
        <f t="shared" si="962"/>
        <v>48189.2</v>
      </c>
      <c r="CS186" s="1173">
        <f t="shared" si="963"/>
        <v>106250.39000000001</v>
      </c>
      <c r="CT186" s="1173">
        <f t="shared" si="964"/>
        <v>48189.2</v>
      </c>
      <c r="CU186" s="1173">
        <f t="shared" si="965"/>
        <v>106250.39000000001</v>
      </c>
      <c r="CV186" s="1265">
        <f t="shared" si="822"/>
        <v>0.59026354823477134</v>
      </c>
      <c r="CW186" s="1261">
        <f t="shared" si="823"/>
        <v>0.59026354823477134</v>
      </c>
      <c r="CX186" s="1317">
        <v>12047.3</v>
      </c>
      <c r="CY186" s="1218"/>
      <c r="CZ186" s="1219"/>
      <c r="DA186" s="1284">
        <f t="shared" si="1009"/>
        <v>12047.3</v>
      </c>
      <c r="DB186" s="1221"/>
      <c r="DC186" s="1221"/>
      <c r="DD186" s="1221"/>
      <c r="DE186" s="1221">
        <f t="shared" si="1037"/>
        <v>12047.3</v>
      </c>
      <c r="DF186" s="1282">
        <f t="shared" si="1038"/>
        <v>0</v>
      </c>
      <c r="DG186" s="1223"/>
      <c r="DH186" s="1224"/>
      <c r="DI186" s="1218">
        <f t="shared" si="1010"/>
        <v>12047.3</v>
      </c>
      <c r="DJ186" s="1218">
        <f t="shared" si="1087"/>
        <v>0</v>
      </c>
      <c r="DK186" s="1224">
        <f t="shared" si="966"/>
        <v>12047.3</v>
      </c>
      <c r="DL186" s="1225">
        <f t="shared" si="1039"/>
        <v>0</v>
      </c>
      <c r="DM186" s="1263">
        <f t="shared" si="967"/>
        <v>106250.39000000001</v>
      </c>
      <c r="DN186" s="1259">
        <f t="shared" si="968"/>
        <v>106250.39000000001</v>
      </c>
      <c r="DO186" s="1212">
        <f t="shared" si="969"/>
        <v>60236.5</v>
      </c>
      <c r="DP186" s="1174">
        <f t="shared" si="970"/>
        <v>106250.39000000001</v>
      </c>
      <c r="DQ186" s="1174">
        <f t="shared" si="971"/>
        <v>0</v>
      </c>
      <c r="DR186" s="1174">
        <f t="shared" si="972"/>
        <v>0</v>
      </c>
      <c r="DS186" s="1174">
        <f t="shared" si="973"/>
        <v>60236.5</v>
      </c>
      <c r="DT186" s="1174">
        <f t="shared" si="974"/>
        <v>106250.39000000001</v>
      </c>
      <c r="DU186" s="1260">
        <f t="shared" si="1011"/>
        <v>0.59026354823477134</v>
      </c>
      <c r="DV186" s="1264">
        <f t="shared" si="1114"/>
        <v>0</v>
      </c>
      <c r="DW186" s="1173">
        <f t="shared" si="1114"/>
        <v>0</v>
      </c>
      <c r="DX186" s="1173">
        <f t="shared" si="1115"/>
        <v>60236.5</v>
      </c>
      <c r="DY186" s="1173">
        <f t="shared" si="1115"/>
        <v>106250.39000000001</v>
      </c>
      <c r="DZ186" s="1173">
        <f t="shared" si="977"/>
        <v>60236.5</v>
      </c>
      <c r="EA186" s="1173">
        <f t="shared" si="978"/>
        <v>106250.39000000001</v>
      </c>
      <c r="EB186" s="1265">
        <f t="shared" si="1012"/>
        <v>0.59026354823477134</v>
      </c>
      <c r="EC186" s="1487">
        <f t="shared" si="1013"/>
        <v>0.59026354823477134</v>
      </c>
      <c r="ED186" s="1328">
        <v>12047.3</v>
      </c>
      <c r="EE186" s="1218"/>
      <c r="EF186" s="1219"/>
      <c r="EG186" s="1318">
        <v>12047.3</v>
      </c>
      <c r="EH186" s="1221"/>
      <c r="EI186" s="1221"/>
      <c r="EJ186" s="1221"/>
      <c r="EK186" s="1278">
        <f t="shared" si="1014"/>
        <v>12047.3</v>
      </c>
      <c r="EL186" s="1282">
        <f t="shared" si="1089"/>
        <v>0</v>
      </c>
      <c r="EM186" s="1223"/>
      <c r="EN186" s="1224"/>
      <c r="EO186" s="1218">
        <f t="shared" si="1015"/>
        <v>12047.3</v>
      </c>
      <c r="EP186" s="1218">
        <f t="shared" si="1016"/>
        <v>0</v>
      </c>
      <c r="EQ186" s="1224">
        <f t="shared" si="1053"/>
        <v>12047.3</v>
      </c>
      <c r="ER186" s="1225">
        <f t="shared" si="1054"/>
        <v>0</v>
      </c>
      <c r="ES186" s="1263">
        <f t="shared" si="1090"/>
        <v>106250.39000000001</v>
      </c>
      <c r="ET186" s="1461">
        <f t="shared" si="1091"/>
        <v>106250.39000000001</v>
      </c>
      <c r="EU186" s="1176">
        <f t="shared" si="868"/>
        <v>72283.8</v>
      </c>
      <c r="EV186" s="1177">
        <f t="shared" si="1055"/>
        <v>106250.39000000001</v>
      </c>
      <c r="EW186" s="1177">
        <f t="shared" si="1056"/>
        <v>0</v>
      </c>
      <c r="EX186" s="1177">
        <f t="shared" si="1057"/>
        <v>0</v>
      </c>
      <c r="EY186" s="1177">
        <f t="shared" si="1058"/>
        <v>72283.8</v>
      </c>
      <c r="EZ186" s="1177">
        <f t="shared" si="1059"/>
        <v>106250.39000000001</v>
      </c>
      <c r="FA186" s="1178">
        <f t="shared" si="1060"/>
        <v>0.59026354823477134</v>
      </c>
      <c r="FB186" s="1179">
        <f t="shared" si="1043"/>
        <v>0</v>
      </c>
      <c r="FC186" s="1180">
        <f t="shared" si="1044"/>
        <v>0</v>
      </c>
      <c r="FD186" s="1180">
        <f t="shared" si="1045"/>
        <v>72283.8</v>
      </c>
      <c r="FE186" s="1180">
        <f t="shared" si="1046"/>
        <v>106250.39000000001</v>
      </c>
      <c r="FF186" s="1180">
        <f t="shared" si="1047"/>
        <v>72283.8</v>
      </c>
      <c r="FG186" s="1180">
        <f t="shared" si="1048"/>
        <v>106250.39000000001</v>
      </c>
      <c r="FH186" s="1181">
        <f t="shared" si="1049"/>
        <v>0.59026354823477134</v>
      </c>
      <c r="FI186" s="1261">
        <f t="shared" si="1017"/>
        <v>0.59026354823477134</v>
      </c>
      <c r="FJ186" s="1328">
        <f>12047.3*4</f>
        <v>48189.2</v>
      </c>
      <c r="FK186" s="1218">
        <f>FL186</f>
        <v>48649.599999999999</v>
      </c>
      <c r="FL186" s="1219">
        <f t="shared" si="1018"/>
        <v>48649.599999999999</v>
      </c>
      <c r="FM186" s="1318">
        <f>FJ186</f>
        <v>48189.2</v>
      </c>
      <c r="FN186" s="1221">
        <f>47500+1149.6</f>
        <v>48649.599999999999</v>
      </c>
      <c r="FO186" s="1221"/>
      <c r="FP186" s="1221"/>
      <c r="FQ186" s="1278">
        <f t="shared" si="1019"/>
        <v>48189.2</v>
      </c>
      <c r="FR186" s="1282">
        <f t="shared" si="1094"/>
        <v>48649.599999999999</v>
      </c>
      <c r="FS186" s="1223"/>
      <c r="FT186" s="1224"/>
      <c r="FU186" s="1218">
        <f t="shared" si="1020"/>
        <v>48189.2</v>
      </c>
      <c r="FV186" s="1218">
        <f t="shared" si="1021"/>
        <v>48649.599999999999</v>
      </c>
      <c r="FW186" s="1224">
        <f t="shared" si="1061"/>
        <v>48189.2</v>
      </c>
      <c r="FX186" s="1225">
        <f t="shared" si="1062"/>
        <v>48649.599999999999</v>
      </c>
      <c r="FY186" s="1262">
        <f t="shared" si="1050"/>
        <v>154899.99000000002</v>
      </c>
      <c r="FZ186" s="1462">
        <f t="shared" si="1051"/>
        <v>154899.99000000002</v>
      </c>
      <c r="GA186" s="1176">
        <f t="shared" si="871"/>
        <v>120473</v>
      </c>
      <c r="GB186" s="1177">
        <f t="shared" si="1063"/>
        <v>154899.99000000002</v>
      </c>
      <c r="GC186" s="1177">
        <f t="shared" si="1064"/>
        <v>0</v>
      </c>
      <c r="GD186" s="1177">
        <f t="shared" si="1065"/>
        <v>0</v>
      </c>
      <c r="GE186" s="1177">
        <f t="shared" si="1066"/>
        <v>120473</v>
      </c>
      <c r="GF186" s="1177">
        <f t="shared" si="1067"/>
        <v>154899.99000000002</v>
      </c>
      <c r="GG186" s="1178">
        <f t="shared" si="1068"/>
        <v>0.86053159634454612</v>
      </c>
      <c r="GH186" s="1179">
        <f t="shared" si="1069"/>
        <v>0</v>
      </c>
      <c r="GI186" s="1180">
        <f t="shared" si="1070"/>
        <v>0</v>
      </c>
      <c r="GJ186" s="1180">
        <f t="shared" si="1071"/>
        <v>120473</v>
      </c>
      <c r="GK186" s="1180">
        <f t="shared" si="1072"/>
        <v>154899.99000000002</v>
      </c>
      <c r="GL186" s="1180">
        <f t="shared" si="1073"/>
        <v>120473</v>
      </c>
      <c r="GM186" s="1180">
        <f t="shared" si="1074"/>
        <v>154899.99000000002</v>
      </c>
      <c r="GN186" s="1181">
        <f t="shared" si="1075"/>
        <v>0.86053159634454612</v>
      </c>
      <c r="GO186" s="1228">
        <f t="shared" si="1023"/>
        <v>0.86053159634454612</v>
      </c>
      <c r="GP186" s="1328">
        <f>12047.3*4</f>
        <v>48189.2</v>
      </c>
      <c r="GQ186" s="1218"/>
      <c r="GR186" s="1219">
        <f t="shared" si="1092"/>
        <v>0</v>
      </c>
      <c r="GS186" s="1318"/>
      <c r="GT186" s="1221"/>
      <c r="GU186" s="1221"/>
      <c r="GV186" s="1221"/>
      <c r="GW186" s="1278">
        <f t="shared" si="1098"/>
        <v>0</v>
      </c>
      <c r="GX186" s="1282">
        <f t="shared" si="1095"/>
        <v>0</v>
      </c>
      <c r="GY186" s="1223"/>
      <c r="GZ186" s="1224"/>
      <c r="HA186" s="1218">
        <f t="shared" si="1107"/>
        <v>0</v>
      </c>
      <c r="HB186" s="1218">
        <f t="shared" si="1107"/>
        <v>0</v>
      </c>
      <c r="HC186" s="1224">
        <f t="shared" si="1108"/>
        <v>0</v>
      </c>
      <c r="HD186" s="1225">
        <f t="shared" si="1109"/>
        <v>0</v>
      </c>
      <c r="HE186" s="1690">
        <f t="shared" si="1110"/>
        <v>154899.99000000002</v>
      </c>
      <c r="HF186" s="1462">
        <f t="shared" si="1111"/>
        <v>154899.99000000002</v>
      </c>
      <c r="HG186" s="1176">
        <f t="shared" si="986"/>
        <v>120473</v>
      </c>
      <c r="HH186" s="1177">
        <f t="shared" si="987"/>
        <v>154899.99000000002</v>
      </c>
      <c r="HI186" s="1177">
        <f t="shared" si="988"/>
        <v>0</v>
      </c>
      <c r="HJ186" s="1177">
        <f t="shared" si="989"/>
        <v>0</v>
      </c>
      <c r="HK186" s="1177">
        <f t="shared" si="990"/>
        <v>120473</v>
      </c>
      <c r="HL186" s="1177">
        <f t="shared" si="991"/>
        <v>154899.99000000002</v>
      </c>
      <c r="HM186" s="1178">
        <f t="shared" si="1025"/>
        <v>0.86053159634454612</v>
      </c>
      <c r="HN186" s="1179">
        <f t="shared" si="992"/>
        <v>0</v>
      </c>
      <c r="HO186" s="1180">
        <f t="shared" si="993"/>
        <v>0</v>
      </c>
      <c r="HP186" s="1180">
        <f t="shared" si="994"/>
        <v>120473</v>
      </c>
      <c r="HQ186" s="1180">
        <f t="shared" si="995"/>
        <v>154899.99000000002</v>
      </c>
      <c r="HR186" s="1180">
        <f t="shared" si="996"/>
        <v>120473</v>
      </c>
      <c r="HS186" s="1180">
        <f t="shared" si="997"/>
        <v>154899.99000000002</v>
      </c>
      <c r="HT186" s="1181">
        <f t="shared" si="1026"/>
        <v>0.86053159634454612</v>
      </c>
      <c r="HU186" s="1228">
        <f t="shared" si="1027"/>
        <v>0.86053159634454612</v>
      </c>
    </row>
    <row r="187" spans="1:229" s="1170" customFormat="1" ht="18" hidden="1" customHeight="1" outlineLevel="2" x14ac:dyDescent="0.2">
      <c r="A187" s="3673"/>
      <c r="B187" s="3672"/>
      <c r="C187" s="3698"/>
      <c r="D187" s="1167" t="s">
        <v>541</v>
      </c>
      <c r="E187" s="1202">
        <v>1</v>
      </c>
      <c r="F187" s="1251">
        <v>152.22</v>
      </c>
      <c r="G187" s="1204">
        <f t="shared" si="1028"/>
        <v>152.22</v>
      </c>
      <c r="H187" s="1205">
        <v>0</v>
      </c>
      <c r="I187" s="1206">
        <v>0</v>
      </c>
      <c r="J187" s="1206">
        <v>0</v>
      </c>
      <c r="K187" s="1207">
        <v>0</v>
      </c>
      <c r="L187" s="1206">
        <v>0</v>
      </c>
      <c r="M187" s="1206">
        <v>0</v>
      </c>
      <c r="N187" s="1208">
        <f t="shared" si="1093"/>
        <v>152.22</v>
      </c>
      <c r="O187" s="1359" t="s">
        <v>335</v>
      </c>
      <c r="P187" s="1360" t="s">
        <v>335</v>
      </c>
      <c r="Q187" s="1360" t="s">
        <v>335</v>
      </c>
      <c r="R187" s="1251"/>
      <c r="S187" s="1209">
        <f>R187</f>
        <v>0</v>
      </c>
      <c r="T187" s="1210">
        <f>R187</f>
        <v>0</v>
      </c>
      <c r="U187" s="1211">
        <v>0</v>
      </c>
      <c r="V187" s="1211">
        <v>0</v>
      </c>
      <c r="W187" s="1212">
        <v>0</v>
      </c>
      <c r="X187" s="1213">
        <v>0</v>
      </c>
      <c r="Y187" s="1213">
        <v>0</v>
      </c>
      <c r="Z187" s="1213">
        <v>0</v>
      </c>
      <c r="AA187" s="1177">
        <f t="shared" si="999"/>
        <v>0</v>
      </c>
      <c r="AB187" s="1214">
        <f t="shared" si="1000"/>
        <v>0</v>
      </c>
      <c r="AC187" s="1178" t="e">
        <f t="shared" si="1001"/>
        <v>#DIV/0!</v>
      </c>
      <c r="AD187" s="1211">
        <v>0</v>
      </c>
      <c r="AE187" s="1211">
        <v>0</v>
      </c>
      <c r="AF187" s="1211">
        <v>0</v>
      </c>
      <c r="AG187" s="1211">
        <v>0</v>
      </c>
      <c r="AH187" s="1215">
        <f t="shared" si="1002"/>
        <v>0</v>
      </c>
      <c r="AI187" s="1211"/>
      <c r="AJ187" s="1216" t="e">
        <f>AI187/S187</f>
        <v>#DIV/0!</v>
      </c>
      <c r="AK187" s="1217" t="e">
        <f>U187/T187</f>
        <v>#DIV/0!</v>
      </c>
      <c r="AL187" s="1195"/>
      <c r="AM187" s="1218"/>
      <c r="AN187" s="1219"/>
      <c r="AO187" s="1220"/>
      <c r="AP187" s="1221"/>
      <c r="AQ187" s="1221"/>
      <c r="AR187" s="1221"/>
      <c r="AS187" s="1221">
        <f>AO187+AQ187</f>
        <v>0</v>
      </c>
      <c r="AT187" s="1282">
        <f>AR187+AP187</f>
        <v>0</v>
      </c>
      <c r="AU187" s="1245"/>
      <c r="AV187" s="1224"/>
      <c r="AW187" s="1218"/>
      <c r="AX187" s="1218">
        <f>AP187</f>
        <v>0</v>
      </c>
      <c r="AY187" s="1224">
        <f>AU187+AW187</f>
        <v>0</v>
      </c>
      <c r="AZ187" s="1225">
        <f>AX187+AV187</f>
        <v>0</v>
      </c>
      <c r="BA187" s="1175">
        <f>U187+AM187</f>
        <v>0</v>
      </c>
      <c r="BB187" s="1226">
        <f>V187+AN187</f>
        <v>0</v>
      </c>
      <c r="BC187" s="1176">
        <f>W187+AO187</f>
        <v>0</v>
      </c>
      <c r="BD187" s="1177">
        <f>X187+AP187</f>
        <v>0</v>
      </c>
      <c r="BE187" s="1177">
        <f>Y187+AQ187</f>
        <v>0</v>
      </c>
      <c r="BF187" s="1177">
        <f>Z187+AR187</f>
        <v>0</v>
      </c>
      <c r="BG187" s="1177">
        <f t="shared" si="1113"/>
        <v>0</v>
      </c>
      <c r="BH187" s="1177">
        <f>AB187+AT187</f>
        <v>0</v>
      </c>
      <c r="BI187" s="1178" t="e">
        <f>BH187/R187</f>
        <v>#DIV/0!</v>
      </c>
      <c r="BJ187" s="1175">
        <f t="shared" ref="BJ187:BO187" si="1116">AD187+AU187</f>
        <v>0</v>
      </c>
      <c r="BK187" s="1180">
        <f t="shared" si="1116"/>
        <v>0</v>
      </c>
      <c r="BL187" s="1180">
        <f t="shared" si="1116"/>
        <v>0</v>
      </c>
      <c r="BM187" s="1180">
        <f t="shared" si="1116"/>
        <v>0</v>
      </c>
      <c r="BN187" s="1180">
        <f t="shared" si="1116"/>
        <v>0</v>
      </c>
      <c r="BO187" s="1180">
        <f t="shared" si="1116"/>
        <v>0</v>
      </c>
      <c r="BP187" s="1227" t="e">
        <f>BO187/S187</f>
        <v>#DIV/0!</v>
      </c>
      <c r="BQ187" s="1228" t="e">
        <f>BA187/T187</f>
        <v>#DIV/0!</v>
      </c>
      <c r="BR187" s="1283"/>
      <c r="BS187" s="1218"/>
      <c r="BT187" s="1219"/>
      <c r="BU187" s="1284"/>
      <c r="BV187" s="1221"/>
      <c r="BW187" s="1221"/>
      <c r="BX187" s="1221"/>
      <c r="BY187" s="1221">
        <f>BU187+BW187</f>
        <v>0</v>
      </c>
      <c r="BZ187" s="1282">
        <f>BX187+BV187</f>
        <v>0</v>
      </c>
      <c r="CA187" s="1245"/>
      <c r="CB187" s="1224"/>
      <c r="CC187" s="1218"/>
      <c r="CD187" s="1218">
        <f>BV187</f>
        <v>0</v>
      </c>
      <c r="CE187" s="1224">
        <f>CA187+CC187</f>
        <v>0</v>
      </c>
      <c r="CF187" s="1225">
        <f>CD187+CB187</f>
        <v>0</v>
      </c>
      <c r="CG187" s="1263">
        <f t="shared" ref="CG187:CN187" si="1117">BA187+BS187</f>
        <v>0</v>
      </c>
      <c r="CH187" s="1259">
        <f t="shared" si="1117"/>
        <v>0</v>
      </c>
      <c r="CI187" s="1212">
        <f t="shared" si="1117"/>
        <v>0</v>
      </c>
      <c r="CJ187" s="1174">
        <f t="shared" si="1117"/>
        <v>0</v>
      </c>
      <c r="CK187" s="1174">
        <f t="shared" si="1117"/>
        <v>0</v>
      </c>
      <c r="CL187" s="1174">
        <f t="shared" si="1117"/>
        <v>0</v>
      </c>
      <c r="CM187" s="1174">
        <f t="shared" si="1117"/>
        <v>0</v>
      </c>
      <c r="CN187" s="1174">
        <f t="shared" si="1117"/>
        <v>0</v>
      </c>
      <c r="CO187" s="1260" t="e">
        <f>CN187/R187</f>
        <v>#DIV/0!</v>
      </c>
      <c r="CP187" s="1264">
        <f t="shared" ref="CP187:CU187" si="1118">BJ187+CA187</f>
        <v>0</v>
      </c>
      <c r="CQ187" s="1173">
        <f t="shared" si="1118"/>
        <v>0</v>
      </c>
      <c r="CR187" s="1173">
        <f t="shared" si="1118"/>
        <v>0</v>
      </c>
      <c r="CS187" s="1173">
        <f t="shared" si="1118"/>
        <v>0</v>
      </c>
      <c r="CT187" s="1173">
        <f t="shared" si="1118"/>
        <v>0</v>
      </c>
      <c r="CU187" s="1173">
        <f t="shared" si="1118"/>
        <v>0</v>
      </c>
      <c r="CV187" s="1265" t="e">
        <f>CU187/S187</f>
        <v>#DIV/0!</v>
      </c>
      <c r="CW187" s="1261" t="e">
        <f>CG187/T187</f>
        <v>#DIV/0!</v>
      </c>
      <c r="CX187" s="1317"/>
      <c r="CY187" s="1218"/>
      <c r="CZ187" s="1219"/>
      <c r="DA187" s="1284"/>
      <c r="DB187" s="1221"/>
      <c r="DC187" s="1221"/>
      <c r="DD187" s="1221"/>
      <c r="DE187" s="1221">
        <f>DA187+DC187</f>
        <v>0</v>
      </c>
      <c r="DF187" s="1282">
        <f>DD187+DB187</f>
        <v>0</v>
      </c>
      <c r="DG187" s="1245"/>
      <c r="DH187" s="1224"/>
      <c r="DI187" s="1218"/>
      <c r="DJ187" s="1218">
        <f>DB187</f>
        <v>0</v>
      </c>
      <c r="DK187" s="1224">
        <f>DG187+DI187</f>
        <v>0</v>
      </c>
      <c r="DL187" s="1225">
        <f>DJ187+DH187</f>
        <v>0</v>
      </c>
      <c r="DM187" s="1263">
        <f t="shared" ref="DM187:DT187" si="1119">CG187+CY187</f>
        <v>0</v>
      </c>
      <c r="DN187" s="1259">
        <f t="shared" si="1119"/>
        <v>0</v>
      </c>
      <c r="DO187" s="1212">
        <f t="shared" si="1119"/>
        <v>0</v>
      </c>
      <c r="DP187" s="1174">
        <f t="shared" si="1119"/>
        <v>0</v>
      </c>
      <c r="DQ187" s="1174">
        <f t="shared" si="1119"/>
        <v>0</v>
      </c>
      <c r="DR187" s="1174">
        <f t="shared" si="1119"/>
        <v>0</v>
      </c>
      <c r="DS187" s="1174">
        <f t="shared" si="1119"/>
        <v>0</v>
      </c>
      <c r="DT187" s="1174">
        <f t="shared" si="1119"/>
        <v>0</v>
      </c>
      <c r="DU187" s="1260" t="e">
        <f>DT187/R187</f>
        <v>#DIV/0!</v>
      </c>
      <c r="DV187" s="1264">
        <f t="shared" ref="DV187:EA187" si="1120">CP187+DG187</f>
        <v>0</v>
      </c>
      <c r="DW187" s="1173">
        <f t="shared" si="1120"/>
        <v>0</v>
      </c>
      <c r="DX187" s="1173">
        <f t="shared" si="1120"/>
        <v>0</v>
      </c>
      <c r="DY187" s="1173">
        <f t="shared" si="1120"/>
        <v>0</v>
      </c>
      <c r="DZ187" s="1173">
        <f t="shared" si="1120"/>
        <v>0</v>
      </c>
      <c r="EA187" s="1173">
        <f t="shared" si="1120"/>
        <v>0</v>
      </c>
      <c r="EB187" s="1265" t="e">
        <f>EA187/S187</f>
        <v>#DIV/0!</v>
      </c>
      <c r="EC187" s="1487" t="e">
        <f>DM187/T187</f>
        <v>#DIV/0!</v>
      </c>
      <c r="ED187" s="1328"/>
      <c r="EE187" s="1218"/>
      <c r="EF187" s="1219"/>
      <c r="EG187" s="1318"/>
      <c r="EH187" s="1221"/>
      <c r="EI187" s="1221"/>
      <c r="EJ187" s="1221"/>
      <c r="EK187" s="1278">
        <f>EG187+EI187</f>
        <v>0</v>
      </c>
      <c r="EL187" s="1282">
        <f>EJ187+EH187</f>
        <v>0</v>
      </c>
      <c r="EM187" s="1245"/>
      <c r="EN187" s="1224"/>
      <c r="EO187" s="1218"/>
      <c r="EP187" s="1218">
        <f>EH187</f>
        <v>0</v>
      </c>
      <c r="EQ187" s="1224">
        <f>EM187+EO187</f>
        <v>0</v>
      </c>
      <c r="ER187" s="1225">
        <f>EP187+EN187</f>
        <v>0</v>
      </c>
      <c r="ES187" s="1263">
        <f>DM187+EE187</f>
        <v>0</v>
      </c>
      <c r="ET187" s="1461">
        <f>DN187+EF187</f>
        <v>0</v>
      </c>
      <c r="EU187" s="1176">
        <f t="shared" ref="EU187:EZ187" si="1121">EG187+DO187</f>
        <v>0</v>
      </c>
      <c r="EV187" s="1177">
        <f t="shared" si="1121"/>
        <v>0</v>
      </c>
      <c r="EW187" s="1177">
        <f t="shared" si="1121"/>
        <v>0</v>
      </c>
      <c r="EX187" s="1177">
        <f t="shared" si="1121"/>
        <v>0</v>
      </c>
      <c r="EY187" s="1177">
        <f t="shared" si="1121"/>
        <v>0</v>
      </c>
      <c r="EZ187" s="1177">
        <f t="shared" si="1121"/>
        <v>0</v>
      </c>
      <c r="FA187" s="1178" t="e">
        <f>EZ187/R187</f>
        <v>#DIV/0!</v>
      </c>
      <c r="FB187" s="1179">
        <f t="shared" ref="FB187:FG187" si="1122">DV187+EM187</f>
        <v>0</v>
      </c>
      <c r="FC187" s="1180">
        <f t="shared" si="1122"/>
        <v>0</v>
      </c>
      <c r="FD187" s="1180">
        <f t="shared" si="1122"/>
        <v>0</v>
      </c>
      <c r="FE187" s="1180">
        <f t="shared" si="1122"/>
        <v>0</v>
      </c>
      <c r="FF187" s="1180">
        <f t="shared" si="1122"/>
        <v>0</v>
      </c>
      <c r="FG187" s="1180">
        <f t="shared" si="1122"/>
        <v>0</v>
      </c>
      <c r="FH187" s="1181" t="e">
        <f>FG187/S187</f>
        <v>#DIV/0!</v>
      </c>
      <c r="FI187" s="1261" t="e">
        <f>ES187/T187</f>
        <v>#DIV/0!</v>
      </c>
      <c r="FJ187" s="1328"/>
      <c r="FK187" s="1218"/>
      <c r="FL187" s="1219"/>
      <c r="FM187" s="1318"/>
      <c r="FN187" s="1221"/>
      <c r="FO187" s="1221"/>
      <c r="FP187" s="1221"/>
      <c r="FQ187" s="1278">
        <f>FM187+FO187</f>
        <v>0</v>
      </c>
      <c r="FR187" s="1282">
        <f>FP187+FN187</f>
        <v>0</v>
      </c>
      <c r="FS187" s="1245"/>
      <c r="FT187" s="1224"/>
      <c r="FU187" s="1218"/>
      <c r="FV187" s="1218">
        <f>FN187</f>
        <v>0</v>
      </c>
      <c r="FW187" s="1224">
        <f>FS187+FU187</f>
        <v>0</v>
      </c>
      <c r="FX187" s="1225">
        <f>FV187+FT187</f>
        <v>0</v>
      </c>
      <c r="FY187" s="1262">
        <f>ES187+FK187</f>
        <v>0</v>
      </c>
      <c r="FZ187" s="1462">
        <f>ET187+FL187</f>
        <v>0</v>
      </c>
      <c r="GA187" s="1176">
        <f t="shared" ref="GA187:GF187" si="1123">FM187+EU187</f>
        <v>0</v>
      </c>
      <c r="GB187" s="1177">
        <f t="shared" si="1123"/>
        <v>0</v>
      </c>
      <c r="GC187" s="1177">
        <f t="shared" si="1123"/>
        <v>0</v>
      </c>
      <c r="GD187" s="1177">
        <f t="shared" si="1123"/>
        <v>0</v>
      </c>
      <c r="GE187" s="1177">
        <f t="shared" si="1123"/>
        <v>0</v>
      </c>
      <c r="GF187" s="1177">
        <f t="shared" si="1123"/>
        <v>0</v>
      </c>
      <c r="GG187" s="1178" t="e">
        <f>GF187/R187</f>
        <v>#DIV/0!</v>
      </c>
      <c r="GH187" s="1179">
        <f t="shared" ref="GH187:GM187" si="1124">FB187+FS187</f>
        <v>0</v>
      </c>
      <c r="GI187" s="1180">
        <f t="shared" si="1124"/>
        <v>0</v>
      </c>
      <c r="GJ187" s="1180">
        <f t="shared" si="1124"/>
        <v>0</v>
      </c>
      <c r="GK187" s="1180">
        <f t="shared" si="1124"/>
        <v>0</v>
      </c>
      <c r="GL187" s="1180">
        <f t="shared" si="1124"/>
        <v>0</v>
      </c>
      <c r="GM187" s="1180">
        <f t="shared" si="1124"/>
        <v>0</v>
      </c>
      <c r="GN187" s="1181" t="e">
        <f>GM187/S187</f>
        <v>#DIV/0!</v>
      </c>
      <c r="GO187" s="1228" t="e">
        <f>FY187/T187</f>
        <v>#DIV/0!</v>
      </c>
      <c r="GP187" s="1328"/>
      <c r="GQ187" s="1218"/>
      <c r="GR187" s="1219"/>
      <c r="GS187" s="1318"/>
      <c r="GT187" s="1221"/>
      <c r="GU187" s="1221"/>
      <c r="GV187" s="1221"/>
      <c r="GW187" s="1278">
        <f>GS187+GU187</f>
        <v>0</v>
      </c>
      <c r="GX187" s="1282">
        <f>GV187+GT187</f>
        <v>0</v>
      </c>
      <c r="GY187" s="1245"/>
      <c r="GZ187" s="1224"/>
      <c r="HA187" s="1218">
        <f>GS187</f>
        <v>0</v>
      </c>
      <c r="HB187" s="1218">
        <f>GT187</f>
        <v>0</v>
      </c>
      <c r="HC187" s="1224">
        <f>GY187+HA187</f>
        <v>0</v>
      </c>
      <c r="HD187" s="1225">
        <f>HB187+GZ187</f>
        <v>0</v>
      </c>
      <c r="HE187" s="1690">
        <f>FY187+GQ187</f>
        <v>0</v>
      </c>
      <c r="HF187" s="1462">
        <f>FZ187+GR187</f>
        <v>0</v>
      </c>
      <c r="HG187" s="1176">
        <f t="shared" ref="HG187:HL187" si="1125">GS187+GA187</f>
        <v>0</v>
      </c>
      <c r="HH187" s="1177">
        <f t="shared" si="1125"/>
        <v>0</v>
      </c>
      <c r="HI187" s="1177">
        <f t="shared" si="1125"/>
        <v>0</v>
      </c>
      <c r="HJ187" s="1177">
        <f t="shared" si="1125"/>
        <v>0</v>
      </c>
      <c r="HK187" s="1177">
        <f t="shared" si="1125"/>
        <v>0</v>
      </c>
      <c r="HL187" s="1177">
        <f t="shared" si="1125"/>
        <v>0</v>
      </c>
      <c r="HM187" s="1178" t="e">
        <f>HL187/R187</f>
        <v>#DIV/0!</v>
      </c>
      <c r="HN187" s="1179">
        <f t="shared" ref="HN187:HS187" si="1126">GH187+GY187</f>
        <v>0</v>
      </c>
      <c r="HO187" s="1180">
        <f t="shared" si="1126"/>
        <v>0</v>
      </c>
      <c r="HP187" s="1180">
        <f t="shared" si="1126"/>
        <v>0</v>
      </c>
      <c r="HQ187" s="1180">
        <f t="shared" si="1126"/>
        <v>0</v>
      </c>
      <c r="HR187" s="1180">
        <f t="shared" si="1126"/>
        <v>0</v>
      </c>
      <c r="HS187" s="1180">
        <f t="shared" si="1126"/>
        <v>0</v>
      </c>
      <c r="HT187" s="1181" t="e">
        <f>HS187/S187</f>
        <v>#DIV/0!</v>
      </c>
      <c r="HU187" s="1228" t="e">
        <f>HE187/T187</f>
        <v>#DIV/0!</v>
      </c>
    </row>
    <row r="188" spans="1:229" s="1170" customFormat="1" ht="18" hidden="1" customHeight="1" outlineLevel="2" x14ac:dyDescent="0.2">
      <c r="A188" s="3673"/>
      <c r="B188" s="3672"/>
      <c r="C188" s="3698"/>
      <c r="D188" s="1167" t="s">
        <v>345</v>
      </c>
      <c r="E188" s="1202">
        <v>1</v>
      </c>
      <c r="F188" s="1251">
        <v>127.34</v>
      </c>
      <c r="G188" s="1204">
        <f t="shared" si="1028"/>
        <v>127.34</v>
      </c>
      <c r="H188" s="1205">
        <v>0</v>
      </c>
      <c r="I188" s="1206">
        <v>0</v>
      </c>
      <c r="J188" s="1206">
        <v>0</v>
      </c>
      <c r="K188" s="1207">
        <v>0</v>
      </c>
      <c r="L188" s="1206">
        <v>0</v>
      </c>
      <c r="M188" s="1206">
        <v>0</v>
      </c>
      <c r="N188" s="1208">
        <f t="shared" si="1029"/>
        <v>127.34</v>
      </c>
      <c r="O188" s="1359" t="s">
        <v>335</v>
      </c>
      <c r="P188" s="1360" t="s">
        <v>335</v>
      </c>
      <c r="Q188" s="1360" t="s">
        <v>335</v>
      </c>
      <c r="R188" s="1251">
        <v>175028.89</v>
      </c>
      <c r="S188" s="1209">
        <f t="shared" si="998"/>
        <v>175028.89</v>
      </c>
      <c r="T188" s="1210">
        <f>R188</f>
        <v>175028.89</v>
      </c>
      <c r="U188" s="1211">
        <v>0</v>
      </c>
      <c r="V188" s="1211">
        <v>0</v>
      </c>
      <c r="W188" s="1212">
        <v>42685.5</v>
      </c>
      <c r="X188" s="1213">
        <v>0</v>
      </c>
      <c r="Y188" s="1213">
        <v>0</v>
      </c>
      <c r="Z188" s="1213">
        <v>0</v>
      </c>
      <c r="AA188" s="1177">
        <f t="shared" si="999"/>
        <v>42685.5</v>
      </c>
      <c r="AB188" s="1214">
        <f t="shared" si="1000"/>
        <v>0</v>
      </c>
      <c r="AC188" s="1178">
        <f t="shared" si="1001"/>
        <v>0</v>
      </c>
      <c r="AD188" s="1211">
        <v>0</v>
      </c>
      <c r="AE188" s="1211">
        <v>0</v>
      </c>
      <c r="AF188" s="1233">
        <v>42685.5</v>
      </c>
      <c r="AG188" s="1211"/>
      <c r="AH188" s="1215">
        <f t="shared" si="1002"/>
        <v>42685.5</v>
      </c>
      <c r="AI188" s="1211">
        <f t="shared" si="1003"/>
        <v>0</v>
      </c>
      <c r="AJ188" s="1216">
        <f t="shared" si="1004"/>
        <v>0</v>
      </c>
      <c r="AK188" s="1217">
        <f t="shared" si="1005"/>
        <v>0</v>
      </c>
      <c r="AL188" s="1195">
        <v>12047.3</v>
      </c>
      <c r="AM188" s="1218">
        <f t="shared" si="1079"/>
        <v>0</v>
      </c>
      <c r="AN188" s="1219">
        <f t="shared" si="1006"/>
        <v>0</v>
      </c>
      <c r="AO188" s="1220">
        <v>12047.3</v>
      </c>
      <c r="AP188" s="1221"/>
      <c r="AQ188" s="1221"/>
      <c r="AR188" s="1221"/>
      <c r="AS188" s="1221">
        <f t="shared" si="1030"/>
        <v>12047.3</v>
      </c>
      <c r="AT188" s="1282">
        <f t="shared" si="1031"/>
        <v>0</v>
      </c>
      <c r="AU188" s="1245"/>
      <c r="AV188" s="1224"/>
      <c r="AW188" s="1218">
        <f t="shared" si="1007"/>
        <v>12047.3</v>
      </c>
      <c r="AX188" s="1218">
        <f>AP188</f>
        <v>0</v>
      </c>
      <c r="AY188" s="1224">
        <f t="shared" si="949"/>
        <v>12047.3</v>
      </c>
      <c r="AZ188" s="1225">
        <f t="shared" si="1032"/>
        <v>0</v>
      </c>
      <c r="BA188" s="1175">
        <f>U188+AM188</f>
        <v>0</v>
      </c>
      <c r="BB188" s="1226">
        <f t="shared" si="1080"/>
        <v>0</v>
      </c>
      <c r="BC188" s="1176">
        <f t="shared" si="1112"/>
        <v>54732.800000000003</v>
      </c>
      <c r="BD188" s="1177">
        <f t="shared" si="1112"/>
        <v>0</v>
      </c>
      <c r="BE188" s="1177">
        <f t="shared" si="1112"/>
        <v>0</v>
      </c>
      <c r="BF188" s="1177">
        <f t="shared" si="1112"/>
        <v>0</v>
      </c>
      <c r="BG188" s="1177">
        <f t="shared" si="1113"/>
        <v>54732.800000000003</v>
      </c>
      <c r="BH188" s="1177">
        <f t="shared" si="932"/>
        <v>0</v>
      </c>
      <c r="BI188" s="1178">
        <f t="shared" si="933"/>
        <v>0</v>
      </c>
      <c r="BJ188" s="1175">
        <f t="shared" si="1102"/>
        <v>0</v>
      </c>
      <c r="BK188" s="1180">
        <f t="shared" si="1102"/>
        <v>0</v>
      </c>
      <c r="BL188" s="1180">
        <f t="shared" si="1082"/>
        <v>54732.800000000003</v>
      </c>
      <c r="BM188" s="1180">
        <f t="shared" si="1082"/>
        <v>0</v>
      </c>
      <c r="BN188" s="1180">
        <f t="shared" si="1082"/>
        <v>54732.800000000003</v>
      </c>
      <c r="BO188" s="1180">
        <f t="shared" si="1083"/>
        <v>0</v>
      </c>
      <c r="BP188" s="1227">
        <f t="shared" si="936"/>
        <v>0</v>
      </c>
      <c r="BQ188" s="1228">
        <f t="shared" si="1084"/>
        <v>0</v>
      </c>
      <c r="BR188" s="1283">
        <v>12047.3</v>
      </c>
      <c r="BS188" s="1218">
        <f>BV188</f>
        <v>0</v>
      </c>
      <c r="BT188" s="1219">
        <f t="shared" si="1033"/>
        <v>0</v>
      </c>
      <c r="BU188" s="1284">
        <v>12047.3</v>
      </c>
      <c r="BV188" s="1221"/>
      <c r="BW188" s="1221"/>
      <c r="BX188" s="1221"/>
      <c r="BY188" s="1221">
        <f t="shared" si="1034"/>
        <v>12047.3</v>
      </c>
      <c r="BZ188" s="1282">
        <f t="shared" si="1035"/>
        <v>0</v>
      </c>
      <c r="CA188" s="1245"/>
      <c r="CB188" s="1224"/>
      <c r="CC188" s="1218">
        <f t="shared" si="1008"/>
        <v>12047.3</v>
      </c>
      <c r="CD188" s="1218">
        <f t="shared" si="1085"/>
        <v>0</v>
      </c>
      <c r="CE188" s="1224">
        <f t="shared" si="951"/>
        <v>12047.3</v>
      </c>
      <c r="CF188" s="1225">
        <f t="shared" si="1036"/>
        <v>0</v>
      </c>
      <c r="CG188" s="1263">
        <f t="shared" si="952"/>
        <v>0</v>
      </c>
      <c r="CH188" s="1226">
        <f t="shared" si="953"/>
        <v>0</v>
      </c>
      <c r="CI188" s="1213">
        <f t="shared" si="954"/>
        <v>66780.100000000006</v>
      </c>
      <c r="CJ188" s="1174">
        <f t="shared" si="955"/>
        <v>0</v>
      </c>
      <c r="CK188" s="1174">
        <f t="shared" si="956"/>
        <v>0</v>
      </c>
      <c r="CL188" s="1174">
        <f t="shared" si="957"/>
        <v>0</v>
      </c>
      <c r="CM188" s="1174">
        <f t="shared" si="958"/>
        <v>66780.100000000006</v>
      </c>
      <c r="CN188" s="1174">
        <f t="shared" si="959"/>
        <v>0</v>
      </c>
      <c r="CO188" s="1178">
        <f t="shared" si="1086"/>
        <v>0</v>
      </c>
      <c r="CP188" s="1321">
        <f t="shared" si="960"/>
        <v>0</v>
      </c>
      <c r="CQ188" s="1173">
        <f t="shared" si="961"/>
        <v>0</v>
      </c>
      <c r="CR188" s="1173">
        <f t="shared" si="962"/>
        <v>66780.100000000006</v>
      </c>
      <c r="CS188" s="1173">
        <f t="shared" si="963"/>
        <v>0</v>
      </c>
      <c r="CT188" s="1173">
        <f t="shared" si="964"/>
        <v>66780.100000000006</v>
      </c>
      <c r="CU188" s="1173">
        <f t="shared" si="965"/>
        <v>0</v>
      </c>
      <c r="CV188" s="1265">
        <f t="shared" si="822"/>
        <v>0</v>
      </c>
      <c r="CW188" s="1261">
        <f t="shared" si="823"/>
        <v>0</v>
      </c>
      <c r="CX188" s="1317">
        <v>12047.3</v>
      </c>
      <c r="CY188" s="1218"/>
      <c r="CZ188" s="1219"/>
      <c r="DA188" s="1284">
        <f t="shared" si="1009"/>
        <v>12047.3</v>
      </c>
      <c r="DB188" s="1221"/>
      <c r="DC188" s="1221"/>
      <c r="DD188" s="1221"/>
      <c r="DE188" s="1221">
        <f t="shared" si="1037"/>
        <v>12047.3</v>
      </c>
      <c r="DF188" s="1282">
        <f t="shared" si="1038"/>
        <v>0</v>
      </c>
      <c r="DG188" s="1245"/>
      <c r="DH188" s="1224"/>
      <c r="DI188" s="1218">
        <f t="shared" si="1010"/>
        <v>12047.3</v>
      </c>
      <c r="DJ188" s="1218">
        <f t="shared" si="1087"/>
        <v>0</v>
      </c>
      <c r="DK188" s="1224">
        <f t="shared" si="966"/>
        <v>12047.3</v>
      </c>
      <c r="DL188" s="1225">
        <f t="shared" si="1039"/>
        <v>0</v>
      </c>
      <c r="DM188" s="1263">
        <f t="shared" si="967"/>
        <v>0</v>
      </c>
      <c r="DN188" s="1226">
        <f t="shared" si="968"/>
        <v>0</v>
      </c>
      <c r="DO188" s="1213">
        <f t="shared" si="969"/>
        <v>78827.400000000009</v>
      </c>
      <c r="DP188" s="1174">
        <f t="shared" si="970"/>
        <v>0</v>
      </c>
      <c r="DQ188" s="1174">
        <f t="shared" si="971"/>
        <v>0</v>
      </c>
      <c r="DR188" s="1174">
        <f t="shared" si="972"/>
        <v>0</v>
      </c>
      <c r="DS188" s="1174">
        <f t="shared" si="973"/>
        <v>78827.400000000009</v>
      </c>
      <c r="DT188" s="1174">
        <f t="shared" si="974"/>
        <v>0</v>
      </c>
      <c r="DU188" s="1260">
        <f t="shared" si="1011"/>
        <v>0</v>
      </c>
      <c r="DV188" s="1321">
        <f t="shared" si="1114"/>
        <v>0</v>
      </c>
      <c r="DW188" s="1173">
        <f t="shared" si="1114"/>
        <v>0</v>
      </c>
      <c r="DX188" s="1173">
        <f t="shared" si="1115"/>
        <v>78827.400000000009</v>
      </c>
      <c r="DY188" s="1173">
        <f t="shared" si="1115"/>
        <v>0</v>
      </c>
      <c r="DZ188" s="1173">
        <f t="shared" si="977"/>
        <v>78827.400000000009</v>
      </c>
      <c r="EA188" s="1173">
        <f t="shared" si="978"/>
        <v>0</v>
      </c>
      <c r="EB188" s="1265">
        <f t="shared" si="1012"/>
        <v>0</v>
      </c>
      <c r="EC188" s="1487">
        <f t="shared" si="1013"/>
        <v>0</v>
      </c>
      <c r="ED188" s="1328">
        <v>12047.3</v>
      </c>
      <c r="EE188" s="1218"/>
      <c r="EF188" s="1219"/>
      <c r="EG188" s="1318">
        <v>12047.3</v>
      </c>
      <c r="EH188" s="1221"/>
      <c r="EI188" s="1221"/>
      <c r="EJ188" s="1221"/>
      <c r="EK188" s="1278">
        <f t="shared" si="1014"/>
        <v>12047.3</v>
      </c>
      <c r="EL188" s="1282">
        <f t="shared" si="1089"/>
        <v>0</v>
      </c>
      <c r="EM188" s="1245"/>
      <c r="EN188" s="1224"/>
      <c r="EO188" s="1218">
        <f t="shared" si="1015"/>
        <v>12047.3</v>
      </c>
      <c r="EP188" s="1218">
        <f t="shared" si="1016"/>
        <v>0</v>
      </c>
      <c r="EQ188" s="1224">
        <f t="shared" si="1053"/>
        <v>12047.3</v>
      </c>
      <c r="ER188" s="1225">
        <f t="shared" si="1054"/>
        <v>0</v>
      </c>
      <c r="ES188" s="1263">
        <f t="shared" si="1090"/>
        <v>0</v>
      </c>
      <c r="ET188" s="1462">
        <f t="shared" si="1091"/>
        <v>0</v>
      </c>
      <c r="EU188" s="1176">
        <f t="shared" si="868"/>
        <v>90874.700000000012</v>
      </c>
      <c r="EV188" s="1177">
        <f t="shared" si="1055"/>
        <v>0</v>
      </c>
      <c r="EW188" s="1177">
        <f t="shared" si="1056"/>
        <v>0</v>
      </c>
      <c r="EX188" s="1177">
        <f t="shared" si="1057"/>
        <v>0</v>
      </c>
      <c r="EY188" s="1177">
        <f t="shared" si="1058"/>
        <v>90874.700000000012</v>
      </c>
      <c r="EZ188" s="1177">
        <f t="shared" si="1059"/>
        <v>0</v>
      </c>
      <c r="FA188" s="1178">
        <f t="shared" si="1060"/>
        <v>0</v>
      </c>
      <c r="FB188" s="1179">
        <f t="shared" si="1043"/>
        <v>0</v>
      </c>
      <c r="FC188" s="1180">
        <f t="shared" si="1044"/>
        <v>0</v>
      </c>
      <c r="FD188" s="1180">
        <f t="shared" si="1045"/>
        <v>90874.700000000012</v>
      </c>
      <c r="FE188" s="1180">
        <f t="shared" si="1046"/>
        <v>0</v>
      </c>
      <c r="FF188" s="1180">
        <f t="shared" si="1047"/>
        <v>90874.700000000012</v>
      </c>
      <c r="FG188" s="1180">
        <f t="shared" si="1048"/>
        <v>0</v>
      </c>
      <c r="FH188" s="1181">
        <f t="shared" si="1049"/>
        <v>0</v>
      </c>
      <c r="FI188" s="1261">
        <f t="shared" si="1017"/>
        <v>0</v>
      </c>
      <c r="FJ188" s="1328"/>
      <c r="FK188" s="1218"/>
      <c r="FL188" s="1219">
        <f t="shared" si="1018"/>
        <v>0</v>
      </c>
      <c r="FM188" s="1318"/>
      <c r="FN188" s="1221"/>
      <c r="FO188" s="1221"/>
      <c r="FP188" s="1221"/>
      <c r="FQ188" s="1278">
        <f t="shared" si="1019"/>
        <v>0</v>
      </c>
      <c r="FR188" s="1282">
        <f t="shared" si="1094"/>
        <v>0</v>
      </c>
      <c r="FS188" s="1245"/>
      <c r="FT188" s="1224"/>
      <c r="FU188" s="1218">
        <f t="shared" si="1020"/>
        <v>0</v>
      </c>
      <c r="FV188" s="1218">
        <f t="shared" si="1021"/>
        <v>0</v>
      </c>
      <c r="FW188" s="1224">
        <f t="shared" si="1061"/>
        <v>0</v>
      </c>
      <c r="FX188" s="1225">
        <f t="shared" si="1062"/>
        <v>0</v>
      </c>
      <c r="FY188" s="1262">
        <f t="shared" si="1050"/>
        <v>0</v>
      </c>
      <c r="FZ188" s="1462">
        <f t="shared" si="1051"/>
        <v>0</v>
      </c>
      <c r="GA188" s="1176">
        <f t="shared" si="871"/>
        <v>90874.700000000012</v>
      </c>
      <c r="GB188" s="1177">
        <f t="shared" si="1063"/>
        <v>0</v>
      </c>
      <c r="GC188" s="1177">
        <f t="shared" si="1064"/>
        <v>0</v>
      </c>
      <c r="GD188" s="1177">
        <f t="shared" si="1065"/>
        <v>0</v>
      </c>
      <c r="GE188" s="1177">
        <f t="shared" si="1066"/>
        <v>90874.700000000012</v>
      </c>
      <c r="GF188" s="1177">
        <f t="shared" si="1067"/>
        <v>0</v>
      </c>
      <c r="GG188" s="1178">
        <f t="shared" si="1068"/>
        <v>0</v>
      </c>
      <c r="GH188" s="1179">
        <f t="shared" si="1069"/>
        <v>0</v>
      </c>
      <c r="GI188" s="1180">
        <f t="shared" si="1070"/>
        <v>0</v>
      </c>
      <c r="GJ188" s="1180">
        <f t="shared" si="1071"/>
        <v>90874.700000000012</v>
      </c>
      <c r="GK188" s="1180">
        <f t="shared" si="1072"/>
        <v>0</v>
      </c>
      <c r="GL188" s="1180">
        <f t="shared" si="1073"/>
        <v>90874.700000000012</v>
      </c>
      <c r="GM188" s="1180">
        <f t="shared" si="1074"/>
        <v>0</v>
      </c>
      <c r="GN188" s="1181">
        <f t="shared" si="1075"/>
        <v>0</v>
      </c>
      <c r="GO188" s="1228">
        <f t="shared" si="1023"/>
        <v>0</v>
      </c>
      <c r="GP188" s="1328"/>
      <c r="GQ188" s="1218"/>
      <c r="GR188" s="1219">
        <f t="shared" si="1092"/>
        <v>0</v>
      </c>
      <c r="GS188" s="1318"/>
      <c r="GT188" s="1221"/>
      <c r="GU188" s="1221"/>
      <c r="GV188" s="1221"/>
      <c r="GW188" s="1278">
        <f t="shared" si="1098"/>
        <v>0</v>
      </c>
      <c r="GX188" s="1282">
        <f t="shared" si="1095"/>
        <v>0</v>
      </c>
      <c r="GY188" s="1245"/>
      <c r="GZ188" s="1224"/>
      <c r="HA188" s="1218">
        <f t="shared" si="1107"/>
        <v>0</v>
      </c>
      <c r="HB188" s="1218">
        <f t="shared" si="1107"/>
        <v>0</v>
      </c>
      <c r="HC188" s="1224">
        <f t="shared" si="1108"/>
        <v>0</v>
      </c>
      <c r="HD188" s="1225">
        <f t="shared" si="1109"/>
        <v>0</v>
      </c>
      <c r="HE188" s="1690">
        <f t="shared" si="1110"/>
        <v>0</v>
      </c>
      <c r="HF188" s="1462">
        <f t="shared" si="1111"/>
        <v>0</v>
      </c>
      <c r="HG188" s="1176">
        <f t="shared" si="986"/>
        <v>90874.700000000012</v>
      </c>
      <c r="HH188" s="1177">
        <f t="shared" si="987"/>
        <v>0</v>
      </c>
      <c r="HI188" s="1177">
        <f t="shared" si="988"/>
        <v>0</v>
      </c>
      <c r="HJ188" s="1177">
        <f t="shared" si="989"/>
        <v>0</v>
      </c>
      <c r="HK188" s="1177">
        <f t="shared" si="990"/>
        <v>90874.700000000012</v>
      </c>
      <c r="HL188" s="1177">
        <f t="shared" si="991"/>
        <v>0</v>
      </c>
      <c r="HM188" s="1178">
        <f t="shared" si="1025"/>
        <v>0</v>
      </c>
      <c r="HN188" s="1179">
        <f t="shared" si="992"/>
        <v>0</v>
      </c>
      <c r="HO188" s="1180">
        <f t="shared" si="993"/>
        <v>0</v>
      </c>
      <c r="HP188" s="1180">
        <f t="shared" si="994"/>
        <v>90874.700000000012</v>
      </c>
      <c r="HQ188" s="1180">
        <f t="shared" si="995"/>
        <v>0</v>
      </c>
      <c r="HR188" s="1180">
        <f t="shared" si="996"/>
        <v>90874.700000000012</v>
      </c>
      <c r="HS188" s="1180">
        <f t="shared" si="997"/>
        <v>0</v>
      </c>
      <c r="HT188" s="1181">
        <f t="shared" si="1026"/>
        <v>0</v>
      </c>
      <c r="HU188" s="1228">
        <f t="shared" si="1027"/>
        <v>0</v>
      </c>
    </row>
    <row r="189" spans="1:229" s="1170" customFormat="1" ht="18" hidden="1" customHeight="1" outlineLevel="2" x14ac:dyDescent="0.2">
      <c r="A189" s="3673"/>
      <c r="B189" s="3672"/>
      <c r="C189" s="3698"/>
      <c r="D189" s="1167" t="s">
        <v>346</v>
      </c>
      <c r="E189" s="1202">
        <v>1</v>
      </c>
      <c r="F189" s="1203">
        <v>103.83</v>
      </c>
      <c r="G189" s="1204">
        <f t="shared" si="1028"/>
        <v>103.83</v>
      </c>
      <c r="H189" s="1205">
        <v>0</v>
      </c>
      <c r="I189" s="1203">
        <v>0</v>
      </c>
      <c r="J189" s="1203">
        <v>0</v>
      </c>
      <c r="K189" s="1205">
        <v>0</v>
      </c>
      <c r="L189" s="1203">
        <v>0</v>
      </c>
      <c r="M189" s="1203">
        <v>0</v>
      </c>
      <c r="N189" s="1230">
        <f t="shared" si="1029"/>
        <v>103.83</v>
      </c>
      <c r="O189" s="1359" t="s">
        <v>335</v>
      </c>
      <c r="P189" s="1360" t="s">
        <v>335</v>
      </c>
      <c r="Q189" s="1360" t="s">
        <v>335</v>
      </c>
      <c r="R189" s="1203">
        <v>70000</v>
      </c>
      <c r="S189" s="1249">
        <f>R189</f>
        <v>70000</v>
      </c>
      <c r="T189" s="1210">
        <f>R189</f>
        <v>70000</v>
      </c>
      <c r="U189" s="1233">
        <v>0</v>
      </c>
      <c r="V189" s="1233">
        <v>0</v>
      </c>
      <c r="W189" s="1176">
        <v>42685.5</v>
      </c>
      <c r="X189" s="1214">
        <v>0</v>
      </c>
      <c r="Y189" s="1214">
        <v>0</v>
      </c>
      <c r="Z189" s="1214">
        <v>0</v>
      </c>
      <c r="AA189" s="1177">
        <f t="shared" si="999"/>
        <v>42685.5</v>
      </c>
      <c r="AB189" s="1214">
        <f t="shared" si="1000"/>
        <v>0</v>
      </c>
      <c r="AC189" s="1178">
        <f t="shared" si="1001"/>
        <v>0</v>
      </c>
      <c r="AD189" s="1233">
        <v>0</v>
      </c>
      <c r="AE189" s="1233">
        <v>0</v>
      </c>
      <c r="AF189" s="1233">
        <v>42685.5</v>
      </c>
      <c r="AG189" s="1233"/>
      <c r="AH189" s="1215">
        <f t="shared" si="1002"/>
        <v>42685.5</v>
      </c>
      <c r="AI189" s="1211">
        <f t="shared" si="1003"/>
        <v>0</v>
      </c>
      <c r="AJ189" s="1216">
        <f t="shared" si="1004"/>
        <v>0</v>
      </c>
      <c r="AK189" s="1217">
        <f t="shared" si="1005"/>
        <v>0</v>
      </c>
      <c r="AL189" s="1245">
        <v>12047.3</v>
      </c>
      <c r="AM189" s="1218">
        <f t="shared" si="1079"/>
        <v>51366</v>
      </c>
      <c r="AN189" s="1219">
        <f t="shared" si="1006"/>
        <v>51366</v>
      </c>
      <c r="AO189" s="1284">
        <v>12047.3</v>
      </c>
      <c r="AP189" s="1221">
        <f>30866+14000+6500</f>
        <v>51366</v>
      </c>
      <c r="AQ189" s="1221"/>
      <c r="AR189" s="1221"/>
      <c r="AS189" s="1221">
        <f t="shared" si="1030"/>
        <v>12047.3</v>
      </c>
      <c r="AT189" s="1282">
        <f t="shared" si="1031"/>
        <v>51366</v>
      </c>
      <c r="AU189" s="1245"/>
      <c r="AV189" s="1224"/>
      <c r="AW189" s="1224">
        <f>AO189</f>
        <v>12047.3</v>
      </c>
      <c r="AX189" s="1224">
        <f>AP189</f>
        <v>51366</v>
      </c>
      <c r="AY189" s="1224">
        <f t="shared" si="949"/>
        <v>12047.3</v>
      </c>
      <c r="AZ189" s="1225">
        <f t="shared" si="1032"/>
        <v>51366</v>
      </c>
      <c r="BA189" s="1175">
        <f>U189+AM189</f>
        <v>51366</v>
      </c>
      <c r="BB189" s="1226">
        <f t="shared" si="1080"/>
        <v>51366</v>
      </c>
      <c r="BC189" s="1214">
        <f t="shared" si="1112"/>
        <v>54732.800000000003</v>
      </c>
      <c r="BD189" s="1177">
        <f t="shared" si="1112"/>
        <v>51366</v>
      </c>
      <c r="BE189" s="1177">
        <f t="shared" si="1112"/>
        <v>0</v>
      </c>
      <c r="BF189" s="1177">
        <f t="shared" si="1112"/>
        <v>0</v>
      </c>
      <c r="BG189" s="1177">
        <f t="shared" si="1113"/>
        <v>54732.800000000003</v>
      </c>
      <c r="BH189" s="1177">
        <f t="shared" si="932"/>
        <v>51366</v>
      </c>
      <c r="BI189" s="1178">
        <f t="shared" si="933"/>
        <v>0.73380000000000001</v>
      </c>
      <c r="BJ189" s="1175">
        <f t="shared" si="1102"/>
        <v>0</v>
      </c>
      <c r="BK189" s="1180">
        <f t="shared" si="1102"/>
        <v>0</v>
      </c>
      <c r="BL189" s="1180">
        <f t="shared" si="1082"/>
        <v>54732.800000000003</v>
      </c>
      <c r="BM189" s="1180">
        <f t="shared" si="1082"/>
        <v>51366</v>
      </c>
      <c r="BN189" s="1180">
        <f t="shared" si="1082"/>
        <v>54732.800000000003</v>
      </c>
      <c r="BO189" s="1180">
        <f t="shared" si="1083"/>
        <v>51366</v>
      </c>
      <c r="BP189" s="1227">
        <f t="shared" si="936"/>
        <v>0.73380000000000001</v>
      </c>
      <c r="BQ189" s="1228">
        <f t="shared" si="1084"/>
        <v>0.73380000000000001</v>
      </c>
      <c r="BR189" s="1283">
        <v>12047.3</v>
      </c>
      <c r="BS189" s="1218">
        <f>BV189</f>
        <v>7106.89</v>
      </c>
      <c r="BT189" s="1236">
        <f t="shared" si="1033"/>
        <v>7106.89</v>
      </c>
      <c r="BU189" s="1243">
        <v>12047.3</v>
      </c>
      <c r="BV189" s="1221">
        <f>5905.92+1200.97</f>
        <v>7106.89</v>
      </c>
      <c r="BW189" s="1221"/>
      <c r="BX189" s="1221"/>
      <c r="BY189" s="1221">
        <f t="shared" si="1034"/>
        <v>12047.3</v>
      </c>
      <c r="BZ189" s="1282">
        <f t="shared" si="1035"/>
        <v>7106.89</v>
      </c>
      <c r="CA189" s="1245"/>
      <c r="CB189" s="1224"/>
      <c r="CC189" s="1224">
        <f>BU189</f>
        <v>12047.3</v>
      </c>
      <c r="CD189" s="1224">
        <f t="shared" si="1085"/>
        <v>7106.89</v>
      </c>
      <c r="CE189" s="1224">
        <f t="shared" si="951"/>
        <v>12047.3</v>
      </c>
      <c r="CF189" s="1225">
        <f t="shared" si="1036"/>
        <v>7106.89</v>
      </c>
      <c r="CG189" s="1263">
        <f t="shared" si="952"/>
        <v>58472.89</v>
      </c>
      <c r="CH189" s="1259">
        <f t="shared" si="953"/>
        <v>58472.89</v>
      </c>
      <c r="CI189" s="1213">
        <f t="shared" si="954"/>
        <v>66780.100000000006</v>
      </c>
      <c r="CJ189" s="1174">
        <f t="shared" si="955"/>
        <v>58472.89</v>
      </c>
      <c r="CK189" s="1174">
        <f t="shared" si="956"/>
        <v>0</v>
      </c>
      <c r="CL189" s="1174">
        <f t="shared" si="957"/>
        <v>0</v>
      </c>
      <c r="CM189" s="1174">
        <f t="shared" si="958"/>
        <v>66780.100000000006</v>
      </c>
      <c r="CN189" s="1174">
        <f t="shared" si="959"/>
        <v>58472.89</v>
      </c>
      <c r="CO189" s="1260">
        <f t="shared" si="1086"/>
        <v>0.83532700000000004</v>
      </c>
      <c r="CP189" s="1321">
        <f t="shared" si="960"/>
        <v>0</v>
      </c>
      <c r="CQ189" s="1173">
        <f t="shared" si="961"/>
        <v>0</v>
      </c>
      <c r="CR189" s="1173">
        <f t="shared" si="962"/>
        <v>66780.100000000006</v>
      </c>
      <c r="CS189" s="1173">
        <f t="shared" si="963"/>
        <v>58472.89</v>
      </c>
      <c r="CT189" s="1173">
        <f t="shared" si="964"/>
        <v>66780.100000000006</v>
      </c>
      <c r="CU189" s="1173">
        <f t="shared" si="965"/>
        <v>58472.89</v>
      </c>
      <c r="CV189" s="1181">
        <f t="shared" si="822"/>
        <v>0.83532700000000004</v>
      </c>
      <c r="CW189" s="1274">
        <f t="shared" si="823"/>
        <v>0.83532700000000004</v>
      </c>
      <c r="CX189" s="1317">
        <v>12047.3</v>
      </c>
      <c r="CY189" s="1218"/>
      <c r="CZ189" s="1236"/>
      <c r="DA189" s="1284">
        <f t="shared" si="1009"/>
        <v>12047.3</v>
      </c>
      <c r="DB189" s="1221"/>
      <c r="DC189" s="1221"/>
      <c r="DD189" s="1221"/>
      <c r="DE189" s="1221">
        <f t="shared" si="1037"/>
        <v>12047.3</v>
      </c>
      <c r="DF189" s="1282">
        <f t="shared" si="1038"/>
        <v>0</v>
      </c>
      <c r="DG189" s="1245"/>
      <c r="DH189" s="1224"/>
      <c r="DI189" s="1224">
        <f>DA189</f>
        <v>12047.3</v>
      </c>
      <c r="DJ189" s="1224">
        <f t="shared" si="1087"/>
        <v>0</v>
      </c>
      <c r="DK189" s="1224">
        <f t="shared" si="966"/>
        <v>12047.3</v>
      </c>
      <c r="DL189" s="1225">
        <f t="shared" si="1039"/>
        <v>0</v>
      </c>
      <c r="DM189" s="1263">
        <f t="shared" si="967"/>
        <v>58472.89</v>
      </c>
      <c r="DN189" s="1259">
        <f t="shared" si="968"/>
        <v>58472.89</v>
      </c>
      <c r="DO189" s="1213">
        <f t="shared" si="969"/>
        <v>78827.400000000009</v>
      </c>
      <c r="DP189" s="1174">
        <f t="shared" si="970"/>
        <v>58472.89</v>
      </c>
      <c r="DQ189" s="1174">
        <f t="shared" si="971"/>
        <v>0</v>
      </c>
      <c r="DR189" s="1174">
        <f t="shared" si="972"/>
        <v>0</v>
      </c>
      <c r="DS189" s="1174">
        <f t="shared" si="973"/>
        <v>78827.400000000009</v>
      </c>
      <c r="DT189" s="1174">
        <f t="shared" si="974"/>
        <v>58472.89</v>
      </c>
      <c r="DU189" s="1260">
        <f t="shared" si="1011"/>
        <v>0.83532700000000004</v>
      </c>
      <c r="DV189" s="1321">
        <f t="shared" si="1114"/>
        <v>0</v>
      </c>
      <c r="DW189" s="1173">
        <f t="shared" si="1114"/>
        <v>0</v>
      </c>
      <c r="DX189" s="1173">
        <f t="shared" si="1115"/>
        <v>78827.400000000009</v>
      </c>
      <c r="DY189" s="1173">
        <f t="shared" si="1115"/>
        <v>58472.89</v>
      </c>
      <c r="DZ189" s="1173">
        <f t="shared" si="977"/>
        <v>78827.400000000009</v>
      </c>
      <c r="EA189" s="1173">
        <f t="shared" si="978"/>
        <v>58472.89</v>
      </c>
      <c r="EB189" s="1265">
        <f t="shared" si="1012"/>
        <v>0.83532700000000004</v>
      </c>
      <c r="EC189" s="1487">
        <f t="shared" si="1013"/>
        <v>0.83532700000000004</v>
      </c>
      <c r="ED189" s="1328">
        <v>12047.3</v>
      </c>
      <c r="EE189" s="1218"/>
      <c r="EF189" s="1236"/>
      <c r="EG189" s="1318">
        <v>12047.3</v>
      </c>
      <c r="EH189" s="1221"/>
      <c r="EI189" s="1221"/>
      <c r="EJ189" s="1221"/>
      <c r="EK189" s="1278">
        <f t="shared" si="1014"/>
        <v>12047.3</v>
      </c>
      <c r="EL189" s="1282">
        <f t="shared" si="1089"/>
        <v>0</v>
      </c>
      <c r="EM189" s="1245"/>
      <c r="EN189" s="1224"/>
      <c r="EO189" s="1218">
        <f t="shared" si="1015"/>
        <v>12047.3</v>
      </c>
      <c r="EP189" s="1218">
        <f t="shared" si="1016"/>
        <v>0</v>
      </c>
      <c r="EQ189" s="1224">
        <f t="shared" si="1053"/>
        <v>12047.3</v>
      </c>
      <c r="ER189" s="1225">
        <f t="shared" si="1054"/>
        <v>0</v>
      </c>
      <c r="ES189" s="1263">
        <f t="shared" si="1090"/>
        <v>58472.89</v>
      </c>
      <c r="ET189" s="1461">
        <f t="shared" si="1091"/>
        <v>58472.89</v>
      </c>
      <c r="EU189" s="1176">
        <f t="shared" si="868"/>
        <v>90874.700000000012</v>
      </c>
      <c r="EV189" s="1177">
        <f t="shared" si="1055"/>
        <v>58472.89</v>
      </c>
      <c r="EW189" s="1177">
        <f t="shared" si="1056"/>
        <v>0</v>
      </c>
      <c r="EX189" s="1177">
        <f t="shared" si="1057"/>
        <v>0</v>
      </c>
      <c r="EY189" s="1177">
        <f t="shared" si="1058"/>
        <v>90874.700000000012</v>
      </c>
      <c r="EZ189" s="1177">
        <f t="shared" si="1059"/>
        <v>58472.89</v>
      </c>
      <c r="FA189" s="1178">
        <f t="shared" si="1060"/>
        <v>0.83532700000000004</v>
      </c>
      <c r="FB189" s="1179">
        <f t="shared" si="1043"/>
        <v>0</v>
      </c>
      <c r="FC189" s="1180">
        <f t="shared" si="1044"/>
        <v>0</v>
      </c>
      <c r="FD189" s="1180">
        <f t="shared" si="1045"/>
        <v>90874.700000000012</v>
      </c>
      <c r="FE189" s="1180">
        <f t="shared" si="1046"/>
        <v>58472.89</v>
      </c>
      <c r="FF189" s="1180">
        <f t="shared" si="1047"/>
        <v>90874.700000000012</v>
      </c>
      <c r="FG189" s="1180">
        <f t="shared" si="1048"/>
        <v>58472.89</v>
      </c>
      <c r="FH189" s="1181">
        <f t="shared" si="1049"/>
        <v>0.83532700000000004</v>
      </c>
      <c r="FI189" s="1261">
        <f t="shared" si="1017"/>
        <v>0.83532700000000004</v>
      </c>
      <c r="FJ189" s="1328"/>
      <c r="FK189" s="1218"/>
      <c r="FL189" s="1219">
        <f t="shared" si="1018"/>
        <v>0</v>
      </c>
      <c r="FM189" s="1318"/>
      <c r="FN189" s="1221"/>
      <c r="FO189" s="1221"/>
      <c r="FP189" s="1221"/>
      <c r="FQ189" s="1278">
        <f t="shared" si="1019"/>
        <v>0</v>
      </c>
      <c r="FR189" s="1282">
        <f t="shared" si="1094"/>
        <v>0</v>
      </c>
      <c r="FS189" s="1245"/>
      <c r="FT189" s="1224"/>
      <c r="FU189" s="1218">
        <f t="shared" si="1020"/>
        <v>0</v>
      </c>
      <c r="FV189" s="1218">
        <f t="shared" si="1021"/>
        <v>0</v>
      </c>
      <c r="FW189" s="1224">
        <f t="shared" si="1061"/>
        <v>0</v>
      </c>
      <c r="FX189" s="1225">
        <f t="shared" si="1062"/>
        <v>0</v>
      </c>
      <c r="FY189" s="1262">
        <f t="shared" si="1050"/>
        <v>58472.89</v>
      </c>
      <c r="FZ189" s="1462">
        <f t="shared" si="1051"/>
        <v>58472.89</v>
      </c>
      <c r="GA189" s="1176">
        <f t="shared" si="871"/>
        <v>90874.700000000012</v>
      </c>
      <c r="GB189" s="1177">
        <f t="shared" si="1063"/>
        <v>58472.89</v>
      </c>
      <c r="GC189" s="1177">
        <f t="shared" si="1064"/>
        <v>0</v>
      </c>
      <c r="GD189" s="1177">
        <f t="shared" si="1065"/>
        <v>0</v>
      </c>
      <c r="GE189" s="1177">
        <f t="shared" si="1066"/>
        <v>90874.700000000012</v>
      </c>
      <c r="GF189" s="1177">
        <f t="shared" si="1067"/>
        <v>58472.89</v>
      </c>
      <c r="GG189" s="1178">
        <f t="shared" si="1068"/>
        <v>0.83532700000000004</v>
      </c>
      <c r="GH189" s="1179">
        <f t="shared" si="1069"/>
        <v>0</v>
      </c>
      <c r="GI189" s="1180">
        <f t="shared" si="1070"/>
        <v>0</v>
      </c>
      <c r="GJ189" s="1180">
        <f t="shared" si="1071"/>
        <v>90874.700000000012</v>
      </c>
      <c r="GK189" s="1180">
        <f t="shared" si="1072"/>
        <v>58472.89</v>
      </c>
      <c r="GL189" s="1180">
        <f t="shared" si="1073"/>
        <v>90874.700000000012</v>
      </c>
      <c r="GM189" s="1180">
        <f t="shared" si="1074"/>
        <v>58472.89</v>
      </c>
      <c r="GN189" s="1181">
        <f t="shared" si="1075"/>
        <v>0.83532700000000004</v>
      </c>
      <c r="GO189" s="1228">
        <f t="shared" si="1023"/>
        <v>0.83532700000000004</v>
      </c>
      <c r="GP189" s="1328"/>
      <c r="GQ189" s="1218">
        <f>GR189</f>
        <v>1500</v>
      </c>
      <c r="GR189" s="1219">
        <f t="shared" si="1092"/>
        <v>1500</v>
      </c>
      <c r="GS189" s="1318">
        <v>12047.3</v>
      </c>
      <c r="GT189" s="1221">
        <v>1500</v>
      </c>
      <c r="GU189" s="1221"/>
      <c r="GV189" s="1221"/>
      <c r="GW189" s="1278">
        <f t="shared" si="1098"/>
        <v>12047.3</v>
      </c>
      <c r="GX189" s="1282">
        <f t="shared" si="1095"/>
        <v>1500</v>
      </c>
      <c r="GY189" s="1245"/>
      <c r="GZ189" s="1224"/>
      <c r="HA189" s="1218">
        <f t="shared" si="1107"/>
        <v>12047.3</v>
      </c>
      <c r="HB189" s="1218">
        <f t="shared" si="1107"/>
        <v>1500</v>
      </c>
      <c r="HC189" s="1224">
        <f t="shared" si="1108"/>
        <v>12047.3</v>
      </c>
      <c r="HD189" s="1225">
        <f t="shared" si="1109"/>
        <v>1500</v>
      </c>
      <c r="HE189" s="1690">
        <f t="shared" si="1110"/>
        <v>59972.89</v>
      </c>
      <c r="HF189" s="1462">
        <f t="shared" si="1111"/>
        <v>59972.89</v>
      </c>
      <c r="HG189" s="1176">
        <f t="shared" si="986"/>
        <v>102922.00000000001</v>
      </c>
      <c r="HH189" s="1177">
        <f t="shared" si="987"/>
        <v>59972.89</v>
      </c>
      <c r="HI189" s="1177">
        <f t="shared" si="988"/>
        <v>0</v>
      </c>
      <c r="HJ189" s="1177">
        <f t="shared" si="989"/>
        <v>0</v>
      </c>
      <c r="HK189" s="1177">
        <f t="shared" si="990"/>
        <v>102922.00000000001</v>
      </c>
      <c r="HL189" s="1177">
        <f t="shared" si="991"/>
        <v>59972.89</v>
      </c>
      <c r="HM189" s="1178">
        <f t="shared" si="1025"/>
        <v>0.85675557142857139</v>
      </c>
      <c r="HN189" s="1179">
        <f t="shared" si="992"/>
        <v>0</v>
      </c>
      <c r="HO189" s="1180">
        <f t="shared" si="993"/>
        <v>0</v>
      </c>
      <c r="HP189" s="1180">
        <f t="shared" si="994"/>
        <v>102922.00000000001</v>
      </c>
      <c r="HQ189" s="1180">
        <f t="shared" si="995"/>
        <v>59972.89</v>
      </c>
      <c r="HR189" s="1180">
        <f t="shared" si="996"/>
        <v>102922.00000000001</v>
      </c>
      <c r="HS189" s="1180">
        <f t="shared" si="997"/>
        <v>59972.89</v>
      </c>
      <c r="HT189" s="1181">
        <f t="shared" si="1026"/>
        <v>0.85675557142857139</v>
      </c>
      <c r="HU189" s="1228">
        <f t="shared" si="1027"/>
        <v>0.85675557142857139</v>
      </c>
    </row>
    <row r="190" spans="1:229" s="1170" customFormat="1" ht="18" hidden="1" customHeight="1" outlineLevel="2" x14ac:dyDescent="0.2">
      <c r="A190" s="3673"/>
      <c r="B190" s="3672"/>
      <c r="C190" s="3699"/>
      <c r="D190" s="1167" t="s">
        <v>517</v>
      </c>
      <c r="E190" s="1202">
        <v>1</v>
      </c>
      <c r="F190" s="1203">
        <v>68.44</v>
      </c>
      <c r="G190" s="1204">
        <v>68.44</v>
      </c>
      <c r="H190" s="1205">
        <v>0</v>
      </c>
      <c r="I190" s="1203">
        <v>0</v>
      </c>
      <c r="J190" s="1203">
        <v>0</v>
      </c>
      <c r="K190" s="1205">
        <v>0</v>
      </c>
      <c r="L190" s="1203">
        <v>0</v>
      </c>
      <c r="M190" s="1203">
        <v>0</v>
      </c>
      <c r="N190" s="1230">
        <f t="shared" si="1029"/>
        <v>68.44</v>
      </c>
      <c r="O190" s="1359" t="s">
        <v>335</v>
      </c>
      <c r="P190" s="1360" t="s">
        <v>335</v>
      </c>
      <c r="Q190" s="1360" t="s">
        <v>335</v>
      </c>
      <c r="R190" s="1203">
        <v>32046.35</v>
      </c>
      <c r="S190" s="1249">
        <f>R190</f>
        <v>32046.35</v>
      </c>
      <c r="T190" s="1210">
        <f>R190</f>
        <v>32046.35</v>
      </c>
      <c r="U190" s="1233">
        <v>0</v>
      </c>
      <c r="V190" s="1480">
        <v>0</v>
      </c>
      <c r="W190" s="1176">
        <v>0</v>
      </c>
      <c r="X190" s="1214">
        <v>0</v>
      </c>
      <c r="Y190" s="1214">
        <v>0</v>
      </c>
      <c r="Z190" s="1214">
        <v>0</v>
      </c>
      <c r="AA190" s="1177">
        <f t="shared" si="999"/>
        <v>0</v>
      </c>
      <c r="AB190" s="1214">
        <f t="shared" si="1000"/>
        <v>0</v>
      </c>
      <c r="AC190" s="1178">
        <f t="shared" si="1001"/>
        <v>0</v>
      </c>
      <c r="AD190" s="1233">
        <v>0</v>
      </c>
      <c r="AE190" s="1233">
        <v>0</v>
      </c>
      <c r="AF190" s="1233">
        <v>0</v>
      </c>
      <c r="AG190" s="1233">
        <v>0</v>
      </c>
      <c r="AH190" s="1215">
        <f t="shared" si="1002"/>
        <v>0</v>
      </c>
      <c r="AI190" s="1211">
        <f t="shared" si="1003"/>
        <v>0</v>
      </c>
      <c r="AJ190" s="1216">
        <f t="shared" si="1004"/>
        <v>0</v>
      </c>
      <c r="AK190" s="1217">
        <f t="shared" si="1005"/>
        <v>0</v>
      </c>
      <c r="AL190" s="1245">
        <v>0</v>
      </c>
      <c r="AM190" s="1319">
        <v>0</v>
      </c>
      <c r="AN190" s="1219">
        <v>0</v>
      </c>
      <c r="AO190" s="1318">
        <v>0</v>
      </c>
      <c r="AP190" s="1243">
        <v>0</v>
      </c>
      <c r="AQ190" s="1243">
        <v>0</v>
      </c>
      <c r="AR190" s="1243">
        <v>0</v>
      </c>
      <c r="AS190" s="1221">
        <f t="shared" si="1030"/>
        <v>0</v>
      </c>
      <c r="AT190" s="1282">
        <f t="shared" si="1031"/>
        <v>0</v>
      </c>
      <c r="AU190" s="1245">
        <v>0</v>
      </c>
      <c r="AV190" s="1245">
        <v>0</v>
      </c>
      <c r="AW190" s="1245">
        <v>0</v>
      </c>
      <c r="AX190" s="1245">
        <v>0</v>
      </c>
      <c r="AY190" s="1224">
        <f t="shared" si="949"/>
        <v>0</v>
      </c>
      <c r="AZ190" s="1225">
        <f t="shared" si="1032"/>
        <v>0</v>
      </c>
      <c r="BA190" s="1175">
        <v>0</v>
      </c>
      <c r="BB190" s="1226">
        <v>0</v>
      </c>
      <c r="BC190" s="1214">
        <v>0</v>
      </c>
      <c r="BD190" s="1214">
        <v>0</v>
      </c>
      <c r="BE190" s="1214">
        <v>0</v>
      </c>
      <c r="BF190" s="1214">
        <v>0</v>
      </c>
      <c r="BG190" s="1177">
        <f t="shared" si="1113"/>
        <v>0</v>
      </c>
      <c r="BH190" s="1177">
        <f t="shared" si="932"/>
        <v>0</v>
      </c>
      <c r="BI190" s="1178">
        <f t="shared" si="933"/>
        <v>0</v>
      </c>
      <c r="BJ190" s="1175">
        <f t="shared" si="1102"/>
        <v>0</v>
      </c>
      <c r="BK190" s="1175">
        <f t="shared" si="1102"/>
        <v>0</v>
      </c>
      <c r="BL190" s="1175">
        <f t="shared" si="1082"/>
        <v>0</v>
      </c>
      <c r="BM190" s="1175">
        <v>0</v>
      </c>
      <c r="BN190" s="1180">
        <f t="shared" si="1082"/>
        <v>0</v>
      </c>
      <c r="BO190" s="1180">
        <f t="shared" si="1083"/>
        <v>0</v>
      </c>
      <c r="BP190" s="1227">
        <f t="shared" si="936"/>
        <v>0</v>
      </c>
      <c r="BQ190" s="1228">
        <f t="shared" si="1084"/>
        <v>0</v>
      </c>
      <c r="BR190" s="1343">
        <v>0</v>
      </c>
      <c r="BS190" s="1218">
        <v>0</v>
      </c>
      <c r="BT190" s="1236">
        <v>0</v>
      </c>
      <c r="BU190" s="1243">
        <v>0</v>
      </c>
      <c r="BV190" s="1243">
        <v>0</v>
      </c>
      <c r="BW190" s="1243">
        <v>0</v>
      </c>
      <c r="BX190" s="1243">
        <v>0</v>
      </c>
      <c r="BY190" s="1221">
        <f t="shared" si="1034"/>
        <v>0</v>
      </c>
      <c r="BZ190" s="1282">
        <f t="shared" si="1035"/>
        <v>0</v>
      </c>
      <c r="CA190" s="1245">
        <v>0</v>
      </c>
      <c r="CB190" s="1245">
        <v>0</v>
      </c>
      <c r="CC190" s="1245">
        <v>0</v>
      </c>
      <c r="CD190" s="1245">
        <v>0</v>
      </c>
      <c r="CE190" s="1245">
        <f t="shared" si="951"/>
        <v>0</v>
      </c>
      <c r="CF190" s="1225">
        <f t="shared" si="1036"/>
        <v>0</v>
      </c>
      <c r="CG190" s="1263">
        <v>0</v>
      </c>
      <c r="CH190" s="1259">
        <v>0</v>
      </c>
      <c r="CI190" s="1213">
        <v>0</v>
      </c>
      <c r="CJ190" s="1174">
        <v>0</v>
      </c>
      <c r="CK190" s="1174">
        <v>0</v>
      </c>
      <c r="CL190" s="1174">
        <v>0</v>
      </c>
      <c r="CM190" s="1174">
        <f t="shared" si="958"/>
        <v>0</v>
      </c>
      <c r="CN190" s="1174">
        <f t="shared" si="959"/>
        <v>0</v>
      </c>
      <c r="CO190" s="1260">
        <f t="shared" si="1086"/>
        <v>0</v>
      </c>
      <c r="CP190" s="1321">
        <v>0</v>
      </c>
      <c r="CQ190" s="1173">
        <v>0</v>
      </c>
      <c r="CR190" s="1173">
        <v>0</v>
      </c>
      <c r="CS190" s="1173">
        <v>0</v>
      </c>
      <c r="CT190" s="1173">
        <f t="shared" si="964"/>
        <v>0</v>
      </c>
      <c r="CU190" s="1173">
        <f t="shared" si="965"/>
        <v>0</v>
      </c>
      <c r="CV190" s="1181">
        <f t="shared" si="822"/>
        <v>0</v>
      </c>
      <c r="CW190" s="1274">
        <f t="shared" si="823"/>
        <v>0</v>
      </c>
      <c r="CX190" s="1481">
        <v>0</v>
      </c>
      <c r="CY190" s="1218">
        <v>0</v>
      </c>
      <c r="CZ190" s="1236">
        <v>0</v>
      </c>
      <c r="DA190" s="1318">
        <v>0</v>
      </c>
      <c r="DB190" s="1243">
        <v>0</v>
      </c>
      <c r="DC190" s="1243">
        <v>0</v>
      </c>
      <c r="DD190" s="1243">
        <v>0</v>
      </c>
      <c r="DE190" s="1221">
        <f t="shared" si="1037"/>
        <v>0</v>
      </c>
      <c r="DF190" s="1282">
        <f t="shared" si="1038"/>
        <v>0</v>
      </c>
      <c r="DG190" s="1245">
        <v>0</v>
      </c>
      <c r="DH190" s="1245">
        <v>0</v>
      </c>
      <c r="DI190" s="1245">
        <v>0</v>
      </c>
      <c r="DJ190" s="1245">
        <v>0</v>
      </c>
      <c r="DK190" s="1224">
        <f t="shared" si="966"/>
        <v>0</v>
      </c>
      <c r="DL190" s="1225">
        <f t="shared" si="1039"/>
        <v>0</v>
      </c>
      <c r="DM190" s="1263">
        <v>0</v>
      </c>
      <c r="DN190" s="1259">
        <v>0</v>
      </c>
      <c r="DO190" s="1213">
        <v>0</v>
      </c>
      <c r="DP190" s="1174">
        <v>0</v>
      </c>
      <c r="DQ190" s="1174">
        <v>0</v>
      </c>
      <c r="DR190" s="1174">
        <v>0</v>
      </c>
      <c r="DS190" s="1174">
        <f t="shared" si="973"/>
        <v>0</v>
      </c>
      <c r="DT190" s="1174">
        <f t="shared" si="974"/>
        <v>0</v>
      </c>
      <c r="DU190" s="1260">
        <f t="shared" si="1011"/>
        <v>0</v>
      </c>
      <c r="DV190" s="1321">
        <v>0</v>
      </c>
      <c r="DW190" s="1173">
        <v>0</v>
      </c>
      <c r="DX190" s="1173">
        <v>0</v>
      </c>
      <c r="DY190" s="1173">
        <v>0</v>
      </c>
      <c r="DZ190" s="1173">
        <f t="shared" si="977"/>
        <v>0</v>
      </c>
      <c r="EA190" s="1173">
        <f t="shared" si="978"/>
        <v>0</v>
      </c>
      <c r="EB190" s="1265">
        <f t="shared" si="1012"/>
        <v>0</v>
      </c>
      <c r="EC190" s="1487">
        <f t="shared" si="1013"/>
        <v>0</v>
      </c>
      <c r="ED190" s="1328">
        <v>12047.3</v>
      </c>
      <c r="EE190" s="1218"/>
      <c r="EF190" s="1236"/>
      <c r="EG190" s="1318">
        <v>12047.3</v>
      </c>
      <c r="EH190" s="1243"/>
      <c r="EI190" s="1243"/>
      <c r="EJ190" s="1243"/>
      <c r="EK190" s="1278">
        <f t="shared" si="1014"/>
        <v>12047.3</v>
      </c>
      <c r="EL190" s="1282">
        <f t="shared" si="1089"/>
        <v>0</v>
      </c>
      <c r="EM190" s="1245"/>
      <c r="EN190" s="1245"/>
      <c r="EO190" s="1218">
        <f t="shared" si="1015"/>
        <v>12047.3</v>
      </c>
      <c r="EP190" s="1218">
        <f t="shared" si="1016"/>
        <v>0</v>
      </c>
      <c r="EQ190" s="1224">
        <f t="shared" si="1053"/>
        <v>12047.3</v>
      </c>
      <c r="ER190" s="1225">
        <f t="shared" si="1054"/>
        <v>0</v>
      </c>
      <c r="ES190" s="1263"/>
      <c r="ET190" s="1461"/>
      <c r="EU190" s="1176">
        <f t="shared" si="868"/>
        <v>12047.3</v>
      </c>
      <c r="EV190" s="1177">
        <f t="shared" si="1055"/>
        <v>0</v>
      </c>
      <c r="EW190" s="1177">
        <f t="shared" si="1056"/>
        <v>0</v>
      </c>
      <c r="EX190" s="1177">
        <f t="shared" si="1057"/>
        <v>0</v>
      </c>
      <c r="EY190" s="1177">
        <f t="shared" si="1058"/>
        <v>12047.3</v>
      </c>
      <c r="EZ190" s="1177">
        <f t="shared" si="1059"/>
        <v>0</v>
      </c>
      <c r="FA190" s="1178">
        <f t="shared" si="1060"/>
        <v>0</v>
      </c>
      <c r="FB190" s="1179">
        <f t="shared" si="1043"/>
        <v>0</v>
      </c>
      <c r="FC190" s="1180">
        <f t="shared" si="1044"/>
        <v>0</v>
      </c>
      <c r="FD190" s="1180">
        <f t="shared" si="1045"/>
        <v>12047.3</v>
      </c>
      <c r="FE190" s="1180">
        <f t="shared" si="1046"/>
        <v>0</v>
      </c>
      <c r="FF190" s="1180">
        <f t="shared" si="1047"/>
        <v>12047.3</v>
      </c>
      <c r="FG190" s="1180">
        <f t="shared" si="1048"/>
        <v>0</v>
      </c>
      <c r="FH190" s="1181">
        <f t="shared" si="1049"/>
        <v>0</v>
      </c>
      <c r="FI190" s="1261">
        <f t="shared" si="1017"/>
        <v>0</v>
      </c>
      <c r="FJ190" s="1328"/>
      <c r="FK190" s="1218"/>
      <c r="FL190" s="1219">
        <f t="shared" si="1018"/>
        <v>0</v>
      </c>
      <c r="FM190" s="1318"/>
      <c r="FN190" s="1243"/>
      <c r="FO190" s="1243"/>
      <c r="FP190" s="1243"/>
      <c r="FQ190" s="1278">
        <f t="shared" si="1019"/>
        <v>0</v>
      </c>
      <c r="FR190" s="1282"/>
      <c r="FS190" s="1245"/>
      <c r="FT190" s="1245"/>
      <c r="FU190" s="1218">
        <f t="shared" si="1020"/>
        <v>0</v>
      </c>
      <c r="FV190" s="1218">
        <f t="shared" si="1021"/>
        <v>0</v>
      </c>
      <c r="FW190" s="1224">
        <f t="shared" si="1061"/>
        <v>0</v>
      </c>
      <c r="FX190" s="1225">
        <f t="shared" si="1062"/>
        <v>0</v>
      </c>
      <c r="FY190" s="1262">
        <f t="shared" si="1050"/>
        <v>0</v>
      </c>
      <c r="FZ190" s="1462">
        <f t="shared" si="1051"/>
        <v>0</v>
      </c>
      <c r="GA190" s="1176">
        <f t="shared" si="871"/>
        <v>12047.3</v>
      </c>
      <c r="GB190" s="1177">
        <f t="shared" si="1063"/>
        <v>0</v>
      </c>
      <c r="GC190" s="1177">
        <f t="shared" si="1064"/>
        <v>0</v>
      </c>
      <c r="GD190" s="1177">
        <f t="shared" si="1065"/>
        <v>0</v>
      </c>
      <c r="GE190" s="1177">
        <f t="shared" si="1066"/>
        <v>12047.3</v>
      </c>
      <c r="GF190" s="1177">
        <f t="shared" si="1067"/>
        <v>0</v>
      </c>
      <c r="GG190" s="1178">
        <f t="shared" si="1068"/>
        <v>0</v>
      </c>
      <c r="GH190" s="1179">
        <f t="shared" si="1069"/>
        <v>0</v>
      </c>
      <c r="GI190" s="1180">
        <f t="shared" si="1070"/>
        <v>0</v>
      </c>
      <c r="GJ190" s="1180">
        <f t="shared" si="1071"/>
        <v>12047.3</v>
      </c>
      <c r="GK190" s="1180">
        <f t="shared" si="1072"/>
        <v>0</v>
      </c>
      <c r="GL190" s="1180">
        <f t="shared" si="1073"/>
        <v>12047.3</v>
      </c>
      <c r="GM190" s="1180">
        <f t="shared" si="1074"/>
        <v>0</v>
      </c>
      <c r="GN190" s="1181">
        <f t="shared" si="1075"/>
        <v>0</v>
      </c>
      <c r="GO190" s="1228">
        <f t="shared" si="1023"/>
        <v>0</v>
      </c>
      <c r="GP190" s="1328"/>
      <c r="GQ190" s="1218"/>
      <c r="GR190" s="1219">
        <f t="shared" si="1092"/>
        <v>0</v>
      </c>
      <c r="GS190" s="1318"/>
      <c r="GT190" s="1243"/>
      <c r="GU190" s="1243"/>
      <c r="GV190" s="1243"/>
      <c r="GW190" s="1278">
        <f t="shared" si="1098"/>
        <v>0</v>
      </c>
      <c r="GX190" s="1282"/>
      <c r="GY190" s="1245"/>
      <c r="GZ190" s="1245"/>
      <c r="HA190" s="1218">
        <f t="shared" si="1107"/>
        <v>0</v>
      </c>
      <c r="HB190" s="1218">
        <f t="shared" si="1107"/>
        <v>0</v>
      </c>
      <c r="HC190" s="1224">
        <f t="shared" si="1108"/>
        <v>0</v>
      </c>
      <c r="HD190" s="1225">
        <f t="shared" si="1109"/>
        <v>0</v>
      </c>
      <c r="HE190" s="1690">
        <f t="shared" si="1110"/>
        <v>0</v>
      </c>
      <c r="HF190" s="1462">
        <f t="shared" si="1111"/>
        <v>0</v>
      </c>
      <c r="HG190" s="1176">
        <f t="shared" si="986"/>
        <v>12047.3</v>
      </c>
      <c r="HH190" s="1177">
        <f t="shared" si="987"/>
        <v>0</v>
      </c>
      <c r="HI190" s="1177">
        <f t="shared" si="988"/>
        <v>0</v>
      </c>
      <c r="HJ190" s="1177">
        <f t="shared" si="989"/>
        <v>0</v>
      </c>
      <c r="HK190" s="1177">
        <f t="shared" si="990"/>
        <v>12047.3</v>
      </c>
      <c r="HL190" s="1177">
        <f t="shared" si="991"/>
        <v>0</v>
      </c>
      <c r="HM190" s="1178">
        <f t="shared" si="1025"/>
        <v>0</v>
      </c>
      <c r="HN190" s="1179">
        <f t="shared" si="992"/>
        <v>0</v>
      </c>
      <c r="HO190" s="1180">
        <f t="shared" si="993"/>
        <v>0</v>
      </c>
      <c r="HP190" s="1180">
        <f t="shared" si="994"/>
        <v>12047.3</v>
      </c>
      <c r="HQ190" s="1180">
        <f t="shared" si="995"/>
        <v>0</v>
      </c>
      <c r="HR190" s="1180">
        <f t="shared" si="996"/>
        <v>12047.3</v>
      </c>
      <c r="HS190" s="1180">
        <f t="shared" si="997"/>
        <v>0</v>
      </c>
      <c r="HT190" s="1181">
        <f t="shared" si="1026"/>
        <v>0</v>
      </c>
      <c r="HU190" s="1228">
        <f t="shared" si="1027"/>
        <v>0</v>
      </c>
    </row>
    <row r="191" spans="1:229" ht="18" customHeight="1" collapsed="1" x14ac:dyDescent="0.2">
      <c r="A191" s="3673"/>
      <c r="B191" s="3672"/>
      <c r="C191" s="1368" t="s">
        <v>475</v>
      </c>
      <c r="D191" s="667" t="s">
        <v>477</v>
      </c>
      <c r="E191" s="1150" t="s">
        <v>335</v>
      </c>
      <c r="F191" s="1151" t="s">
        <v>335</v>
      </c>
      <c r="G191" s="1151" t="s">
        <v>335</v>
      </c>
      <c r="H191" s="1151" t="s">
        <v>335</v>
      </c>
      <c r="I191" s="1151" t="s">
        <v>335</v>
      </c>
      <c r="J191" s="1151" t="s">
        <v>335</v>
      </c>
      <c r="K191" s="1151" t="s">
        <v>335</v>
      </c>
      <c r="L191" s="1151" t="s">
        <v>335</v>
      </c>
      <c r="M191" s="1151" t="s">
        <v>335</v>
      </c>
      <c r="N191" s="1152" t="s">
        <v>335</v>
      </c>
      <c r="O191" s="1150" t="s">
        <v>335</v>
      </c>
      <c r="P191" s="1151" t="s">
        <v>335</v>
      </c>
      <c r="Q191" s="1151" t="s">
        <v>335</v>
      </c>
      <c r="R191" s="258">
        <f>SUM(R192:R208)</f>
        <v>3422496.1600000006</v>
      </c>
      <c r="S191" s="258">
        <f>SUM(S192:S208)</f>
        <v>3422496.1600000006</v>
      </c>
      <c r="T191" s="1345" t="s">
        <v>335</v>
      </c>
      <c r="U191" s="1346" t="s">
        <v>335</v>
      </c>
      <c r="V191" s="1347" t="s">
        <v>335</v>
      </c>
      <c r="W191" s="524">
        <f t="shared" ref="W191:AB191" si="1127">SUM(W192:W208)</f>
        <v>1883448</v>
      </c>
      <c r="X191" s="524">
        <f t="shared" si="1127"/>
        <v>1517743.42</v>
      </c>
      <c r="Y191" s="524">
        <f t="shared" si="1127"/>
        <v>0</v>
      </c>
      <c r="Z191" s="524">
        <f t="shared" si="1127"/>
        <v>0</v>
      </c>
      <c r="AA191" s="524">
        <f t="shared" si="1127"/>
        <v>1883448</v>
      </c>
      <c r="AB191" s="524">
        <f t="shared" si="1127"/>
        <v>1517743.42</v>
      </c>
      <c r="AC191" s="526">
        <f>AB191/R191</f>
        <v>0.4434609562863614</v>
      </c>
      <c r="AD191" s="176">
        <f t="shared" ref="AD191:AI191" si="1128">SUM(AD192:AD208)</f>
        <v>2047494.85</v>
      </c>
      <c r="AE191" s="176">
        <f t="shared" si="1128"/>
        <v>1401712.72</v>
      </c>
      <c r="AF191" s="176">
        <f t="shared" si="1128"/>
        <v>0</v>
      </c>
      <c r="AG191" s="176">
        <f t="shared" si="1128"/>
        <v>0</v>
      </c>
      <c r="AH191" s="176">
        <f t="shared" si="1128"/>
        <v>2047494.85</v>
      </c>
      <c r="AI191" s="176">
        <f t="shared" si="1128"/>
        <v>1401712.72</v>
      </c>
      <c r="AJ191" s="527">
        <f>AI191/R191</f>
        <v>0.40955859538495426</v>
      </c>
      <c r="AK191" s="1398" t="s">
        <v>335</v>
      </c>
      <c r="AL191" s="529"/>
      <c r="AM191" s="529"/>
      <c r="AN191" s="725"/>
      <c r="AO191" s="1257">
        <f t="shared" ref="AO191:AZ191" si="1129">SUM(AO192:AO207)</f>
        <v>0</v>
      </c>
      <c r="AP191" s="1257">
        <f t="shared" si="1129"/>
        <v>47451.31</v>
      </c>
      <c r="AQ191" s="1257">
        <f t="shared" si="1129"/>
        <v>0</v>
      </c>
      <c r="AR191" s="1257">
        <f t="shared" si="1129"/>
        <v>0</v>
      </c>
      <c r="AS191" s="1257">
        <f t="shared" si="1129"/>
        <v>0</v>
      </c>
      <c r="AT191" s="532">
        <f t="shared" si="1129"/>
        <v>47451.31</v>
      </c>
      <c r="AU191" s="529">
        <f t="shared" si="1129"/>
        <v>0</v>
      </c>
      <c r="AV191" s="529">
        <f t="shared" si="1129"/>
        <v>0</v>
      </c>
      <c r="AW191" s="529">
        <f t="shared" si="1129"/>
        <v>0</v>
      </c>
      <c r="AX191" s="529">
        <f t="shared" si="1129"/>
        <v>0</v>
      </c>
      <c r="AY191" s="529">
        <f t="shared" si="1129"/>
        <v>0</v>
      </c>
      <c r="AZ191" s="529">
        <f t="shared" si="1129"/>
        <v>0</v>
      </c>
      <c r="BA191" s="1138"/>
      <c r="BB191" s="536"/>
      <c r="BC191" s="524">
        <f t="shared" ref="BC191:BH191" si="1130">SUM(BC192:BC208)</f>
        <v>1883448</v>
      </c>
      <c r="BD191" s="524">
        <f t="shared" si="1130"/>
        <v>1565194.73</v>
      </c>
      <c r="BE191" s="524">
        <f t="shared" si="1130"/>
        <v>0</v>
      </c>
      <c r="BF191" s="524">
        <f t="shared" si="1130"/>
        <v>0</v>
      </c>
      <c r="BG191" s="524">
        <f t="shared" si="1130"/>
        <v>1883448</v>
      </c>
      <c r="BH191" s="524">
        <f t="shared" si="1130"/>
        <v>1565194.73</v>
      </c>
      <c r="BI191" s="526">
        <f t="shared" si="933"/>
        <v>0.45732548900799924</v>
      </c>
      <c r="BJ191" s="176">
        <f t="shared" ref="BJ191:BO191" si="1131">SUM(BJ192:BJ208)</f>
        <v>2047494.85</v>
      </c>
      <c r="BK191" s="176">
        <f t="shared" si="1131"/>
        <v>1401712.72</v>
      </c>
      <c r="BL191" s="176">
        <f t="shared" si="1131"/>
        <v>0</v>
      </c>
      <c r="BM191" s="176">
        <f t="shared" si="1131"/>
        <v>0</v>
      </c>
      <c r="BN191" s="176">
        <f t="shared" si="1131"/>
        <v>2047494.85</v>
      </c>
      <c r="BO191" s="176">
        <f t="shared" si="1131"/>
        <v>1401712.72</v>
      </c>
      <c r="BP191" s="539">
        <f>BO191/R191</f>
        <v>0.40955859538495426</v>
      </c>
      <c r="BQ191" s="1398" t="s">
        <v>335</v>
      </c>
      <c r="BR191" s="1370"/>
      <c r="BS191" s="533"/>
      <c r="BT191" s="725"/>
      <c r="BU191" s="1257">
        <f t="shared" ref="BU191:CF191" si="1132">SUM(BU192:BU207)</f>
        <v>0</v>
      </c>
      <c r="BV191" s="1257">
        <f t="shared" si="1132"/>
        <v>0</v>
      </c>
      <c r="BW191" s="1257">
        <f t="shared" si="1132"/>
        <v>0</v>
      </c>
      <c r="BX191" s="1257">
        <f t="shared" si="1132"/>
        <v>0</v>
      </c>
      <c r="BY191" s="1257">
        <f t="shared" si="1132"/>
        <v>0</v>
      </c>
      <c r="BZ191" s="532">
        <f t="shared" si="1132"/>
        <v>0</v>
      </c>
      <c r="CA191" s="529">
        <f>SUM(CA192:CA208)</f>
        <v>0</v>
      </c>
      <c r="CB191" s="529">
        <f>SUM(CB192:CB208)</f>
        <v>0</v>
      </c>
      <c r="CC191" s="529">
        <f t="shared" si="1132"/>
        <v>0</v>
      </c>
      <c r="CD191" s="529">
        <f t="shared" si="1132"/>
        <v>0</v>
      </c>
      <c r="CE191" s="529">
        <f t="shared" si="1132"/>
        <v>0</v>
      </c>
      <c r="CF191" s="529">
        <f t="shared" si="1132"/>
        <v>0</v>
      </c>
      <c r="CG191" s="1346" t="s">
        <v>335</v>
      </c>
      <c r="CH191" s="1347" t="s">
        <v>335</v>
      </c>
      <c r="CI191" s="524">
        <f t="shared" ref="CI191:CN191" si="1133">SUM(CI192:CI208)</f>
        <v>1883448</v>
      </c>
      <c r="CJ191" s="524">
        <f t="shared" si="1133"/>
        <v>1565194.73</v>
      </c>
      <c r="CK191" s="524">
        <f t="shared" si="1133"/>
        <v>0</v>
      </c>
      <c r="CL191" s="524">
        <f t="shared" si="1133"/>
        <v>0</v>
      </c>
      <c r="CM191" s="524">
        <f t="shared" si="1133"/>
        <v>1883448</v>
      </c>
      <c r="CN191" s="524">
        <f t="shared" si="1133"/>
        <v>1565194.73</v>
      </c>
      <c r="CO191" s="526">
        <f t="shared" ref="CO191:CO208" si="1134">CN191/R191</f>
        <v>0.45732548900799924</v>
      </c>
      <c r="CP191" s="176">
        <f t="shared" ref="CP191:CU191" si="1135">SUM(CP192:CP208)</f>
        <v>2047494.85</v>
      </c>
      <c r="CQ191" s="176">
        <f t="shared" si="1135"/>
        <v>1401712.72</v>
      </c>
      <c r="CR191" s="176">
        <f t="shared" si="1135"/>
        <v>0</v>
      </c>
      <c r="CS191" s="176">
        <f t="shared" si="1135"/>
        <v>0</v>
      </c>
      <c r="CT191" s="176">
        <f t="shared" si="1135"/>
        <v>2047494.85</v>
      </c>
      <c r="CU191" s="176">
        <f t="shared" si="1135"/>
        <v>1401712.72</v>
      </c>
      <c r="CV191" s="539">
        <f t="shared" ref="CV191:CV208" si="1136">CU191/S191</f>
        <v>0.40955859538495426</v>
      </c>
      <c r="CW191" s="1371" t="s">
        <v>335</v>
      </c>
      <c r="CX191" s="1370"/>
      <c r="CY191" s="533"/>
      <c r="CZ191" s="725"/>
      <c r="DA191" s="1257">
        <f t="shared" ref="DA191:DL191" si="1137">SUM(DA192:DA207)</f>
        <v>0</v>
      </c>
      <c r="DB191" s="1257">
        <f t="shared" si="1137"/>
        <v>287706.76999999996</v>
      </c>
      <c r="DC191" s="1257">
        <f t="shared" si="1137"/>
        <v>0</v>
      </c>
      <c r="DD191" s="1257">
        <f t="shared" si="1137"/>
        <v>0</v>
      </c>
      <c r="DE191" s="1257">
        <f t="shared" si="1137"/>
        <v>0</v>
      </c>
      <c r="DF191" s="532">
        <f t="shared" si="1137"/>
        <v>287706.76999999996</v>
      </c>
      <c r="DG191" s="529">
        <f>SUM(DG192:DG208)</f>
        <v>307692</v>
      </c>
      <c r="DH191" s="529">
        <f>SUM(DH192:DH208)</f>
        <v>275307.90999999997</v>
      </c>
      <c r="DI191" s="529">
        <f t="shared" si="1137"/>
        <v>0</v>
      </c>
      <c r="DJ191" s="529">
        <f t="shared" si="1137"/>
        <v>0</v>
      </c>
      <c r="DK191" s="529">
        <f t="shared" si="1137"/>
        <v>307692</v>
      </c>
      <c r="DL191" s="529">
        <f t="shared" si="1137"/>
        <v>275307.90999999997</v>
      </c>
      <c r="DM191" s="1346" t="s">
        <v>335</v>
      </c>
      <c r="DN191" s="1347" t="s">
        <v>335</v>
      </c>
      <c r="DO191" s="524">
        <f t="shared" ref="DO191:DT191" si="1138">SUM(DO192:DO208)</f>
        <v>1883448</v>
      </c>
      <c r="DP191" s="524">
        <f t="shared" si="1138"/>
        <v>1852901.4999999995</v>
      </c>
      <c r="DQ191" s="524">
        <f t="shared" si="1138"/>
        <v>0</v>
      </c>
      <c r="DR191" s="524">
        <f t="shared" si="1138"/>
        <v>0</v>
      </c>
      <c r="DS191" s="524">
        <f t="shared" si="1138"/>
        <v>1883448</v>
      </c>
      <c r="DT191" s="524">
        <f t="shared" si="1138"/>
        <v>1852901.4999999995</v>
      </c>
      <c r="DU191" s="526">
        <f>DT191/R191</f>
        <v>0.54138892006821104</v>
      </c>
      <c r="DV191" s="176">
        <f t="shared" ref="DV191:EA191" si="1139">SUM(DV192:DV208)</f>
        <v>2355186.85</v>
      </c>
      <c r="DW191" s="176">
        <f t="shared" si="1139"/>
        <v>1677020.63</v>
      </c>
      <c r="DX191" s="176">
        <f t="shared" si="1139"/>
        <v>0</v>
      </c>
      <c r="DY191" s="176">
        <f t="shared" si="1139"/>
        <v>0</v>
      </c>
      <c r="DZ191" s="176">
        <f t="shared" si="1139"/>
        <v>2355186.85</v>
      </c>
      <c r="EA191" s="176">
        <f t="shared" si="1139"/>
        <v>1677020.63</v>
      </c>
      <c r="EB191" s="539">
        <f>EA191/S191</f>
        <v>0.48999927292832945</v>
      </c>
      <c r="EC191" s="1488" t="s">
        <v>335</v>
      </c>
      <c r="ED191" s="1497">
        <f t="shared" ref="ED191:EK191" si="1140">SUM(ED192:ED208)</f>
        <v>0</v>
      </c>
      <c r="EE191" s="1370">
        <f t="shared" si="1140"/>
        <v>0</v>
      </c>
      <c r="EF191" s="725">
        <f t="shared" si="1140"/>
        <v>0</v>
      </c>
      <c r="EG191" s="1257">
        <f t="shared" si="1140"/>
        <v>307692</v>
      </c>
      <c r="EH191" s="1257">
        <f t="shared" si="1140"/>
        <v>0</v>
      </c>
      <c r="EI191" s="1257">
        <f t="shared" si="1140"/>
        <v>0</v>
      </c>
      <c r="EJ191" s="1257">
        <f t="shared" si="1140"/>
        <v>0</v>
      </c>
      <c r="EK191" s="1257">
        <f t="shared" si="1140"/>
        <v>307692</v>
      </c>
      <c r="EL191" s="1282">
        <f t="shared" si="1089"/>
        <v>0</v>
      </c>
      <c r="EM191" s="529">
        <f>SUM(EM192:EM208)</f>
        <v>307692</v>
      </c>
      <c r="EN191" s="529">
        <f>SUM(EN192:EN208)</f>
        <v>590660.84</v>
      </c>
      <c r="EO191" s="529">
        <f>SUM(EO192:EO208)</f>
        <v>0</v>
      </c>
      <c r="EP191" s="529">
        <f>SUM(EP192:EP208)</f>
        <v>0</v>
      </c>
      <c r="EQ191" s="529">
        <f>EM191+EO191</f>
        <v>307692</v>
      </c>
      <c r="ER191" s="529">
        <f>EN191+EP191</f>
        <v>590660.84</v>
      </c>
      <c r="ES191" s="1346" t="s">
        <v>335</v>
      </c>
      <c r="ET191" s="1464" t="s">
        <v>335</v>
      </c>
      <c r="EU191" s="524">
        <f t="shared" ref="EU191:EZ191" si="1141">SUM(EU192:EU208)</f>
        <v>2191140</v>
      </c>
      <c r="EV191" s="524">
        <f t="shared" si="1141"/>
        <v>1852901.4999999995</v>
      </c>
      <c r="EW191" s="524">
        <f t="shared" si="1141"/>
        <v>0</v>
      </c>
      <c r="EX191" s="524">
        <f t="shared" si="1141"/>
        <v>0</v>
      </c>
      <c r="EY191" s="524">
        <f t="shared" si="1141"/>
        <v>2191140</v>
      </c>
      <c r="EZ191" s="524">
        <f t="shared" si="1141"/>
        <v>1852901.4999999995</v>
      </c>
      <c r="FA191" s="526">
        <f>EZ191/R191</f>
        <v>0.54138892006821104</v>
      </c>
      <c r="FB191" s="176">
        <f t="shared" ref="FB191:FG191" si="1142">SUM(FB192:FB208)</f>
        <v>2662878.85</v>
      </c>
      <c r="FC191" s="176">
        <f t="shared" si="1142"/>
        <v>2267681.4700000002</v>
      </c>
      <c r="FD191" s="176">
        <f t="shared" si="1142"/>
        <v>0</v>
      </c>
      <c r="FE191" s="176">
        <f t="shared" si="1142"/>
        <v>0</v>
      </c>
      <c r="FF191" s="176">
        <f t="shared" si="1142"/>
        <v>2662878.85</v>
      </c>
      <c r="FG191" s="176">
        <f t="shared" si="1142"/>
        <v>2267681.4700000002</v>
      </c>
      <c r="FH191" s="539">
        <f t="shared" si="869"/>
        <v>0.66258115830873565</v>
      </c>
      <c r="FI191" s="1371" t="s">
        <v>335</v>
      </c>
      <c r="FJ191" s="1497">
        <f t="shared" ref="FJ191:FQ191" si="1143">SUM(FJ192:FJ208)</f>
        <v>0</v>
      </c>
      <c r="FK191" s="1370">
        <f t="shared" si="1143"/>
        <v>0</v>
      </c>
      <c r="FL191" s="725">
        <f t="shared" si="1143"/>
        <v>0</v>
      </c>
      <c r="FM191" s="1257">
        <f t="shared" si="1143"/>
        <v>307692</v>
      </c>
      <c r="FN191" s="1257">
        <f t="shared" si="1143"/>
        <v>590660.84</v>
      </c>
      <c r="FO191" s="1257">
        <f t="shared" si="1143"/>
        <v>0</v>
      </c>
      <c r="FP191" s="1257">
        <f t="shared" si="1143"/>
        <v>0</v>
      </c>
      <c r="FQ191" s="1257">
        <f t="shared" si="1143"/>
        <v>307692</v>
      </c>
      <c r="FR191" s="532">
        <f t="shared" ref="FR191:FW191" si="1144">SUM(FR192:FR208)</f>
        <v>590660.84</v>
      </c>
      <c r="FS191" s="529">
        <f t="shared" si="1144"/>
        <v>307692</v>
      </c>
      <c r="FT191" s="529">
        <f t="shared" si="1144"/>
        <v>113565.99</v>
      </c>
      <c r="FU191" s="529">
        <f t="shared" si="1144"/>
        <v>0</v>
      </c>
      <c r="FV191" s="529">
        <f t="shared" si="1144"/>
        <v>0</v>
      </c>
      <c r="FW191" s="529">
        <f t="shared" si="1144"/>
        <v>307692</v>
      </c>
      <c r="FX191" s="529">
        <f t="shared" ref="FW191:FX195" si="1145">FT191+FV191</f>
        <v>113565.99</v>
      </c>
      <c r="FY191" s="1346" t="s">
        <v>335</v>
      </c>
      <c r="FZ191" s="1347" t="s">
        <v>335</v>
      </c>
      <c r="GA191" s="524">
        <f t="shared" ref="GA191:GF191" si="1146">SUM(GA192:GA208)</f>
        <v>2498832</v>
      </c>
      <c r="GB191" s="524">
        <f t="shared" si="1146"/>
        <v>2443562.3400000003</v>
      </c>
      <c r="GC191" s="524">
        <f t="shared" si="1146"/>
        <v>0</v>
      </c>
      <c r="GD191" s="524">
        <f t="shared" si="1146"/>
        <v>0</v>
      </c>
      <c r="GE191" s="524">
        <f t="shared" si="1146"/>
        <v>2498832</v>
      </c>
      <c r="GF191" s="524">
        <f t="shared" si="1146"/>
        <v>2443562.3400000003</v>
      </c>
      <c r="GG191" s="526">
        <f>GF191/R191</f>
        <v>0.71397080544861735</v>
      </c>
      <c r="GH191" s="176">
        <f t="shared" ref="GH191:GM191" si="1147">SUM(GH192:GH208)</f>
        <v>2970570.8499999996</v>
      </c>
      <c r="GI191" s="176">
        <f t="shared" si="1147"/>
        <v>2381247.4600000004</v>
      </c>
      <c r="GJ191" s="176">
        <f t="shared" si="1147"/>
        <v>0</v>
      </c>
      <c r="GK191" s="176">
        <f t="shared" si="1147"/>
        <v>0</v>
      </c>
      <c r="GL191" s="176">
        <f t="shared" si="1147"/>
        <v>2970570.8499999996</v>
      </c>
      <c r="GM191" s="176">
        <f t="shared" si="1147"/>
        <v>2381247.4600000004</v>
      </c>
      <c r="GN191" s="1256">
        <f t="shared" si="1022"/>
        <v>0.69576336938826544</v>
      </c>
      <c r="GO191" s="1371" t="s">
        <v>335</v>
      </c>
      <c r="GP191" s="1497">
        <f t="shared" ref="GP191:HC191" si="1148">SUM(GP192:GP208)</f>
        <v>0</v>
      </c>
      <c r="GQ191" s="1370">
        <f t="shared" si="1148"/>
        <v>0</v>
      </c>
      <c r="GR191" s="725">
        <f t="shared" si="1148"/>
        <v>0</v>
      </c>
      <c r="GS191" s="1257">
        <f t="shared" si="1148"/>
        <v>0</v>
      </c>
      <c r="GT191" s="1257">
        <f t="shared" si="1148"/>
        <v>0</v>
      </c>
      <c r="GU191" s="1257">
        <f t="shared" si="1148"/>
        <v>0</v>
      </c>
      <c r="GV191" s="1257">
        <f t="shared" si="1148"/>
        <v>0</v>
      </c>
      <c r="GW191" s="1257">
        <f t="shared" si="1148"/>
        <v>0</v>
      </c>
      <c r="GX191" s="532">
        <f t="shared" si="1148"/>
        <v>0</v>
      </c>
      <c r="GY191" s="529">
        <f t="shared" si="1148"/>
        <v>0</v>
      </c>
      <c r="GZ191" s="529">
        <f t="shared" si="1148"/>
        <v>125728.63</v>
      </c>
      <c r="HA191" s="529">
        <f t="shared" si="1148"/>
        <v>0</v>
      </c>
      <c r="HB191" s="529">
        <f t="shared" si="1148"/>
        <v>0</v>
      </c>
      <c r="HC191" s="529">
        <f t="shared" si="1148"/>
        <v>0</v>
      </c>
      <c r="HD191" s="529">
        <f t="shared" ref="HD191:HD196" si="1149">GZ191+HB191</f>
        <v>125728.63</v>
      </c>
      <c r="HE191" s="1694" t="s">
        <v>335</v>
      </c>
      <c r="HF191" s="1347" t="s">
        <v>335</v>
      </c>
      <c r="HG191" s="524">
        <f t="shared" ref="HG191:HL191" si="1150">SUM(HG192:HG208)</f>
        <v>2498832</v>
      </c>
      <c r="HH191" s="524">
        <f t="shared" si="1150"/>
        <v>2443562.3400000003</v>
      </c>
      <c r="HI191" s="524">
        <f t="shared" si="1150"/>
        <v>0</v>
      </c>
      <c r="HJ191" s="524">
        <f t="shared" si="1150"/>
        <v>0</v>
      </c>
      <c r="HK191" s="524">
        <f t="shared" si="1150"/>
        <v>2498832</v>
      </c>
      <c r="HL191" s="524">
        <f t="shared" si="1150"/>
        <v>2443562.3400000003</v>
      </c>
      <c r="HM191" s="526">
        <f>HL191/R191</f>
        <v>0.71397080544861735</v>
      </c>
      <c r="HN191" s="176">
        <f t="shared" ref="HN191:HS191" si="1151">SUM(HN192:HN208)</f>
        <v>2970570.8499999996</v>
      </c>
      <c r="HO191" s="176">
        <f t="shared" si="1151"/>
        <v>2506976.0900000003</v>
      </c>
      <c r="HP191" s="176">
        <f t="shared" si="1151"/>
        <v>0</v>
      </c>
      <c r="HQ191" s="176">
        <f t="shared" si="1151"/>
        <v>0</v>
      </c>
      <c r="HR191" s="176">
        <f t="shared" si="1151"/>
        <v>2970570.8499999996</v>
      </c>
      <c r="HS191" s="176">
        <f t="shared" si="1151"/>
        <v>2506976.0900000003</v>
      </c>
      <c r="HT191" s="1256">
        <f>HS191/S191</f>
        <v>0.73249931418476733</v>
      </c>
      <c r="HU191" s="1371" t="s">
        <v>335</v>
      </c>
    </row>
    <row r="192" spans="1:229" s="1170" customFormat="1" ht="18" hidden="1" customHeight="1" outlineLevel="1" x14ac:dyDescent="0.2">
      <c r="A192" s="3673"/>
      <c r="B192" s="3672"/>
      <c r="C192" s="3676" t="s">
        <v>353</v>
      </c>
      <c r="D192" s="1168" t="s">
        <v>338</v>
      </c>
      <c r="E192" s="1528" t="s">
        <v>335</v>
      </c>
      <c r="F192" s="1529" t="s">
        <v>335</v>
      </c>
      <c r="G192" s="1529" t="s">
        <v>335</v>
      </c>
      <c r="H192" s="1529" t="s">
        <v>335</v>
      </c>
      <c r="I192" s="1529" t="s">
        <v>335</v>
      </c>
      <c r="J192" s="1529" t="s">
        <v>335</v>
      </c>
      <c r="K192" s="1529" t="s">
        <v>335</v>
      </c>
      <c r="L192" s="1529" t="s">
        <v>335</v>
      </c>
      <c r="M192" s="1529" t="s">
        <v>335</v>
      </c>
      <c r="N192" s="1530" t="s">
        <v>335</v>
      </c>
      <c r="O192" s="1528" t="s">
        <v>335</v>
      </c>
      <c r="P192" s="1529" t="s">
        <v>335</v>
      </c>
      <c r="Q192" s="1529" t="s">
        <v>335</v>
      </c>
      <c r="R192" s="1203">
        <v>348250.09</v>
      </c>
      <c r="S192" s="1349">
        <f>R192</f>
        <v>348250.09</v>
      </c>
      <c r="T192" s="1350" t="s">
        <v>335</v>
      </c>
      <c r="U192" s="1351" t="s">
        <v>335</v>
      </c>
      <c r="V192" s="1352" t="s">
        <v>335</v>
      </c>
      <c r="W192" s="1344">
        <f>18648*6</f>
        <v>111888</v>
      </c>
      <c r="X192" s="1177"/>
      <c r="Y192" s="1177"/>
      <c r="Z192" s="1177"/>
      <c r="AA192" s="1177">
        <f>W192+Y192</f>
        <v>111888</v>
      </c>
      <c r="AB192" s="1177">
        <f>X192+Z192</f>
        <v>0</v>
      </c>
      <c r="AC192" s="1178">
        <f>AB192/R192</f>
        <v>0</v>
      </c>
      <c r="AD192" s="1233">
        <f>W192</f>
        <v>111888</v>
      </c>
      <c r="AE192" s="1232"/>
      <c r="AF192" s="1192"/>
      <c r="AG192" s="1189"/>
      <c r="AH192" s="1232">
        <f>AD192+AF192</f>
        <v>111888</v>
      </c>
      <c r="AI192" s="1189">
        <f>AE192+AG192</f>
        <v>0</v>
      </c>
      <c r="AJ192" s="1193">
        <f>AI192/S192</f>
        <v>0</v>
      </c>
      <c r="AK192" s="1353"/>
      <c r="AL192" s="1245"/>
      <c r="AM192" s="1245"/>
      <c r="AN192" s="1236"/>
      <c r="AO192" s="1243"/>
      <c r="AP192" s="1221"/>
      <c r="AQ192" s="1221"/>
      <c r="AR192" s="1221"/>
      <c r="AS192" s="1221">
        <f>AO192+AQ192</f>
        <v>0</v>
      </c>
      <c r="AT192" s="1282">
        <f>AP192+AR192</f>
        <v>0</v>
      </c>
      <c r="AU192" s="1245"/>
      <c r="AV192" s="1224"/>
      <c r="AW192" s="1224"/>
      <c r="AX192" s="1224"/>
      <c r="AY192" s="1198">
        <f>AU192+AW192</f>
        <v>0</v>
      </c>
      <c r="AZ192" s="1199">
        <f>AV192+AX192</f>
        <v>0</v>
      </c>
      <c r="BA192" s="1262"/>
      <c r="BB192" s="1226"/>
      <c r="BC192" s="1176">
        <f t="shared" ref="BC192:BH194" si="1152">W192+AO192</f>
        <v>111888</v>
      </c>
      <c r="BD192" s="1177">
        <f t="shared" si="1152"/>
        <v>0</v>
      </c>
      <c r="BE192" s="1177">
        <f t="shared" si="1152"/>
        <v>0</v>
      </c>
      <c r="BF192" s="1177">
        <f t="shared" si="1152"/>
        <v>0</v>
      </c>
      <c r="BG192" s="1177">
        <f t="shared" si="1152"/>
        <v>111888</v>
      </c>
      <c r="BH192" s="1177">
        <f t="shared" si="1152"/>
        <v>0</v>
      </c>
      <c r="BI192" s="1178">
        <f>BH192/R192</f>
        <v>0</v>
      </c>
      <c r="BJ192" s="1175">
        <f t="shared" ref="BJ192:BO194" si="1153">AD192+AU192</f>
        <v>111888</v>
      </c>
      <c r="BK192" s="1180">
        <f t="shared" si="1153"/>
        <v>0</v>
      </c>
      <c r="BL192" s="1180">
        <f t="shared" si="1153"/>
        <v>0</v>
      </c>
      <c r="BM192" s="1180">
        <f t="shared" si="1153"/>
        <v>0</v>
      </c>
      <c r="BN192" s="1180">
        <f t="shared" si="1153"/>
        <v>111888</v>
      </c>
      <c r="BO192" s="1180">
        <f t="shared" si="1153"/>
        <v>0</v>
      </c>
      <c r="BP192" s="1227">
        <f t="shared" ref="BP192:BP208" si="1154">BO192/S192</f>
        <v>0</v>
      </c>
      <c r="BQ192" s="1398" t="s">
        <v>335</v>
      </c>
      <c r="BR192" s="1343"/>
      <c r="BS192" s="1224"/>
      <c r="BT192" s="1236"/>
      <c r="BU192" s="1243"/>
      <c r="BV192" s="1221"/>
      <c r="BW192" s="1221"/>
      <c r="BX192" s="1221"/>
      <c r="BY192" s="1221">
        <f>BU192+BW192</f>
        <v>0</v>
      </c>
      <c r="BZ192" s="1244">
        <f>BV192+BX192</f>
        <v>0</v>
      </c>
      <c r="CA192" s="1245"/>
      <c r="CB192" s="1224"/>
      <c r="CC192" s="1224"/>
      <c r="CD192" s="1224"/>
      <c r="CE192" s="1198">
        <f>CA192+CC192</f>
        <v>0</v>
      </c>
      <c r="CF192" s="1199">
        <f>CB192+CD192</f>
        <v>0</v>
      </c>
      <c r="CG192" s="1351" t="s">
        <v>335</v>
      </c>
      <c r="CH192" s="1352" t="s">
        <v>335</v>
      </c>
      <c r="CI192" s="1213">
        <f t="shared" ref="CI192:CI207" si="1155">BC192+BU192</f>
        <v>111888</v>
      </c>
      <c r="CJ192" s="1174">
        <f t="shared" ref="CJ192:CJ207" si="1156">BD192+BV192</f>
        <v>0</v>
      </c>
      <c r="CK192" s="1174">
        <f t="shared" ref="CK192:CK207" si="1157">BE192+BW192</f>
        <v>0</v>
      </c>
      <c r="CL192" s="1174">
        <f t="shared" ref="CL192:CL207" si="1158">BF192+BX192</f>
        <v>0</v>
      </c>
      <c r="CM192" s="1174">
        <f t="shared" ref="CM192:CM208" si="1159">BG192+BY192</f>
        <v>111888</v>
      </c>
      <c r="CN192" s="1174">
        <f t="shared" ref="CN192:CN208" si="1160">BH192+BZ192</f>
        <v>0</v>
      </c>
      <c r="CO192" s="1260">
        <f t="shared" si="1134"/>
        <v>0</v>
      </c>
      <c r="CP192" s="1321">
        <f>BJ192+CA192</f>
        <v>111888</v>
      </c>
      <c r="CQ192" s="1173">
        <f>BK192+CB192</f>
        <v>0</v>
      </c>
      <c r="CR192" s="1173">
        <f>BL192+CC192</f>
        <v>0</v>
      </c>
      <c r="CS192" s="1173">
        <f>BM192+CD192</f>
        <v>0</v>
      </c>
      <c r="CT192" s="1173">
        <f t="shared" ref="CT192:CT208" si="1161">BN192+CE192</f>
        <v>111888</v>
      </c>
      <c r="CU192" s="1173">
        <f t="shared" ref="CU192:CU208" si="1162">BO192+CF192</f>
        <v>0</v>
      </c>
      <c r="CV192" s="1181">
        <f t="shared" si="1136"/>
        <v>0</v>
      </c>
      <c r="CW192" s="1522" t="s">
        <v>335</v>
      </c>
      <c r="CX192" s="1343"/>
      <c r="CY192" s="1224"/>
      <c r="CZ192" s="1236"/>
      <c r="DA192" s="1243"/>
      <c r="DB192" s="1221"/>
      <c r="DC192" s="1221"/>
      <c r="DD192" s="1221"/>
      <c r="DE192" s="1221">
        <f>DA192+DC192</f>
        <v>0</v>
      </c>
      <c r="DF192" s="1244">
        <f>DB192+DD192</f>
        <v>0</v>
      </c>
      <c r="DG192" s="1245"/>
      <c r="DH192" s="1224"/>
      <c r="DI192" s="1224"/>
      <c r="DJ192" s="1224"/>
      <c r="DK192" s="1198">
        <f>DG192+DI192</f>
        <v>0</v>
      </c>
      <c r="DL192" s="1199">
        <f>DH192+DJ192</f>
        <v>0</v>
      </c>
      <c r="DM192" s="1351" t="s">
        <v>335</v>
      </c>
      <c r="DN192" s="1352" t="s">
        <v>335</v>
      </c>
      <c r="DO192" s="1213">
        <f t="shared" si="969"/>
        <v>111888</v>
      </c>
      <c r="DP192" s="1174">
        <f t="shared" si="970"/>
        <v>0</v>
      </c>
      <c r="DQ192" s="1174">
        <f t="shared" si="971"/>
        <v>0</v>
      </c>
      <c r="DR192" s="1174">
        <f t="shared" si="972"/>
        <v>0</v>
      </c>
      <c r="DS192" s="1174">
        <f t="shared" si="973"/>
        <v>111888</v>
      </c>
      <c r="DT192" s="1174">
        <f t="shared" si="974"/>
        <v>0</v>
      </c>
      <c r="DU192" s="1260">
        <f>DT192/R192</f>
        <v>0</v>
      </c>
      <c r="DV192" s="1321">
        <f>CP192+DG192</f>
        <v>111888</v>
      </c>
      <c r="DW192" s="1173">
        <f>CQ192+DH192</f>
        <v>0</v>
      </c>
      <c r="DX192" s="1173">
        <f>CR192+DI192</f>
        <v>0</v>
      </c>
      <c r="DY192" s="1173">
        <f>CS192+DJ192</f>
        <v>0</v>
      </c>
      <c r="DZ192" s="1173">
        <f t="shared" si="977"/>
        <v>111888</v>
      </c>
      <c r="EA192" s="1173">
        <f t="shared" si="978"/>
        <v>0</v>
      </c>
      <c r="EB192" s="1181">
        <f>EA192/S192</f>
        <v>0</v>
      </c>
      <c r="EC192" s="1523" t="s">
        <v>335</v>
      </c>
      <c r="ED192" s="1498"/>
      <c r="EE192" s="1224"/>
      <c r="EF192" s="1236"/>
      <c r="EG192" s="1243">
        <f>307692/14</f>
        <v>21978</v>
      </c>
      <c r="EH192" s="1221"/>
      <c r="EI192" s="1221"/>
      <c r="EJ192" s="1221"/>
      <c r="EK192" s="1221">
        <f t="shared" ref="EK192:EK208" si="1163">EG192+EI192</f>
        <v>21978</v>
      </c>
      <c r="EL192" s="1244">
        <f t="shared" ref="EL192:EL208" si="1164">EH192+EJ192</f>
        <v>0</v>
      </c>
      <c r="EM192" s="1245">
        <f>EG192</f>
        <v>21978</v>
      </c>
      <c r="EN192" s="1224"/>
      <c r="EO192" s="1224"/>
      <c r="EP192" s="1224"/>
      <c r="EQ192" s="1198">
        <f t="shared" ref="EQ192:ER195" si="1165">EM192+EO192</f>
        <v>21978</v>
      </c>
      <c r="ER192" s="1199">
        <f t="shared" si="1165"/>
        <v>0</v>
      </c>
      <c r="ES192" s="1351" t="s">
        <v>335</v>
      </c>
      <c r="ET192" s="1465" t="s">
        <v>335</v>
      </c>
      <c r="EU192" s="1176">
        <f t="shared" si="868"/>
        <v>133866</v>
      </c>
      <c r="EV192" s="1177">
        <f t="shared" ref="EV192:EV210" si="1166">EH192+DP192</f>
        <v>0</v>
      </c>
      <c r="EW192" s="1177">
        <f t="shared" ref="EW192:EW210" si="1167">EI192+DQ192</f>
        <v>0</v>
      </c>
      <c r="EX192" s="1177">
        <f t="shared" ref="EX192:EX210" si="1168">EJ192+DR192</f>
        <v>0</v>
      </c>
      <c r="EY192" s="1177">
        <f t="shared" ref="EY192:EZ195" si="1169">EK192+DS192</f>
        <v>133866</v>
      </c>
      <c r="EZ192" s="1177">
        <f t="shared" si="1169"/>
        <v>0</v>
      </c>
      <c r="FA192" s="1178">
        <f>EZ192/R192</f>
        <v>0</v>
      </c>
      <c r="FB192" s="1179">
        <f t="shared" ref="FB192:FG192" si="1170">DV192+EM192</f>
        <v>133866</v>
      </c>
      <c r="FC192" s="1180">
        <f t="shared" si="1170"/>
        <v>0</v>
      </c>
      <c r="FD192" s="1180">
        <f t="shared" si="1170"/>
        <v>0</v>
      </c>
      <c r="FE192" s="1180">
        <f t="shared" si="1170"/>
        <v>0</v>
      </c>
      <c r="FF192" s="1180">
        <f t="shared" si="1170"/>
        <v>133866</v>
      </c>
      <c r="FG192" s="1180">
        <f t="shared" si="1170"/>
        <v>0</v>
      </c>
      <c r="FH192" s="1181">
        <f t="shared" si="869"/>
        <v>0</v>
      </c>
      <c r="FI192" s="1522" t="s">
        <v>335</v>
      </c>
      <c r="FJ192" s="1498"/>
      <c r="FK192" s="1224"/>
      <c r="FL192" s="1236"/>
      <c r="FM192" s="1243">
        <f>FJ192</f>
        <v>0</v>
      </c>
      <c r="FN192" s="1221"/>
      <c r="FO192" s="1221"/>
      <c r="FP192" s="1221"/>
      <c r="FQ192" s="1221">
        <f t="shared" ref="FQ192:FQ208" si="1171">FM192+FO192</f>
        <v>0</v>
      </c>
      <c r="FR192" s="1244">
        <f t="shared" ref="FR192:FR208" si="1172">FN192+FP192</f>
        <v>0</v>
      </c>
      <c r="FS192" s="1245">
        <f>FM192</f>
        <v>0</v>
      </c>
      <c r="FT192" s="1224"/>
      <c r="FU192" s="1224"/>
      <c r="FV192" s="1218">
        <v>0</v>
      </c>
      <c r="FW192" s="1198">
        <f t="shared" si="1145"/>
        <v>0</v>
      </c>
      <c r="FX192" s="1199">
        <f t="shared" si="1145"/>
        <v>0</v>
      </c>
      <c r="FY192" s="1351" t="s">
        <v>335</v>
      </c>
      <c r="FZ192" s="1465" t="s">
        <v>335</v>
      </c>
      <c r="GA192" s="1176">
        <f t="shared" ref="GA192:GB195" si="1173">FM192+EU192</f>
        <v>133866</v>
      </c>
      <c r="GB192" s="1177">
        <f t="shared" si="1173"/>
        <v>0</v>
      </c>
      <c r="GC192" s="1177">
        <f t="shared" ref="GC192:GD195" si="1174">FO192+EW192</f>
        <v>0</v>
      </c>
      <c r="GD192" s="1177">
        <f t="shared" si="1174"/>
        <v>0</v>
      </c>
      <c r="GE192" s="1177">
        <f t="shared" ref="GE192:GF195" si="1175">FQ192+EY192</f>
        <v>133866</v>
      </c>
      <c r="GF192" s="1177">
        <f t="shared" si="1175"/>
        <v>0</v>
      </c>
      <c r="GG192" s="1178">
        <f t="shared" ref="GG192:GG210" si="1176">GF192/R192</f>
        <v>0</v>
      </c>
      <c r="GH192" s="1179">
        <f t="shared" ref="GH192:GI195" si="1177">FB192+FS192</f>
        <v>133866</v>
      </c>
      <c r="GI192" s="1180">
        <f t="shared" si="1177"/>
        <v>0</v>
      </c>
      <c r="GJ192" s="1180">
        <f t="shared" ref="GJ192:GM195" si="1178">FD192+FU192</f>
        <v>0</v>
      </c>
      <c r="GK192" s="1180">
        <f t="shared" si="1178"/>
        <v>0</v>
      </c>
      <c r="GL192" s="1180">
        <f t="shared" si="1178"/>
        <v>133866</v>
      </c>
      <c r="GM192" s="1180">
        <f t="shared" si="1178"/>
        <v>0</v>
      </c>
      <c r="GN192" s="1181">
        <f t="shared" si="1022"/>
        <v>0</v>
      </c>
      <c r="GO192" s="1522" t="s">
        <v>335</v>
      </c>
      <c r="GP192" s="1498"/>
      <c r="GQ192" s="1224"/>
      <c r="GR192" s="1236"/>
      <c r="GS192" s="1243"/>
      <c r="GT192" s="1221"/>
      <c r="GU192" s="1221"/>
      <c r="GV192" s="1221"/>
      <c r="GW192" s="1221">
        <f t="shared" ref="GW192:GW208" si="1179">GS192+GU192</f>
        <v>0</v>
      </c>
      <c r="GX192" s="1244">
        <f t="shared" ref="GX192:GX208" si="1180">GT192+GV192</f>
        <v>0</v>
      </c>
      <c r="GY192" s="1245"/>
      <c r="GZ192" s="1224"/>
      <c r="HA192" s="1224"/>
      <c r="HB192" s="1218">
        <v>0</v>
      </c>
      <c r="HC192" s="1198">
        <f t="shared" ref="HC192:HC197" si="1181">GY192+HA192</f>
        <v>0</v>
      </c>
      <c r="HD192" s="1199">
        <f t="shared" si="1149"/>
        <v>0</v>
      </c>
      <c r="HE192" s="1695" t="s">
        <v>335</v>
      </c>
      <c r="HF192" s="1465" t="s">
        <v>335</v>
      </c>
      <c r="HG192" s="1176">
        <f t="shared" ref="HG192:HG210" si="1182">GS192+GA192</f>
        <v>133866</v>
      </c>
      <c r="HH192" s="1177">
        <f t="shared" ref="HH192:HH210" si="1183">GT192+GB192</f>
        <v>0</v>
      </c>
      <c r="HI192" s="1177">
        <f t="shared" ref="HI192:HI210" si="1184">GU192+GC192</f>
        <v>0</v>
      </c>
      <c r="HJ192" s="1177">
        <f t="shared" ref="HJ192:HJ210" si="1185">GV192+GD192</f>
        <v>0</v>
      </c>
      <c r="HK192" s="1177">
        <f t="shared" ref="HK192:HK210" si="1186">GW192+GE192</f>
        <v>133866</v>
      </c>
      <c r="HL192" s="1177">
        <f t="shared" ref="HL192:HL210" si="1187">GX192+GF192</f>
        <v>0</v>
      </c>
      <c r="HM192" s="1178">
        <f>HL192/R192</f>
        <v>0</v>
      </c>
      <c r="HN192" s="1179">
        <f t="shared" ref="HN192:HN208" si="1188">GH192+GY192</f>
        <v>133866</v>
      </c>
      <c r="HO192" s="1180">
        <f t="shared" ref="HO192:HO208" si="1189">GI192+GZ192</f>
        <v>0</v>
      </c>
      <c r="HP192" s="1180">
        <f t="shared" ref="HP192:HP210" si="1190">GJ192+HA192</f>
        <v>0</v>
      </c>
      <c r="HQ192" s="1180">
        <f t="shared" ref="HQ192:HQ210" si="1191">GK192+HB192</f>
        <v>0</v>
      </c>
      <c r="HR192" s="1180">
        <f t="shared" ref="HR192:HR210" si="1192">GL192+HC192</f>
        <v>133866</v>
      </c>
      <c r="HS192" s="1180">
        <f t="shared" ref="HS192:HS210" si="1193">GM192+HD192</f>
        <v>0</v>
      </c>
      <c r="HT192" s="1181">
        <f>HS192/S192</f>
        <v>0</v>
      </c>
      <c r="HU192" s="1522" t="s">
        <v>335</v>
      </c>
    </row>
    <row r="193" spans="1:229" s="1170" customFormat="1" ht="18" hidden="1" customHeight="1" outlineLevel="1" x14ac:dyDescent="0.2">
      <c r="A193" s="3673"/>
      <c r="B193" s="3672"/>
      <c r="C193" s="3677"/>
      <c r="D193" s="1167" t="s">
        <v>340</v>
      </c>
      <c r="E193" s="1528" t="s">
        <v>335</v>
      </c>
      <c r="F193" s="1529" t="s">
        <v>335</v>
      </c>
      <c r="G193" s="1529" t="s">
        <v>335</v>
      </c>
      <c r="H193" s="1529" t="s">
        <v>335</v>
      </c>
      <c r="I193" s="1529" t="s">
        <v>335</v>
      </c>
      <c r="J193" s="1529" t="s">
        <v>335</v>
      </c>
      <c r="K193" s="1529" t="s">
        <v>335</v>
      </c>
      <c r="L193" s="1529" t="s">
        <v>335</v>
      </c>
      <c r="M193" s="1529" t="s">
        <v>335</v>
      </c>
      <c r="N193" s="1530" t="s">
        <v>335</v>
      </c>
      <c r="O193" s="1528" t="s">
        <v>335</v>
      </c>
      <c r="P193" s="1529" t="s">
        <v>335</v>
      </c>
      <c r="Q193" s="1529" t="s">
        <v>335</v>
      </c>
      <c r="R193" s="1203">
        <v>308107.8</v>
      </c>
      <c r="S193" s="1349">
        <f t="shared" ref="S193:S208" si="1194">R193</f>
        <v>308107.8</v>
      </c>
      <c r="T193" s="1350" t="s">
        <v>335</v>
      </c>
      <c r="U193" s="1351" t="s">
        <v>335</v>
      </c>
      <c r="V193" s="1352" t="s">
        <v>335</v>
      </c>
      <c r="W193" s="1344">
        <f>18648*6</f>
        <v>111888</v>
      </c>
      <c r="X193" s="1177"/>
      <c r="Y193" s="1177"/>
      <c r="Z193" s="1177"/>
      <c r="AA193" s="1177">
        <f t="shared" ref="AA193:AA208" si="1195">W193+Y193</f>
        <v>111888</v>
      </c>
      <c r="AB193" s="1177">
        <f t="shared" ref="AB193:AB208" si="1196">X193+Z193</f>
        <v>0</v>
      </c>
      <c r="AC193" s="1178">
        <f t="shared" ref="AC193:AC208" si="1197">AB193/R193</f>
        <v>0</v>
      </c>
      <c r="AD193" s="1233">
        <f>W193</f>
        <v>111888</v>
      </c>
      <c r="AE193" s="1232"/>
      <c r="AF193" s="1192"/>
      <c r="AG193" s="1189"/>
      <c r="AH193" s="1232">
        <f t="shared" ref="AH193:AH208" si="1198">AD193+AF193</f>
        <v>111888</v>
      </c>
      <c r="AI193" s="1189">
        <f t="shared" ref="AI193:AI208" si="1199">AE193+AG193</f>
        <v>0</v>
      </c>
      <c r="AJ193" s="1193">
        <f t="shared" ref="AJ193:AJ208" si="1200">AI193/S193</f>
        <v>0</v>
      </c>
      <c r="AK193" s="1353"/>
      <c r="AL193" s="1245"/>
      <c r="AM193" s="1245"/>
      <c r="AN193" s="1236"/>
      <c r="AO193" s="1243"/>
      <c r="AP193" s="1221"/>
      <c r="AQ193" s="1221"/>
      <c r="AR193" s="1221"/>
      <c r="AS193" s="1221">
        <f t="shared" ref="AS193:AS208" si="1201">AO193+AQ193</f>
        <v>0</v>
      </c>
      <c r="AT193" s="1282">
        <f t="shared" ref="AT193:AT209" si="1202">AP193+AR193</f>
        <v>0</v>
      </c>
      <c r="AU193" s="1245"/>
      <c r="AV193" s="1224"/>
      <c r="AW193" s="1224"/>
      <c r="AX193" s="1224"/>
      <c r="AY193" s="1198">
        <f>AU193+AW193</f>
        <v>0</v>
      </c>
      <c r="AZ193" s="1199">
        <f>AV193+AX193</f>
        <v>0</v>
      </c>
      <c r="BA193" s="1262"/>
      <c r="BB193" s="1226"/>
      <c r="BC193" s="1176">
        <f t="shared" si="1152"/>
        <v>111888</v>
      </c>
      <c r="BD193" s="1177">
        <f t="shared" si="1152"/>
        <v>0</v>
      </c>
      <c r="BE193" s="1177">
        <f t="shared" si="1152"/>
        <v>0</v>
      </c>
      <c r="BF193" s="1177">
        <f t="shared" si="1152"/>
        <v>0</v>
      </c>
      <c r="BG193" s="1177">
        <f t="shared" si="1152"/>
        <v>111888</v>
      </c>
      <c r="BH193" s="1177">
        <f t="shared" si="1152"/>
        <v>0</v>
      </c>
      <c r="BI193" s="1178">
        <f>BH193/R193</f>
        <v>0</v>
      </c>
      <c r="BJ193" s="1175">
        <f t="shared" si="1153"/>
        <v>111888</v>
      </c>
      <c r="BK193" s="1180">
        <f t="shared" si="1153"/>
        <v>0</v>
      </c>
      <c r="BL193" s="1180">
        <f t="shared" si="1153"/>
        <v>0</v>
      </c>
      <c r="BM193" s="1180">
        <f t="shared" si="1153"/>
        <v>0</v>
      </c>
      <c r="BN193" s="1180">
        <f t="shared" si="1153"/>
        <v>111888</v>
      </c>
      <c r="BO193" s="1180">
        <f t="shared" si="1153"/>
        <v>0</v>
      </c>
      <c r="BP193" s="1227">
        <f t="shared" si="1154"/>
        <v>0</v>
      </c>
      <c r="BQ193" s="1398" t="s">
        <v>335</v>
      </c>
      <c r="BR193" s="1343"/>
      <c r="BS193" s="1224"/>
      <c r="BT193" s="1236"/>
      <c r="BU193" s="1243"/>
      <c r="BV193" s="1221"/>
      <c r="BW193" s="1221"/>
      <c r="BX193" s="1221"/>
      <c r="BY193" s="1221">
        <f t="shared" ref="BY193:BY208" si="1203">BU193+BW193</f>
        <v>0</v>
      </c>
      <c r="BZ193" s="1244">
        <f t="shared" ref="BZ193:BZ208" si="1204">BV193+BX193</f>
        <v>0</v>
      </c>
      <c r="CA193" s="1245"/>
      <c r="CB193" s="1224"/>
      <c r="CC193" s="1224"/>
      <c r="CD193" s="1224"/>
      <c r="CE193" s="1198">
        <f>CA193+CC193</f>
        <v>0</v>
      </c>
      <c r="CF193" s="1199">
        <f>CB193+CD193</f>
        <v>0</v>
      </c>
      <c r="CG193" s="1351" t="s">
        <v>335</v>
      </c>
      <c r="CH193" s="1352" t="s">
        <v>335</v>
      </c>
      <c r="CI193" s="1213">
        <f t="shared" si="1155"/>
        <v>111888</v>
      </c>
      <c r="CJ193" s="1174">
        <f t="shared" si="1156"/>
        <v>0</v>
      </c>
      <c r="CK193" s="1174">
        <f t="shared" si="1157"/>
        <v>0</v>
      </c>
      <c r="CL193" s="1174">
        <f t="shared" si="1158"/>
        <v>0</v>
      </c>
      <c r="CM193" s="1174">
        <f t="shared" si="1159"/>
        <v>111888</v>
      </c>
      <c r="CN193" s="1174">
        <f t="shared" si="1160"/>
        <v>0</v>
      </c>
      <c r="CO193" s="1260">
        <f t="shared" si="1134"/>
        <v>0</v>
      </c>
      <c r="CP193" s="1321">
        <f t="shared" ref="CP193:CP208" si="1205">BJ193+CA193</f>
        <v>111888</v>
      </c>
      <c r="CQ193" s="1173">
        <f t="shared" ref="CQ193:CQ208" si="1206">BK193+CB193</f>
        <v>0</v>
      </c>
      <c r="CR193" s="1173">
        <f>BL193+CC193</f>
        <v>0</v>
      </c>
      <c r="CS193" s="1173">
        <f>BM193+CD193</f>
        <v>0</v>
      </c>
      <c r="CT193" s="1173">
        <f t="shared" si="1161"/>
        <v>111888</v>
      </c>
      <c r="CU193" s="1173">
        <f t="shared" si="1162"/>
        <v>0</v>
      </c>
      <c r="CV193" s="1181">
        <f t="shared" si="1136"/>
        <v>0</v>
      </c>
      <c r="CW193" s="1522" t="s">
        <v>335</v>
      </c>
      <c r="CX193" s="1343"/>
      <c r="CY193" s="1224"/>
      <c r="CZ193" s="1236"/>
      <c r="DA193" s="1243"/>
      <c r="DB193" s="1221"/>
      <c r="DC193" s="1221"/>
      <c r="DD193" s="1221"/>
      <c r="DE193" s="1221">
        <f t="shared" ref="DE193:DE208" si="1207">DA193+DC193</f>
        <v>0</v>
      </c>
      <c r="DF193" s="1244">
        <f t="shared" ref="DF193:DF208" si="1208">DB193+DD193</f>
        <v>0</v>
      </c>
      <c r="DG193" s="1245"/>
      <c r="DH193" s="1224"/>
      <c r="DI193" s="1224"/>
      <c r="DJ193" s="1224"/>
      <c r="DK193" s="1198">
        <f>DG193+DI193</f>
        <v>0</v>
      </c>
      <c r="DL193" s="1199">
        <f>DH193+DJ193</f>
        <v>0</v>
      </c>
      <c r="DM193" s="1351" t="s">
        <v>335</v>
      </c>
      <c r="DN193" s="1352" t="s">
        <v>335</v>
      </c>
      <c r="DO193" s="1213">
        <f t="shared" si="969"/>
        <v>111888</v>
      </c>
      <c r="DP193" s="1174">
        <f t="shared" si="970"/>
        <v>0</v>
      </c>
      <c r="DQ193" s="1174">
        <f t="shared" si="971"/>
        <v>0</v>
      </c>
      <c r="DR193" s="1174">
        <f t="shared" si="972"/>
        <v>0</v>
      </c>
      <c r="DS193" s="1174">
        <f t="shared" si="973"/>
        <v>111888</v>
      </c>
      <c r="DT193" s="1174">
        <f t="shared" si="974"/>
        <v>0</v>
      </c>
      <c r="DU193" s="1260">
        <f>DT193/R193</f>
        <v>0</v>
      </c>
      <c r="DV193" s="1321">
        <f t="shared" ref="DV193:DV208" si="1209">CP193+DG193</f>
        <v>111888</v>
      </c>
      <c r="DW193" s="1173">
        <f t="shared" ref="DW193:DW208" si="1210">CQ193+DH193</f>
        <v>0</v>
      </c>
      <c r="DX193" s="1173">
        <f t="shared" ref="DX193:DY195" si="1211">CR193+DI193</f>
        <v>0</v>
      </c>
      <c r="DY193" s="1173">
        <f t="shared" si="1211"/>
        <v>0</v>
      </c>
      <c r="DZ193" s="1173">
        <f t="shared" si="977"/>
        <v>111888</v>
      </c>
      <c r="EA193" s="1173">
        <f t="shared" si="978"/>
        <v>0</v>
      </c>
      <c r="EB193" s="1181">
        <f t="shared" ref="EB193:EB208" si="1212">EA193/S193</f>
        <v>0</v>
      </c>
      <c r="EC193" s="1523" t="s">
        <v>335</v>
      </c>
      <c r="ED193" s="1498"/>
      <c r="EE193" s="1224"/>
      <c r="EF193" s="1236"/>
      <c r="EG193" s="1243">
        <f t="shared" ref="EG193:EG208" si="1213">307692/14</f>
        <v>21978</v>
      </c>
      <c r="EH193" s="1221"/>
      <c r="EI193" s="1221"/>
      <c r="EJ193" s="1221"/>
      <c r="EK193" s="1221">
        <f t="shared" si="1163"/>
        <v>21978</v>
      </c>
      <c r="EL193" s="1244">
        <f t="shared" si="1164"/>
        <v>0</v>
      </c>
      <c r="EM193" s="1245">
        <f t="shared" ref="EM193:EM208" si="1214">EG193</f>
        <v>21978</v>
      </c>
      <c r="EN193" s="1224"/>
      <c r="EO193" s="1224"/>
      <c r="EP193" s="1224"/>
      <c r="EQ193" s="1198">
        <f t="shared" si="1165"/>
        <v>21978</v>
      </c>
      <c r="ER193" s="1199">
        <f t="shared" si="1165"/>
        <v>0</v>
      </c>
      <c r="ES193" s="1351" t="s">
        <v>335</v>
      </c>
      <c r="ET193" s="1465" t="s">
        <v>335</v>
      </c>
      <c r="EU193" s="1176">
        <f t="shared" si="868"/>
        <v>133866</v>
      </c>
      <c r="EV193" s="1177">
        <f t="shared" si="1166"/>
        <v>0</v>
      </c>
      <c r="EW193" s="1177">
        <f t="shared" si="1167"/>
        <v>0</v>
      </c>
      <c r="EX193" s="1177">
        <f t="shared" si="1168"/>
        <v>0</v>
      </c>
      <c r="EY193" s="1177">
        <f t="shared" si="1169"/>
        <v>133866</v>
      </c>
      <c r="EZ193" s="1177">
        <f t="shared" si="1169"/>
        <v>0</v>
      </c>
      <c r="FA193" s="1178">
        <f>EZ193/R193</f>
        <v>0</v>
      </c>
      <c r="FB193" s="1179">
        <f t="shared" ref="FB193:FB208" si="1215">DV193+EM193</f>
        <v>133866</v>
      </c>
      <c r="FC193" s="1180">
        <f t="shared" ref="FC193:FC208" si="1216">DW193+EN193</f>
        <v>0</v>
      </c>
      <c r="FD193" s="1180">
        <f t="shared" ref="FD193:FG195" si="1217">DX193+EO193</f>
        <v>0</v>
      </c>
      <c r="FE193" s="1180">
        <f t="shared" si="1217"/>
        <v>0</v>
      </c>
      <c r="FF193" s="1180">
        <f t="shared" si="1217"/>
        <v>133866</v>
      </c>
      <c r="FG193" s="1180">
        <f t="shared" si="1217"/>
        <v>0</v>
      </c>
      <c r="FH193" s="1181">
        <f t="shared" si="869"/>
        <v>0</v>
      </c>
      <c r="FI193" s="1522" t="s">
        <v>335</v>
      </c>
      <c r="FJ193" s="1498"/>
      <c r="FK193" s="1224"/>
      <c r="FL193" s="1236"/>
      <c r="FM193" s="1243">
        <f t="shared" ref="FM193:FM208" si="1218">FJ193</f>
        <v>0</v>
      </c>
      <c r="FN193" s="1221"/>
      <c r="FO193" s="1221"/>
      <c r="FP193" s="1221"/>
      <c r="FQ193" s="1221">
        <f t="shared" si="1171"/>
        <v>0</v>
      </c>
      <c r="FR193" s="1244">
        <f t="shared" si="1172"/>
        <v>0</v>
      </c>
      <c r="FS193" s="1245">
        <f t="shared" ref="FS193:FS208" si="1219">FM193</f>
        <v>0</v>
      </c>
      <c r="FT193" s="1224"/>
      <c r="FU193" s="1224"/>
      <c r="FV193" s="1218">
        <v>0</v>
      </c>
      <c r="FW193" s="1198">
        <f t="shared" si="1145"/>
        <v>0</v>
      </c>
      <c r="FX193" s="1199">
        <f t="shared" si="1145"/>
        <v>0</v>
      </c>
      <c r="FY193" s="1351" t="s">
        <v>335</v>
      </c>
      <c r="FZ193" s="1465" t="s">
        <v>335</v>
      </c>
      <c r="GA193" s="1176">
        <f t="shared" si="1173"/>
        <v>133866</v>
      </c>
      <c r="GB193" s="1177">
        <f t="shared" si="1173"/>
        <v>0</v>
      </c>
      <c r="GC193" s="1177">
        <f t="shared" si="1174"/>
        <v>0</v>
      </c>
      <c r="GD193" s="1177">
        <f t="shared" si="1174"/>
        <v>0</v>
      </c>
      <c r="GE193" s="1177">
        <f t="shared" si="1175"/>
        <v>133866</v>
      </c>
      <c r="GF193" s="1177">
        <f t="shared" si="1175"/>
        <v>0</v>
      </c>
      <c r="GG193" s="1178">
        <f t="shared" si="1176"/>
        <v>0</v>
      </c>
      <c r="GH193" s="1179">
        <f t="shared" si="1177"/>
        <v>133866</v>
      </c>
      <c r="GI193" s="1180">
        <f t="shared" si="1177"/>
        <v>0</v>
      </c>
      <c r="GJ193" s="1180">
        <f t="shared" si="1178"/>
        <v>0</v>
      </c>
      <c r="GK193" s="1180">
        <f t="shared" si="1178"/>
        <v>0</v>
      </c>
      <c r="GL193" s="1180">
        <f t="shared" si="1178"/>
        <v>133866</v>
      </c>
      <c r="GM193" s="1180">
        <f t="shared" si="1178"/>
        <v>0</v>
      </c>
      <c r="GN193" s="1181">
        <f t="shared" si="1022"/>
        <v>0</v>
      </c>
      <c r="GO193" s="1522" t="s">
        <v>335</v>
      </c>
      <c r="GP193" s="1498"/>
      <c r="GQ193" s="1224"/>
      <c r="GR193" s="1236"/>
      <c r="GS193" s="1243"/>
      <c r="GT193" s="1221"/>
      <c r="GU193" s="1221"/>
      <c r="GV193" s="1221"/>
      <c r="GW193" s="1221">
        <f t="shared" si="1179"/>
        <v>0</v>
      </c>
      <c r="GX193" s="1244">
        <f t="shared" si="1180"/>
        <v>0</v>
      </c>
      <c r="GY193" s="1245"/>
      <c r="GZ193" s="1224"/>
      <c r="HA193" s="1224"/>
      <c r="HB193" s="1218">
        <v>0</v>
      </c>
      <c r="HC193" s="1198">
        <f t="shared" si="1181"/>
        <v>0</v>
      </c>
      <c r="HD193" s="1199">
        <f t="shared" si="1149"/>
        <v>0</v>
      </c>
      <c r="HE193" s="1695" t="s">
        <v>335</v>
      </c>
      <c r="HF193" s="1465" t="s">
        <v>335</v>
      </c>
      <c r="HG193" s="1176">
        <f t="shared" si="1182"/>
        <v>133866</v>
      </c>
      <c r="HH193" s="1177">
        <f t="shared" si="1183"/>
        <v>0</v>
      </c>
      <c r="HI193" s="1177">
        <f t="shared" si="1184"/>
        <v>0</v>
      </c>
      <c r="HJ193" s="1177">
        <f t="shared" si="1185"/>
        <v>0</v>
      </c>
      <c r="HK193" s="1177">
        <f t="shared" si="1186"/>
        <v>133866</v>
      </c>
      <c r="HL193" s="1177">
        <f t="shared" si="1187"/>
        <v>0</v>
      </c>
      <c r="HM193" s="1178">
        <f t="shared" ref="HM193:HM208" si="1220">HL193/R193</f>
        <v>0</v>
      </c>
      <c r="HN193" s="1179">
        <f t="shared" si="1188"/>
        <v>133866</v>
      </c>
      <c r="HO193" s="1180">
        <f t="shared" si="1189"/>
        <v>0</v>
      </c>
      <c r="HP193" s="1180">
        <f t="shared" si="1190"/>
        <v>0</v>
      </c>
      <c r="HQ193" s="1180">
        <f t="shared" si="1191"/>
        <v>0</v>
      </c>
      <c r="HR193" s="1180">
        <f t="shared" si="1192"/>
        <v>133866</v>
      </c>
      <c r="HS193" s="1180">
        <f t="shared" si="1193"/>
        <v>0</v>
      </c>
      <c r="HT193" s="1181">
        <f t="shared" ref="HT193:HT208" si="1221">HS193/S193</f>
        <v>0</v>
      </c>
      <c r="HU193" s="1522" t="s">
        <v>335</v>
      </c>
    </row>
    <row r="194" spans="1:229" s="1170" customFormat="1" ht="18" hidden="1" customHeight="1" outlineLevel="1" x14ac:dyDescent="0.2">
      <c r="A194" s="3673"/>
      <c r="B194" s="3672"/>
      <c r="C194" s="3697" t="s">
        <v>330</v>
      </c>
      <c r="D194" s="1168" t="s">
        <v>465</v>
      </c>
      <c r="E194" s="1528" t="s">
        <v>335</v>
      </c>
      <c r="F194" s="1529" t="s">
        <v>335</v>
      </c>
      <c r="G194" s="1529" t="s">
        <v>335</v>
      </c>
      <c r="H194" s="1529" t="s">
        <v>335</v>
      </c>
      <c r="I194" s="1529" t="s">
        <v>335</v>
      </c>
      <c r="J194" s="1529" t="s">
        <v>335</v>
      </c>
      <c r="K194" s="1529" t="s">
        <v>335</v>
      </c>
      <c r="L194" s="1529" t="s">
        <v>335</v>
      </c>
      <c r="M194" s="1529" t="s">
        <v>335</v>
      </c>
      <c r="N194" s="1530" t="s">
        <v>335</v>
      </c>
      <c r="O194" s="1528" t="s">
        <v>335</v>
      </c>
      <c r="P194" s="1529" t="s">
        <v>335</v>
      </c>
      <c r="Q194" s="1529" t="s">
        <v>335</v>
      </c>
      <c r="R194" s="1203">
        <v>0</v>
      </c>
      <c r="S194" s="1349">
        <f t="shared" si="1194"/>
        <v>0</v>
      </c>
      <c r="T194" s="1350" t="s">
        <v>335</v>
      </c>
      <c r="U194" s="1351" t="s">
        <v>335</v>
      </c>
      <c r="V194" s="1352" t="s">
        <v>335</v>
      </c>
      <c r="W194" s="1344">
        <f>18648*6</f>
        <v>111888</v>
      </c>
      <c r="X194" s="1177"/>
      <c r="Y194" s="1177"/>
      <c r="Z194" s="1177"/>
      <c r="AA194" s="1177">
        <f t="shared" si="1195"/>
        <v>111888</v>
      </c>
      <c r="AB194" s="1177">
        <f t="shared" si="1196"/>
        <v>0</v>
      </c>
      <c r="AC194" s="1178" t="e">
        <f t="shared" si="1197"/>
        <v>#DIV/0!</v>
      </c>
      <c r="AD194" s="1233">
        <f>W194*1.35+3674.05</f>
        <v>154722.85</v>
      </c>
      <c r="AE194" s="1232"/>
      <c r="AF194" s="1192"/>
      <c r="AG194" s="1189"/>
      <c r="AH194" s="1232">
        <f t="shared" si="1198"/>
        <v>154722.85</v>
      </c>
      <c r="AI194" s="1189">
        <f t="shared" si="1199"/>
        <v>0</v>
      </c>
      <c r="AJ194" s="1193" t="e">
        <f t="shared" si="1200"/>
        <v>#DIV/0!</v>
      </c>
      <c r="AK194" s="1353"/>
      <c r="AL194" s="1245"/>
      <c r="AM194" s="1245"/>
      <c r="AN194" s="1236"/>
      <c r="AO194" s="1243"/>
      <c r="AP194" s="1221"/>
      <c r="AQ194" s="1221"/>
      <c r="AR194" s="1221"/>
      <c r="AS194" s="1221">
        <f t="shared" si="1201"/>
        <v>0</v>
      </c>
      <c r="AT194" s="1282">
        <f t="shared" si="1202"/>
        <v>0</v>
      </c>
      <c r="AU194" s="1245"/>
      <c r="AV194" s="1224"/>
      <c r="AW194" s="1224"/>
      <c r="AX194" s="1224"/>
      <c r="AY194" s="1198">
        <f t="shared" ref="AY194:AY208" si="1222">AU194+AW194</f>
        <v>0</v>
      </c>
      <c r="AZ194" s="1199">
        <f t="shared" ref="AZ194:AZ208" si="1223">AV194+AX194</f>
        <v>0</v>
      </c>
      <c r="BA194" s="1262"/>
      <c r="BB194" s="1226"/>
      <c r="BC194" s="1176">
        <f t="shared" si="1152"/>
        <v>111888</v>
      </c>
      <c r="BD194" s="1177">
        <f t="shared" si="1152"/>
        <v>0</v>
      </c>
      <c r="BE194" s="1177">
        <f t="shared" si="1152"/>
        <v>0</v>
      </c>
      <c r="BF194" s="1177">
        <f t="shared" si="1152"/>
        <v>0</v>
      </c>
      <c r="BG194" s="1177">
        <f t="shared" si="1152"/>
        <v>111888</v>
      </c>
      <c r="BH194" s="1177">
        <f t="shared" si="1152"/>
        <v>0</v>
      </c>
      <c r="BI194" s="1178" t="e">
        <f>BH194/R194</f>
        <v>#DIV/0!</v>
      </c>
      <c r="BJ194" s="1175">
        <f t="shared" si="1153"/>
        <v>154722.85</v>
      </c>
      <c r="BK194" s="1180">
        <f t="shared" si="1153"/>
        <v>0</v>
      </c>
      <c r="BL194" s="1180">
        <f t="shared" si="1153"/>
        <v>0</v>
      </c>
      <c r="BM194" s="1180">
        <f t="shared" si="1153"/>
        <v>0</v>
      </c>
      <c r="BN194" s="1180">
        <f t="shared" si="1153"/>
        <v>154722.85</v>
      </c>
      <c r="BO194" s="1180">
        <f t="shared" si="1153"/>
        <v>0</v>
      </c>
      <c r="BP194" s="1227" t="e">
        <f t="shared" si="1154"/>
        <v>#DIV/0!</v>
      </c>
      <c r="BQ194" s="1398" t="s">
        <v>335</v>
      </c>
      <c r="BR194" s="1343"/>
      <c r="BS194" s="1224"/>
      <c r="BT194" s="1236"/>
      <c r="BU194" s="1243"/>
      <c r="BV194" s="1221"/>
      <c r="BW194" s="1221"/>
      <c r="BX194" s="1221"/>
      <c r="BY194" s="1221">
        <f t="shared" si="1203"/>
        <v>0</v>
      </c>
      <c r="BZ194" s="1244">
        <f t="shared" si="1204"/>
        <v>0</v>
      </c>
      <c r="CA194" s="1245"/>
      <c r="CB194" s="1224"/>
      <c r="CC194" s="1224"/>
      <c r="CD194" s="1224"/>
      <c r="CE194" s="1198">
        <f t="shared" ref="CE194:CE208" si="1224">CA194+CC194</f>
        <v>0</v>
      </c>
      <c r="CF194" s="1199">
        <f t="shared" ref="CF194:CF208" si="1225">CB194+CD194</f>
        <v>0</v>
      </c>
      <c r="CG194" s="1351" t="s">
        <v>335</v>
      </c>
      <c r="CH194" s="1352" t="s">
        <v>335</v>
      </c>
      <c r="CI194" s="1213">
        <f t="shared" si="1155"/>
        <v>111888</v>
      </c>
      <c r="CJ194" s="1174">
        <f t="shared" si="1156"/>
        <v>0</v>
      </c>
      <c r="CK194" s="1174">
        <f t="shared" si="1157"/>
        <v>0</v>
      </c>
      <c r="CL194" s="1174">
        <f t="shared" si="1158"/>
        <v>0</v>
      </c>
      <c r="CM194" s="1174">
        <f t="shared" si="1159"/>
        <v>111888</v>
      </c>
      <c r="CN194" s="1174">
        <f t="shared" si="1160"/>
        <v>0</v>
      </c>
      <c r="CO194" s="1260" t="e">
        <f t="shared" si="1134"/>
        <v>#DIV/0!</v>
      </c>
      <c r="CP194" s="1321">
        <f t="shared" si="1205"/>
        <v>154722.85</v>
      </c>
      <c r="CQ194" s="1173">
        <f t="shared" si="1206"/>
        <v>0</v>
      </c>
      <c r="CR194" s="1173">
        <f>BL194+CC194</f>
        <v>0</v>
      </c>
      <c r="CS194" s="1173">
        <f>BM194+CD194</f>
        <v>0</v>
      </c>
      <c r="CT194" s="1173">
        <f t="shared" si="1161"/>
        <v>154722.85</v>
      </c>
      <c r="CU194" s="1173">
        <f t="shared" si="1162"/>
        <v>0</v>
      </c>
      <c r="CV194" s="1181" t="e">
        <f t="shared" si="1136"/>
        <v>#DIV/0!</v>
      </c>
      <c r="CW194" s="1522" t="s">
        <v>335</v>
      </c>
      <c r="CX194" s="1343"/>
      <c r="CY194" s="1224"/>
      <c r="CZ194" s="1236"/>
      <c r="DA194" s="1243"/>
      <c r="DB194" s="1221"/>
      <c r="DC194" s="1221"/>
      <c r="DD194" s="1221"/>
      <c r="DE194" s="1221">
        <f t="shared" si="1207"/>
        <v>0</v>
      </c>
      <c r="DF194" s="1244">
        <f t="shared" si="1208"/>
        <v>0</v>
      </c>
      <c r="DG194" s="1245"/>
      <c r="DH194" s="1224"/>
      <c r="DI194" s="1224"/>
      <c r="DJ194" s="1224"/>
      <c r="DK194" s="1198">
        <f t="shared" ref="DK194:DK208" si="1226">DG194+DI194</f>
        <v>0</v>
      </c>
      <c r="DL194" s="1199">
        <f t="shared" ref="DL194:DL208" si="1227">DH194+DJ194</f>
        <v>0</v>
      </c>
      <c r="DM194" s="1351" t="s">
        <v>335</v>
      </c>
      <c r="DN194" s="1352" t="s">
        <v>335</v>
      </c>
      <c r="DO194" s="1213">
        <f t="shared" si="969"/>
        <v>111888</v>
      </c>
      <c r="DP194" s="1174">
        <f t="shared" si="970"/>
        <v>0</v>
      </c>
      <c r="DQ194" s="1174">
        <f t="shared" si="971"/>
        <v>0</v>
      </c>
      <c r="DR194" s="1174">
        <f t="shared" si="972"/>
        <v>0</v>
      </c>
      <c r="DS194" s="1174">
        <f t="shared" si="973"/>
        <v>111888</v>
      </c>
      <c r="DT194" s="1174">
        <f t="shared" si="974"/>
        <v>0</v>
      </c>
      <c r="DU194" s="1260" t="e">
        <f>DT194/R194</f>
        <v>#DIV/0!</v>
      </c>
      <c r="DV194" s="1321">
        <f t="shared" si="1209"/>
        <v>154722.85</v>
      </c>
      <c r="DW194" s="1173">
        <f t="shared" si="1210"/>
        <v>0</v>
      </c>
      <c r="DX194" s="1173">
        <f t="shared" si="1211"/>
        <v>0</v>
      </c>
      <c r="DY194" s="1173">
        <f t="shared" si="1211"/>
        <v>0</v>
      </c>
      <c r="DZ194" s="1173">
        <f t="shared" si="977"/>
        <v>154722.85</v>
      </c>
      <c r="EA194" s="1173">
        <f t="shared" si="978"/>
        <v>0</v>
      </c>
      <c r="EB194" s="1181" t="e">
        <f t="shared" si="1212"/>
        <v>#DIV/0!</v>
      </c>
      <c r="EC194" s="1523" t="s">
        <v>335</v>
      </c>
      <c r="ED194" s="1498"/>
      <c r="EE194" s="1224"/>
      <c r="EF194" s="1236"/>
      <c r="EG194" s="1243">
        <f t="shared" si="1213"/>
        <v>21978</v>
      </c>
      <c r="EH194" s="1221"/>
      <c r="EI194" s="1221"/>
      <c r="EJ194" s="1221"/>
      <c r="EK194" s="1221">
        <f t="shared" si="1163"/>
        <v>21978</v>
      </c>
      <c r="EL194" s="1244">
        <f t="shared" si="1164"/>
        <v>0</v>
      </c>
      <c r="EM194" s="1245">
        <f t="shared" si="1214"/>
        <v>21978</v>
      </c>
      <c r="EN194" s="1224"/>
      <c r="EO194" s="1224"/>
      <c r="EP194" s="1224"/>
      <c r="EQ194" s="1198">
        <f t="shared" si="1165"/>
        <v>21978</v>
      </c>
      <c r="ER194" s="1199">
        <f t="shared" si="1165"/>
        <v>0</v>
      </c>
      <c r="ES194" s="1351" t="s">
        <v>335</v>
      </c>
      <c r="ET194" s="1465" t="s">
        <v>335</v>
      </c>
      <c r="EU194" s="1176">
        <f t="shared" si="868"/>
        <v>133866</v>
      </c>
      <c r="EV194" s="1177">
        <f t="shared" si="1166"/>
        <v>0</v>
      </c>
      <c r="EW194" s="1177">
        <f t="shared" si="1167"/>
        <v>0</v>
      </c>
      <c r="EX194" s="1177">
        <f t="shared" si="1168"/>
        <v>0</v>
      </c>
      <c r="EY194" s="1177">
        <f t="shared" si="1169"/>
        <v>133866</v>
      </c>
      <c r="EZ194" s="1177">
        <f t="shared" si="1169"/>
        <v>0</v>
      </c>
      <c r="FA194" s="1178" t="e">
        <f>EZ194/R194</f>
        <v>#DIV/0!</v>
      </c>
      <c r="FB194" s="1179">
        <f t="shared" si="1215"/>
        <v>176700.85</v>
      </c>
      <c r="FC194" s="1180">
        <f t="shared" si="1216"/>
        <v>0</v>
      </c>
      <c r="FD194" s="1180">
        <f t="shared" si="1217"/>
        <v>0</v>
      </c>
      <c r="FE194" s="1180">
        <f t="shared" si="1217"/>
        <v>0</v>
      </c>
      <c r="FF194" s="1180">
        <f t="shared" si="1217"/>
        <v>176700.85</v>
      </c>
      <c r="FG194" s="1180">
        <f t="shared" si="1217"/>
        <v>0</v>
      </c>
      <c r="FH194" s="1181" t="e">
        <f t="shared" si="869"/>
        <v>#DIV/0!</v>
      </c>
      <c r="FI194" s="1522" t="s">
        <v>335</v>
      </c>
      <c r="FJ194" s="1498"/>
      <c r="FK194" s="1224"/>
      <c r="FL194" s="1236"/>
      <c r="FM194" s="1243">
        <f t="shared" si="1218"/>
        <v>0</v>
      </c>
      <c r="FN194" s="1221"/>
      <c r="FO194" s="1221"/>
      <c r="FP194" s="1221"/>
      <c r="FQ194" s="1221">
        <f t="shared" si="1171"/>
        <v>0</v>
      </c>
      <c r="FR194" s="1244">
        <f t="shared" si="1172"/>
        <v>0</v>
      </c>
      <c r="FS194" s="1245">
        <f t="shared" si="1219"/>
        <v>0</v>
      </c>
      <c r="FT194" s="1224"/>
      <c r="FU194" s="1224"/>
      <c r="FV194" s="1218">
        <v>0</v>
      </c>
      <c r="FW194" s="1198">
        <f t="shared" si="1145"/>
        <v>0</v>
      </c>
      <c r="FX194" s="1199">
        <f t="shared" si="1145"/>
        <v>0</v>
      </c>
      <c r="FY194" s="1351" t="s">
        <v>335</v>
      </c>
      <c r="FZ194" s="1465" t="s">
        <v>335</v>
      </c>
      <c r="GA194" s="1176">
        <f t="shared" si="1173"/>
        <v>133866</v>
      </c>
      <c r="GB194" s="1177">
        <f t="shared" si="1173"/>
        <v>0</v>
      </c>
      <c r="GC194" s="1177">
        <f t="shared" si="1174"/>
        <v>0</v>
      </c>
      <c r="GD194" s="1177">
        <f t="shared" si="1174"/>
        <v>0</v>
      </c>
      <c r="GE194" s="1177">
        <f t="shared" si="1175"/>
        <v>133866</v>
      </c>
      <c r="GF194" s="1177">
        <f t="shared" si="1175"/>
        <v>0</v>
      </c>
      <c r="GG194" s="1178" t="e">
        <f t="shared" si="1176"/>
        <v>#DIV/0!</v>
      </c>
      <c r="GH194" s="1179">
        <f t="shared" si="1177"/>
        <v>176700.85</v>
      </c>
      <c r="GI194" s="1180">
        <f t="shared" si="1177"/>
        <v>0</v>
      </c>
      <c r="GJ194" s="1180">
        <f t="shared" si="1178"/>
        <v>0</v>
      </c>
      <c r="GK194" s="1180">
        <f t="shared" si="1178"/>
        <v>0</v>
      </c>
      <c r="GL194" s="1180">
        <f t="shared" si="1178"/>
        <v>176700.85</v>
      </c>
      <c r="GM194" s="1180">
        <f t="shared" si="1178"/>
        <v>0</v>
      </c>
      <c r="GN194" s="1181" t="e">
        <f t="shared" si="1022"/>
        <v>#DIV/0!</v>
      </c>
      <c r="GO194" s="1522" t="s">
        <v>335</v>
      </c>
      <c r="GP194" s="1498"/>
      <c r="GQ194" s="1224"/>
      <c r="GR194" s="1236"/>
      <c r="GS194" s="1243"/>
      <c r="GT194" s="1221"/>
      <c r="GU194" s="1221"/>
      <c r="GV194" s="1221"/>
      <c r="GW194" s="1221">
        <f t="shared" si="1179"/>
        <v>0</v>
      </c>
      <c r="GX194" s="1244">
        <f t="shared" si="1180"/>
        <v>0</v>
      </c>
      <c r="GY194" s="1245"/>
      <c r="GZ194" s="1224"/>
      <c r="HA194" s="1224"/>
      <c r="HB194" s="1218">
        <v>0</v>
      </c>
      <c r="HC194" s="1198">
        <f t="shared" si="1181"/>
        <v>0</v>
      </c>
      <c r="HD194" s="1199">
        <f t="shared" si="1149"/>
        <v>0</v>
      </c>
      <c r="HE194" s="1695" t="s">
        <v>335</v>
      </c>
      <c r="HF194" s="1465" t="s">
        <v>335</v>
      </c>
      <c r="HG194" s="1176">
        <f t="shared" si="1182"/>
        <v>133866</v>
      </c>
      <c r="HH194" s="1177">
        <f t="shared" si="1183"/>
        <v>0</v>
      </c>
      <c r="HI194" s="1177">
        <f t="shared" si="1184"/>
        <v>0</v>
      </c>
      <c r="HJ194" s="1177">
        <f t="shared" si="1185"/>
        <v>0</v>
      </c>
      <c r="HK194" s="1177">
        <f t="shared" si="1186"/>
        <v>133866</v>
      </c>
      <c r="HL194" s="1177">
        <f t="shared" si="1187"/>
        <v>0</v>
      </c>
      <c r="HM194" s="1178" t="e">
        <f t="shared" si="1220"/>
        <v>#DIV/0!</v>
      </c>
      <c r="HN194" s="1179">
        <f t="shared" si="1188"/>
        <v>176700.85</v>
      </c>
      <c r="HO194" s="1180">
        <f t="shared" si="1189"/>
        <v>0</v>
      </c>
      <c r="HP194" s="1180">
        <f t="shared" si="1190"/>
        <v>0</v>
      </c>
      <c r="HQ194" s="1180">
        <f t="shared" si="1191"/>
        <v>0</v>
      </c>
      <c r="HR194" s="1180">
        <f t="shared" si="1192"/>
        <v>176700.85</v>
      </c>
      <c r="HS194" s="1180">
        <f t="shared" si="1193"/>
        <v>0</v>
      </c>
      <c r="HT194" s="1181" t="e">
        <f t="shared" si="1221"/>
        <v>#DIV/0!</v>
      </c>
      <c r="HU194" s="1522" t="s">
        <v>335</v>
      </c>
    </row>
    <row r="195" spans="1:229" s="1170" customFormat="1" ht="18" hidden="1" customHeight="1" outlineLevel="1" x14ac:dyDescent="0.2">
      <c r="A195" s="3673"/>
      <c r="B195" s="3672"/>
      <c r="C195" s="3698"/>
      <c r="D195" s="1168" t="s">
        <v>499</v>
      </c>
      <c r="E195" s="1528" t="s">
        <v>335</v>
      </c>
      <c r="F195" s="1529" t="s">
        <v>335</v>
      </c>
      <c r="G195" s="1529" t="s">
        <v>335</v>
      </c>
      <c r="H195" s="1529" t="s">
        <v>335</v>
      </c>
      <c r="I195" s="1529" t="s">
        <v>335</v>
      </c>
      <c r="J195" s="1529" t="s">
        <v>335</v>
      </c>
      <c r="K195" s="1529" t="s">
        <v>335</v>
      </c>
      <c r="L195" s="1529" t="s">
        <v>335</v>
      </c>
      <c r="M195" s="1529" t="s">
        <v>335</v>
      </c>
      <c r="N195" s="1530" t="s">
        <v>335</v>
      </c>
      <c r="O195" s="1528" t="s">
        <v>335</v>
      </c>
      <c r="P195" s="1529" t="s">
        <v>335</v>
      </c>
      <c r="Q195" s="1529" t="s">
        <v>335</v>
      </c>
      <c r="R195" s="1203">
        <v>275307.90999999997</v>
      </c>
      <c r="S195" s="1349">
        <f t="shared" si="1194"/>
        <v>275307.90999999997</v>
      </c>
      <c r="T195" s="1350" t="s">
        <v>335</v>
      </c>
      <c r="U195" s="1351" t="s">
        <v>335</v>
      </c>
      <c r="V195" s="1352" t="s">
        <v>335</v>
      </c>
      <c r="W195" s="1344"/>
      <c r="X195" s="1177"/>
      <c r="Y195" s="1177"/>
      <c r="Z195" s="1177"/>
      <c r="AA195" s="1177">
        <f t="shared" si="1195"/>
        <v>0</v>
      </c>
      <c r="AB195" s="1177">
        <f t="shared" si="1196"/>
        <v>0</v>
      </c>
      <c r="AC195" s="1178">
        <f t="shared" si="1197"/>
        <v>0</v>
      </c>
      <c r="AD195" s="1233"/>
      <c r="AE195" s="1232"/>
      <c r="AF195" s="1192"/>
      <c r="AG195" s="1189"/>
      <c r="AH195" s="1232">
        <f t="shared" si="1198"/>
        <v>0</v>
      </c>
      <c r="AI195" s="1189">
        <f t="shared" si="1199"/>
        <v>0</v>
      </c>
      <c r="AJ195" s="1193">
        <f t="shared" si="1200"/>
        <v>0</v>
      </c>
      <c r="AK195" s="1353"/>
      <c r="AL195" s="1245"/>
      <c r="AM195" s="1245"/>
      <c r="AN195" s="1236"/>
      <c r="AO195" s="1243"/>
      <c r="AP195" s="1221"/>
      <c r="AQ195" s="1221"/>
      <c r="AR195" s="1221"/>
      <c r="AS195" s="1221">
        <f t="shared" si="1201"/>
        <v>0</v>
      </c>
      <c r="AT195" s="1282">
        <f t="shared" si="1202"/>
        <v>0</v>
      </c>
      <c r="AU195" s="1245"/>
      <c r="AV195" s="1224"/>
      <c r="AW195" s="1224"/>
      <c r="AX195" s="1224"/>
      <c r="AY195" s="1198">
        <f t="shared" si="1222"/>
        <v>0</v>
      </c>
      <c r="AZ195" s="1199">
        <f t="shared" si="1223"/>
        <v>0</v>
      </c>
      <c r="BA195" s="1262"/>
      <c r="BB195" s="1226"/>
      <c r="BC195" s="1176">
        <f t="shared" ref="BC195:BC208" si="1228">W195+AO195</f>
        <v>0</v>
      </c>
      <c r="BD195" s="1177">
        <f t="shared" ref="BD195:BD208" si="1229">X195+AP195</f>
        <v>0</v>
      </c>
      <c r="BE195" s="1177">
        <f t="shared" ref="BE195:BE208" si="1230">Y195+AQ195</f>
        <v>0</v>
      </c>
      <c r="BF195" s="1177">
        <f t="shared" ref="BF195:BF208" si="1231">Z195+AR195</f>
        <v>0</v>
      </c>
      <c r="BG195" s="1177">
        <f t="shared" ref="BG195:BG208" si="1232">AA195+AS195</f>
        <v>0</v>
      </c>
      <c r="BH195" s="1177">
        <f t="shared" ref="BH195:BH208" si="1233">AB195+AT195</f>
        <v>0</v>
      </c>
      <c r="BI195" s="1178">
        <f t="shared" ref="BI195:BI208" si="1234">BH195/R195</f>
        <v>0</v>
      </c>
      <c r="BJ195" s="1175">
        <f t="shared" ref="BJ195:BJ208" si="1235">AD195+AU195</f>
        <v>0</v>
      </c>
      <c r="BK195" s="1180">
        <f t="shared" ref="BK195:BK208" si="1236">AE195+AV195</f>
        <v>0</v>
      </c>
      <c r="BL195" s="1180">
        <f t="shared" ref="BL195:BL208" si="1237">AF195+AW195</f>
        <v>0</v>
      </c>
      <c r="BM195" s="1180">
        <f t="shared" ref="BM195:BM208" si="1238">AG195+AX195</f>
        <v>0</v>
      </c>
      <c r="BN195" s="1180">
        <f t="shared" ref="BN195:BN208" si="1239">AH195+AY195</f>
        <v>0</v>
      </c>
      <c r="BO195" s="1180">
        <f t="shared" ref="BO195:BO208" si="1240">AI195+AZ195</f>
        <v>0</v>
      </c>
      <c r="BP195" s="1227">
        <f t="shared" si="1154"/>
        <v>0</v>
      </c>
      <c r="BQ195" s="1398" t="s">
        <v>335</v>
      </c>
      <c r="BR195" s="1343"/>
      <c r="BS195" s="1224"/>
      <c r="BT195" s="1236"/>
      <c r="BU195" s="1243"/>
      <c r="BV195" s="1221"/>
      <c r="BW195" s="1221"/>
      <c r="BX195" s="1221"/>
      <c r="BY195" s="1221">
        <f t="shared" si="1203"/>
        <v>0</v>
      </c>
      <c r="BZ195" s="1244">
        <f t="shared" si="1204"/>
        <v>0</v>
      </c>
      <c r="CA195" s="1245"/>
      <c r="CB195" s="1224"/>
      <c r="CC195" s="1224"/>
      <c r="CD195" s="1224"/>
      <c r="CE195" s="1198">
        <f t="shared" si="1224"/>
        <v>0</v>
      </c>
      <c r="CF195" s="1199">
        <f t="shared" si="1225"/>
        <v>0</v>
      </c>
      <c r="CG195" s="1351" t="s">
        <v>335</v>
      </c>
      <c r="CH195" s="1352" t="s">
        <v>335</v>
      </c>
      <c r="CI195" s="1213"/>
      <c r="CJ195" s="1174"/>
      <c r="CK195" s="1174"/>
      <c r="CL195" s="1174"/>
      <c r="CM195" s="1174">
        <f t="shared" si="1159"/>
        <v>0</v>
      </c>
      <c r="CN195" s="1174">
        <f t="shared" si="1160"/>
        <v>0</v>
      </c>
      <c r="CO195" s="1260">
        <f t="shared" si="1134"/>
        <v>0</v>
      </c>
      <c r="CP195" s="1321">
        <f t="shared" si="1205"/>
        <v>0</v>
      </c>
      <c r="CQ195" s="1173">
        <f t="shared" si="1206"/>
        <v>0</v>
      </c>
      <c r="CR195" s="1173">
        <f t="shared" ref="CR195:CR208" si="1241">BL195+CC195</f>
        <v>0</v>
      </c>
      <c r="CS195" s="1173">
        <f t="shared" ref="CS195:CS208" si="1242">BM195+CD195</f>
        <v>0</v>
      </c>
      <c r="CT195" s="1173">
        <f t="shared" si="1161"/>
        <v>0</v>
      </c>
      <c r="CU195" s="1173">
        <f t="shared" si="1162"/>
        <v>0</v>
      </c>
      <c r="CV195" s="1181">
        <f t="shared" si="1136"/>
        <v>0</v>
      </c>
      <c r="CW195" s="1522" t="s">
        <v>335</v>
      </c>
      <c r="CX195" s="1343"/>
      <c r="CY195" s="1224"/>
      <c r="CZ195" s="1236"/>
      <c r="DA195" s="1243"/>
      <c r="DB195" s="1221">
        <v>275307.90999999997</v>
      </c>
      <c r="DC195" s="1221"/>
      <c r="DD195" s="1221"/>
      <c r="DE195" s="1221">
        <f t="shared" si="1207"/>
        <v>0</v>
      </c>
      <c r="DF195" s="1244">
        <f t="shared" si="1208"/>
        <v>275307.90999999997</v>
      </c>
      <c r="DG195" s="1245">
        <v>307692</v>
      </c>
      <c r="DH195" s="1224">
        <v>275307.90999999997</v>
      </c>
      <c r="DI195" s="1224"/>
      <c r="DJ195" s="1224"/>
      <c r="DK195" s="1198">
        <f t="shared" si="1226"/>
        <v>307692</v>
      </c>
      <c r="DL195" s="1199">
        <f t="shared" si="1227"/>
        <v>275307.90999999997</v>
      </c>
      <c r="DM195" s="1351" t="s">
        <v>335</v>
      </c>
      <c r="DN195" s="1352" t="s">
        <v>335</v>
      </c>
      <c r="DO195" s="1213">
        <f>CI195+DA195</f>
        <v>0</v>
      </c>
      <c r="DP195" s="1174">
        <f>CJ195+DB195</f>
        <v>275307.90999999997</v>
      </c>
      <c r="DQ195" s="1174">
        <f>CK195+DC195</f>
        <v>0</v>
      </c>
      <c r="DR195" s="1174">
        <f>CL195+DD195</f>
        <v>0</v>
      </c>
      <c r="DS195" s="1174">
        <f t="shared" si="973"/>
        <v>0</v>
      </c>
      <c r="DT195" s="1174">
        <f t="shared" si="974"/>
        <v>275307.90999999997</v>
      </c>
      <c r="DU195" s="1260">
        <f>DT195/R195</f>
        <v>1</v>
      </c>
      <c r="DV195" s="1321">
        <f t="shared" si="1209"/>
        <v>307692</v>
      </c>
      <c r="DW195" s="1173">
        <f t="shared" si="1210"/>
        <v>275307.90999999997</v>
      </c>
      <c r="DX195" s="1173">
        <f t="shared" si="1211"/>
        <v>0</v>
      </c>
      <c r="DY195" s="1173">
        <f t="shared" si="1211"/>
        <v>0</v>
      </c>
      <c r="DZ195" s="1173">
        <f t="shared" si="977"/>
        <v>307692</v>
      </c>
      <c r="EA195" s="1173">
        <f t="shared" si="978"/>
        <v>275307.90999999997</v>
      </c>
      <c r="EB195" s="1181">
        <f t="shared" si="1212"/>
        <v>1</v>
      </c>
      <c r="EC195" s="1523" t="s">
        <v>335</v>
      </c>
      <c r="ED195" s="1498"/>
      <c r="EE195" s="1224"/>
      <c r="EF195" s="1236"/>
      <c r="EG195" s="1243">
        <f t="shared" si="1213"/>
        <v>21978</v>
      </c>
      <c r="EH195" s="1221"/>
      <c r="EI195" s="1221"/>
      <c r="EJ195" s="1221"/>
      <c r="EK195" s="1221">
        <f t="shared" si="1163"/>
        <v>21978</v>
      </c>
      <c r="EL195" s="1244">
        <f t="shared" si="1164"/>
        <v>0</v>
      </c>
      <c r="EM195" s="1245">
        <f t="shared" si="1214"/>
        <v>21978</v>
      </c>
      <c r="EN195" s="1224"/>
      <c r="EO195" s="1224"/>
      <c r="EP195" s="1224"/>
      <c r="EQ195" s="1198">
        <f t="shared" si="1165"/>
        <v>21978</v>
      </c>
      <c r="ER195" s="1199">
        <f t="shared" si="1165"/>
        <v>0</v>
      </c>
      <c r="ES195" s="1351" t="s">
        <v>335</v>
      </c>
      <c r="ET195" s="1465" t="s">
        <v>335</v>
      </c>
      <c r="EU195" s="1176">
        <f t="shared" si="868"/>
        <v>21978</v>
      </c>
      <c r="EV195" s="1177">
        <f t="shared" si="1166"/>
        <v>275307.90999999997</v>
      </c>
      <c r="EW195" s="1177">
        <f t="shared" si="1167"/>
        <v>0</v>
      </c>
      <c r="EX195" s="1177">
        <f t="shared" si="1168"/>
        <v>0</v>
      </c>
      <c r="EY195" s="1177">
        <f t="shared" si="1169"/>
        <v>21978</v>
      </c>
      <c r="EZ195" s="1177">
        <f t="shared" si="1169"/>
        <v>275307.90999999997</v>
      </c>
      <c r="FA195" s="1178">
        <f>EZ195/R195</f>
        <v>1</v>
      </c>
      <c r="FB195" s="1179">
        <f t="shared" si="1215"/>
        <v>329670</v>
      </c>
      <c r="FC195" s="1180">
        <f t="shared" si="1216"/>
        <v>275307.90999999997</v>
      </c>
      <c r="FD195" s="1180">
        <f t="shared" si="1217"/>
        <v>0</v>
      </c>
      <c r="FE195" s="1180">
        <f t="shared" si="1217"/>
        <v>0</v>
      </c>
      <c r="FF195" s="1180">
        <f t="shared" si="1217"/>
        <v>329670</v>
      </c>
      <c r="FG195" s="1180">
        <f t="shared" si="1217"/>
        <v>275307.90999999997</v>
      </c>
      <c r="FH195" s="1181">
        <f t="shared" si="869"/>
        <v>1</v>
      </c>
      <c r="FI195" s="1522" t="s">
        <v>335</v>
      </c>
      <c r="FJ195" s="1498"/>
      <c r="FK195" s="1224"/>
      <c r="FL195" s="1236"/>
      <c r="FM195" s="1243">
        <f t="shared" si="1218"/>
        <v>0</v>
      </c>
      <c r="FN195" s="1221"/>
      <c r="FO195" s="1221"/>
      <c r="FP195" s="1221"/>
      <c r="FQ195" s="1221">
        <f t="shared" si="1171"/>
        <v>0</v>
      </c>
      <c r="FR195" s="1244">
        <f t="shared" si="1172"/>
        <v>0</v>
      </c>
      <c r="FS195" s="1245">
        <f t="shared" si="1219"/>
        <v>0</v>
      </c>
      <c r="FT195" s="1224"/>
      <c r="FU195" s="1224"/>
      <c r="FV195" s="1218">
        <v>0</v>
      </c>
      <c r="FW195" s="1198">
        <f t="shared" si="1145"/>
        <v>0</v>
      </c>
      <c r="FX195" s="1199">
        <f t="shared" si="1145"/>
        <v>0</v>
      </c>
      <c r="FY195" s="1351" t="s">
        <v>335</v>
      </c>
      <c r="FZ195" s="1465" t="s">
        <v>335</v>
      </c>
      <c r="GA195" s="1176">
        <f t="shared" si="1173"/>
        <v>21978</v>
      </c>
      <c r="GB195" s="1177">
        <f t="shared" si="1173"/>
        <v>275307.90999999997</v>
      </c>
      <c r="GC195" s="1177">
        <f t="shared" si="1174"/>
        <v>0</v>
      </c>
      <c r="GD195" s="1177">
        <f t="shared" si="1174"/>
        <v>0</v>
      </c>
      <c r="GE195" s="1177">
        <f t="shared" si="1175"/>
        <v>21978</v>
      </c>
      <c r="GF195" s="1177">
        <f t="shared" si="1175"/>
        <v>275307.90999999997</v>
      </c>
      <c r="GG195" s="1178">
        <f t="shared" si="1176"/>
        <v>1</v>
      </c>
      <c r="GH195" s="1179">
        <f t="shared" si="1177"/>
        <v>329670</v>
      </c>
      <c r="GI195" s="1180">
        <f t="shared" si="1177"/>
        <v>275307.90999999997</v>
      </c>
      <c r="GJ195" s="1180">
        <f t="shared" si="1178"/>
        <v>0</v>
      </c>
      <c r="GK195" s="1180">
        <f t="shared" si="1178"/>
        <v>0</v>
      </c>
      <c r="GL195" s="1180">
        <f t="shared" si="1178"/>
        <v>329670</v>
      </c>
      <c r="GM195" s="1180">
        <f t="shared" si="1178"/>
        <v>275307.90999999997</v>
      </c>
      <c r="GN195" s="1181">
        <f t="shared" si="1022"/>
        <v>1</v>
      </c>
      <c r="GO195" s="1522" t="s">
        <v>335</v>
      </c>
      <c r="GP195" s="1498"/>
      <c r="GQ195" s="1224"/>
      <c r="GR195" s="1236"/>
      <c r="GS195" s="1243"/>
      <c r="GT195" s="1221"/>
      <c r="GU195" s="1221"/>
      <c r="GV195" s="1221"/>
      <c r="GW195" s="1221">
        <f t="shared" si="1179"/>
        <v>0</v>
      </c>
      <c r="GX195" s="1244">
        <f t="shared" si="1180"/>
        <v>0</v>
      </c>
      <c r="GY195" s="1245"/>
      <c r="GZ195" s="1224"/>
      <c r="HA195" s="1224"/>
      <c r="HB195" s="1218">
        <v>0</v>
      </c>
      <c r="HC195" s="1198">
        <f t="shared" si="1181"/>
        <v>0</v>
      </c>
      <c r="HD195" s="1199">
        <f t="shared" si="1149"/>
        <v>0</v>
      </c>
      <c r="HE195" s="1695" t="s">
        <v>335</v>
      </c>
      <c r="HF195" s="1465" t="s">
        <v>335</v>
      </c>
      <c r="HG195" s="1176">
        <f t="shared" si="1182"/>
        <v>21978</v>
      </c>
      <c r="HH195" s="1177">
        <f t="shared" si="1183"/>
        <v>275307.90999999997</v>
      </c>
      <c r="HI195" s="1177">
        <f t="shared" si="1184"/>
        <v>0</v>
      </c>
      <c r="HJ195" s="1177">
        <f t="shared" si="1185"/>
        <v>0</v>
      </c>
      <c r="HK195" s="1177">
        <f t="shared" si="1186"/>
        <v>21978</v>
      </c>
      <c r="HL195" s="1177">
        <f t="shared" si="1187"/>
        <v>275307.90999999997</v>
      </c>
      <c r="HM195" s="1178">
        <f t="shared" si="1220"/>
        <v>1</v>
      </c>
      <c r="HN195" s="1179">
        <f t="shared" si="1188"/>
        <v>329670</v>
      </c>
      <c r="HO195" s="1180">
        <f t="shared" si="1189"/>
        <v>275307.90999999997</v>
      </c>
      <c r="HP195" s="1180">
        <f t="shared" si="1190"/>
        <v>0</v>
      </c>
      <c r="HQ195" s="1180">
        <f t="shared" si="1191"/>
        <v>0</v>
      </c>
      <c r="HR195" s="1180">
        <f t="shared" si="1192"/>
        <v>329670</v>
      </c>
      <c r="HS195" s="1180">
        <f t="shared" si="1193"/>
        <v>275307.90999999997</v>
      </c>
      <c r="HT195" s="1181">
        <f t="shared" si="1221"/>
        <v>1</v>
      </c>
      <c r="HU195" s="1522" t="s">
        <v>335</v>
      </c>
    </row>
    <row r="196" spans="1:229" s="1170" customFormat="1" ht="18" hidden="1" customHeight="1" outlineLevel="1" x14ac:dyDescent="0.2">
      <c r="A196" s="3673"/>
      <c r="B196" s="3672"/>
      <c r="C196" s="3698"/>
      <c r="D196" s="1168" t="s">
        <v>515</v>
      </c>
      <c r="E196" s="1528" t="s">
        <v>335</v>
      </c>
      <c r="F196" s="1529" t="s">
        <v>335</v>
      </c>
      <c r="G196" s="1529" t="s">
        <v>335</v>
      </c>
      <c r="H196" s="1529" t="s">
        <v>335</v>
      </c>
      <c r="I196" s="1529" t="s">
        <v>335</v>
      </c>
      <c r="J196" s="1529" t="s">
        <v>335</v>
      </c>
      <c r="K196" s="1529" t="s">
        <v>335</v>
      </c>
      <c r="L196" s="1529" t="s">
        <v>335</v>
      </c>
      <c r="M196" s="1529" t="s">
        <v>335</v>
      </c>
      <c r="N196" s="1530" t="s">
        <v>335</v>
      </c>
      <c r="O196" s="1528" t="s">
        <v>335</v>
      </c>
      <c r="P196" s="1529" t="s">
        <v>335</v>
      </c>
      <c r="Q196" s="1529" t="s">
        <v>335</v>
      </c>
      <c r="R196" s="1203">
        <v>183560.59</v>
      </c>
      <c r="S196" s="1349">
        <f t="shared" si="1194"/>
        <v>183560.59</v>
      </c>
      <c r="T196" s="1350" t="s">
        <v>335</v>
      </c>
      <c r="U196" s="1351" t="s">
        <v>335</v>
      </c>
      <c r="V196" s="1352" t="s">
        <v>335</v>
      </c>
      <c r="W196" s="1344">
        <v>0</v>
      </c>
      <c r="X196" s="1177">
        <v>0</v>
      </c>
      <c r="Y196" s="1177">
        <v>0</v>
      </c>
      <c r="Z196" s="1177">
        <v>0</v>
      </c>
      <c r="AA196" s="1177">
        <f t="shared" si="1195"/>
        <v>0</v>
      </c>
      <c r="AB196" s="1177">
        <f t="shared" si="1196"/>
        <v>0</v>
      </c>
      <c r="AC196" s="1178">
        <f t="shared" si="1197"/>
        <v>0</v>
      </c>
      <c r="AD196" s="1233">
        <v>0</v>
      </c>
      <c r="AE196" s="1232">
        <v>0</v>
      </c>
      <c r="AF196" s="1192">
        <v>0</v>
      </c>
      <c r="AG196" s="1189">
        <v>0</v>
      </c>
      <c r="AH196" s="1232">
        <f t="shared" si="1198"/>
        <v>0</v>
      </c>
      <c r="AI196" s="1189">
        <f t="shared" si="1199"/>
        <v>0</v>
      </c>
      <c r="AJ196" s="1193">
        <f t="shared" si="1200"/>
        <v>0</v>
      </c>
      <c r="AK196" s="1353"/>
      <c r="AL196" s="1245"/>
      <c r="AM196" s="1245"/>
      <c r="AN196" s="1236"/>
      <c r="AO196" s="1243"/>
      <c r="AP196" s="1221"/>
      <c r="AQ196" s="1221"/>
      <c r="AR196" s="1221"/>
      <c r="AS196" s="1221">
        <f t="shared" si="1201"/>
        <v>0</v>
      </c>
      <c r="AT196" s="1282">
        <f t="shared" si="1202"/>
        <v>0</v>
      </c>
      <c r="AU196" s="1245"/>
      <c r="AV196" s="1224"/>
      <c r="AW196" s="1224"/>
      <c r="AX196" s="1224"/>
      <c r="AY196" s="1198">
        <f t="shared" si="1222"/>
        <v>0</v>
      </c>
      <c r="AZ196" s="1199">
        <f t="shared" si="1223"/>
        <v>0</v>
      </c>
      <c r="BA196" s="1262"/>
      <c r="BB196" s="1226"/>
      <c r="BC196" s="1176">
        <f t="shared" si="1228"/>
        <v>0</v>
      </c>
      <c r="BD196" s="1177">
        <f t="shared" si="1229"/>
        <v>0</v>
      </c>
      <c r="BE196" s="1177">
        <f t="shared" si="1230"/>
        <v>0</v>
      </c>
      <c r="BF196" s="1177">
        <f t="shared" si="1231"/>
        <v>0</v>
      </c>
      <c r="BG196" s="1177">
        <f t="shared" si="1232"/>
        <v>0</v>
      </c>
      <c r="BH196" s="1177">
        <f t="shared" si="1233"/>
        <v>0</v>
      </c>
      <c r="BI196" s="1178">
        <f t="shared" si="1234"/>
        <v>0</v>
      </c>
      <c r="BJ196" s="1175">
        <f t="shared" si="1235"/>
        <v>0</v>
      </c>
      <c r="BK196" s="1180">
        <f t="shared" si="1236"/>
        <v>0</v>
      </c>
      <c r="BL196" s="1180">
        <f t="shared" si="1237"/>
        <v>0</v>
      </c>
      <c r="BM196" s="1180">
        <f t="shared" si="1238"/>
        <v>0</v>
      </c>
      <c r="BN196" s="1180">
        <f t="shared" si="1239"/>
        <v>0</v>
      </c>
      <c r="BO196" s="1180">
        <f t="shared" si="1240"/>
        <v>0</v>
      </c>
      <c r="BP196" s="1227">
        <f t="shared" si="1154"/>
        <v>0</v>
      </c>
      <c r="BQ196" s="1398" t="s">
        <v>335</v>
      </c>
      <c r="BR196" s="1343"/>
      <c r="BS196" s="1224"/>
      <c r="BT196" s="1236"/>
      <c r="BU196" s="1243"/>
      <c r="BV196" s="1221"/>
      <c r="BW196" s="1221"/>
      <c r="BX196" s="1221"/>
      <c r="BY196" s="1221">
        <f t="shared" si="1203"/>
        <v>0</v>
      </c>
      <c r="BZ196" s="1244">
        <f t="shared" si="1204"/>
        <v>0</v>
      </c>
      <c r="CA196" s="1245"/>
      <c r="CB196" s="1224"/>
      <c r="CC196" s="1224"/>
      <c r="CD196" s="1224"/>
      <c r="CE196" s="1198">
        <f t="shared" si="1224"/>
        <v>0</v>
      </c>
      <c r="CF196" s="1199">
        <f t="shared" si="1225"/>
        <v>0</v>
      </c>
      <c r="CG196" s="1351" t="s">
        <v>335</v>
      </c>
      <c r="CH196" s="1352" t="s">
        <v>335</v>
      </c>
      <c r="CI196" s="1213"/>
      <c r="CJ196" s="1174"/>
      <c r="CK196" s="1174"/>
      <c r="CL196" s="1174"/>
      <c r="CM196" s="1174">
        <f t="shared" si="1159"/>
        <v>0</v>
      </c>
      <c r="CN196" s="1174">
        <f t="shared" si="1160"/>
        <v>0</v>
      </c>
      <c r="CO196" s="1260">
        <f t="shared" si="1134"/>
        <v>0</v>
      </c>
      <c r="CP196" s="1321">
        <f t="shared" si="1205"/>
        <v>0</v>
      </c>
      <c r="CQ196" s="1173">
        <f t="shared" si="1206"/>
        <v>0</v>
      </c>
      <c r="CR196" s="1173">
        <f t="shared" si="1241"/>
        <v>0</v>
      </c>
      <c r="CS196" s="1173">
        <f t="shared" si="1242"/>
        <v>0</v>
      </c>
      <c r="CT196" s="1173">
        <f t="shared" si="1161"/>
        <v>0</v>
      </c>
      <c r="CU196" s="1173">
        <f t="shared" si="1162"/>
        <v>0</v>
      </c>
      <c r="CV196" s="1181">
        <f t="shared" si="1136"/>
        <v>0</v>
      </c>
      <c r="CW196" s="1522" t="s">
        <v>335</v>
      </c>
      <c r="CX196" s="1343"/>
      <c r="CY196" s="1224"/>
      <c r="CZ196" s="1236"/>
      <c r="DA196" s="1243"/>
      <c r="DB196" s="1221"/>
      <c r="DC196" s="1221"/>
      <c r="DD196" s="1221"/>
      <c r="DE196" s="1221">
        <f t="shared" si="1207"/>
        <v>0</v>
      </c>
      <c r="DF196" s="1244">
        <f t="shared" si="1208"/>
        <v>0</v>
      </c>
      <c r="DG196" s="1245"/>
      <c r="DH196" s="1224"/>
      <c r="DI196" s="1224"/>
      <c r="DJ196" s="1224"/>
      <c r="DK196" s="1198">
        <f t="shared" si="1226"/>
        <v>0</v>
      </c>
      <c r="DL196" s="1199">
        <f t="shared" si="1227"/>
        <v>0</v>
      </c>
      <c r="DM196" s="1351" t="s">
        <v>335</v>
      </c>
      <c r="DN196" s="1352" t="s">
        <v>335</v>
      </c>
      <c r="DO196" s="1213"/>
      <c r="DP196" s="1174"/>
      <c r="DQ196" s="1174"/>
      <c r="DR196" s="1174"/>
      <c r="DS196" s="1174">
        <f t="shared" si="973"/>
        <v>0</v>
      </c>
      <c r="DT196" s="1174">
        <f t="shared" si="974"/>
        <v>0</v>
      </c>
      <c r="DU196" s="1260">
        <f t="shared" ref="DU196:DU208" si="1243">DT196/R196</f>
        <v>0</v>
      </c>
      <c r="DV196" s="1321">
        <f t="shared" si="1209"/>
        <v>0</v>
      </c>
      <c r="DW196" s="1173">
        <f t="shared" si="1210"/>
        <v>0</v>
      </c>
      <c r="DX196" s="1173">
        <f t="shared" ref="DX196:DX208" si="1244">CR196+DI196</f>
        <v>0</v>
      </c>
      <c r="DY196" s="1173">
        <f t="shared" ref="DY196:DY208" si="1245">CS196+DJ196</f>
        <v>0</v>
      </c>
      <c r="DZ196" s="1173">
        <f t="shared" ref="DZ196:DZ208" si="1246">CT196+DK196</f>
        <v>0</v>
      </c>
      <c r="EA196" s="1173">
        <f t="shared" ref="EA196:EA208" si="1247">CU196+DL196</f>
        <v>0</v>
      </c>
      <c r="EB196" s="1181">
        <f t="shared" si="1212"/>
        <v>0</v>
      </c>
      <c r="EC196" s="1523" t="s">
        <v>335</v>
      </c>
      <c r="ED196" s="1498"/>
      <c r="EE196" s="1224"/>
      <c r="EF196" s="1236"/>
      <c r="EG196" s="1243">
        <f t="shared" si="1213"/>
        <v>21978</v>
      </c>
      <c r="EH196" s="1221"/>
      <c r="EI196" s="1221"/>
      <c r="EJ196" s="1221"/>
      <c r="EK196" s="1221">
        <f t="shared" si="1163"/>
        <v>21978</v>
      </c>
      <c r="EL196" s="1244">
        <f t="shared" si="1164"/>
        <v>0</v>
      </c>
      <c r="EM196" s="1245">
        <f t="shared" si="1214"/>
        <v>21978</v>
      </c>
      <c r="EN196" s="1224">
        <v>183560.59</v>
      </c>
      <c r="EO196" s="1224"/>
      <c r="EP196" s="1224"/>
      <c r="EQ196" s="1198">
        <f t="shared" ref="EQ196:ER202" si="1248">EM196+EO196</f>
        <v>21978</v>
      </c>
      <c r="ER196" s="1199">
        <f t="shared" si="1248"/>
        <v>183560.59</v>
      </c>
      <c r="ES196" s="1351" t="s">
        <v>335</v>
      </c>
      <c r="ET196" s="1465" t="s">
        <v>335</v>
      </c>
      <c r="EU196" s="1176">
        <f t="shared" si="868"/>
        <v>21978</v>
      </c>
      <c r="EV196" s="1177">
        <f t="shared" si="1166"/>
        <v>0</v>
      </c>
      <c r="EW196" s="1177"/>
      <c r="EX196" s="1177"/>
      <c r="EY196" s="1177">
        <f t="shared" ref="EY196:EY208" si="1249">EK196+DS196</f>
        <v>21978</v>
      </c>
      <c r="EZ196" s="1177">
        <f t="shared" ref="EZ196:EZ208" si="1250">EL196+DT196</f>
        <v>0</v>
      </c>
      <c r="FA196" s="1178">
        <f t="shared" ref="FA196:FA208" si="1251">EZ196/R196</f>
        <v>0</v>
      </c>
      <c r="FB196" s="1179">
        <f t="shared" si="1215"/>
        <v>21978</v>
      </c>
      <c r="FC196" s="1180">
        <f t="shared" si="1216"/>
        <v>183560.59</v>
      </c>
      <c r="FD196" s="1180">
        <f t="shared" ref="FD196:FD208" si="1252">DX196+EO196</f>
        <v>0</v>
      </c>
      <c r="FE196" s="1180">
        <f t="shared" ref="FE196:FE208" si="1253">DY196+EP196</f>
        <v>0</v>
      </c>
      <c r="FF196" s="1180">
        <f t="shared" ref="FF196:FF208" si="1254">DZ196+EQ196</f>
        <v>21978</v>
      </c>
      <c r="FG196" s="1180">
        <f t="shared" ref="FG196:FG208" si="1255">EA196+ER196</f>
        <v>183560.59</v>
      </c>
      <c r="FH196" s="1181"/>
      <c r="FI196" s="1522" t="s">
        <v>335</v>
      </c>
      <c r="FJ196" s="1498"/>
      <c r="FK196" s="1224"/>
      <c r="FL196" s="1236"/>
      <c r="FM196" s="1243">
        <f>12047.3*13-5537.8</f>
        <v>151077.1</v>
      </c>
      <c r="FN196" s="1221">
        <f>91780.3+76857.46+14922.83</f>
        <v>183560.59</v>
      </c>
      <c r="FO196" s="1221"/>
      <c r="FP196" s="1221"/>
      <c r="FQ196" s="1221">
        <f t="shared" ref="FQ196:FQ201" si="1256">FM196+FO196</f>
        <v>151077.1</v>
      </c>
      <c r="FR196" s="1244">
        <f t="shared" si="1172"/>
        <v>183560.59</v>
      </c>
      <c r="FS196" s="1245">
        <f t="shared" si="1219"/>
        <v>151077.1</v>
      </c>
      <c r="FT196" s="1224"/>
      <c r="FU196" s="1224"/>
      <c r="FV196" s="1218">
        <v>0</v>
      </c>
      <c r="FW196" s="1198">
        <f t="shared" ref="FW196:FX202" si="1257">FS196+FU196</f>
        <v>151077.1</v>
      </c>
      <c r="FX196" s="1199">
        <f t="shared" si="1257"/>
        <v>0</v>
      </c>
      <c r="FY196" s="1351" t="s">
        <v>335</v>
      </c>
      <c r="FZ196" s="1465" t="s">
        <v>335</v>
      </c>
      <c r="GA196" s="1176">
        <f t="shared" ref="GA196:GA208" si="1258">FM196+EU196</f>
        <v>173055.1</v>
      </c>
      <c r="GB196" s="1177">
        <f t="shared" ref="GB196:GB208" si="1259">FN196+EV196</f>
        <v>183560.59</v>
      </c>
      <c r="GC196" s="1177">
        <f t="shared" ref="GC196:GC208" si="1260">FO196+EW196</f>
        <v>0</v>
      </c>
      <c r="GD196" s="1177">
        <f t="shared" ref="GD196:GD208" si="1261">FP196+EX196</f>
        <v>0</v>
      </c>
      <c r="GE196" s="1177">
        <f t="shared" ref="GE196:GE208" si="1262">FQ196+EY196</f>
        <v>173055.1</v>
      </c>
      <c r="GF196" s="1177">
        <f t="shared" ref="GF196:GF208" si="1263">FR196+EZ196</f>
        <v>183560.59</v>
      </c>
      <c r="GG196" s="1178">
        <f t="shared" si="1176"/>
        <v>1</v>
      </c>
      <c r="GH196" s="1179">
        <f t="shared" ref="GH196:GH208" si="1264">FB196+FS196</f>
        <v>173055.1</v>
      </c>
      <c r="GI196" s="1180">
        <f t="shared" ref="GI196:GI208" si="1265">FC196+FT196</f>
        <v>183560.59</v>
      </c>
      <c r="GJ196" s="1180">
        <f t="shared" ref="GJ196:GJ208" si="1266">FD196+FU196</f>
        <v>0</v>
      </c>
      <c r="GK196" s="1180">
        <f t="shared" ref="GK196:GK208" si="1267">FE196+FV196</f>
        <v>0</v>
      </c>
      <c r="GL196" s="1180">
        <f t="shared" ref="GL196:GL208" si="1268">FF196+FW196</f>
        <v>173055.1</v>
      </c>
      <c r="GM196" s="1180">
        <f t="shared" ref="GM196:GM208" si="1269">FG196+FX196</f>
        <v>183560.59</v>
      </c>
      <c r="GN196" s="1181">
        <f t="shared" si="1022"/>
        <v>1</v>
      </c>
      <c r="GO196" s="1522" t="s">
        <v>335</v>
      </c>
      <c r="GP196" s="1498"/>
      <c r="GQ196" s="1224"/>
      <c r="GR196" s="1236"/>
      <c r="GS196" s="1243"/>
      <c r="GT196" s="1221"/>
      <c r="GU196" s="1221"/>
      <c r="GV196" s="1221"/>
      <c r="GW196" s="1221">
        <f t="shared" si="1179"/>
        <v>0</v>
      </c>
      <c r="GX196" s="1244">
        <f t="shared" si="1180"/>
        <v>0</v>
      </c>
      <c r="GY196" s="1245"/>
      <c r="GZ196" s="1224"/>
      <c r="HA196" s="1224"/>
      <c r="HB196" s="1218">
        <v>0</v>
      </c>
      <c r="HC196" s="1198">
        <f t="shared" si="1181"/>
        <v>0</v>
      </c>
      <c r="HD196" s="1199">
        <f t="shared" si="1149"/>
        <v>0</v>
      </c>
      <c r="HE196" s="1695" t="s">
        <v>335</v>
      </c>
      <c r="HF196" s="1465" t="s">
        <v>335</v>
      </c>
      <c r="HG196" s="1176">
        <f t="shared" si="1182"/>
        <v>173055.1</v>
      </c>
      <c r="HH196" s="1177">
        <f t="shared" si="1183"/>
        <v>183560.59</v>
      </c>
      <c r="HI196" s="1177">
        <f t="shared" si="1184"/>
        <v>0</v>
      </c>
      <c r="HJ196" s="1177">
        <f t="shared" si="1185"/>
        <v>0</v>
      </c>
      <c r="HK196" s="1177">
        <f t="shared" si="1186"/>
        <v>173055.1</v>
      </c>
      <c r="HL196" s="1177">
        <f t="shared" si="1187"/>
        <v>183560.59</v>
      </c>
      <c r="HM196" s="1178">
        <f t="shared" si="1220"/>
        <v>1</v>
      </c>
      <c r="HN196" s="1179">
        <f t="shared" si="1188"/>
        <v>173055.1</v>
      </c>
      <c r="HO196" s="1180">
        <f t="shared" si="1189"/>
        <v>183560.59</v>
      </c>
      <c r="HP196" s="1180">
        <f t="shared" si="1190"/>
        <v>0</v>
      </c>
      <c r="HQ196" s="1180">
        <f t="shared" si="1191"/>
        <v>0</v>
      </c>
      <c r="HR196" s="1180">
        <f t="shared" si="1192"/>
        <v>173055.1</v>
      </c>
      <c r="HS196" s="1180">
        <f t="shared" si="1193"/>
        <v>183560.59</v>
      </c>
      <c r="HT196" s="1181">
        <f t="shared" si="1221"/>
        <v>1</v>
      </c>
      <c r="HU196" s="1522" t="s">
        <v>335</v>
      </c>
    </row>
    <row r="197" spans="1:229" s="1170" customFormat="1" ht="18" hidden="1" customHeight="1" outlineLevel="1" x14ac:dyDescent="0.2">
      <c r="A197" s="3673"/>
      <c r="B197" s="3672"/>
      <c r="C197" s="3698"/>
      <c r="D197" s="1168" t="s">
        <v>534</v>
      </c>
      <c r="E197" s="1528" t="s">
        <v>335</v>
      </c>
      <c r="F197" s="1529" t="s">
        <v>335</v>
      </c>
      <c r="G197" s="1529" t="s">
        <v>335</v>
      </c>
      <c r="H197" s="1529" t="s">
        <v>335</v>
      </c>
      <c r="I197" s="1529" t="s">
        <v>335</v>
      </c>
      <c r="J197" s="1529" t="s">
        <v>335</v>
      </c>
      <c r="K197" s="1529" t="s">
        <v>335</v>
      </c>
      <c r="L197" s="1529" t="s">
        <v>335</v>
      </c>
      <c r="M197" s="1529" t="s">
        <v>335</v>
      </c>
      <c r="N197" s="1530" t="s">
        <v>335</v>
      </c>
      <c r="O197" s="1528" t="s">
        <v>335</v>
      </c>
      <c r="P197" s="1529" t="s">
        <v>335</v>
      </c>
      <c r="Q197" s="1529" t="s">
        <v>335</v>
      </c>
      <c r="R197" s="1203">
        <v>0</v>
      </c>
      <c r="S197" s="1349">
        <v>0</v>
      </c>
      <c r="T197" s="1350" t="s">
        <v>335</v>
      </c>
      <c r="U197" s="1351" t="s">
        <v>335</v>
      </c>
      <c r="V197" s="1352" t="s">
        <v>335</v>
      </c>
      <c r="W197" s="1344">
        <v>0</v>
      </c>
      <c r="X197" s="1177">
        <v>0</v>
      </c>
      <c r="Y197" s="1177">
        <v>0</v>
      </c>
      <c r="Z197" s="1177">
        <v>0</v>
      </c>
      <c r="AA197" s="1177">
        <f>W197+Y197</f>
        <v>0</v>
      </c>
      <c r="AB197" s="1177">
        <f>X197+Z197</f>
        <v>0</v>
      </c>
      <c r="AC197" s="1178" t="e">
        <f>AB197/R197</f>
        <v>#DIV/0!</v>
      </c>
      <c r="AD197" s="1233">
        <v>0</v>
      </c>
      <c r="AE197" s="1232">
        <v>0</v>
      </c>
      <c r="AF197" s="1192">
        <v>0</v>
      </c>
      <c r="AG197" s="1189">
        <v>0</v>
      </c>
      <c r="AH197" s="1232">
        <f>AD197+AF197</f>
        <v>0</v>
      </c>
      <c r="AI197" s="1189">
        <f>AE197+AG197</f>
        <v>0</v>
      </c>
      <c r="AJ197" s="1193" t="e">
        <f>AI197/S197</f>
        <v>#DIV/0!</v>
      </c>
      <c r="AK197" s="1353"/>
      <c r="AL197" s="1245"/>
      <c r="AM197" s="1245"/>
      <c r="AN197" s="1236"/>
      <c r="AO197" s="1243"/>
      <c r="AP197" s="1221"/>
      <c r="AQ197" s="1221"/>
      <c r="AR197" s="1221"/>
      <c r="AS197" s="1221">
        <f>AO197+AQ197</f>
        <v>0</v>
      </c>
      <c r="AT197" s="1282">
        <f>AP197+AR197</f>
        <v>0</v>
      </c>
      <c r="AU197" s="1245"/>
      <c r="AV197" s="1224"/>
      <c r="AW197" s="1224"/>
      <c r="AX197" s="1224"/>
      <c r="AY197" s="1198">
        <f>AU197+AW197</f>
        <v>0</v>
      </c>
      <c r="AZ197" s="1199">
        <f>AV197+AX197</f>
        <v>0</v>
      </c>
      <c r="BA197" s="1262"/>
      <c r="BB197" s="1226"/>
      <c r="BC197" s="1176">
        <f t="shared" ref="BC197:BH197" si="1270">W197+AO197</f>
        <v>0</v>
      </c>
      <c r="BD197" s="1177">
        <f t="shared" si="1270"/>
        <v>0</v>
      </c>
      <c r="BE197" s="1177">
        <f t="shared" si="1270"/>
        <v>0</v>
      </c>
      <c r="BF197" s="1177">
        <f t="shared" si="1270"/>
        <v>0</v>
      </c>
      <c r="BG197" s="1177">
        <f t="shared" si="1270"/>
        <v>0</v>
      </c>
      <c r="BH197" s="1177">
        <f t="shared" si="1270"/>
        <v>0</v>
      </c>
      <c r="BI197" s="1178" t="e">
        <f>BH197/R197</f>
        <v>#DIV/0!</v>
      </c>
      <c r="BJ197" s="1175">
        <f t="shared" ref="BJ197:BO197" si="1271">AD197+AU197</f>
        <v>0</v>
      </c>
      <c r="BK197" s="1180">
        <f t="shared" si="1271"/>
        <v>0</v>
      </c>
      <c r="BL197" s="1180">
        <f t="shared" si="1271"/>
        <v>0</v>
      </c>
      <c r="BM197" s="1180">
        <f t="shared" si="1271"/>
        <v>0</v>
      </c>
      <c r="BN197" s="1180">
        <f t="shared" si="1271"/>
        <v>0</v>
      </c>
      <c r="BO197" s="1180">
        <f t="shared" si="1271"/>
        <v>0</v>
      </c>
      <c r="BP197" s="1227" t="e">
        <f>BO197/S197</f>
        <v>#DIV/0!</v>
      </c>
      <c r="BQ197" s="1398" t="s">
        <v>335</v>
      </c>
      <c r="BR197" s="1343"/>
      <c r="BS197" s="1224"/>
      <c r="BT197" s="1236"/>
      <c r="BU197" s="1243"/>
      <c r="BV197" s="1221"/>
      <c r="BW197" s="1221"/>
      <c r="BX197" s="1221"/>
      <c r="BY197" s="1221">
        <f>BU197+BW197</f>
        <v>0</v>
      </c>
      <c r="BZ197" s="1244">
        <f>BV197+BX197</f>
        <v>0</v>
      </c>
      <c r="CA197" s="1245"/>
      <c r="CB197" s="1224"/>
      <c r="CC197" s="1224"/>
      <c r="CD197" s="1224"/>
      <c r="CE197" s="1198">
        <f>CA197+CC197</f>
        <v>0</v>
      </c>
      <c r="CF197" s="1199">
        <f>CB197+CD197</f>
        <v>0</v>
      </c>
      <c r="CG197" s="1351" t="s">
        <v>335</v>
      </c>
      <c r="CH197" s="1352" t="s">
        <v>335</v>
      </c>
      <c r="CI197" s="1213"/>
      <c r="CJ197" s="1174"/>
      <c r="CK197" s="1174"/>
      <c r="CL197" s="1174"/>
      <c r="CM197" s="1174">
        <f>BG197+BY197</f>
        <v>0</v>
      </c>
      <c r="CN197" s="1174">
        <f>BH197+BZ197</f>
        <v>0</v>
      </c>
      <c r="CO197" s="1260" t="e">
        <f>CN197/R197</f>
        <v>#DIV/0!</v>
      </c>
      <c r="CP197" s="1321">
        <f t="shared" ref="CP197:CU197" si="1272">BJ197+CA197</f>
        <v>0</v>
      </c>
      <c r="CQ197" s="1173">
        <f t="shared" si="1272"/>
        <v>0</v>
      </c>
      <c r="CR197" s="1173">
        <f t="shared" si="1272"/>
        <v>0</v>
      </c>
      <c r="CS197" s="1173">
        <f t="shared" si="1272"/>
        <v>0</v>
      </c>
      <c r="CT197" s="1173">
        <f t="shared" si="1272"/>
        <v>0</v>
      </c>
      <c r="CU197" s="1173">
        <f t="shared" si="1272"/>
        <v>0</v>
      </c>
      <c r="CV197" s="1181" t="e">
        <f>CU197/S197</f>
        <v>#DIV/0!</v>
      </c>
      <c r="CW197" s="1522" t="s">
        <v>335</v>
      </c>
      <c r="CX197" s="1343"/>
      <c r="CY197" s="1224"/>
      <c r="CZ197" s="1236"/>
      <c r="DA197" s="1243"/>
      <c r="DB197" s="1221"/>
      <c r="DC197" s="1221"/>
      <c r="DD197" s="1221"/>
      <c r="DE197" s="1221">
        <f>DA197+DC197</f>
        <v>0</v>
      </c>
      <c r="DF197" s="1244">
        <f>DB197+DD197</f>
        <v>0</v>
      </c>
      <c r="DG197" s="1245"/>
      <c r="DH197" s="1224"/>
      <c r="DI197" s="1224"/>
      <c r="DJ197" s="1224"/>
      <c r="DK197" s="1198">
        <f>DG197+DI197</f>
        <v>0</v>
      </c>
      <c r="DL197" s="1199">
        <f>DH197+DJ197</f>
        <v>0</v>
      </c>
      <c r="DM197" s="1351" t="s">
        <v>335</v>
      </c>
      <c r="DN197" s="1352" t="s">
        <v>335</v>
      </c>
      <c r="DO197" s="1213"/>
      <c r="DP197" s="1174"/>
      <c r="DQ197" s="1174"/>
      <c r="DR197" s="1174"/>
      <c r="DS197" s="1174">
        <f>CM197+DE197</f>
        <v>0</v>
      </c>
      <c r="DT197" s="1174">
        <f>CN197+DF197</f>
        <v>0</v>
      </c>
      <c r="DU197" s="1260" t="e">
        <f>DT197/R197</f>
        <v>#DIV/0!</v>
      </c>
      <c r="DV197" s="1321">
        <f t="shared" ref="DV197:EA197" si="1273">CP197+DG197</f>
        <v>0</v>
      </c>
      <c r="DW197" s="1173">
        <f t="shared" si="1273"/>
        <v>0</v>
      </c>
      <c r="DX197" s="1173">
        <f t="shared" si="1273"/>
        <v>0</v>
      </c>
      <c r="DY197" s="1173">
        <f t="shared" si="1273"/>
        <v>0</v>
      </c>
      <c r="DZ197" s="1173">
        <f t="shared" si="1273"/>
        <v>0</v>
      </c>
      <c r="EA197" s="1173">
        <f t="shared" si="1273"/>
        <v>0</v>
      </c>
      <c r="EB197" s="1181" t="e">
        <f>EA197/S197</f>
        <v>#DIV/0!</v>
      </c>
      <c r="EC197" s="1523" t="s">
        <v>335</v>
      </c>
      <c r="ED197" s="1498"/>
      <c r="EE197" s="1224"/>
      <c r="EF197" s="1236"/>
      <c r="EG197" s="1243">
        <v>0</v>
      </c>
      <c r="EH197" s="1221">
        <v>0</v>
      </c>
      <c r="EI197" s="1221">
        <v>0</v>
      </c>
      <c r="EJ197" s="1221">
        <v>0</v>
      </c>
      <c r="EK197" s="1221">
        <f>EG197+EI197</f>
        <v>0</v>
      </c>
      <c r="EL197" s="1244">
        <f>EH197+EJ197</f>
        <v>0</v>
      </c>
      <c r="EM197" s="1245">
        <f>EG197</f>
        <v>0</v>
      </c>
      <c r="EN197" s="1224">
        <v>0</v>
      </c>
      <c r="EO197" s="1224"/>
      <c r="EP197" s="1224"/>
      <c r="EQ197" s="1198">
        <f>EM197+EO197</f>
        <v>0</v>
      </c>
      <c r="ER197" s="1199">
        <f>EN197+EP197</f>
        <v>0</v>
      </c>
      <c r="ES197" s="1351" t="s">
        <v>335</v>
      </c>
      <c r="ET197" s="1465" t="s">
        <v>335</v>
      </c>
      <c r="EU197" s="1176">
        <f>EG197+DO197</f>
        <v>0</v>
      </c>
      <c r="EV197" s="1177">
        <f>EH197+DP197</f>
        <v>0</v>
      </c>
      <c r="EW197" s="1177"/>
      <c r="EX197" s="1177"/>
      <c r="EY197" s="1177">
        <f>EK197+DS197</f>
        <v>0</v>
      </c>
      <c r="EZ197" s="1177">
        <f>EL197+DT197</f>
        <v>0</v>
      </c>
      <c r="FA197" s="1178" t="e">
        <f>EZ197/R197</f>
        <v>#DIV/0!</v>
      </c>
      <c r="FB197" s="1179">
        <f t="shared" ref="FB197:FG197" si="1274">DV197+EM197</f>
        <v>0</v>
      </c>
      <c r="FC197" s="1180">
        <f t="shared" si="1274"/>
        <v>0</v>
      </c>
      <c r="FD197" s="1180">
        <f t="shared" si="1274"/>
        <v>0</v>
      </c>
      <c r="FE197" s="1180">
        <f t="shared" si="1274"/>
        <v>0</v>
      </c>
      <c r="FF197" s="1180">
        <f t="shared" si="1274"/>
        <v>0</v>
      </c>
      <c r="FG197" s="1180">
        <f t="shared" si="1274"/>
        <v>0</v>
      </c>
      <c r="FH197" s="1181"/>
      <c r="FI197" s="1522" t="s">
        <v>335</v>
      </c>
      <c r="FJ197" s="1498"/>
      <c r="FK197" s="1224"/>
      <c r="FL197" s="1236"/>
      <c r="FM197" s="1243">
        <v>0</v>
      </c>
      <c r="FN197" s="1221">
        <v>0</v>
      </c>
      <c r="FO197" s="1221">
        <v>0</v>
      </c>
      <c r="FP197" s="1221">
        <v>0</v>
      </c>
      <c r="FQ197" s="1221">
        <f t="shared" si="1256"/>
        <v>0</v>
      </c>
      <c r="FR197" s="1244">
        <f>FN197+FP197</f>
        <v>0</v>
      </c>
      <c r="FS197" s="1245">
        <f>FM197</f>
        <v>0</v>
      </c>
      <c r="FT197" s="1224"/>
      <c r="FU197" s="1224"/>
      <c r="FV197" s="1218">
        <v>0</v>
      </c>
      <c r="FW197" s="1198">
        <f>FS197+FU197</f>
        <v>0</v>
      </c>
      <c r="FX197" s="1199">
        <f>FT197+FV197</f>
        <v>0</v>
      </c>
      <c r="FY197" s="1351" t="s">
        <v>335</v>
      </c>
      <c r="FZ197" s="1465" t="s">
        <v>335</v>
      </c>
      <c r="GA197" s="1176">
        <f t="shared" ref="GA197:GF197" si="1275">FM197+EU197</f>
        <v>0</v>
      </c>
      <c r="GB197" s="1177">
        <f t="shared" si="1275"/>
        <v>0</v>
      </c>
      <c r="GC197" s="1177">
        <f t="shared" si="1275"/>
        <v>0</v>
      </c>
      <c r="GD197" s="1177">
        <f t="shared" si="1275"/>
        <v>0</v>
      </c>
      <c r="GE197" s="1177">
        <f t="shared" si="1275"/>
        <v>0</v>
      </c>
      <c r="GF197" s="1177">
        <f t="shared" si="1275"/>
        <v>0</v>
      </c>
      <c r="GG197" s="1178" t="e">
        <f>GF197/R197</f>
        <v>#DIV/0!</v>
      </c>
      <c r="GH197" s="1179">
        <f t="shared" ref="GH197:GM197" si="1276">FB197+FS197</f>
        <v>0</v>
      </c>
      <c r="GI197" s="1180">
        <f t="shared" si="1276"/>
        <v>0</v>
      </c>
      <c r="GJ197" s="1180">
        <f t="shared" si="1276"/>
        <v>0</v>
      </c>
      <c r="GK197" s="1180">
        <f t="shared" si="1276"/>
        <v>0</v>
      </c>
      <c r="GL197" s="1180">
        <f t="shared" si="1276"/>
        <v>0</v>
      </c>
      <c r="GM197" s="1180">
        <f t="shared" si="1276"/>
        <v>0</v>
      </c>
      <c r="GN197" s="1181" t="e">
        <f>GM197/S197</f>
        <v>#DIV/0!</v>
      </c>
      <c r="GO197" s="1522" t="s">
        <v>335</v>
      </c>
      <c r="GP197" s="1498"/>
      <c r="GQ197" s="1224"/>
      <c r="GR197" s="1236"/>
      <c r="GS197" s="1243"/>
      <c r="GT197" s="1221"/>
      <c r="GU197" s="1221"/>
      <c r="GV197" s="1221"/>
      <c r="GW197" s="1221">
        <f t="shared" si="1179"/>
        <v>0</v>
      </c>
      <c r="GX197" s="1244">
        <f t="shared" si="1180"/>
        <v>0</v>
      </c>
      <c r="GY197" s="1245"/>
      <c r="GZ197" s="1224"/>
      <c r="HA197" s="1224"/>
      <c r="HB197" s="1218">
        <v>0</v>
      </c>
      <c r="HC197" s="1198">
        <f t="shared" si="1181"/>
        <v>0</v>
      </c>
      <c r="HD197" s="1199">
        <f>GZ197+HB197</f>
        <v>0</v>
      </c>
      <c r="HE197" s="1695" t="s">
        <v>335</v>
      </c>
      <c r="HF197" s="1465" t="s">
        <v>335</v>
      </c>
      <c r="HG197" s="1176">
        <f t="shared" si="1182"/>
        <v>0</v>
      </c>
      <c r="HH197" s="1177">
        <f t="shared" si="1183"/>
        <v>0</v>
      </c>
      <c r="HI197" s="1177">
        <f t="shared" si="1184"/>
        <v>0</v>
      </c>
      <c r="HJ197" s="1177">
        <f t="shared" si="1185"/>
        <v>0</v>
      </c>
      <c r="HK197" s="1177">
        <f t="shared" si="1186"/>
        <v>0</v>
      </c>
      <c r="HL197" s="1177">
        <f t="shared" si="1187"/>
        <v>0</v>
      </c>
      <c r="HM197" s="1178" t="e">
        <f t="shared" si="1220"/>
        <v>#DIV/0!</v>
      </c>
      <c r="HN197" s="1179">
        <f t="shared" si="1188"/>
        <v>0</v>
      </c>
      <c r="HO197" s="1180">
        <f t="shared" si="1189"/>
        <v>0</v>
      </c>
      <c r="HP197" s="1180">
        <f t="shared" si="1190"/>
        <v>0</v>
      </c>
      <c r="HQ197" s="1180">
        <f t="shared" si="1191"/>
        <v>0</v>
      </c>
      <c r="HR197" s="1180">
        <f t="shared" si="1192"/>
        <v>0</v>
      </c>
      <c r="HS197" s="1180">
        <f t="shared" si="1193"/>
        <v>0</v>
      </c>
      <c r="HT197" s="1181" t="e">
        <f t="shared" si="1221"/>
        <v>#DIV/0!</v>
      </c>
      <c r="HU197" s="1522" t="s">
        <v>335</v>
      </c>
    </row>
    <row r="198" spans="1:229" s="1170" customFormat="1" ht="18" hidden="1" customHeight="1" outlineLevel="1" x14ac:dyDescent="0.2">
      <c r="A198" s="3673"/>
      <c r="B198" s="3672"/>
      <c r="C198" s="3698"/>
      <c r="D198" s="1167" t="s">
        <v>344</v>
      </c>
      <c r="E198" s="1528" t="s">
        <v>335</v>
      </c>
      <c r="F198" s="1529" t="s">
        <v>335</v>
      </c>
      <c r="G198" s="1529" t="s">
        <v>335</v>
      </c>
      <c r="H198" s="1529" t="s">
        <v>335</v>
      </c>
      <c r="I198" s="1529" t="s">
        <v>335</v>
      </c>
      <c r="J198" s="1529" t="s">
        <v>335</v>
      </c>
      <c r="K198" s="1529" t="s">
        <v>335</v>
      </c>
      <c r="L198" s="1529" t="s">
        <v>335</v>
      </c>
      <c r="M198" s="1529" t="s">
        <v>335</v>
      </c>
      <c r="N198" s="1530" t="s">
        <v>335</v>
      </c>
      <c r="O198" s="1528" t="s">
        <v>335</v>
      </c>
      <c r="P198" s="1529" t="s">
        <v>335</v>
      </c>
      <c r="Q198" s="1529" t="s">
        <v>335</v>
      </c>
      <c r="R198" s="1203">
        <v>351447.48</v>
      </c>
      <c r="S198" s="1349">
        <f t="shared" si="1194"/>
        <v>351447.48</v>
      </c>
      <c r="T198" s="1350" t="s">
        <v>335</v>
      </c>
      <c r="U198" s="1351" t="s">
        <v>335</v>
      </c>
      <c r="V198" s="1352" t="s">
        <v>335</v>
      </c>
      <c r="W198" s="1344">
        <f>18648*19</f>
        <v>354312</v>
      </c>
      <c r="X198" s="1177">
        <v>351447.48</v>
      </c>
      <c r="Y198" s="1177"/>
      <c r="Z198" s="1177"/>
      <c r="AA198" s="1177">
        <f t="shared" si="1195"/>
        <v>354312</v>
      </c>
      <c r="AB198" s="1177">
        <f t="shared" si="1196"/>
        <v>351447.48</v>
      </c>
      <c r="AC198" s="1178">
        <f t="shared" si="1197"/>
        <v>1</v>
      </c>
      <c r="AD198" s="1233">
        <f>W198</f>
        <v>354312</v>
      </c>
      <c r="AE198" s="1232">
        <v>351447.48</v>
      </c>
      <c r="AF198" s="1192"/>
      <c r="AG198" s="1189"/>
      <c r="AH198" s="1232">
        <f t="shared" si="1198"/>
        <v>354312</v>
      </c>
      <c r="AI198" s="1189">
        <f t="shared" si="1199"/>
        <v>351447.48</v>
      </c>
      <c r="AJ198" s="1193">
        <f t="shared" si="1200"/>
        <v>1</v>
      </c>
      <c r="AK198" s="1353"/>
      <c r="AL198" s="1245"/>
      <c r="AM198" s="1245"/>
      <c r="AN198" s="1236"/>
      <c r="AO198" s="1243"/>
      <c r="AP198" s="1221"/>
      <c r="AQ198" s="1221"/>
      <c r="AR198" s="1221"/>
      <c r="AS198" s="1221">
        <f t="shared" si="1201"/>
        <v>0</v>
      </c>
      <c r="AT198" s="1282">
        <f t="shared" si="1202"/>
        <v>0</v>
      </c>
      <c r="AU198" s="1245"/>
      <c r="AV198" s="1224"/>
      <c r="AW198" s="1224"/>
      <c r="AX198" s="1224"/>
      <c r="AY198" s="1198">
        <f t="shared" si="1222"/>
        <v>0</v>
      </c>
      <c r="AZ198" s="1199">
        <f t="shared" si="1223"/>
        <v>0</v>
      </c>
      <c r="BA198" s="1262"/>
      <c r="BB198" s="1226"/>
      <c r="BC198" s="1176">
        <f t="shared" si="1228"/>
        <v>354312</v>
      </c>
      <c r="BD198" s="1177">
        <f t="shared" si="1229"/>
        <v>351447.48</v>
      </c>
      <c r="BE198" s="1177">
        <f t="shared" si="1230"/>
        <v>0</v>
      </c>
      <c r="BF198" s="1177">
        <f t="shared" si="1231"/>
        <v>0</v>
      </c>
      <c r="BG198" s="1177">
        <f t="shared" si="1232"/>
        <v>354312</v>
      </c>
      <c r="BH198" s="1177">
        <f t="shared" si="1233"/>
        <v>351447.48</v>
      </c>
      <c r="BI198" s="1178">
        <f t="shared" si="1234"/>
        <v>1</v>
      </c>
      <c r="BJ198" s="1175">
        <f t="shared" si="1235"/>
        <v>354312</v>
      </c>
      <c r="BK198" s="1180">
        <f t="shared" si="1236"/>
        <v>351447.48</v>
      </c>
      <c r="BL198" s="1180">
        <f t="shared" si="1237"/>
        <v>0</v>
      </c>
      <c r="BM198" s="1180">
        <f t="shared" si="1238"/>
        <v>0</v>
      </c>
      <c r="BN198" s="1180">
        <f t="shared" si="1239"/>
        <v>354312</v>
      </c>
      <c r="BO198" s="1180">
        <f t="shared" si="1240"/>
        <v>351447.48</v>
      </c>
      <c r="BP198" s="1227">
        <f t="shared" si="1154"/>
        <v>1</v>
      </c>
      <c r="BQ198" s="1398" t="s">
        <v>335</v>
      </c>
      <c r="BR198" s="1343"/>
      <c r="BS198" s="1224"/>
      <c r="BT198" s="1236"/>
      <c r="BU198" s="1243"/>
      <c r="BV198" s="1221"/>
      <c r="BW198" s="1221"/>
      <c r="BX198" s="1221"/>
      <c r="BY198" s="1221">
        <f t="shared" si="1203"/>
        <v>0</v>
      </c>
      <c r="BZ198" s="1244">
        <f t="shared" si="1204"/>
        <v>0</v>
      </c>
      <c r="CA198" s="1245"/>
      <c r="CB198" s="1224"/>
      <c r="CC198" s="1224"/>
      <c r="CD198" s="1224"/>
      <c r="CE198" s="1198">
        <f t="shared" si="1224"/>
        <v>0</v>
      </c>
      <c r="CF198" s="1199">
        <f t="shared" si="1225"/>
        <v>0</v>
      </c>
      <c r="CG198" s="1351" t="s">
        <v>335</v>
      </c>
      <c r="CH198" s="1352" t="s">
        <v>335</v>
      </c>
      <c r="CI198" s="1213">
        <f t="shared" si="1155"/>
        <v>354312</v>
      </c>
      <c r="CJ198" s="1174">
        <f t="shared" si="1156"/>
        <v>351447.48</v>
      </c>
      <c r="CK198" s="1174">
        <f t="shared" si="1157"/>
        <v>0</v>
      </c>
      <c r="CL198" s="1174">
        <f t="shared" si="1158"/>
        <v>0</v>
      </c>
      <c r="CM198" s="1174">
        <f t="shared" si="1159"/>
        <v>354312</v>
      </c>
      <c r="CN198" s="1174">
        <f t="shared" si="1160"/>
        <v>351447.48</v>
      </c>
      <c r="CO198" s="1260">
        <f t="shared" si="1134"/>
        <v>1</v>
      </c>
      <c r="CP198" s="1321">
        <f t="shared" si="1205"/>
        <v>354312</v>
      </c>
      <c r="CQ198" s="1173">
        <f t="shared" si="1206"/>
        <v>351447.48</v>
      </c>
      <c r="CR198" s="1173">
        <f t="shared" si="1241"/>
        <v>0</v>
      </c>
      <c r="CS198" s="1173">
        <f t="shared" si="1242"/>
        <v>0</v>
      </c>
      <c r="CT198" s="1173">
        <f t="shared" si="1161"/>
        <v>354312</v>
      </c>
      <c r="CU198" s="1173">
        <f t="shared" si="1162"/>
        <v>351447.48</v>
      </c>
      <c r="CV198" s="1181">
        <f t="shared" si="1136"/>
        <v>1</v>
      </c>
      <c r="CW198" s="1522" t="s">
        <v>335</v>
      </c>
      <c r="CX198" s="1343"/>
      <c r="CY198" s="1224"/>
      <c r="CZ198" s="1236"/>
      <c r="DA198" s="1243"/>
      <c r="DB198" s="1221"/>
      <c r="DC198" s="1221"/>
      <c r="DD198" s="1221"/>
      <c r="DE198" s="1221">
        <f t="shared" si="1207"/>
        <v>0</v>
      </c>
      <c r="DF198" s="1244">
        <f t="shared" si="1208"/>
        <v>0</v>
      </c>
      <c r="DG198" s="1245"/>
      <c r="DH198" s="1224"/>
      <c r="DI198" s="1224"/>
      <c r="DJ198" s="1224"/>
      <c r="DK198" s="1198">
        <f t="shared" si="1226"/>
        <v>0</v>
      </c>
      <c r="DL198" s="1199">
        <f t="shared" si="1227"/>
        <v>0</v>
      </c>
      <c r="DM198" s="1351" t="s">
        <v>335</v>
      </c>
      <c r="DN198" s="1352" t="s">
        <v>335</v>
      </c>
      <c r="DO198" s="1213">
        <f t="shared" si="969"/>
        <v>354312</v>
      </c>
      <c r="DP198" s="1174">
        <f t="shared" si="970"/>
        <v>351447.48</v>
      </c>
      <c r="DQ198" s="1174">
        <f t="shared" si="971"/>
        <v>0</v>
      </c>
      <c r="DR198" s="1174">
        <f t="shared" si="972"/>
        <v>0</v>
      </c>
      <c r="DS198" s="1174">
        <f t="shared" si="973"/>
        <v>354312</v>
      </c>
      <c r="DT198" s="1174">
        <f t="shared" si="974"/>
        <v>351447.48</v>
      </c>
      <c r="DU198" s="1260">
        <f t="shared" si="1243"/>
        <v>1</v>
      </c>
      <c r="DV198" s="1321">
        <f t="shared" si="1209"/>
        <v>354312</v>
      </c>
      <c r="DW198" s="1173">
        <f t="shared" si="1210"/>
        <v>351447.48</v>
      </c>
      <c r="DX198" s="1173">
        <f t="shared" si="1244"/>
        <v>0</v>
      </c>
      <c r="DY198" s="1173">
        <f t="shared" si="1245"/>
        <v>0</v>
      </c>
      <c r="DZ198" s="1173">
        <f t="shared" si="1246"/>
        <v>354312</v>
      </c>
      <c r="EA198" s="1173">
        <f t="shared" si="1247"/>
        <v>351447.48</v>
      </c>
      <c r="EB198" s="1181">
        <f t="shared" si="1212"/>
        <v>1</v>
      </c>
      <c r="EC198" s="1523" t="s">
        <v>335</v>
      </c>
      <c r="ED198" s="1498"/>
      <c r="EE198" s="1224"/>
      <c r="EF198" s="1236"/>
      <c r="EG198" s="1243">
        <f t="shared" si="1213"/>
        <v>21978</v>
      </c>
      <c r="EH198" s="1221"/>
      <c r="EI198" s="1221"/>
      <c r="EJ198" s="1221"/>
      <c r="EK198" s="1221">
        <f t="shared" si="1163"/>
        <v>21978</v>
      </c>
      <c r="EL198" s="1244">
        <f t="shared" si="1164"/>
        <v>0</v>
      </c>
      <c r="EM198" s="1245">
        <f t="shared" si="1214"/>
        <v>21978</v>
      </c>
      <c r="EN198" s="1224"/>
      <c r="EO198" s="1224"/>
      <c r="EP198" s="1224"/>
      <c r="EQ198" s="1198">
        <f t="shared" si="1248"/>
        <v>21978</v>
      </c>
      <c r="ER198" s="1199">
        <f t="shared" si="1248"/>
        <v>0</v>
      </c>
      <c r="ES198" s="1351" t="s">
        <v>335</v>
      </c>
      <c r="ET198" s="1465" t="s">
        <v>335</v>
      </c>
      <c r="EU198" s="1176">
        <f t="shared" si="868"/>
        <v>376290</v>
      </c>
      <c r="EV198" s="1177">
        <f t="shared" si="1166"/>
        <v>351447.48</v>
      </c>
      <c r="EW198" s="1177">
        <f t="shared" si="1167"/>
        <v>0</v>
      </c>
      <c r="EX198" s="1177">
        <f t="shared" si="1168"/>
        <v>0</v>
      </c>
      <c r="EY198" s="1177">
        <f t="shared" si="1249"/>
        <v>376290</v>
      </c>
      <c r="EZ198" s="1177">
        <f t="shared" si="1250"/>
        <v>351447.48</v>
      </c>
      <c r="FA198" s="1178">
        <f t="shared" si="1251"/>
        <v>1</v>
      </c>
      <c r="FB198" s="1179">
        <f t="shared" si="1215"/>
        <v>376290</v>
      </c>
      <c r="FC198" s="1180">
        <f t="shared" si="1216"/>
        <v>351447.48</v>
      </c>
      <c r="FD198" s="1180">
        <f t="shared" si="1252"/>
        <v>0</v>
      </c>
      <c r="FE198" s="1180">
        <f t="shared" si="1253"/>
        <v>0</v>
      </c>
      <c r="FF198" s="1180">
        <f t="shared" si="1254"/>
        <v>376290</v>
      </c>
      <c r="FG198" s="1180">
        <f t="shared" si="1255"/>
        <v>351447.48</v>
      </c>
      <c r="FH198" s="1181">
        <f t="shared" si="869"/>
        <v>1</v>
      </c>
      <c r="FI198" s="1522" t="s">
        <v>335</v>
      </c>
      <c r="FJ198" s="1498"/>
      <c r="FK198" s="1224"/>
      <c r="FL198" s="1236"/>
      <c r="FM198" s="1243">
        <f t="shared" si="1218"/>
        <v>0</v>
      </c>
      <c r="FN198" s="1221"/>
      <c r="FO198" s="1221"/>
      <c r="FP198" s="1221"/>
      <c r="FQ198" s="1221">
        <f t="shared" si="1256"/>
        <v>0</v>
      </c>
      <c r="FR198" s="1244">
        <f t="shared" si="1172"/>
        <v>0</v>
      </c>
      <c r="FS198" s="1245">
        <f t="shared" si="1219"/>
        <v>0</v>
      </c>
      <c r="FT198" s="1224"/>
      <c r="FU198" s="1224"/>
      <c r="FV198" s="1218">
        <v>0</v>
      </c>
      <c r="FW198" s="1198">
        <f t="shared" si="1257"/>
        <v>0</v>
      </c>
      <c r="FX198" s="1199">
        <f t="shared" si="1257"/>
        <v>0</v>
      </c>
      <c r="FY198" s="1351" t="s">
        <v>335</v>
      </c>
      <c r="FZ198" s="1465" t="s">
        <v>335</v>
      </c>
      <c r="GA198" s="1176">
        <f t="shared" si="1258"/>
        <v>376290</v>
      </c>
      <c r="GB198" s="1177">
        <f t="shared" si="1259"/>
        <v>351447.48</v>
      </c>
      <c r="GC198" s="1177">
        <f t="shared" si="1260"/>
        <v>0</v>
      </c>
      <c r="GD198" s="1177">
        <f t="shared" si="1261"/>
        <v>0</v>
      </c>
      <c r="GE198" s="1177">
        <f t="shared" si="1262"/>
        <v>376290</v>
      </c>
      <c r="GF198" s="1177">
        <f t="shared" si="1263"/>
        <v>351447.48</v>
      </c>
      <c r="GG198" s="1178">
        <f t="shared" si="1176"/>
        <v>1</v>
      </c>
      <c r="GH198" s="1179">
        <f t="shared" si="1264"/>
        <v>376290</v>
      </c>
      <c r="GI198" s="1180">
        <f t="shared" si="1265"/>
        <v>351447.48</v>
      </c>
      <c r="GJ198" s="1180">
        <f t="shared" si="1266"/>
        <v>0</v>
      </c>
      <c r="GK198" s="1180">
        <f t="shared" si="1267"/>
        <v>0</v>
      </c>
      <c r="GL198" s="1180">
        <f t="shared" si="1268"/>
        <v>376290</v>
      </c>
      <c r="GM198" s="1180">
        <f t="shared" si="1269"/>
        <v>351447.48</v>
      </c>
      <c r="GN198" s="1181">
        <f t="shared" si="1022"/>
        <v>1</v>
      </c>
      <c r="GO198" s="1522" t="s">
        <v>335</v>
      </c>
      <c r="GP198" s="1498"/>
      <c r="GQ198" s="1224"/>
      <c r="GR198" s="1236"/>
      <c r="GS198" s="1243"/>
      <c r="GT198" s="1221"/>
      <c r="GU198" s="1221"/>
      <c r="GV198" s="1221"/>
      <c r="GW198" s="1221">
        <f t="shared" si="1179"/>
        <v>0</v>
      </c>
      <c r="GX198" s="1244">
        <f t="shared" si="1180"/>
        <v>0</v>
      </c>
      <c r="GY198" s="1245"/>
      <c r="GZ198" s="1224"/>
      <c r="HA198" s="1224"/>
      <c r="HB198" s="1218">
        <v>0</v>
      </c>
      <c r="HC198" s="1198">
        <f>GY198+HA198</f>
        <v>0</v>
      </c>
      <c r="HD198" s="1199">
        <f>GZ198+HB198</f>
        <v>0</v>
      </c>
      <c r="HE198" s="1695" t="s">
        <v>335</v>
      </c>
      <c r="HF198" s="1465" t="s">
        <v>335</v>
      </c>
      <c r="HG198" s="1176">
        <f t="shared" si="1182"/>
        <v>376290</v>
      </c>
      <c r="HH198" s="1177">
        <f t="shared" si="1183"/>
        <v>351447.48</v>
      </c>
      <c r="HI198" s="1177">
        <f t="shared" si="1184"/>
        <v>0</v>
      </c>
      <c r="HJ198" s="1177">
        <f t="shared" si="1185"/>
        <v>0</v>
      </c>
      <c r="HK198" s="1177">
        <f t="shared" si="1186"/>
        <v>376290</v>
      </c>
      <c r="HL198" s="1177">
        <f t="shared" si="1187"/>
        <v>351447.48</v>
      </c>
      <c r="HM198" s="1178">
        <f t="shared" si="1220"/>
        <v>1</v>
      </c>
      <c r="HN198" s="1179">
        <f t="shared" si="1188"/>
        <v>376290</v>
      </c>
      <c r="HO198" s="1180">
        <f t="shared" si="1189"/>
        <v>351447.48</v>
      </c>
      <c r="HP198" s="1180">
        <f t="shared" si="1190"/>
        <v>0</v>
      </c>
      <c r="HQ198" s="1180">
        <f t="shared" si="1191"/>
        <v>0</v>
      </c>
      <c r="HR198" s="1180">
        <f t="shared" si="1192"/>
        <v>376290</v>
      </c>
      <c r="HS198" s="1180">
        <f t="shared" si="1193"/>
        <v>351447.48</v>
      </c>
      <c r="HT198" s="1181">
        <f t="shared" si="1221"/>
        <v>1</v>
      </c>
      <c r="HU198" s="1522" t="s">
        <v>335</v>
      </c>
    </row>
    <row r="199" spans="1:229" s="1170" customFormat="1" ht="18" hidden="1" customHeight="1" outlineLevel="1" x14ac:dyDescent="0.2">
      <c r="A199" s="3673"/>
      <c r="B199" s="3672"/>
      <c r="C199" s="3698"/>
      <c r="D199" s="1167" t="s">
        <v>417</v>
      </c>
      <c r="E199" s="1528" t="s">
        <v>335</v>
      </c>
      <c r="F199" s="1529" t="s">
        <v>335</v>
      </c>
      <c r="G199" s="1529" t="s">
        <v>335</v>
      </c>
      <c r="H199" s="1529" t="s">
        <v>335</v>
      </c>
      <c r="I199" s="1529" t="s">
        <v>335</v>
      </c>
      <c r="J199" s="1529" t="s">
        <v>335</v>
      </c>
      <c r="K199" s="1529" t="s">
        <v>335</v>
      </c>
      <c r="L199" s="1529" t="s">
        <v>335</v>
      </c>
      <c r="M199" s="1529" t="s">
        <v>335</v>
      </c>
      <c r="N199" s="1530" t="s">
        <v>335</v>
      </c>
      <c r="O199" s="1528" t="s">
        <v>335</v>
      </c>
      <c r="P199" s="1529" t="s">
        <v>335</v>
      </c>
      <c r="Q199" s="1529" t="s">
        <v>335</v>
      </c>
      <c r="R199" s="1203">
        <v>260729.91</v>
      </c>
      <c r="S199" s="1349">
        <f t="shared" si="1194"/>
        <v>260729.91</v>
      </c>
      <c r="T199" s="1350" t="s">
        <v>335</v>
      </c>
      <c r="U199" s="1351" t="s">
        <v>335</v>
      </c>
      <c r="V199" s="1352" t="s">
        <v>335</v>
      </c>
      <c r="W199" s="1344">
        <f>18648*12</f>
        <v>223776</v>
      </c>
      <c r="X199" s="1177">
        <f>5000+195879.74</f>
        <v>200879.74</v>
      </c>
      <c r="Y199" s="1177"/>
      <c r="Z199" s="1177"/>
      <c r="AA199" s="1177">
        <f t="shared" si="1195"/>
        <v>223776</v>
      </c>
      <c r="AB199" s="1177">
        <f t="shared" si="1196"/>
        <v>200879.74</v>
      </c>
      <c r="AC199" s="1178">
        <f t="shared" si="1197"/>
        <v>0.77045146067054593</v>
      </c>
      <c r="AD199" s="1233">
        <f>W199</f>
        <v>223776</v>
      </c>
      <c r="AE199" s="1232"/>
      <c r="AF199" s="1192"/>
      <c r="AG199" s="1189"/>
      <c r="AH199" s="1232">
        <f t="shared" si="1198"/>
        <v>223776</v>
      </c>
      <c r="AI199" s="1189">
        <f t="shared" si="1199"/>
        <v>0</v>
      </c>
      <c r="AJ199" s="1193">
        <f t="shared" si="1200"/>
        <v>0</v>
      </c>
      <c r="AK199" s="1353"/>
      <c r="AL199" s="1245"/>
      <c r="AM199" s="1245"/>
      <c r="AN199" s="1236"/>
      <c r="AO199" s="1243"/>
      <c r="AP199" s="1221">
        <v>47451.31</v>
      </c>
      <c r="AQ199" s="1221"/>
      <c r="AR199" s="1221"/>
      <c r="AS199" s="1221">
        <f t="shared" si="1201"/>
        <v>0</v>
      </c>
      <c r="AT199" s="1282">
        <f t="shared" si="1202"/>
        <v>47451.31</v>
      </c>
      <c r="AU199" s="1245"/>
      <c r="AV199" s="1224"/>
      <c r="AW199" s="1224"/>
      <c r="AX199" s="1224"/>
      <c r="AY199" s="1198">
        <f t="shared" si="1222"/>
        <v>0</v>
      </c>
      <c r="AZ199" s="1199">
        <f t="shared" si="1223"/>
        <v>0</v>
      </c>
      <c r="BA199" s="1262"/>
      <c r="BB199" s="1226"/>
      <c r="BC199" s="1176">
        <f t="shared" si="1228"/>
        <v>223776</v>
      </c>
      <c r="BD199" s="1177">
        <f t="shared" si="1229"/>
        <v>248331.05</v>
      </c>
      <c r="BE199" s="1177">
        <f t="shared" si="1230"/>
        <v>0</v>
      </c>
      <c r="BF199" s="1177">
        <f t="shared" si="1231"/>
        <v>0</v>
      </c>
      <c r="BG199" s="1177">
        <f t="shared" si="1232"/>
        <v>223776</v>
      </c>
      <c r="BH199" s="1177">
        <f t="shared" si="1233"/>
        <v>248331.05</v>
      </c>
      <c r="BI199" s="1178">
        <f t="shared" si="1234"/>
        <v>0.95244557864496626</v>
      </c>
      <c r="BJ199" s="1175">
        <f t="shared" si="1235"/>
        <v>223776</v>
      </c>
      <c r="BK199" s="1180">
        <f t="shared" si="1236"/>
        <v>0</v>
      </c>
      <c r="BL199" s="1180">
        <f t="shared" si="1237"/>
        <v>0</v>
      </c>
      <c r="BM199" s="1180">
        <f t="shared" si="1238"/>
        <v>0</v>
      </c>
      <c r="BN199" s="1180">
        <f t="shared" si="1239"/>
        <v>223776</v>
      </c>
      <c r="BO199" s="1180">
        <f t="shared" si="1240"/>
        <v>0</v>
      </c>
      <c r="BP199" s="1227">
        <f t="shared" si="1154"/>
        <v>0</v>
      </c>
      <c r="BQ199" s="1398" t="s">
        <v>335</v>
      </c>
      <c r="BR199" s="1343"/>
      <c r="BS199" s="1224"/>
      <c r="BT199" s="1236"/>
      <c r="BU199" s="1243"/>
      <c r="BV199" s="1221"/>
      <c r="BW199" s="1221"/>
      <c r="BX199" s="1221"/>
      <c r="BY199" s="1221">
        <f t="shared" si="1203"/>
        <v>0</v>
      </c>
      <c r="BZ199" s="1244">
        <f t="shared" si="1204"/>
        <v>0</v>
      </c>
      <c r="CA199" s="1245"/>
      <c r="CB199" s="1224"/>
      <c r="CC199" s="1224"/>
      <c r="CD199" s="1224"/>
      <c r="CE199" s="1198">
        <f t="shared" si="1224"/>
        <v>0</v>
      </c>
      <c r="CF199" s="1199">
        <f t="shared" si="1225"/>
        <v>0</v>
      </c>
      <c r="CG199" s="1351" t="s">
        <v>335</v>
      </c>
      <c r="CH199" s="1352" t="s">
        <v>335</v>
      </c>
      <c r="CI199" s="1213">
        <f t="shared" si="1155"/>
        <v>223776</v>
      </c>
      <c r="CJ199" s="1174">
        <f t="shared" si="1156"/>
        <v>248331.05</v>
      </c>
      <c r="CK199" s="1174">
        <f t="shared" si="1157"/>
        <v>0</v>
      </c>
      <c r="CL199" s="1174">
        <f t="shared" si="1158"/>
        <v>0</v>
      </c>
      <c r="CM199" s="1174">
        <f t="shared" si="1159"/>
        <v>223776</v>
      </c>
      <c r="CN199" s="1174">
        <f t="shared" si="1160"/>
        <v>248331.05</v>
      </c>
      <c r="CO199" s="1260">
        <f t="shared" si="1134"/>
        <v>0.95244557864496626</v>
      </c>
      <c r="CP199" s="1321">
        <f t="shared" si="1205"/>
        <v>223776</v>
      </c>
      <c r="CQ199" s="1173">
        <f t="shared" si="1206"/>
        <v>0</v>
      </c>
      <c r="CR199" s="1173">
        <f t="shared" si="1241"/>
        <v>0</v>
      </c>
      <c r="CS199" s="1173">
        <f t="shared" si="1242"/>
        <v>0</v>
      </c>
      <c r="CT199" s="1173">
        <f t="shared" si="1161"/>
        <v>223776</v>
      </c>
      <c r="CU199" s="1173">
        <f t="shared" si="1162"/>
        <v>0</v>
      </c>
      <c r="CV199" s="1181">
        <f t="shared" si="1136"/>
        <v>0</v>
      </c>
      <c r="CW199" s="1522" t="s">
        <v>335</v>
      </c>
      <c r="CX199" s="1343"/>
      <c r="CY199" s="1224"/>
      <c r="CZ199" s="1236"/>
      <c r="DA199" s="1243"/>
      <c r="DB199" s="1221">
        <v>12398.86</v>
      </c>
      <c r="DC199" s="1221"/>
      <c r="DD199" s="1221"/>
      <c r="DE199" s="1221">
        <f t="shared" si="1207"/>
        <v>0</v>
      </c>
      <c r="DF199" s="1244">
        <f t="shared" si="1208"/>
        <v>12398.86</v>
      </c>
      <c r="DG199" s="1245"/>
      <c r="DH199" s="1224"/>
      <c r="DI199" s="1224"/>
      <c r="DJ199" s="1224"/>
      <c r="DK199" s="1198">
        <f t="shared" si="1226"/>
        <v>0</v>
      </c>
      <c r="DL199" s="1199">
        <f t="shared" si="1227"/>
        <v>0</v>
      </c>
      <c r="DM199" s="1351" t="s">
        <v>335</v>
      </c>
      <c r="DN199" s="1352" t="s">
        <v>335</v>
      </c>
      <c r="DO199" s="1213">
        <f t="shared" si="969"/>
        <v>223776</v>
      </c>
      <c r="DP199" s="1174">
        <f t="shared" si="970"/>
        <v>260729.90999999997</v>
      </c>
      <c r="DQ199" s="1174">
        <f t="shared" si="971"/>
        <v>0</v>
      </c>
      <c r="DR199" s="1174">
        <f t="shared" si="972"/>
        <v>0</v>
      </c>
      <c r="DS199" s="1174">
        <f t="shared" si="973"/>
        <v>223776</v>
      </c>
      <c r="DT199" s="1174">
        <f t="shared" si="974"/>
        <v>260729.90999999997</v>
      </c>
      <c r="DU199" s="1260">
        <f t="shared" si="1243"/>
        <v>0.99999999999999989</v>
      </c>
      <c r="DV199" s="1321">
        <f t="shared" si="1209"/>
        <v>223776</v>
      </c>
      <c r="DW199" s="1173">
        <f t="shared" si="1210"/>
        <v>0</v>
      </c>
      <c r="DX199" s="1173">
        <f t="shared" si="1244"/>
        <v>0</v>
      </c>
      <c r="DY199" s="1173">
        <f t="shared" si="1245"/>
        <v>0</v>
      </c>
      <c r="DZ199" s="1173">
        <f t="shared" si="1246"/>
        <v>223776</v>
      </c>
      <c r="EA199" s="1173">
        <f t="shared" si="1247"/>
        <v>0</v>
      </c>
      <c r="EB199" s="1181">
        <f t="shared" si="1212"/>
        <v>0</v>
      </c>
      <c r="EC199" s="1523" t="s">
        <v>335</v>
      </c>
      <c r="ED199" s="1498"/>
      <c r="EE199" s="1224"/>
      <c r="EF199" s="1236"/>
      <c r="EG199" s="1243">
        <f t="shared" si="1213"/>
        <v>21978</v>
      </c>
      <c r="EH199" s="1221"/>
      <c r="EI199" s="1221"/>
      <c r="EJ199" s="1221"/>
      <c r="EK199" s="1221">
        <f t="shared" si="1163"/>
        <v>21978</v>
      </c>
      <c r="EL199" s="1244">
        <f t="shared" si="1164"/>
        <v>0</v>
      </c>
      <c r="EM199" s="1245">
        <f t="shared" si="1214"/>
        <v>21978</v>
      </c>
      <c r="EN199" s="1224"/>
      <c r="EO199" s="1224"/>
      <c r="EP199" s="1224"/>
      <c r="EQ199" s="1198">
        <f t="shared" si="1248"/>
        <v>21978</v>
      </c>
      <c r="ER199" s="1199">
        <f t="shared" si="1248"/>
        <v>0</v>
      </c>
      <c r="ES199" s="1351" t="s">
        <v>335</v>
      </c>
      <c r="ET199" s="1465" t="s">
        <v>335</v>
      </c>
      <c r="EU199" s="1176">
        <f t="shared" si="868"/>
        <v>245754</v>
      </c>
      <c r="EV199" s="1177">
        <f t="shared" si="1166"/>
        <v>260729.90999999997</v>
      </c>
      <c r="EW199" s="1177">
        <f t="shared" si="1167"/>
        <v>0</v>
      </c>
      <c r="EX199" s="1177">
        <f t="shared" si="1168"/>
        <v>0</v>
      </c>
      <c r="EY199" s="1177">
        <f t="shared" si="1249"/>
        <v>245754</v>
      </c>
      <c r="EZ199" s="1177">
        <f t="shared" si="1250"/>
        <v>260729.90999999997</v>
      </c>
      <c r="FA199" s="1178">
        <f t="shared" si="1251"/>
        <v>0.99999999999999989</v>
      </c>
      <c r="FB199" s="1179">
        <f t="shared" si="1215"/>
        <v>245754</v>
      </c>
      <c r="FC199" s="1180">
        <f t="shared" si="1216"/>
        <v>0</v>
      </c>
      <c r="FD199" s="1180">
        <f t="shared" si="1252"/>
        <v>0</v>
      </c>
      <c r="FE199" s="1180">
        <f t="shared" si="1253"/>
        <v>0</v>
      </c>
      <c r="FF199" s="1180">
        <f t="shared" si="1254"/>
        <v>245754</v>
      </c>
      <c r="FG199" s="1180">
        <f t="shared" si="1255"/>
        <v>0</v>
      </c>
      <c r="FH199" s="1181">
        <f t="shared" si="869"/>
        <v>0</v>
      </c>
      <c r="FI199" s="1522" t="s">
        <v>335</v>
      </c>
      <c r="FJ199" s="1498"/>
      <c r="FK199" s="1224"/>
      <c r="FL199" s="1236"/>
      <c r="FM199" s="1243">
        <f t="shared" si="1218"/>
        <v>0</v>
      </c>
      <c r="FN199" s="1221"/>
      <c r="FO199" s="1221"/>
      <c r="FP199" s="1221"/>
      <c r="FQ199" s="1221">
        <f t="shared" si="1256"/>
        <v>0</v>
      </c>
      <c r="FR199" s="1244">
        <f t="shared" si="1172"/>
        <v>0</v>
      </c>
      <c r="FS199" s="1245">
        <f t="shared" si="1219"/>
        <v>0</v>
      </c>
      <c r="FT199" s="1224"/>
      <c r="FU199" s="1224"/>
      <c r="FV199" s="1218">
        <v>0</v>
      </c>
      <c r="FW199" s="1198">
        <f t="shared" si="1257"/>
        <v>0</v>
      </c>
      <c r="FX199" s="1199">
        <f t="shared" si="1257"/>
        <v>0</v>
      </c>
      <c r="FY199" s="1351" t="s">
        <v>335</v>
      </c>
      <c r="FZ199" s="1465" t="s">
        <v>335</v>
      </c>
      <c r="GA199" s="1176">
        <f t="shared" si="1258"/>
        <v>245754</v>
      </c>
      <c r="GB199" s="1177">
        <f t="shared" si="1259"/>
        <v>260729.90999999997</v>
      </c>
      <c r="GC199" s="1177">
        <f t="shared" si="1260"/>
        <v>0</v>
      </c>
      <c r="GD199" s="1177">
        <f t="shared" si="1261"/>
        <v>0</v>
      </c>
      <c r="GE199" s="1177">
        <f t="shared" si="1262"/>
        <v>245754</v>
      </c>
      <c r="GF199" s="1177">
        <f t="shared" si="1263"/>
        <v>260729.90999999997</v>
      </c>
      <c r="GG199" s="1178">
        <f t="shared" si="1176"/>
        <v>0.99999999999999989</v>
      </c>
      <c r="GH199" s="1179">
        <f t="shared" si="1264"/>
        <v>245754</v>
      </c>
      <c r="GI199" s="1180">
        <f t="shared" si="1265"/>
        <v>0</v>
      </c>
      <c r="GJ199" s="1180">
        <f t="shared" si="1266"/>
        <v>0</v>
      </c>
      <c r="GK199" s="1180">
        <f t="shared" si="1267"/>
        <v>0</v>
      </c>
      <c r="GL199" s="1180">
        <f t="shared" si="1268"/>
        <v>245754</v>
      </c>
      <c r="GM199" s="1180">
        <f t="shared" si="1269"/>
        <v>0</v>
      </c>
      <c r="GN199" s="1181">
        <f t="shared" si="1022"/>
        <v>0</v>
      </c>
      <c r="GO199" s="1522" t="s">
        <v>335</v>
      </c>
      <c r="GP199" s="1498"/>
      <c r="GQ199" s="1224"/>
      <c r="GR199" s="1236"/>
      <c r="GS199" s="1243"/>
      <c r="GT199" s="1221"/>
      <c r="GU199" s="1221"/>
      <c r="GV199" s="1221"/>
      <c r="GW199" s="1221">
        <f t="shared" si="1179"/>
        <v>0</v>
      </c>
      <c r="GX199" s="1244">
        <f t="shared" si="1180"/>
        <v>0</v>
      </c>
      <c r="GY199" s="1245"/>
      <c r="GZ199" s="1224"/>
      <c r="HA199" s="1224"/>
      <c r="HB199" s="1218">
        <v>0</v>
      </c>
      <c r="HC199" s="1198">
        <f>GY199+HA199</f>
        <v>0</v>
      </c>
      <c r="HD199" s="1199">
        <f>GZ199+HB199</f>
        <v>0</v>
      </c>
      <c r="HE199" s="1695" t="s">
        <v>335</v>
      </c>
      <c r="HF199" s="1465" t="s">
        <v>335</v>
      </c>
      <c r="HG199" s="1176">
        <f t="shared" si="1182"/>
        <v>245754</v>
      </c>
      <c r="HH199" s="1177">
        <f t="shared" si="1183"/>
        <v>260729.90999999997</v>
      </c>
      <c r="HI199" s="1177">
        <f t="shared" si="1184"/>
        <v>0</v>
      </c>
      <c r="HJ199" s="1177">
        <f t="shared" si="1185"/>
        <v>0</v>
      </c>
      <c r="HK199" s="1177">
        <f t="shared" si="1186"/>
        <v>245754</v>
      </c>
      <c r="HL199" s="1177">
        <f t="shared" si="1187"/>
        <v>260729.90999999997</v>
      </c>
      <c r="HM199" s="1178">
        <f t="shared" si="1220"/>
        <v>0.99999999999999989</v>
      </c>
      <c r="HN199" s="1179">
        <f t="shared" si="1188"/>
        <v>245754</v>
      </c>
      <c r="HO199" s="1180">
        <f t="shared" si="1189"/>
        <v>0</v>
      </c>
      <c r="HP199" s="1180">
        <f t="shared" si="1190"/>
        <v>0</v>
      </c>
      <c r="HQ199" s="1180">
        <f t="shared" si="1191"/>
        <v>0</v>
      </c>
      <c r="HR199" s="1180">
        <f t="shared" si="1192"/>
        <v>245754</v>
      </c>
      <c r="HS199" s="1180">
        <f t="shared" si="1193"/>
        <v>0</v>
      </c>
      <c r="HT199" s="1181">
        <f t="shared" si="1221"/>
        <v>0</v>
      </c>
      <c r="HU199" s="1522" t="s">
        <v>335</v>
      </c>
    </row>
    <row r="200" spans="1:229" s="1170" customFormat="1" ht="18" hidden="1" customHeight="1" outlineLevel="1" x14ac:dyDescent="0.2">
      <c r="A200" s="3673"/>
      <c r="B200" s="3672"/>
      <c r="C200" s="3698"/>
      <c r="D200" s="1167" t="s">
        <v>516</v>
      </c>
      <c r="E200" s="1528" t="s">
        <v>335</v>
      </c>
      <c r="F200" s="1529" t="s">
        <v>335</v>
      </c>
      <c r="G200" s="1529" t="s">
        <v>335</v>
      </c>
      <c r="H200" s="1529" t="s">
        <v>335</v>
      </c>
      <c r="I200" s="1529" t="s">
        <v>335</v>
      </c>
      <c r="J200" s="1529" t="s">
        <v>335</v>
      </c>
      <c r="K200" s="1529" t="s">
        <v>335</v>
      </c>
      <c r="L200" s="1529" t="s">
        <v>335</v>
      </c>
      <c r="M200" s="1529" t="s">
        <v>335</v>
      </c>
      <c r="N200" s="1530" t="s">
        <v>335</v>
      </c>
      <c r="O200" s="1528" t="s">
        <v>335</v>
      </c>
      <c r="P200" s="1529" t="s">
        <v>335</v>
      </c>
      <c r="Q200" s="1529" t="s">
        <v>335</v>
      </c>
      <c r="R200" s="1203">
        <v>190815.52</v>
      </c>
      <c r="S200" s="1349">
        <f t="shared" si="1194"/>
        <v>190815.52</v>
      </c>
      <c r="T200" s="1350" t="s">
        <v>335</v>
      </c>
      <c r="U200" s="1351" t="s">
        <v>335</v>
      </c>
      <c r="V200" s="1352" t="s">
        <v>335</v>
      </c>
      <c r="W200" s="1344">
        <v>0</v>
      </c>
      <c r="X200" s="1177">
        <v>0</v>
      </c>
      <c r="Y200" s="1177">
        <v>0</v>
      </c>
      <c r="Z200" s="1177">
        <v>0</v>
      </c>
      <c r="AA200" s="1177">
        <f t="shared" si="1195"/>
        <v>0</v>
      </c>
      <c r="AB200" s="1177">
        <f t="shared" si="1196"/>
        <v>0</v>
      </c>
      <c r="AC200" s="1178">
        <f t="shared" si="1197"/>
        <v>0</v>
      </c>
      <c r="AD200" s="1233">
        <v>0</v>
      </c>
      <c r="AE200" s="1232">
        <v>0</v>
      </c>
      <c r="AF200" s="1192">
        <v>0</v>
      </c>
      <c r="AG200" s="1189">
        <v>0</v>
      </c>
      <c r="AH200" s="1232">
        <f t="shared" si="1198"/>
        <v>0</v>
      </c>
      <c r="AI200" s="1189">
        <f t="shared" si="1199"/>
        <v>0</v>
      </c>
      <c r="AJ200" s="1193">
        <f t="shared" si="1200"/>
        <v>0</v>
      </c>
      <c r="AK200" s="1353"/>
      <c r="AL200" s="1245"/>
      <c r="AM200" s="1245"/>
      <c r="AN200" s="1236"/>
      <c r="AO200" s="1243"/>
      <c r="AP200" s="1221"/>
      <c r="AQ200" s="1221"/>
      <c r="AR200" s="1221"/>
      <c r="AS200" s="1221">
        <f t="shared" si="1201"/>
        <v>0</v>
      </c>
      <c r="AT200" s="1282">
        <f t="shared" si="1202"/>
        <v>0</v>
      </c>
      <c r="AU200" s="1245"/>
      <c r="AV200" s="1224"/>
      <c r="AW200" s="1224"/>
      <c r="AX200" s="1224"/>
      <c r="AY200" s="1198">
        <f t="shared" si="1222"/>
        <v>0</v>
      </c>
      <c r="AZ200" s="1199">
        <f t="shared" si="1223"/>
        <v>0</v>
      </c>
      <c r="BA200" s="1262"/>
      <c r="BB200" s="1226"/>
      <c r="BC200" s="1176">
        <f t="shared" si="1228"/>
        <v>0</v>
      </c>
      <c r="BD200" s="1177">
        <f t="shared" si="1229"/>
        <v>0</v>
      </c>
      <c r="BE200" s="1177">
        <f t="shared" si="1230"/>
        <v>0</v>
      </c>
      <c r="BF200" s="1177">
        <f t="shared" si="1231"/>
        <v>0</v>
      </c>
      <c r="BG200" s="1177">
        <f t="shared" si="1232"/>
        <v>0</v>
      </c>
      <c r="BH200" s="1177">
        <f t="shared" si="1233"/>
        <v>0</v>
      </c>
      <c r="BI200" s="1178">
        <f t="shared" si="1234"/>
        <v>0</v>
      </c>
      <c r="BJ200" s="1175">
        <f t="shared" si="1235"/>
        <v>0</v>
      </c>
      <c r="BK200" s="1180">
        <f t="shared" si="1236"/>
        <v>0</v>
      </c>
      <c r="BL200" s="1180">
        <f t="shared" si="1237"/>
        <v>0</v>
      </c>
      <c r="BM200" s="1180">
        <f t="shared" si="1238"/>
        <v>0</v>
      </c>
      <c r="BN200" s="1180">
        <f t="shared" si="1239"/>
        <v>0</v>
      </c>
      <c r="BO200" s="1180">
        <f t="shared" si="1240"/>
        <v>0</v>
      </c>
      <c r="BP200" s="1227">
        <f t="shared" si="1154"/>
        <v>0</v>
      </c>
      <c r="BQ200" s="1398" t="s">
        <v>335</v>
      </c>
      <c r="BR200" s="1343"/>
      <c r="BS200" s="1224"/>
      <c r="BT200" s="1236"/>
      <c r="BU200" s="1243"/>
      <c r="BV200" s="1221"/>
      <c r="BW200" s="1221"/>
      <c r="BX200" s="1221"/>
      <c r="BY200" s="1221">
        <f t="shared" si="1203"/>
        <v>0</v>
      </c>
      <c r="BZ200" s="1244">
        <f t="shared" si="1204"/>
        <v>0</v>
      </c>
      <c r="CA200" s="1245"/>
      <c r="CB200" s="1224"/>
      <c r="CC200" s="1224"/>
      <c r="CD200" s="1224"/>
      <c r="CE200" s="1198">
        <f t="shared" si="1224"/>
        <v>0</v>
      </c>
      <c r="CF200" s="1199">
        <f t="shared" si="1225"/>
        <v>0</v>
      </c>
      <c r="CG200" s="1351" t="s">
        <v>335</v>
      </c>
      <c r="CH200" s="1352" t="s">
        <v>335</v>
      </c>
      <c r="CI200" s="1213">
        <f t="shared" ref="CI200:CN201" si="1277">BC200+BU200</f>
        <v>0</v>
      </c>
      <c r="CJ200" s="1174">
        <f t="shared" si="1277"/>
        <v>0</v>
      </c>
      <c r="CK200" s="1174">
        <f t="shared" si="1277"/>
        <v>0</v>
      </c>
      <c r="CL200" s="1174">
        <f t="shared" si="1277"/>
        <v>0</v>
      </c>
      <c r="CM200" s="1174">
        <f t="shared" si="1277"/>
        <v>0</v>
      </c>
      <c r="CN200" s="1174">
        <f t="shared" si="1277"/>
        <v>0</v>
      </c>
      <c r="CO200" s="1260">
        <f>CN200/R200</f>
        <v>0</v>
      </c>
      <c r="CP200" s="1321">
        <f t="shared" ref="CP200:CU201" si="1278">BJ200+CA200</f>
        <v>0</v>
      </c>
      <c r="CQ200" s="1173">
        <f t="shared" si="1278"/>
        <v>0</v>
      </c>
      <c r="CR200" s="1173">
        <f t="shared" si="1278"/>
        <v>0</v>
      </c>
      <c r="CS200" s="1173">
        <f t="shared" si="1278"/>
        <v>0</v>
      </c>
      <c r="CT200" s="1173">
        <f t="shared" si="1278"/>
        <v>0</v>
      </c>
      <c r="CU200" s="1173">
        <f t="shared" si="1278"/>
        <v>0</v>
      </c>
      <c r="CV200" s="1181">
        <f>CU200/S200</f>
        <v>0</v>
      </c>
      <c r="CW200" s="1522" t="s">
        <v>335</v>
      </c>
      <c r="CX200" s="1343"/>
      <c r="CY200" s="1224"/>
      <c r="CZ200" s="1236"/>
      <c r="DA200" s="1243"/>
      <c r="DB200" s="1221"/>
      <c r="DC200" s="1221"/>
      <c r="DD200" s="1221"/>
      <c r="DE200" s="1221">
        <f t="shared" si="1207"/>
        <v>0</v>
      </c>
      <c r="DF200" s="1244">
        <f t="shared" si="1208"/>
        <v>0</v>
      </c>
      <c r="DG200" s="1245"/>
      <c r="DH200" s="1224"/>
      <c r="DI200" s="1224"/>
      <c r="DJ200" s="1224"/>
      <c r="DK200" s="1198">
        <f t="shared" si="1226"/>
        <v>0</v>
      </c>
      <c r="DL200" s="1199">
        <f t="shared" si="1227"/>
        <v>0</v>
      </c>
      <c r="DM200" s="1351" t="s">
        <v>335</v>
      </c>
      <c r="DN200" s="1352" t="s">
        <v>335</v>
      </c>
      <c r="DO200" s="1213"/>
      <c r="DP200" s="1174"/>
      <c r="DQ200" s="1174"/>
      <c r="DR200" s="1174"/>
      <c r="DS200" s="1174">
        <f t="shared" si="973"/>
        <v>0</v>
      </c>
      <c r="DT200" s="1174">
        <f t="shared" si="974"/>
        <v>0</v>
      </c>
      <c r="DU200" s="1260">
        <f t="shared" si="1243"/>
        <v>0</v>
      </c>
      <c r="DV200" s="1321">
        <f t="shared" si="1209"/>
        <v>0</v>
      </c>
      <c r="DW200" s="1173">
        <f t="shared" si="1210"/>
        <v>0</v>
      </c>
      <c r="DX200" s="1173">
        <f t="shared" si="1244"/>
        <v>0</v>
      </c>
      <c r="DY200" s="1173">
        <f t="shared" si="1245"/>
        <v>0</v>
      </c>
      <c r="DZ200" s="1173">
        <f t="shared" si="1246"/>
        <v>0</v>
      </c>
      <c r="EA200" s="1173">
        <f t="shared" si="1247"/>
        <v>0</v>
      </c>
      <c r="EB200" s="1181">
        <f t="shared" si="1212"/>
        <v>0</v>
      </c>
      <c r="EC200" s="1523" t="s">
        <v>335</v>
      </c>
      <c r="ED200" s="1498"/>
      <c r="EE200" s="1224"/>
      <c r="EF200" s="1236"/>
      <c r="EG200" s="1243">
        <f t="shared" si="1213"/>
        <v>21978</v>
      </c>
      <c r="EH200" s="1221"/>
      <c r="EI200" s="1221"/>
      <c r="EJ200" s="1221"/>
      <c r="EK200" s="1221">
        <f t="shared" si="1163"/>
        <v>21978</v>
      </c>
      <c r="EL200" s="1244">
        <f t="shared" si="1164"/>
        <v>0</v>
      </c>
      <c r="EM200" s="1245">
        <f t="shared" si="1214"/>
        <v>21978</v>
      </c>
      <c r="EN200" s="1224">
        <v>190815.52</v>
      </c>
      <c r="EO200" s="1224"/>
      <c r="EP200" s="1224"/>
      <c r="EQ200" s="1198">
        <f t="shared" si="1248"/>
        <v>21978</v>
      </c>
      <c r="ER200" s="1199">
        <f t="shared" si="1248"/>
        <v>190815.52</v>
      </c>
      <c r="ES200" s="1351" t="s">
        <v>335</v>
      </c>
      <c r="ET200" s="1465" t="s">
        <v>335</v>
      </c>
      <c r="EU200" s="1176">
        <f t="shared" si="868"/>
        <v>21978</v>
      </c>
      <c r="EV200" s="1177">
        <f t="shared" si="1166"/>
        <v>0</v>
      </c>
      <c r="EW200" s="1177"/>
      <c r="EX200" s="1177"/>
      <c r="EY200" s="1177">
        <f t="shared" si="1249"/>
        <v>21978</v>
      </c>
      <c r="EZ200" s="1177">
        <f t="shared" si="1250"/>
        <v>0</v>
      </c>
      <c r="FA200" s="1178">
        <f t="shared" si="1251"/>
        <v>0</v>
      </c>
      <c r="FB200" s="1179">
        <f t="shared" si="1215"/>
        <v>21978</v>
      </c>
      <c r="FC200" s="1180">
        <f t="shared" si="1216"/>
        <v>190815.52</v>
      </c>
      <c r="FD200" s="1180">
        <f t="shared" si="1252"/>
        <v>0</v>
      </c>
      <c r="FE200" s="1180">
        <f t="shared" si="1253"/>
        <v>0</v>
      </c>
      <c r="FF200" s="1180">
        <f t="shared" si="1254"/>
        <v>21978</v>
      </c>
      <c r="FG200" s="1180">
        <f t="shared" si="1255"/>
        <v>190815.52</v>
      </c>
      <c r="FH200" s="1181"/>
      <c r="FI200" s="1522" t="s">
        <v>335</v>
      </c>
      <c r="FJ200" s="1498"/>
      <c r="FK200" s="1224"/>
      <c r="FL200" s="1236"/>
      <c r="FM200" s="1243">
        <f>12047.3*13</f>
        <v>156614.9</v>
      </c>
      <c r="FN200" s="1221">
        <f>38163.1+59901+80182.51+12568.91</f>
        <v>190815.52</v>
      </c>
      <c r="FO200" s="1221"/>
      <c r="FP200" s="1221"/>
      <c r="FQ200" s="1221">
        <f t="shared" si="1256"/>
        <v>156614.9</v>
      </c>
      <c r="FR200" s="1244">
        <f t="shared" si="1172"/>
        <v>190815.52</v>
      </c>
      <c r="FS200" s="1245">
        <f t="shared" si="1219"/>
        <v>156614.9</v>
      </c>
      <c r="FT200" s="1224"/>
      <c r="FU200" s="1224"/>
      <c r="FV200" s="1218">
        <v>0</v>
      </c>
      <c r="FW200" s="1198">
        <f t="shared" si="1257"/>
        <v>156614.9</v>
      </c>
      <c r="FX200" s="1199">
        <f t="shared" si="1257"/>
        <v>0</v>
      </c>
      <c r="FY200" s="1351" t="s">
        <v>335</v>
      </c>
      <c r="FZ200" s="1465" t="s">
        <v>335</v>
      </c>
      <c r="GA200" s="1176">
        <f t="shared" si="1258"/>
        <v>178592.9</v>
      </c>
      <c r="GB200" s="1177">
        <f t="shared" si="1259"/>
        <v>190815.52</v>
      </c>
      <c r="GC200" s="1177">
        <f t="shared" si="1260"/>
        <v>0</v>
      </c>
      <c r="GD200" s="1177">
        <f t="shared" si="1261"/>
        <v>0</v>
      </c>
      <c r="GE200" s="1177">
        <f t="shared" si="1262"/>
        <v>178592.9</v>
      </c>
      <c r="GF200" s="1177">
        <f t="shared" si="1263"/>
        <v>190815.52</v>
      </c>
      <c r="GG200" s="1178">
        <f t="shared" si="1176"/>
        <v>1</v>
      </c>
      <c r="GH200" s="1179">
        <f t="shared" si="1264"/>
        <v>178592.9</v>
      </c>
      <c r="GI200" s="1180">
        <f t="shared" si="1265"/>
        <v>190815.52</v>
      </c>
      <c r="GJ200" s="1180">
        <f t="shared" si="1266"/>
        <v>0</v>
      </c>
      <c r="GK200" s="1180">
        <f t="shared" si="1267"/>
        <v>0</v>
      </c>
      <c r="GL200" s="1180">
        <f t="shared" si="1268"/>
        <v>178592.9</v>
      </c>
      <c r="GM200" s="1180">
        <f t="shared" si="1269"/>
        <v>190815.52</v>
      </c>
      <c r="GN200" s="1181">
        <f t="shared" si="1022"/>
        <v>1</v>
      </c>
      <c r="GO200" s="1522" t="s">
        <v>335</v>
      </c>
      <c r="GP200" s="1498"/>
      <c r="GQ200" s="1224"/>
      <c r="GR200" s="1236"/>
      <c r="GS200" s="1243"/>
      <c r="GT200" s="1221"/>
      <c r="GU200" s="1221"/>
      <c r="GV200" s="1221"/>
      <c r="GW200" s="1221">
        <f t="shared" si="1179"/>
        <v>0</v>
      </c>
      <c r="GX200" s="1244">
        <f t="shared" si="1180"/>
        <v>0</v>
      </c>
      <c r="GY200" s="1245"/>
      <c r="GZ200" s="1224"/>
      <c r="HA200" s="1224"/>
      <c r="HB200" s="1218">
        <v>0</v>
      </c>
      <c r="HC200" s="1198">
        <f>GY200+HA200</f>
        <v>0</v>
      </c>
      <c r="HD200" s="1199">
        <f>GZ200+HB200</f>
        <v>0</v>
      </c>
      <c r="HE200" s="1695" t="s">
        <v>335</v>
      </c>
      <c r="HF200" s="1465" t="s">
        <v>335</v>
      </c>
      <c r="HG200" s="1176">
        <f t="shared" si="1182"/>
        <v>178592.9</v>
      </c>
      <c r="HH200" s="1177">
        <f t="shared" si="1183"/>
        <v>190815.52</v>
      </c>
      <c r="HI200" s="1177">
        <f t="shared" si="1184"/>
        <v>0</v>
      </c>
      <c r="HJ200" s="1177">
        <f t="shared" si="1185"/>
        <v>0</v>
      </c>
      <c r="HK200" s="1177">
        <f t="shared" si="1186"/>
        <v>178592.9</v>
      </c>
      <c r="HL200" s="1177">
        <f t="shared" si="1187"/>
        <v>190815.52</v>
      </c>
      <c r="HM200" s="1178">
        <f t="shared" si="1220"/>
        <v>1</v>
      </c>
      <c r="HN200" s="1179">
        <f t="shared" si="1188"/>
        <v>178592.9</v>
      </c>
      <c r="HO200" s="1180">
        <f t="shared" si="1189"/>
        <v>190815.52</v>
      </c>
      <c r="HP200" s="1180">
        <f t="shared" si="1190"/>
        <v>0</v>
      </c>
      <c r="HQ200" s="1180">
        <f t="shared" si="1191"/>
        <v>0</v>
      </c>
      <c r="HR200" s="1180">
        <f t="shared" si="1192"/>
        <v>178592.9</v>
      </c>
      <c r="HS200" s="1180">
        <f t="shared" si="1193"/>
        <v>190815.52</v>
      </c>
      <c r="HT200" s="1181">
        <f t="shared" si="1221"/>
        <v>1</v>
      </c>
      <c r="HU200" s="1522" t="s">
        <v>335</v>
      </c>
    </row>
    <row r="201" spans="1:229" s="1170" customFormat="1" ht="18" hidden="1" customHeight="1" outlineLevel="1" x14ac:dyDescent="0.2">
      <c r="A201" s="3673"/>
      <c r="B201" s="3672"/>
      <c r="C201" s="3698"/>
      <c r="D201" s="1167" t="s">
        <v>540</v>
      </c>
      <c r="E201" s="1528" t="s">
        <v>335</v>
      </c>
      <c r="F201" s="1529" t="s">
        <v>335</v>
      </c>
      <c r="G201" s="1529" t="s">
        <v>335</v>
      </c>
      <c r="H201" s="1529" t="s">
        <v>335</v>
      </c>
      <c r="I201" s="1529" t="s">
        <v>335</v>
      </c>
      <c r="J201" s="1529" t="s">
        <v>335</v>
      </c>
      <c r="K201" s="1529" t="s">
        <v>335</v>
      </c>
      <c r="L201" s="1529" t="s">
        <v>335</v>
      </c>
      <c r="M201" s="1529" t="s">
        <v>335</v>
      </c>
      <c r="N201" s="1530" t="s">
        <v>335</v>
      </c>
      <c r="O201" s="1528" t="s">
        <v>335</v>
      </c>
      <c r="P201" s="1529" t="s">
        <v>335</v>
      </c>
      <c r="Q201" s="1529" t="s">
        <v>335</v>
      </c>
      <c r="R201" s="1203">
        <v>113565.99</v>
      </c>
      <c r="S201" s="1349">
        <f>R201</f>
        <v>113565.99</v>
      </c>
      <c r="T201" s="1350" t="s">
        <v>335</v>
      </c>
      <c r="U201" s="1351" t="s">
        <v>335</v>
      </c>
      <c r="V201" s="1352" t="s">
        <v>335</v>
      </c>
      <c r="W201" s="1344">
        <v>0</v>
      </c>
      <c r="X201" s="1177">
        <v>0</v>
      </c>
      <c r="Y201" s="1177">
        <v>0</v>
      </c>
      <c r="Z201" s="1177">
        <v>0</v>
      </c>
      <c r="AA201" s="1177">
        <f>W201+Y201</f>
        <v>0</v>
      </c>
      <c r="AB201" s="1177">
        <f>X201+Z201</f>
        <v>0</v>
      </c>
      <c r="AC201" s="1178">
        <f>AB201/R201</f>
        <v>0</v>
      </c>
      <c r="AD201" s="1233">
        <v>0</v>
      </c>
      <c r="AE201" s="1232">
        <v>0</v>
      </c>
      <c r="AF201" s="1192">
        <v>0</v>
      </c>
      <c r="AG201" s="1189">
        <v>0</v>
      </c>
      <c r="AH201" s="1232">
        <f>AD201+AF201</f>
        <v>0</v>
      </c>
      <c r="AI201" s="1189">
        <f>AE201+AG201</f>
        <v>0</v>
      </c>
      <c r="AJ201" s="1193">
        <f>AI201/S201</f>
        <v>0</v>
      </c>
      <c r="AK201" s="1353"/>
      <c r="AL201" s="1245">
        <v>0</v>
      </c>
      <c r="AM201" s="1245">
        <v>0</v>
      </c>
      <c r="AN201" s="1236">
        <v>0</v>
      </c>
      <c r="AO201" s="1243">
        <v>0</v>
      </c>
      <c r="AP201" s="1221">
        <v>0</v>
      </c>
      <c r="AQ201" s="1221">
        <v>0</v>
      </c>
      <c r="AR201" s="1221">
        <v>0</v>
      </c>
      <c r="AS201" s="1221">
        <f>AO201+AQ201</f>
        <v>0</v>
      </c>
      <c r="AT201" s="1282">
        <f>AP201+AR201</f>
        <v>0</v>
      </c>
      <c r="AU201" s="1245">
        <v>0</v>
      </c>
      <c r="AV201" s="1224">
        <v>0</v>
      </c>
      <c r="AW201" s="1224">
        <v>0</v>
      </c>
      <c r="AX201" s="1224">
        <v>0</v>
      </c>
      <c r="AY201" s="1198">
        <f>AU201+AW201</f>
        <v>0</v>
      </c>
      <c r="AZ201" s="1199">
        <f>AV201+AX201</f>
        <v>0</v>
      </c>
      <c r="BA201" s="1262">
        <v>0</v>
      </c>
      <c r="BB201" s="1226">
        <v>0</v>
      </c>
      <c r="BC201" s="1176">
        <f t="shared" ref="BC201:BH201" si="1279">W201+AO201</f>
        <v>0</v>
      </c>
      <c r="BD201" s="1177">
        <f t="shared" si="1279"/>
        <v>0</v>
      </c>
      <c r="BE201" s="1177">
        <f t="shared" si="1279"/>
        <v>0</v>
      </c>
      <c r="BF201" s="1177">
        <f t="shared" si="1279"/>
        <v>0</v>
      </c>
      <c r="BG201" s="1177">
        <f t="shared" si="1279"/>
        <v>0</v>
      </c>
      <c r="BH201" s="1177">
        <f t="shared" si="1279"/>
        <v>0</v>
      </c>
      <c r="BI201" s="1178">
        <f>BH201/R201</f>
        <v>0</v>
      </c>
      <c r="BJ201" s="1175">
        <f t="shared" ref="BJ201:BO201" si="1280">AD201+AU201</f>
        <v>0</v>
      </c>
      <c r="BK201" s="1180">
        <f t="shared" si="1280"/>
        <v>0</v>
      </c>
      <c r="BL201" s="1180">
        <f t="shared" si="1280"/>
        <v>0</v>
      </c>
      <c r="BM201" s="1180">
        <f t="shared" si="1280"/>
        <v>0</v>
      </c>
      <c r="BN201" s="1180">
        <f t="shared" si="1280"/>
        <v>0</v>
      </c>
      <c r="BO201" s="1180">
        <f t="shared" si="1280"/>
        <v>0</v>
      </c>
      <c r="BP201" s="1227">
        <f>BO201/S201</f>
        <v>0</v>
      </c>
      <c r="BQ201" s="1398" t="s">
        <v>335</v>
      </c>
      <c r="BR201" s="1343"/>
      <c r="BS201" s="1224"/>
      <c r="BT201" s="1236"/>
      <c r="BU201" s="1243">
        <v>0</v>
      </c>
      <c r="BV201" s="1221">
        <v>0</v>
      </c>
      <c r="BW201" s="1221">
        <v>0</v>
      </c>
      <c r="BX201" s="1221">
        <v>0</v>
      </c>
      <c r="BY201" s="1221">
        <f>BU201+BW201</f>
        <v>0</v>
      </c>
      <c r="BZ201" s="1244">
        <f>BV201+BX201</f>
        <v>0</v>
      </c>
      <c r="CA201" s="1245">
        <v>0</v>
      </c>
      <c r="CB201" s="1224">
        <v>0</v>
      </c>
      <c r="CC201" s="1224">
        <v>0</v>
      </c>
      <c r="CD201" s="1224">
        <v>0</v>
      </c>
      <c r="CE201" s="1198">
        <f>CA201+CC201</f>
        <v>0</v>
      </c>
      <c r="CF201" s="1199">
        <f>CB201+CD201</f>
        <v>0</v>
      </c>
      <c r="CG201" s="1351" t="s">
        <v>335</v>
      </c>
      <c r="CH201" s="1352" t="s">
        <v>335</v>
      </c>
      <c r="CI201" s="1213">
        <f t="shared" si="1277"/>
        <v>0</v>
      </c>
      <c r="CJ201" s="1174">
        <f t="shared" si="1277"/>
        <v>0</v>
      </c>
      <c r="CK201" s="1174">
        <f t="shared" si="1277"/>
        <v>0</v>
      </c>
      <c r="CL201" s="1174">
        <f t="shared" si="1277"/>
        <v>0</v>
      </c>
      <c r="CM201" s="1174">
        <f t="shared" si="1277"/>
        <v>0</v>
      </c>
      <c r="CN201" s="1174">
        <f t="shared" si="1277"/>
        <v>0</v>
      </c>
      <c r="CO201" s="1260">
        <f>CN201/R201</f>
        <v>0</v>
      </c>
      <c r="CP201" s="1321">
        <f t="shared" si="1278"/>
        <v>0</v>
      </c>
      <c r="CQ201" s="1173">
        <f t="shared" si="1278"/>
        <v>0</v>
      </c>
      <c r="CR201" s="1173">
        <f t="shared" si="1278"/>
        <v>0</v>
      </c>
      <c r="CS201" s="1173">
        <f t="shared" si="1278"/>
        <v>0</v>
      </c>
      <c r="CT201" s="1173">
        <f t="shared" si="1278"/>
        <v>0</v>
      </c>
      <c r="CU201" s="1173">
        <f t="shared" si="1278"/>
        <v>0</v>
      </c>
      <c r="CV201" s="1181">
        <f>CU201/S201</f>
        <v>0</v>
      </c>
      <c r="CW201" s="1522" t="s">
        <v>335</v>
      </c>
      <c r="CX201" s="1343"/>
      <c r="CY201" s="1224"/>
      <c r="CZ201" s="1236"/>
      <c r="DA201" s="1243">
        <v>0</v>
      </c>
      <c r="DB201" s="1221">
        <v>0</v>
      </c>
      <c r="DC201" s="1221">
        <v>0</v>
      </c>
      <c r="DD201" s="1221">
        <v>0</v>
      </c>
      <c r="DE201" s="1221">
        <f>DA201+DC201</f>
        <v>0</v>
      </c>
      <c r="DF201" s="1244">
        <f>DB201+DD201</f>
        <v>0</v>
      </c>
      <c r="DG201" s="1245">
        <v>0</v>
      </c>
      <c r="DH201" s="1224">
        <v>0</v>
      </c>
      <c r="DI201" s="1224">
        <v>0</v>
      </c>
      <c r="DJ201" s="1224">
        <v>0</v>
      </c>
      <c r="DK201" s="1198">
        <f>DG201+DI201</f>
        <v>0</v>
      </c>
      <c r="DL201" s="1199">
        <f>DH201+DJ201</f>
        <v>0</v>
      </c>
      <c r="DM201" s="1351" t="s">
        <v>335</v>
      </c>
      <c r="DN201" s="1352" t="s">
        <v>335</v>
      </c>
      <c r="DO201" s="1213"/>
      <c r="DP201" s="1174"/>
      <c r="DQ201" s="1174"/>
      <c r="DR201" s="1174"/>
      <c r="DS201" s="1174">
        <f>CM201+DE201</f>
        <v>0</v>
      </c>
      <c r="DT201" s="1174">
        <f>CN201+DF201</f>
        <v>0</v>
      </c>
      <c r="DU201" s="1260">
        <f>DT201/R201</f>
        <v>0</v>
      </c>
      <c r="DV201" s="1321">
        <f t="shared" ref="DV201:EA201" si="1281">CP201+DG201</f>
        <v>0</v>
      </c>
      <c r="DW201" s="1173">
        <f t="shared" si="1281"/>
        <v>0</v>
      </c>
      <c r="DX201" s="1173">
        <f t="shared" si="1281"/>
        <v>0</v>
      </c>
      <c r="DY201" s="1173">
        <f t="shared" si="1281"/>
        <v>0</v>
      </c>
      <c r="DZ201" s="1173">
        <f t="shared" si="1281"/>
        <v>0</v>
      </c>
      <c r="EA201" s="1173">
        <f t="shared" si="1281"/>
        <v>0</v>
      </c>
      <c r="EB201" s="1181">
        <f>EA201/S201</f>
        <v>0</v>
      </c>
      <c r="EC201" s="1523" t="s">
        <v>335</v>
      </c>
      <c r="ED201" s="1498"/>
      <c r="EE201" s="1224"/>
      <c r="EF201" s="1236"/>
      <c r="EG201" s="1243">
        <v>0</v>
      </c>
      <c r="EH201" s="1221">
        <v>0</v>
      </c>
      <c r="EI201" s="1221">
        <v>0</v>
      </c>
      <c r="EJ201" s="1221">
        <v>0</v>
      </c>
      <c r="EK201" s="1221">
        <f>EG201+EI201</f>
        <v>0</v>
      </c>
      <c r="EL201" s="1244">
        <f t="shared" si="1164"/>
        <v>0</v>
      </c>
      <c r="EM201" s="1245">
        <v>0</v>
      </c>
      <c r="EN201" s="1224">
        <v>0</v>
      </c>
      <c r="EO201" s="1224">
        <v>0</v>
      </c>
      <c r="EP201" s="1224">
        <v>0</v>
      </c>
      <c r="EQ201" s="1198">
        <f>EM201+EO201</f>
        <v>0</v>
      </c>
      <c r="ER201" s="1199">
        <f>EN201+EP201</f>
        <v>0</v>
      </c>
      <c r="ES201" s="1351" t="s">
        <v>335</v>
      </c>
      <c r="ET201" s="1465" t="s">
        <v>335</v>
      </c>
      <c r="EU201" s="1176">
        <f>EG201+DO201</f>
        <v>0</v>
      </c>
      <c r="EV201" s="1177">
        <f>EH201+DP201</f>
        <v>0</v>
      </c>
      <c r="EW201" s="1177"/>
      <c r="EX201" s="1177"/>
      <c r="EY201" s="1177">
        <f>EK201+DS201</f>
        <v>0</v>
      </c>
      <c r="EZ201" s="1177">
        <f>EL201+DT201</f>
        <v>0</v>
      </c>
      <c r="FA201" s="1178">
        <f>EZ201/R201</f>
        <v>0</v>
      </c>
      <c r="FB201" s="1179">
        <f t="shared" ref="FB201:FG201" si="1282">DV201+EM201</f>
        <v>0</v>
      </c>
      <c r="FC201" s="1180">
        <f t="shared" si="1282"/>
        <v>0</v>
      </c>
      <c r="FD201" s="1180">
        <f t="shared" si="1282"/>
        <v>0</v>
      </c>
      <c r="FE201" s="1180">
        <f t="shared" si="1282"/>
        <v>0</v>
      </c>
      <c r="FF201" s="1180">
        <f t="shared" si="1282"/>
        <v>0</v>
      </c>
      <c r="FG201" s="1180">
        <f t="shared" si="1282"/>
        <v>0</v>
      </c>
      <c r="FH201" s="1181"/>
      <c r="FI201" s="1522" t="s">
        <v>335</v>
      </c>
      <c r="FJ201" s="1498"/>
      <c r="FK201" s="1224"/>
      <c r="FL201" s="1236"/>
      <c r="FM201" s="1243">
        <f t="shared" si="1218"/>
        <v>0</v>
      </c>
      <c r="FN201" s="1221">
        <v>0</v>
      </c>
      <c r="FO201" s="1221">
        <v>0</v>
      </c>
      <c r="FP201" s="1221">
        <v>0</v>
      </c>
      <c r="FQ201" s="1221">
        <f t="shared" si="1256"/>
        <v>0</v>
      </c>
      <c r="FR201" s="1244">
        <f>FN201+FP201</f>
        <v>0</v>
      </c>
      <c r="FS201" s="1245">
        <f t="shared" si="1219"/>
        <v>0</v>
      </c>
      <c r="FT201" s="1224">
        <v>113565.99</v>
      </c>
      <c r="FU201" s="1224">
        <v>0</v>
      </c>
      <c r="FV201" s="1218">
        <v>0</v>
      </c>
      <c r="FW201" s="1198">
        <f>FS201+FU201</f>
        <v>0</v>
      </c>
      <c r="FX201" s="1199">
        <f>FT201+FV201</f>
        <v>113565.99</v>
      </c>
      <c r="FY201" s="1351" t="s">
        <v>335</v>
      </c>
      <c r="FZ201" s="1465" t="s">
        <v>335</v>
      </c>
      <c r="GA201" s="1176">
        <f t="shared" ref="GA201:GF201" si="1283">FM201+EU201</f>
        <v>0</v>
      </c>
      <c r="GB201" s="1177">
        <f t="shared" si="1283"/>
        <v>0</v>
      </c>
      <c r="GC201" s="1177">
        <f t="shared" si="1283"/>
        <v>0</v>
      </c>
      <c r="GD201" s="1177">
        <f t="shared" si="1283"/>
        <v>0</v>
      </c>
      <c r="GE201" s="1177">
        <f t="shared" si="1283"/>
        <v>0</v>
      </c>
      <c r="GF201" s="1177">
        <f t="shared" si="1283"/>
        <v>0</v>
      </c>
      <c r="GG201" s="1178">
        <f>GF201/R201</f>
        <v>0</v>
      </c>
      <c r="GH201" s="1179">
        <f t="shared" ref="GH201:GM201" si="1284">FB201+FS201</f>
        <v>0</v>
      </c>
      <c r="GI201" s="1180">
        <f t="shared" si="1284"/>
        <v>113565.99</v>
      </c>
      <c r="GJ201" s="1180">
        <f t="shared" si="1284"/>
        <v>0</v>
      </c>
      <c r="GK201" s="1180">
        <f t="shared" si="1284"/>
        <v>0</v>
      </c>
      <c r="GL201" s="1180">
        <f t="shared" si="1284"/>
        <v>0</v>
      </c>
      <c r="GM201" s="1180">
        <f t="shared" si="1284"/>
        <v>113565.99</v>
      </c>
      <c r="GN201" s="1181">
        <f>GM201/S201</f>
        <v>1</v>
      </c>
      <c r="GO201" s="1522" t="s">
        <v>335</v>
      </c>
      <c r="GP201" s="1498"/>
      <c r="GQ201" s="1224"/>
      <c r="GR201" s="1236"/>
      <c r="GS201" s="1243"/>
      <c r="GT201" s="1221"/>
      <c r="GU201" s="1221"/>
      <c r="GV201" s="1221"/>
      <c r="GW201" s="1221">
        <f t="shared" si="1179"/>
        <v>0</v>
      </c>
      <c r="GX201" s="1244">
        <f t="shared" si="1180"/>
        <v>0</v>
      </c>
      <c r="GY201" s="1245"/>
      <c r="GZ201" s="1224"/>
      <c r="HA201" s="1224"/>
      <c r="HB201" s="1218">
        <v>0</v>
      </c>
      <c r="HC201" s="1198">
        <f>GY201+HA201</f>
        <v>0</v>
      </c>
      <c r="HD201" s="1199">
        <f>GZ201+HB201</f>
        <v>0</v>
      </c>
      <c r="HE201" s="1695" t="s">
        <v>335</v>
      </c>
      <c r="HF201" s="1465" t="s">
        <v>335</v>
      </c>
      <c r="HG201" s="1176">
        <f t="shared" si="1182"/>
        <v>0</v>
      </c>
      <c r="HH201" s="1177">
        <f t="shared" si="1183"/>
        <v>0</v>
      </c>
      <c r="HI201" s="1177">
        <f t="shared" si="1184"/>
        <v>0</v>
      </c>
      <c r="HJ201" s="1177">
        <f t="shared" si="1185"/>
        <v>0</v>
      </c>
      <c r="HK201" s="1177">
        <f t="shared" si="1186"/>
        <v>0</v>
      </c>
      <c r="HL201" s="1177">
        <f t="shared" si="1187"/>
        <v>0</v>
      </c>
      <c r="HM201" s="1178">
        <f t="shared" si="1220"/>
        <v>0</v>
      </c>
      <c r="HN201" s="1179">
        <f t="shared" si="1188"/>
        <v>0</v>
      </c>
      <c r="HO201" s="1180">
        <f t="shared" si="1189"/>
        <v>113565.99</v>
      </c>
      <c r="HP201" s="1180">
        <f t="shared" si="1190"/>
        <v>0</v>
      </c>
      <c r="HQ201" s="1180">
        <f t="shared" si="1191"/>
        <v>0</v>
      </c>
      <c r="HR201" s="1180">
        <f t="shared" si="1192"/>
        <v>0</v>
      </c>
      <c r="HS201" s="1180">
        <f t="shared" si="1193"/>
        <v>113565.99</v>
      </c>
      <c r="HT201" s="1181">
        <f t="shared" si="1221"/>
        <v>1</v>
      </c>
      <c r="HU201" s="1522" t="s">
        <v>335</v>
      </c>
    </row>
    <row r="202" spans="1:229" s="1170" customFormat="1" ht="18" hidden="1" customHeight="1" outlineLevel="1" x14ac:dyDescent="0.2">
      <c r="A202" s="3673"/>
      <c r="B202" s="3672"/>
      <c r="C202" s="3698"/>
      <c r="D202" s="1167" t="s">
        <v>505</v>
      </c>
      <c r="E202" s="1528" t="s">
        <v>335</v>
      </c>
      <c r="F202" s="1529" t="s">
        <v>335</v>
      </c>
      <c r="G202" s="1529" t="s">
        <v>335</v>
      </c>
      <c r="H202" s="1529" t="s">
        <v>335</v>
      </c>
      <c r="I202" s="1529" t="s">
        <v>335</v>
      </c>
      <c r="J202" s="1529" t="s">
        <v>335</v>
      </c>
      <c r="K202" s="1529" t="s">
        <v>335</v>
      </c>
      <c r="L202" s="1529" t="s">
        <v>335</v>
      </c>
      <c r="M202" s="1529" t="s">
        <v>335</v>
      </c>
      <c r="N202" s="1530" t="s">
        <v>335</v>
      </c>
      <c r="O202" s="1528" t="s">
        <v>335</v>
      </c>
      <c r="P202" s="1529" t="s">
        <v>335</v>
      </c>
      <c r="Q202" s="1529" t="s">
        <v>335</v>
      </c>
      <c r="R202" s="1203">
        <v>159471.74</v>
      </c>
      <c r="S202" s="1349">
        <f t="shared" si="1194"/>
        <v>159471.74</v>
      </c>
      <c r="T202" s="1350" t="s">
        <v>335</v>
      </c>
      <c r="U202" s="1351" t="s">
        <v>335</v>
      </c>
      <c r="V202" s="1352" t="s">
        <v>335</v>
      </c>
      <c r="W202" s="1344">
        <v>0</v>
      </c>
      <c r="X202" s="1177">
        <v>0</v>
      </c>
      <c r="Y202" s="1177">
        <v>0</v>
      </c>
      <c r="Z202" s="1177">
        <v>0</v>
      </c>
      <c r="AA202" s="1177">
        <f t="shared" si="1195"/>
        <v>0</v>
      </c>
      <c r="AB202" s="1177">
        <f t="shared" si="1196"/>
        <v>0</v>
      </c>
      <c r="AC202" s="1178">
        <f t="shared" si="1197"/>
        <v>0</v>
      </c>
      <c r="AD202" s="1233">
        <v>0</v>
      </c>
      <c r="AE202" s="1232">
        <v>0</v>
      </c>
      <c r="AF202" s="1192">
        <v>0</v>
      </c>
      <c r="AG202" s="1189">
        <v>0</v>
      </c>
      <c r="AH202" s="1232">
        <f t="shared" si="1198"/>
        <v>0</v>
      </c>
      <c r="AI202" s="1189">
        <f t="shared" si="1199"/>
        <v>0</v>
      </c>
      <c r="AJ202" s="1193">
        <f t="shared" si="1200"/>
        <v>0</v>
      </c>
      <c r="AK202" s="1353"/>
      <c r="AL202" s="1245"/>
      <c r="AM202" s="1245"/>
      <c r="AN202" s="1236"/>
      <c r="AO202" s="1243">
        <v>0</v>
      </c>
      <c r="AP202" s="1221">
        <v>0</v>
      </c>
      <c r="AQ202" s="1221">
        <v>0</v>
      </c>
      <c r="AR202" s="1221">
        <v>0</v>
      </c>
      <c r="AS202" s="1221">
        <f t="shared" si="1201"/>
        <v>0</v>
      </c>
      <c r="AT202" s="1282">
        <f t="shared" si="1202"/>
        <v>0</v>
      </c>
      <c r="AU202" s="1245">
        <v>0</v>
      </c>
      <c r="AV202" s="1224">
        <v>0</v>
      </c>
      <c r="AW202" s="1224">
        <v>0</v>
      </c>
      <c r="AX202" s="1224">
        <v>0</v>
      </c>
      <c r="AY202" s="1198">
        <f t="shared" si="1222"/>
        <v>0</v>
      </c>
      <c r="AZ202" s="1199">
        <f t="shared" si="1223"/>
        <v>0</v>
      </c>
      <c r="BA202" s="1262"/>
      <c r="BB202" s="1226"/>
      <c r="BC202" s="1176">
        <f t="shared" si="1228"/>
        <v>0</v>
      </c>
      <c r="BD202" s="1177">
        <f t="shared" si="1229"/>
        <v>0</v>
      </c>
      <c r="BE202" s="1177">
        <f t="shared" si="1230"/>
        <v>0</v>
      </c>
      <c r="BF202" s="1177">
        <f t="shared" si="1231"/>
        <v>0</v>
      </c>
      <c r="BG202" s="1177">
        <f t="shared" si="1232"/>
        <v>0</v>
      </c>
      <c r="BH202" s="1177">
        <f t="shared" si="1233"/>
        <v>0</v>
      </c>
      <c r="BI202" s="1178">
        <f t="shared" si="1234"/>
        <v>0</v>
      </c>
      <c r="BJ202" s="1175">
        <f t="shared" si="1235"/>
        <v>0</v>
      </c>
      <c r="BK202" s="1180">
        <f t="shared" si="1236"/>
        <v>0</v>
      </c>
      <c r="BL202" s="1180">
        <f t="shared" si="1237"/>
        <v>0</v>
      </c>
      <c r="BM202" s="1180">
        <f t="shared" si="1238"/>
        <v>0</v>
      </c>
      <c r="BN202" s="1180">
        <f t="shared" si="1239"/>
        <v>0</v>
      </c>
      <c r="BO202" s="1180">
        <f t="shared" si="1240"/>
        <v>0</v>
      </c>
      <c r="BP202" s="1227">
        <f t="shared" si="1154"/>
        <v>0</v>
      </c>
      <c r="BQ202" s="1398" t="s">
        <v>335</v>
      </c>
      <c r="BR202" s="1343"/>
      <c r="BS202" s="1224"/>
      <c r="BT202" s="1236"/>
      <c r="BU202" s="1243">
        <v>0</v>
      </c>
      <c r="BV202" s="1221">
        <v>0</v>
      </c>
      <c r="BW202" s="1221">
        <v>0</v>
      </c>
      <c r="BX202" s="1221">
        <v>0</v>
      </c>
      <c r="BY202" s="1221">
        <f t="shared" si="1203"/>
        <v>0</v>
      </c>
      <c r="BZ202" s="1244">
        <f t="shared" si="1204"/>
        <v>0</v>
      </c>
      <c r="CA202" s="1245">
        <v>0</v>
      </c>
      <c r="CB202" s="1224">
        <v>0</v>
      </c>
      <c r="CC202" s="1224">
        <v>0</v>
      </c>
      <c r="CD202" s="1224">
        <v>0</v>
      </c>
      <c r="CE202" s="1198">
        <f t="shared" si="1224"/>
        <v>0</v>
      </c>
      <c r="CF202" s="1199">
        <f t="shared" si="1225"/>
        <v>0</v>
      </c>
      <c r="CG202" s="1351" t="s">
        <v>335</v>
      </c>
      <c r="CH202" s="1352" t="s">
        <v>335</v>
      </c>
      <c r="CI202" s="1213">
        <f>BC202+BU202</f>
        <v>0</v>
      </c>
      <c r="CJ202" s="1174">
        <f>BD202+BV202</f>
        <v>0</v>
      </c>
      <c r="CK202" s="1174">
        <f>BE202+BW202</f>
        <v>0</v>
      </c>
      <c r="CL202" s="1174">
        <f>BF202+BX202</f>
        <v>0</v>
      </c>
      <c r="CM202" s="1174">
        <f t="shared" si="1159"/>
        <v>0</v>
      </c>
      <c r="CN202" s="1174">
        <f t="shared" si="1160"/>
        <v>0</v>
      </c>
      <c r="CO202" s="1260">
        <f t="shared" si="1134"/>
        <v>0</v>
      </c>
      <c r="CP202" s="1321">
        <f t="shared" si="1205"/>
        <v>0</v>
      </c>
      <c r="CQ202" s="1173">
        <f t="shared" si="1206"/>
        <v>0</v>
      </c>
      <c r="CR202" s="1173">
        <f t="shared" si="1241"/>
        <v>0</v>
      </c>
      <c r="CS202" s="1173">
        <f t="shared" si="1242"/>
        <v>0</v>
      </c>
      <c r="CT202" s="1173">
        <f t="shared" si="1161"/>
        <v>0</v>
      </c>
      <c r="CU202" s="1173">
        <f t="shared" si="1162"/>
        <v>0</v>
      </c>
      <c r="CV202" s="1181">
        <f t="shared" si="1136"/>
        <v>0</v>
      </c>
      <c r="CW202" s="1522" t="s">
        <v>335</v>
      </c>
      <c r="CX202" s="1343">
        <v>0</v>
      </c>
      <c r="CY202" s="1224">
        <v>0</v>
      </c>
      <c r="CZ202" s="1236"/>
      <c r="DA202" s="1243">
        <v>0</v>
      </c>
      <c r="DB202" s="1221">
        <v>0</v>
      </c>
      <c r="DC202" s="1221">
        <v>0</v>
      </c>
      <c r="DD202" s="1221">
        <v>0</v>
      </c>
      <c r="DE202" s="1221">
        <f t="shared" si="1207"/>
        <v>0</v>
      </c>
      <c r="DF202" s="1244">
        <f t="shared" si="1208"/>
        <v>0</v>
      </c>
      <c r="DG202" s="1245">
        <v>0</v>
      </c>
      <c r="DH202" s="1224">
        <v>0</v>
      </c>
      <c r="DI202" s="1224">
        <v>0</v>
      </c>
      <c r="DJ202" s="1224">
        <v>0</v>
      </c>
      <c r="DK202" s="1198">
        <f t="shared" si="1226"/>
        <v>0</v>
      </c>
      <c r="DL202" s="1199">
        <f t="shared" si="1227"/>
        <v>0</v>
      </c>
      <c r="DM202" s="1351" t="s">
        <v>335</v>
      </c>
      <c r="DN202" s="1352" t="s">
        <v>335</v>
      </c>
      <c r="DO202" s="1213">
        <f>CI202+DA202</f>
        <v>0</v>
      </c>
      <c r="DP202" s="1174">
        <f>CJ202+DB202</f>
        <v>0</v>
      </c>
      <c r="DQ202" s="1174">
        <f>CK202+DC202</f>
        <v>0</v>
      </c>
      <c r="DR202" s="1174">
        <f>CL202+DD202</f>
        <v>0</v>
      </c>
      <c r="DS202" s="1174">
        <f t="shared" si="973"/>
        <v>0</v>
      </c>
      <c r="DT202" s="1174">
        <f t="shared" si="974"/>
        <v>0</v>
      </c>
      <c r="DU202" s="1260">
        <f t="shared" si="1243"/>
        <v>0</v>
      </c>
      <c r="DV202" s="1321">
        <f t="shared" si="1209"/>
        <v>0</v>
      </c>
      <c r="DW202" s="1173">
        <f t="shared" si="1210"/>
        <v>0</v>
      </c>
      <c r="DX202" s="1173">
        <f t="shared" si="1244"/>
        <v>0</v>
      </c>
      <c r="DY202" s="1173">
        <f t="shared" si="1245"/>
        <v>0</v>
      </c>
      <c r="DZ202" s="1173">
        <f t="shared" si="1246"/>
        <v>0</v>
      </c>
      <c r="EA202" s="1173">
        <f t="shared" si="1247"/>
        <v>0</v>
      </c>
      <c r="EB202" s="1181">
        <f t="shared" si="1212"/>
        <v>0</v>
      </c>
      <c r="EC202" s="1523" t="s">
        <v>335</v>
      </c>
      <c r="ED202" s="1498"/>
      <c r="EE202" s="1224"/>
      <c r="EF202" s="1236"/>
      <c r="EG202" s="1243">
        <f t="shared" si="1213"/>
        <v>21978</v>
      </c>
      <c r="EH202" s="1221"/>
      <c r="EI202" s="1221"/>
      <c r="EJ202" s="1221"/>
      <c r="EK202" s="1221">
        <f t="shared" si="1163"/>
        <v>21978</v>
      </c>
      <c r="EL202" s="1244">
        <f t="shared" si="1164"/>
        <v>0</v>
      </c>
      <c r="EM202" s="1245">
        <f t="shared" si="1214"/>
        <v>21978</v>
      </c>
      <c r="EN202" s="1224">
        <v>159471.74</v>
      </c>
      <c r="EO202" s="1224"/>
      <c r="EP202" s="1224"/>
      <c r="EQ202" s="1198">
        <f t="shared" si="1248"/>
        <v>21978</v>
      </c>
      <c r="ER202" s="1199">
        <f t="shared" si="1248"/>
        <v>159471.74</v>
      </c>
      <c r="ES202" s="1351" t="s">
        <v>335</v>
      </c>
      <c r="ET202" s="1465" t="s">
        <v>335</v>
      </c>
      <c r="EU202" s="1176">
        <f t="shared" si="868"/>
        <v>21978</v>
      </c>
      <c r="EV202" s="1177">
        <f t="shared" si="1166"/>
        <v>0</v>
      </c>
      <c r="EW202" s="1177">
        <f t="shared" si="1167"/>
        <v>0</v>
      </c>
      <c r="EX202" s="1177">
        <f t="shared" si="1168"/>
        <v>0</v>
      </c>
      <c r="EY202" s="1177">
        <f t="shared" si="1249"/>
        <v>21978</v>
      </c>
      <c r="EZ202" s="1177">
        <f t="shared" si="1250"/>
        <v>0</v>
      </c>
      <c r="FA202" s="1178">
        <f t="shared" si="1251"/>
        <v>0</v>
      </c>
      <c r="FB202" s="1179">
        <f t="shared" si="1215"/>
        <v>21978</v>
      </c>
      <c r="FC202" s="1180">
        <f t="shared" si="1216"/>
        <v>159471.74</v>
      </c>
      <c r="FD202" s="1180">
        <f t="shared" si="1252"/>
        <v>0</v>
      </c>
      <c r="FE202" s="1180">
        <f t="shared" si="1253"/>
        <v>0</v>
      </c>
      <c r="FF202" s="1180">
        <f t="shared" si="1254"/>
        <v>21978</v>
      </c>
      <c r="FG202" s="1180">
        <f t="shared" si="1255"/>
        <v>159471.74</v>
      </c>
      <c r="FH202" s="1181">
        <f t="shared" si="869"/>
        <v>1</v>
      </c>
      <c r="FI202" s="1522" t="s">
        <v>335</v>
      </c>
      <c r="FJ202" s="1498"/>
      <c r="FK202" s="1224"/>
      <c r="FL202" s="1236"/>
      <c r="FM202" s="1243">
        <f t="shared" si="1218"/>
        <v>0</v>
      </c>
      <c r="FN202" s="1221">
        <f>159471.74</f>
        <v>159471.74</v>
      </c>
      <c r="FO202" s="1221"/>
      <c r="FP202" s="1221"/>
      <c r="FQ202" s="1221">
        <f t="shared" si="1171"/>
        <v>0</v>
      </c>
      <c r="FR202" s="1244">
        <f t="shared" si="1172"/>
        <v>159471.74</v>
      </c>
      <c r="FS202" s="1245">
        <f t="shared" si="1219"/>
        <v>0</v>
      </c>
      <c r="FT202" s="1224"/>
      <c r="FU202" s="1224"/>
      <c r="FV202" s="1218">
        <v>0</v>
      </c>
      <c r="FW202" s="1198">
        <f t="shared" si="1257"/>
        <v>0</v>
      </c>
      <c r="FX202" s="1199">
        <f t="shared" si="1257"/>
        <v>0</v>
      </c>
      <c r="FY202" s="1351" t="s">
        <v>335</v>
      </c>
      <c r="FZ202" s="1465" t="s">
        <v>335</v>
      </c>
      <c r="GA202" s="1176">
        <f t="shared" si="1258"/>
        <v>21978</v>
      </c>
      <c r="GB202" s="1177">
        <f t="shared" si="1259"/>
        <v>159471.74</v>
      </c>
      <c r="GC202" s="1177">
        <f t="shared" si="1260"/>
        <v>0</v>
      </c>
      <c r="GD202" s="1177">
        <f t="shared" si="1261"/>
        <v>0</v>
      </c>
      <c r="GE202" s="1177">
        <f t="shared" si="1262"/>
        <v>21978</v>
      </c>
      <c r="GF202" s="1177">
        <f t="shared" si="1263"/>
        <v>159471.74</v>
      </c>
      <c r="GG202" s="1178">
        <f t="shared" si="1176"/>
        <v>1</v>
      </c>
      <c r="GH202" s="1179">
        <f t="shared" si="1264"/>
        <v>21978</v>
      </c>
      <c r="GI202" s="1180">
        <f t="shared" si="1265"/>
        <v>159471.74</v>
      </c>
      <c r="GJ202" s="1180">
        <f t="shared" si="1266"/>
        <v>0</v>
      </c>
      <c r="GK202" s="1180">
        <f t="shared" si="1267"/>
        <v>0</v>
      </c>
      <c r="GL202" s="1180">
        <f t="shared" si="1268"/>
        <v>21978</v>
      </c>
      <c r="GM202" s="1180">
        <f t="shared" si="1269"/>
        <v>159471.74</v>
      </c>
      <c r="GN202" s="1181">
        <f t="shared" si="1022"/>
        <v>1</v>
      </c>
      <c r="GO202" s="1522" t="s">
        <v>335</v>
      </c>
      <c r="GP202" s="1498"/>
      <c r="GQ202" s="1224"/>
      <c r="GR202" s="1236"/>
      <c r="GS202" s="1243"/>
      <c r="GT202" s="1221"/>
      <c r="GU202" s="1221"/>
      <c r="GV202" s="1221"/>
      <c r="GW202" s="1221">
        <f t="shared" si="1179"/>
        <v>0</v>
      </c>
      <c r="GX202" s="1244">
        <f t="shared" si="1180"/>
        <v>0</v>
      </c>
      <c r="GY202" s="1245"/>
      <c r="GZ202" s="1224"/>
      <c r="HA202" s="1224"/>
      <c r="HB202" s="1218">
        <v>0</v>
      </c>
      <c r="HC202" s="1198">
        <f t="shared" ref="HC202:HC210" si="1285">GY202+HA202</f>
        <v>0</v>
      </c>
      <c r="HD202" s="1199">
        <f t="shared" ref="HD202:HD210" si="1286">GZ202+HB202</f>
        <v>0</v>
      </c>
      <c r="HE202" s="1695" t="s">
        <v>335</v>
      </c>
      <c r="HF202" s="1465" t="s">
        <v>335</v>
      </c>
      <c r="HG202" s="1176">
        <f t="shared" si="1182"/>
        <v>21978</v>
      </c>
      <c r="HH202" s="1177">
        <f t="shared" si="1183"/>
        <v>159471.74</v>
      </c>
      <c r="HI202" s="1177">
        <f t="shared" si="1184"/>
        <v>0</v>
      </c>
      <c r="HJ202" s="1177">
        <f t="shared" si="1185"/>
        <v>0</v>
      </c>
      <c r="HK202" s="1177">
        <f t="shared" si="1186"/>
        <v>21978</v>
      </c>
      <c r="HL202" s="1177">
        <f t="shared" si="1187"/>
        <v>159471.74</v>
      </c>
      <c r="HM202" s="1178">
        <f t="shared" si="1220"/>
        <v>1</v>
      </c>
      <c r="HN202" s="1179">
        <f t="shared" si="1188"/>
        <v>21978</v>
      </c>
      <c r="HO202" s="1180">
        <f t="shared" si="1189"/>
        <v>159471.74</v>
      </c>
      <c r="HP202" s="1180">
        <f t="shared" si="1190"/>
        <v>0</v>
      </c>
      <c r="HQ202" s="1180">
        <f t="shared" si="1191"/>
        <v>0</v>
      </c>
      <c r="HR202" s="1180">
        <f t="shared" si="1192"/>
        <v>21978</v>
      </c>
      <c r="HS202" s="1180">
        <f t="shared" si="1193"/>
        <v>159471.74</v>
      </c>
      <c r="HT202" s="1181">
        <f t="shared" si="1221"/>
        <v>1</v>
      </c>
      <c r="HU202" s="1522" t="s">
        <v>335</v>
      </c>
    </row>
    <row r="203" spans="1:229" s="1170" customFormat="1" ht="18" hidden="1" customHeight="1" outlineLevel="1" x14ac:dyDescent="0.2">
      <c r="A203" s="3673"/>
      <c r="B203" s="3672"/>
      <c r="C203" s="3698"/>
      <c r="D203" s="1167" t="s">
        <v>347</v>
      </c>
      <c r="E203" s="1528" t="s">
        <v>335</v>
      </c>
      <c r="F203" s="1529" t="s">
        <v>335</v>
      </c>
      <c r="G203" s="1529" t="s">
        <v>335</v>
      </c>
      <c r="H203" s="1529" t="s">
        <v>335</v>
      </c>
      <c r="I203" s="1529" t="s">
        <v>335</v>
      </c>
      <c r="J203" s="1529" t="s">
        <v>335</v>
      </c>
      <c r="K203" s="1529" t="s">
        <v>335</v>
      </c>
      <c r="L203" s="1529" t="s">
        <v>335</v>
      </c>
      <c r="M203" s="1529" t="s">
        <v>335</v>
      </c>
      <c r="N203" s="1530" t="s">
        <v>335</v>
      </c>
      <c r="O203" s="1528" t="s">
        <v>335</v>
      </c>
      <c r="P203" s="1529" t="s">
        <v>335</v>
      </c>
      <c r="Q203" s="1529" t="s">
        <v>335</v>
      </c>
      <c r="R203" s="1203">
        <v>259162.18</v>
      </c>
      <c r="S203" s="1349">
        <f t="shared" si="1194"/>
        <v>259162.18</v>
      </c>
      <c r="T203" s="1350" t="s">
        <v>335</v>
      </c>
      <c r="U203" s="1351" t="s">
        <v>335</v>
      </c>
      <c r="V203" s="1352" t="s">
        <v>335</v>
      </c>
      <c r="W203" s="1344">
        <f>18648*14</f>
        <v>261072</v>
      </c>
      <c r="X203" s="1177">
        <f>259162.18</f>
        <v>259162.18</v>
      </c>
      <c r="Y203" s="1177"/>
      <c r="Z203" s="1177"/>
      <c r="AA203" s="1177">
        <f t="shared" si="1195"/>
        <v>261072</v>
      </c>
      <c r="AB203" s="1177">
        <f t="shared" si="1196"/>
        <v>259162.18</v>
      </c>
      <c r="AC203" s="1178">
        <f t="shared" si="1197"/>
        <v>1</v>
      </c>
      <c r="AD203" s="1233">
        <f>W203</f>
        <v>261072</v>
      </c>
      <c r="AE203" s="1232">
        <v>260729.91</v>
      </c>
      <c r="AF203" s="1192"/>
      <c r="AG203" s="1189"/>
      <c r="AH203" s="1232">
        <f t="shared" si="1198"/>
        <v>261072</v>
      </c>
      <c r="AI203" s="1189">
        <f t="shared" si="1199"/>
        <v>260729.91</v>
      </c>
      <c r="AJ203" s="1193">
        <f t="shared" si="1200"/>
        <v>1.0060492236945993</v>
      </c>
      <c r="AK203" s="1353"/>
      <c r="AL203" s="1245"/>
      <c r="AM203" s="1245"/>
      <c r="AN203" s="1236"/>
      <c r="AO203" s="1243"/>
      <c r="AP203" s="1221"/>
      <c r="AQ203" s="1221"/>
      <c r="AR203" s="1221"/>
      <c r="AS203" s="1221">
        <f t="shared" si="1201"/>
        <v>0</v>
      </c>
      <c r="AT203" s="1282">
        <f t="shared" si="1202"/>
        <v>0</v>
      </c>
      <c r="AU203" s="1245"/>
      <c r="AV203" s="1224"/>
      <c r="AW203" s="1224"/>
      <c r="AX203" s="1224"/>
      <c r="AY203" s="1198">
        <f t="shared" si="1222"/>
        <v>0</v>
      </c>
      <c r="AZ203" s="1199">
        <f t="shared" si="1223"/>
        <v>0</v>
      </c>
      <c r="BA203" s="1262"/>
      <c r="BB203" s="1226"/>
      <c r="BC203" s="1176">
        <f t="shared" si="1228"/>
        <v>261072</v>
      </c>
      <c r="BD203" s="1177">
        <f t="shared" si="1229"/>
        <v>259162.18</v>
      </c>
      <c r="BE203" s="1177">
        <f t="shared" si="1230"/>
        <v>0</v>
      </c>
      <c r="BF203" s="1177">
        <f t="shared" si="1231"/>
        <v>0</v>
      </c>
      <c r="BG203" s="1177">
        <f t="shared" si="1232"/>
        <v>261072</v>
      </c>
      <c r="BH203" s="1177">
        <f t="shared" si="1233"/>
        <v>259162.18</v>
      </c>
      <c r="BI203" s="1178">
        <f t="shared" si="1234"/>
        <v>1</v>
      </c>
      <c r="BJ203" s="1175">
        <f t="shared" si="1235"/>
        <v>261072</v>
      </c>
      <c r="BK203" s="1180">
        <f t="shared" si="1236"/>
        <v>260729.91</v>
      </c>
      <c r="BL203" s="1180">
        <f t="shared" si="1237"/>
        <v>0</v>
      </c>
      <c r="BM203" s="1180">
        <f t="shared" si="1238"/>
        <v>0</v>
      </c>
      <c r="BN203" s="1180">
        <f t="shared" si="1239"/>
        <v>261072</v>
      </c>
      <c r="BO203" s="1180">
        <f t="shared" si="1240"/>
        <v>260729.91</v>
      </c>
      <c r="BP203" s="1227">
        <f t="shared" si="1154"/>
        <v>1.0060492236945993</v>
      </c>
      <c r="BQ203" s="1398" t="s">
        <v>335</v>
      </c>
      <c r="BR203" s="1343"/>
      <c r="BS203" s="1224"/>
      <c r="BT203" s="1236"/>
      <c r="BU203" s="1243"/>
      <c r="BV203" s="1221"/>
      <c r="BW203" s="1221"/>
      <c r="BX203" s="1221"/>
      <c r="BY203" s="1221">
        <f t="shared" si="1203"/>
        <v>0</v>
      </c>
      <c r="BZ203" s="1244">
        <f t="shared" si="1204"/>
        <v>0</v>
      </c>
      <c r="CA203" s="1245"/>
      <c r="CB203" s="1224"/>
      <c r="CC203" s="1224"/>
      <c r="CD203" s="1224"/>
      <c r="CE203" s="1198">
        <f t="shared" si="1224"/>
        <v>0</v>
      </c>
      <c r="CF203" s="1199">
        <f t="shared" si="1225"/>
        <v>0</v>
      </c>
      <c r="CG203" s="1351" t="s">
        <v>335</v>
      </c>
      <c r="CH203" s="1352" t="s">
        <v>335</v>
      </c>
      <c r="CI203" s="1213">
        <f t="shared" si="1155"/>
        <v>261072</v>
      </c>
      <c r="CJ203" s="1174">
        <f t="shared" si="1156"/>
        <v>259162.18</v>
      </c>
      <c r="CK203" s="1174">
        <f t="shared" si="1157"/>
        <v>0</v>
      </c>
      <c r="CL203" s="1174">
        <f t="shared" si="1158"/>
        <v>0</v>
      </c>
      <c r="CM203" s="1174">
        <f t="shared" si="1159"/>
        <v>261072</v>
      </c>
      <c r="CN203" s="1174">
        <f t="shared" si="1160"/>
        <v>259162.18</v>
      </c>
      <c r="CO203" s="1260">
        <f t="shared" si="1134"/>
        <v>1</v>
      </c>
      <c r="CP203" s="1321">
        <f t="shared" si="1205"/>
        <v>261072</v>
      </c>
      <c r="CQ203" s="1173">
        <f t="shared" si="1206"/>
        <v>260729.91</v>
      </c>
      <c r="CR203" s="1173">
        <f t="shared" si="1241"/>
        <v>0</v>
      </c>
      <c r="CS203" s="1173">
        <f t="shared" si="1242"/>
        <v>0</v>
      </c>
      <c r="CT203" s="1173">
        <f t="shared" si="1161"/>
        <v>261072</v>
      </c>
      <c r="CU203" s="1173">
        <f t="shared" si="1162"/>
        <v>260729.91</v>
      </c>
      <c r="CV203" s="1181">
        <f t="shared" si="1136"/>
        <v>1.0060492236945993</v>
      </c>
      <c r="CW203" s="1522" t="s">
        <v>335</v>
      </c>
      <c r="CX203" s="1343"/>
      <c r="CY203" s="1224"/>
      <c r="CZ203" s="1236"/>
      <c r="DA203" s="1243"/>
      <c r="DB203" s="1221"/>
      <c r="DC203" s="1221"/>
      <c r="DD203" s="1221"/>
      <c r="DE203" s="1221">
        <f t="shared" si="1207"/>
        <v>0</v>
      </c>
      <c r="DF203" s="1244">
        <f t="shared" si="1208"/>
        <v>0</v>
      </c>
      <c r="DG203" s="1245"/>
      <c r="DH203" s="1224"/>
      <c r="DI203" s="1224"/>
      <c r="DJ203" s="1224"/>
      <c r="DK203" s="1198">
        <f t="shared" si="1226"/>
        <v>0</v>
      </c>
      <c r="DL203" s="1199">
        <f t="shared" si="1227"/>
        <v>0</v>
      </c>
      <c r="DM203" s="1351" t="s">
        <v>335</v>
      </c>
      <c r="DN203" s="1352" t="s">
        <v>335</v>
      </c>
      <c r="DO203" s="1213">
        <f t="shared" si="969"/>
        <v>261072</v>
      </c>
      <c r="DP203" s="1174">
        <f t="shared" si="970"/>
        <v>259162.18</v>
      </c>
      <c r="DQ203" s="1174">
        <f t="shared" si="971"/>
        <v>0</v>
      </c>
      <c r="DR203" s="1174">
        <f t="shared" si="972"/>
        <v>0</v>
      </c>
      <c r="DS203" s="1174">
        <f t="shared" si="973"/>
        <v>261072</v>
      </c>
      <c r="DT203" s="1174">
        <f t="shared" si="974"/>
        <v>259162.18</v>
      </c>
      <c r="DU203" s="1260">
        <f t="shared" si="1243"/>
        <v>1</v>
      </c>
      <c r="DV203" s="1321">
        <f t="shared" si="1209"/>
        <v>261072</v>
      </c>
      <c r="DW203" s="1173">
        <f t="shared" si="1210"/>
        <v>260729.91</v>
      </c>
      <c r="DX203" s="1173">
        <f t="shared" si="1244"/>
        <v>0</v>
      </c>
      <c r="DY203" s="1173">
        <f t="shared" si="1245"/>
        <v>0</v>
      </c>
      <c r="DZ203" s="1173">
        <f t="shared" si="1246"/>
        <v>261072</v>
      </c>
      <c r="EA203" s="1173">
        <f t="shared" si="1247"/>
        <v>260729.91</v>
      </c>
      <c r="EB203" s="1181">
        <f t="shared" si="1212"/>
        <v>1.0060492236945993</v>
      </c>
      <c r="EC203" s="1523" t="s">
        <v>335</v>
      </c>
      <c r="ED203" s="1498"/>
      <c r="EE203" s="1224"/>
      <c r="EF203" s="1236"/>
      <c r="EG203" s="1243">
        <f t="shared" si="1213"/>
        <v>21978</v>
      </c>
      <c r="EH203" s="1221"/>
      <c r="EI203" s="1221"/>
      <c r="EJ203" s="1221"/>
      <c r="EK203" s="1221">
        <f t="shared" si="1163"/>
        <v>21978</v>
      </c>
      <c r="EL203" s="1244">
        <f t="shared" si="1164"/>
        <v>0</v>
      </c>
      <c r="EM203" s="1245">
        <f t="shared" si="1214"/>
        <v>21978</v>
      </c>
      <c r="EN203" s="1224"/>
      <c r="EO203" s="1224"/>
      <c r="EP203" s="1224"/>
      <c r="EQ203" s="1198">
        <f t="shared" ref="EQ203:ER207" si="1287">EM203+EO203</f>
        <v>21978</v>
      </c>
      <c r="ER203" s="1199">
        <f t="shared" si="1287"/>
        <v>0</v>
      </c>
      <c r="ES203" s="1351" t="s">
        <v>335</v>
      </c>
      <c r="ET203" s="1465" t="s">
        <v>335</v>
      </c>
      <c r="EU203" s="1176">
        <f t="shared" si="868"/>
        <v>283050</v>
      </c>
      <c r="EV203" s="1177">
        <f t="shared" si="1166"/>
        <v>259162.18</v>
      </c>
      <c r="EW203" s="1177">
        <f t="shared" si="1167"/>
        <v>0</v>
      </c>
      <c r="EX203" s="1177">
        <f t="shared" si="1168"/>
        <v>0</v>
      </c>
      <c r="EY203" s="1177">
        <f t="shared" si="1249"/>
        <v>283050</v>
      </c>
      <c r="EZ203" s="1177">
        <f t="shared" si="1250"/>
        <v>259162.18</v>
      </c>
      <c r="FA203" s="1178">
        <f t="shared" si="1251"/>
        <v>1</v>
      </c>
      <c r="FB203" s="1179">
        <f t="shared" si="1215"/>
        <v>283050</v>
      </c>
      <c r="FC203" s="1180">
        <f t="shared" si="1216"/>
        <v>260729.91</v>
      </c>
      <c r="FD203" s="1180">
        <f t="shared" si="1252"/>
        <v>0</v>
      </c>
      <c r="FE203" s="1180">
        <f t="shared" si="1253"/>
        <v>0</v>
      </c>
      <c r="FF203" s="1180">
        <f t="shared" si="1254"/>
        <v>283050</v>
      </c>
      <c r="FG203" s="1180">
        <f t="shared" si="1255"/>
        <v>260729.91</v>
      </c>
      <c r="FH203" s="1181">
        <f t="shared" si="869"/>
        <v>1.0060492236945993</v>
      </c>
      <c r="FI203" s="1522" t="s">
        <v>335</v>
      </c>
      <c r="FJ203" s="1498"/>
      <c r="FK203" s="1224"/>
      <c r="FL203" s="1236"/>
      <c r="FM203" s="1243">
        <f t="shared" si="1218"/>
        <v>0</v>
      </c>
      <c r="FN203" s="1221"/>
      <c r="FO203" s="1221"/>
      <c r="FP203" s="1221"/>
      <c r="FQ203" s="1221">
        <f t="shared" si="1171"/>
        <v>0</v>
      </c>
      <c r="FR203" s="1244">
        <f t="shared" si="1172"/>
        <v>0</v>
      </c>
      <c r="FS203" s="1245">
        <f t="shared" si="1219"/>
        <v>0</v>
      </c>
      <c r="FT203" s="1224"/>
      <c r="FU203" s="1224"/>
      <c r="FV203" s="1218">
        <v>0</v>
      </c>
      <c r="FW203" s="1198">
        <f t="shared" ref="FW203:FX207" si="1288">FS203+FU203</f>
        <v>0</v>
      </c>
      <c r="FX203" s="1199">
        <f t="shared" si="1288"/>
        <v>0</v>
      </c>
      <c r="FY203" s="1351" t="s">
        <v>335</v>
      </c>
      <c r="FZ203" s="1465" t="s">
        <v>335</v>
      </c>
      <c r="GA203" s="1176">
        <f t="shared" si="1258"/>
        <v>283050</v>
      </c>
      <c r="GB203" s="1177">
        <f t="shared" si="1259"/>
        <v>259162.18</v>
      </c>
      <c r="GC203" s="1177">
        <f t="shared" si="1260"/>
        <v>0</v>
      </c>
      <c r="GD203" s="1177">
        <f t="shared" si="1261"/>
        <v>0</v>
      </c>
      <c r="GE203" s="1177">
        <f t="shared" si="1262"/>
        <v>283050</v>
      </c>
      <c r="GF203" s="1177">
        <f t="shared" si="1263"/>
        <v>259162.18</v>
      </c>
      <c r="GG203" s="1178">
        <f t="shared" si="1176"/>
        <v>1</v>
      </c>
      <c r="GH203" s="1179">
        <f t="shared" si="1264"/>
        <v>283050</v>
      </c>
      <c r="GI203" s="1180">
        <f t="shared" si="1265"/>
        <v>260729.91</v>
      </c>
      <c r="GJ203" s="1180">
        <f t="shared" si="1266"/>
        <v>0</v>
      </c>
      <c r="GK203" s="1180">
        <f t="shared" si="1267"/>
        <v>0</v>
      </c>
      <c r="GL203" s="1180">
        <f t="shared" si="1268"/>
        <v>283050</v>
      </c>
      <c r="GM203" s="1180">
        <f t="shared" si="1269"/>
        <v>260729.91</v>
      </c>
      <c r="GN203" s="1181">
        <f t="shared" si="1022"/>
        <v>1.0060492236945993</v>
      </c>
      <c r="GO203" s="1522" t="s">
        <v>335</v>
      </c>
      <c r="GP203" s="1498"/>
      <c r="GQ203" s="1224"/>
      <c r="GR203" s="1236"/>
      <c r="GS203" s="1243"/>
      <c r="GT203" s="1221"/>
      <c r="GU203" s="1221"/>
      <c r="GV203" s="1221"/>
      <c r="GW203" s="1221">
        <f t="shared" si="1179"/>
        <v>0</v>
      </c>
      <c r="GX203" s="1244">
        <f t="shared" si="1180"/>
        <v>0</v>
      </c>
      <c r="GY203" s="1245"/>
      <c r="GZ203" s="1224"/>
      <c r="HA203" s="1224"/>
      <c r="HB203" s="1218">
        <v>0</v>
      </c>
      <c r="HC203" s="1198">
        <f t="shared" si="1285"/>
        <v>0</v>
      </c>
      <c r="HD203" s="1199">
        <f t="shared" si="1286"/>
        <v>0</v>
      </c>
      <c r="HE203" s="1695" t="s">
        <v>335</v>
      </c>
      <c r="HF203" s="1465" t="s">
        <v>335</v>
      </c>
      <c r="HG203" s="1176">
        <f t="shared" si="1182"/>
        <v>283050</v>
      </c>
      <c r="HH203" s="1177">
        <f t="shared" si="1183"/>
        <v>259162.18</v>
      </c>
      <c r="HI203" s="1177">
        <f t="shared" si="1184"/>
        <v>0</v>
      </c>
      <c r="HJ203" s="1177">
        <f t="shared" si="1185"/>
        <v>0</v>
      </c>
      <c r="HK203" s="1177">
        <f t="shared" si="1186"/>
        <v>283050</v>
      </c>
      <c r="HL203" s="1177">
        <f t="shared" si="1187"/>
        <v>259162.18</v>
      </c>
      <c r="HM203" s="1178">
        <f t="shared" si="1220"/>
        <v>1</v>
      </c>
      <c r="HN203" s="1179">
        <f t="shared" si="1188"/>
        <v>283050</v>
      </c>
      <c r="HO203" s="1180">
        <f t="shared" si="1189"/>
        <v>260729.91</v>
      </c>
      <c r="HP203" s="1180">
        <f t="shared" si="1190"/>
        <v>0</v>
      </c>
      <c r="HQ203" s="1180">
        <f t="shared" si="1191"/>
        <v>0</v>
      </c>
      <c r="HR203" s="1180">
        <f t="shared" si="1192"/>
        <v>283050</v>
      </c>
      <c r="HS203" s="1180">
        <f t="shared" si="1193"/>
        <v>260729.91</v>
      </c>
      <c r="HT203" s="1181">
        <f t="shared" si="1221"/>
        <v>1.0060492236945993</v>
      </c>
      <c r="HU203" s="1522" t="s">
        <v>335</v>
      </c>
    </row>
    <row r="204" spans="1:229" s="1170" customFormat="1" ht="18" hidden="1" customHeight="1" outlineLevel="1" x14ac:dyDescent="0.2">
      <c r="A204" s="3673"/>
      <c r="B204" s="3672"/>
      <c r="C204" s="3698"/>
      <c r="D204" s="1167" t="s">
        <v>418</v>
      </c>
      <c r="E204" s="1528" t="s">
        <v>335</v>
      </c>
      <c r="F204" s="1529" t="s">
        <v>335</v>
      </c>
      <c r="G204" s="1529" t="s">
        <v>335</v>
      </c>
      <c r="H204" s="1529" t="s">
        <v>335</v>
      </c>
      <c r="I204" s="1529" t="s">
        <v>335</v>
      </c>
      <c r="J204" s="1529" t="s">
        <v>335</v>
      </c>
      <c r="K204" s="1529" t="s">
        <v>335</v>
      </c>
      <c r="L204" s="1529" t="s">
        <v>335</v>
      </c>
      <c r="M204" s="1529" t="s">
        <v>335</v>
      </c>
      <c r="N204" s="1530" t="s">
        <v>335</v>
      </c>
      <c r="O204" s="1528" t="s">
        <v>335</v>
      </c>
      <c r="P204" s="1529" t="s">
        <v>335</v>
      </c>
      <c r="Q204" s="1529" t="s">
        <v>335</v>
      </c>
      <c r="R204" s="1203">
        <v>335103.14</v>
      </c>
      <c r="S204" s="1349">
        <f t="shared" si="1194"/>
        <v>335103.14</v>
      </c>
      <c r="T204" s="1350" t="s">
        <v>335</v>
      </c>
      <c r="U204" s="1351" t="s">
        <v>335</v>
      </c>
      <c r="V204" s="1352" t="s">
        <v>335</v>
      </c>
      <c r="W204" s="1344">
        <f>18648*18</f>
        <v>335664</v>
      </c>
      <c r="X204" s="1177">
        <f>81737.05+69867.75+8540+6100+4880+3660+1977.49+1690.92+1220+808.14+89353.2+2161.96+63106.63</f>
        <v>335103.14</v>
      </c>
      <c r="Y204" s="1177"/>
      <c r="Z204" s="1177"/>
      <c r="AA204" s="1177">
        <f t="shared" si="1195"/>
        <v>335664</v>
      </c>
      <c r="AB204" s="1177">
        <f t="shared" si="1196"/>
        <v>335103.14</v>
      </c>
      <c r="AC204" s="1178">
        <f t="shared" si="1197"/>
        <v>1</v>
      </c>
      <c r="AD204" s="1233">
        <f>W204</f>
        <v>335664</v>
      </c>
      <c r="AE204" s="1232">
        <v>335103.14</v>
      </c>
      <c r="AF204" s="1192"/>
      <c r="AG204" s="1189"/>
      <c r="AH204" s="1232">
        <f t="shared" si="1198"/>
        <v>335664</v>
      </c>
      <c r="AI204" s="1189">
        <f t="shared" si="1199"/>
        <v>335103.14</v>
      </c>
      <c r="AJ204" s="1193">
        <f t="shared" si="1200"/>
        <v>1</v>
      </c>
      <c r="AK204" s="1353"/>
      <c r="AL204" s="1245"/>
      <c r="AM204" s="1245"/>
      <c r="AN204" s="1236"/>
      <c r="AO204" s="1243"/>
      <c r="AP204" s="1221"/>
      <c r="AQ204" s="1221"/>
      <c r="AR204" s="1221"/>
      <c r="AS204" s="1221">
        <f t="shared" si="1201"/>
        <v>0</v>
      </c>
      <c r="AT204" s="1282">
        <f t="shared" si="1202"/>
        <v>0</v>
      </c>
      <c r="AU204" s="1245"/>
      <c r="AV204" s="1224"/>
      <c r="AW204" s="1224"/>
      <c r="AX204" s="1224"/>
      <c r="AY204" s="1198">
        <f t="shared" si="1222"/>
        <v>0</v>
      </c>
      <c r="AZ204" s="1199">
        <f t="shared" si="1223"/>
        <v>0</v>
      </c>
      <c r="BA204" s="1262"/>
      <c r="BB204" s="1226"/>
      <c r="BC204" s="1176">
        <f t="shared" si="1228"/>
        <v>335664</v>
      </c>
      <c r="BD204" s="1177">
        <f t="shared" si="1229"/>
        <v>335103.14</v>
      </c>
      <c r="BE204" s="1177">
        <f t="shared" si="1230"/>
        <v>0</v>
      </c>
      <c r="BF204" s="1177">
        <f t="shared" si="1231"/>
        <v>0</v>
      </c>
      <c r="BG204" s="1177">
        <f t="shared" si="1232"/>
        <v>335664</v>
      </c>
      <c r="BH204" s="1177">
        <f t="shared" si="1233"/>
        <v>335103.14</v>
      </c>
      <c r="BI204" s="1178">
        <f t="shared" si="1234"/>
        <v>1</v>
      </c>
      <c r="BJ204" s="1175">
        <f t="shared" si="1235"/>
        <v>335664</v>
      </c>
      <c r="BK204" s="1180">
        <f t="shared" si="1236"/>
        <v>335103.14</v>
      </c>
      <c r="BL204" s="1180">
        <f t="shared" si="1237"/>
        <v>0</v>
      </c>
      <c r="BM204" s="1180">
        <f t="shared" si="1238"/>
        <v>0</v>
      </c>
      <c r="BN204" s="1180">
        <f t="shared" si="1239"/>
        <v>335664</v>
      </c>
      <c r="BO204" s="1180">
        <f t="shared" si="1240"/>
        <v>335103.14</v>
      </c>
      <c r="BP204" s="1227">
        <f t="shared" si="1154"/>
        <v>1</v>
      </c>
      <c r="BQ204" s="1398" t="s">
        <v>335</v>
      </c>
      <c r="BR204" s="1343"/>
      <c r="BS204" s="1224"/>
      <c r="BT204" s="1236"/>
      <c r="BU204" s="1243"/>
      <c r="BV204" s="1221"/>
      <c r="BW204" s="1221"/>
      <c r="BX204" s="1221"/>
      <c r="BY204" s="1221">
        <f t="shared" si="1203"/>
        <v>0</v>
      </c>
      <c r="BZ204" s="1244">
        <f t="shared" si="1204"/>
        <v>0</v>
      </c>
      <c r="CA204" s="1245"/>
      <c r="CB204" s="1224"/>
      <c r="CC204" s="1224"/>
      <c r="CD204" s="1224"/>
      <c r="CE204" s="1198">
        <f t="shared" si="1224"/>
        <v>0</v>
      </c>
      <c r="CF204" s="1199">
        <f t="shared" si="1225"/>
        <v>0</v>
      </c>
      <c r="CG204" s="1351" t="s">
        <v>335</v>
      </c>
      <c r="CH204" s="1352" t="s">
        <v>335</v>
      </c>
      <c r="CI204" s="1213">
        <f t="shared" si="1155"/>
        <v>335664</v>
      </c>
      <c r="CJ204" s="1174">
        <f t="shared" si="1156"/>
        <v>335103.14</v>
      </c>
      <c r="CK204" s="1174">
        <f t="shared" si="1157"/>
        <v>0</v>
      </c>
      <c r="CL204" s="1174">
        <f t="shared" si="1158"/>
        <v>0</v>
      </c>
      <c r="CM204" s="1174">
        <f t="shared" si="1159"/>
        <v>335664</v>
      </c>
      <c r="CN204" s="1174">
        <f t="shared" si="1160"/>
        <v>335103.14</v>
      </c>
      <c r="CO204" s="1260">
        <f t="shared" si="1134"/>
        <v>1</v>
      </c>
      <c r="CP204" s="1321">
        <f t="shared" si="1205"/>
        <v>335664</v>
      </c>
      <c r="CQ204" s="1173">
        <f t="shared" si="1206"/>
        <v>335103.14</v>
      </c>
      <c r="CR204" s="1173">
        <f t="shared" si="1241"/>
        <v>0</v>
      </c>
      <c r="CS204" s="1173">
        <f t="shared" si="1242"/>
        <v>0</v>
      </c>
      <c r="CT204" s="1173">
        <f t="shared" si="1161"/>
        <v>335664</v>
      </c>
      <c r="CU204" s="1173">
        <f t="shared" si="1162"/>
        <v>335103.14</v>
      </c>
      <c r="CV204" s="1181">
        <f t="shared" si="1136"/>
        <v>1</v>
      </c>
      <c r="CW204" s="1522" t="s">
        <v>335</v>
      </c>
      <c r="CX204" s="1343"/>
      <c r="CY204" s="1224"/>
      <c r="CZ204" s="1236"/>
      <c r="DA204" s="1243"/>
      <c r="DB204" s="1221"/>
      <c r="DC204" s="1221"/>
      <c r="DD204" s="1221"/>
      <c r="DE204" s="1221">
        <f t="shared" si="1207"/>
        <v>0</v>
      </c>
      <c r="DF204" s="1244">
        <f t="shared" si="1208"/>
        <v>0</v>
      </c>
      <c r="DG204" s="1245"/>
      <c r="DH204" s="1224"/>
      <c r="DI204" s="1224"/>
      <c r="DJ204" s="1224"/>
      <c r="DK204" s="1198">
        <f t="shared" si="1226"/>
        <v>0</v>
      </c>
      <c r="DL204" s="1199">
        <f t="shared" si="1227"/>
        <v>0</v>
      </c>
      <c r="DM204" s="1351" t="s">
        <v>335</v>
      </c>
      <c r="DN204" s="1352" t="s">
        <v>335</v>
      </c>
      <c r="DO204" s="1213">
        <f t="shared" si="969"/>
        <v>335664</v>
      </c>
      <c r="DP204" s="1174">
        <f t="shared" si="970"/>
        <v>335103.14</v>
      </c>
      <c r="DQ204" s="1174">
        <f t="shared" si="971"/>
        <v>0</v>
      </c>
      <c r="DR204" s="1174">
        <f t="shared" si="972"/>
        <v>0</v>
      </c>
      <c r="DS204" s="1174">
        <f t="shared" si="973"/>
        <v>335664</v>
      </c>
      <c r="DT204" s="1174">
        <f t="shared" si="974"/>
        <v>335103.14</v>
      </c>
      <c r="DU204" s="1260">
        <f t="shared" si="1243"/>
        <v>1</v>
      </c>
      <c r="DV204" s="1321">
        <f t="shared" si="1209"/>
        <v>335664</v>
      </c>
      <c r="DW204" s="1173">
        <f t="shared" si="1210"/>
        <v>335103.14</v>
      </c>
      <c r="DX204" s="1173">
        <f t="shared" si="1244"/>
        <v>0</v>
      </c>
      <c r="DY204" s="1173">
        <f t="shared" si="1245"/>
        <v>0</v>
      </c>
      <c r="DZ204" s="1173">
        <f t="shared" si="1246"/>
        <v>335664</v>
      </c>
      <c r="EA204" s="1173">
        <f t="shared" si="1247"/>
        <v>335103.14</v>
      </c>
      <c r="EB204" s="1181">
        <f t="shared" si="1212"/>
        <v>1</v>
      </c>
      <c r="EC204" s="1523" t="s">
        <v>335</v>
      </c>
      <c r="ED204" s="1498"/>
      <c r="EE204" s="1224"/>
      <c r="EF204" s="1236"/>
      <c r="EG204" s="1243">
        <f t="shared" si="1213"/>
        <v>21978</v>
      </c>
      <c r="EH204" s="1221"/>
      <c r="EI204" s="1221"/>
      <c r="EJ204" s="1221"/>
      <c r="EK204" s="1221">
        <f t="shared" si="1163"/>
        <v>21978</v>
      </c>
      <c r="EL204" s="1244">
        <f t="shared" si="1164"/>
        <v>0</v>
      </c>
      <c r="EM204" s="1245">
        <f t="shared" si="1214"/>
        <v>21978</v>
      </c>
      <c r="EN204" s="1224"/>
      <c r="EO204" s="1224"/>
      <c r="EP204" s="1224"/>
      <c r="EQ204" s="1198">
        <f t="shared" si="1287"/>
        <v>21978</v>
      </c>
      <c r="ER204" s="1199">
        <f t="shared" si="1287"/>
        <v>0</v>
      </c>
      <c r="ES204" s="1351" t="s">
        <v>335</v>
      </c>
      <c r="ET204" s="1465" t="s">
        <v>335</v>
      </c>
      <c r="EU204" s="1176">
        <f t="shared" si="868"/>
        <v>357642</v>
      </c>
      <c r="EV204" s="1177">
        <f t="shared" si="1166"/>
        <v>335103.14</v>
      </c>
      <c r="EW204" s="1177">
        <f t="shared" si="1167"/>
        <v>0</v>
      </c>
      <c r="EX204" s="1177">
        <f t="shared" si="1168"/>
        <v>0</v>
      </c>
      <c r="EY204" s="1177">
        <f t="shared" si="1249"/>
        <v>357642</v>
      </c>
      <c r="EZ204" s="1177">
        <f t="shared" si="1250"/>
        <v>335103.14</v>
      </c>
      <c r="FA204" s="1178">
        <f t="shared" si="1251"/>
        <v>1</v>
      </c>
      <c r="FB204" s="1179">
        <f t="shared" si="1215"/>
        <v>357642</v>
      </c>
      <c r="FC204" s="1180">
        <f t="shared" si="1216"/>
        <v>335103.14</v>
      </c>
      <c r="FD204" s="1180">
        <f t="shared" si="1252"/>
        <v>0</v>
      </c>
      <c r="FE204" s="1180">
        <f t="shared" si="1253"/>
        <v>0</v>
      </c>
      <c r="FF204" s="1180">
        <f t="shared" si="1254"/>
        <v>357642</v>
      </c>
      <c r="FG204" s="1180">
        <f t="shared" si="1255"/>
        <v>335103.14</v>
      </c>
      <c r="FH204" s="1181">
        <f t="shared" si="869"/>
        <v>1</v>
      </c>
      <c r="FI204" s="1522" t="s">
        <v>335</v>
      </c>
      <c r="FJ204" s="1498"/>
      <c r="FK204" s="1224"/>
      <c r="FL204" s="1236"/>
      <c r="FM204" s="1243">
        <f t="shared" si="1218"/>
        <v>0</v>
      </c>
      <c r="FN204" s="1221"/>
      <c r="FO204" s="1221"/>
      <c r="FP204" s="1221"/>
      <c r="FQ204" s="1221">
        <f t="shared" si="1171"/>
        <v>0</v>
      </c>
      <c r="FR204" s="1244">
        <f t="shared" si="1172"/>
        <v>0</v>
      </c>
      <c r="FS204" s="1245">
        <f t="shared" si="1219"/>
        <v>0</v>
      </c>
      <c r="FT204" s="1224"/>
      <c r="FU204" s="1224"/>
      <c r="FV204" s="1218">
        <v>0</v>
      </c>
      <c r="FW204" s="1198">
        <f t="shared" si="1288"/>
        <v>0</v>
      </c>
      <c r="FX204" s="1199">
        <f t="shared" si="1288"/>
        <v>0</v>
      </c>
      <c r="FY204" s="1351" t="s">
        <v>335</v>
      </c>
      <c r="FZ204" s="1465" t="s">
        <v>335</v>
      </c>
      <c r="GA204" s="1176">
        <f t="shared" si="1258"/>
        <v>357642</v>
      </c>
      <c r="GB204" s="1177">
        <f t="shared" si="1259"/>
        <v>335103.14</v>
      </c>
      <c r="GC204" s="1177">
        <f t="shared" si="1260"/>
        <v>0</v>
      </c>
      <c r="GD204" s="1177">
        <f t="shared" si="1261"/>
        <v>0</v>
      </c>
      <c r="GE204" s="1177">
        <f t="shared" si="1262"/>
        <v>357642</v>
      </c>
      <c r="GF204" s="1177">
        <f t="shared" si="1263"/>
        <v>335103.14</v>
      </c>
      <c r="GG204" s="1178">
        <f t="shared" si="1176"/>
        <v>1</v>
      </c>
      <c r="GH204" s="1179">
        <f t="shared" si="1264"/>
        <v>357642</v>
      </c>
      <c r="GI204" s="1180">
        <f t="shared" si="1265"/>
        <v>335103.14</v>
      </c>
      <c r="GJ204" s="1180">
        <f t="shared" si="1266"/>
        <v>0</v>
      </c>
      <c r="GK204" s="1180">
        <f t="shared" si="1267"/>
        <v>0</v>
      </c>
      <c r="GL204" s="1180">
        <f t="shared" si="1268"/>
        <v>357642</v>
      </c>
      <c r="GM204" s="1180">
        <f t="shared" si="1269"/>
        <v>335103.14</v>
      </c>
      <c r="GN204" s="1181">
        <f t="shared" si="1022"/>
        <v>1</v>
      </c>
      <c r="GO204" s="1522" t="s">
        <v>335</v>
      </c>
      <c r="GP204" s="1498"/>
      <c r="GQ204" s="1224"/>
      <c r="GR204" s="1236"/>
      <c r="GS204" s="1243"/>
      <c r="GT204" s="1221"/>
      <c r="GU204" s="1221"/>
      <c r="GV204" s="1221"/>
      <c r="GW204" s="1221">
        <f t="shared" si="1179"/>
        <v>0</v>
      </c>
      <c r="GX204" s="1244">
        <f t="shared" si="1180"/>
        <v>0</v>
      </c>
      <c r="GY204" s="1245"/>
      <c r="GZ204" s="1224"/>
      <c r="HA204" s="1224"/>
      <c r="HB204" s="1218">
        <v>0</v>
      </c>
      <c r="HC204" s="1198">
        <f t="shared" si="1285"/>
        <v>0</v>
      </c>
      <c r="HD204" s="1199">
        <f t="shared" si="1286"/>
        <v>0</v>
      </c>
      <c r="HE204" s="1695" t="s">
        <v>335</v>
      </c>
      <c r="HF204" s="1465" t="s">
        <v>335</v>
      </c>
      <c r="HG204" s="1176">
        <f t="shared" si="1182"/>
        <v>357642</v>
      </c>
      <c r="HH204" s="1177">
        <f t="shared" si="1183"/>
        <v>335103.14</v>
      </c>
      <c r="HI204" s="1177">
        <f t="shared" si="1184"/>
        <v>0</v>
      </c>
      <c r="HJ204" s="1177">
        <f t="shared" si="1185"/>
        <v>0</v>
      </c>
      <c r="HK204" s="1177">
        <f t="shared" si="1186"/>
        <v>357642</v>
      </c>
      <c r="HL204" s="1177">
        <f t="shared" si="1187"/>
        <v>335103.14</v>
      </c>
      <c r="HM204" s="1178">
        <f t="shared" si="1220"/>
        <v>1</v>
      </c>
      <c r="HN204" s="1179">
        <f t="shared" si="1188"/>
        <v>357642</v>
      </c>
      <c r="HO204" s="1180">
        <f t="shared" si="1189"/>
        <v>335103.14</v>
      </c>
      <c r="HP204" s="1180">
        <f t="shared" si="1190"/>
        <v>0</v>
      </c>
      <c r="HQ204" s="1180">
        <f t="shared" si="1191"/>
        <v>0</v>
      </c>
      <c r="HR204" s="1180">
        <f t="shared" si="1192"/>
        <v>357642</v>
      </c>
      <c r="HS204" s="1180">
        <f t="shared" si="1193"/>
        <v>335103.14</v>
      </c>
      <c r="HT204" s="1181">
        <f t="shared" si="1221"/>
        <v>1</v>
      </c>
      <c r="HU204" s="1522" t="s">
        <v>335</v>
      </c>
    </row>
    <row r="205" spans="1:229" s="1170" customFormat="1" ht="18" hidden="1" customHeight="1" outlineLevel="1" x14ac:dyDescent="0.2">
      <c r="A205" s="3673"/>
      <c r="B205" s="3672"/>
      <c r="C205" s="3698"/>
      <c r="D205" s="1167" t="s">
        <v>541</v>
      </c>
      <c r="E205" s="1528" t="s">
        <v>335</v>
      </c>
      <c r="F205" s="1529" t="s">
        <v>335</v>
      </c>
      <c r="G205" s="1529" t="s">
        <v>335</v>
      </c>
      <c r="H205" s="1529" t="s">
        <v>335</v>
      </c>
      <c r="I205" s="1529" t="s">
        <v>335</v>
      </c>
      <c r="J205" s="1529" t="s">
        <v>335</v>
      </c>
      <c r="K205" s="1529" t="s">
        <v>335</v>
      </c>
      <c r="L205" s="1529" t="s">
        <v>335</v>
      </c>
      <c r="M205" s="1529" t="s">
        <v>335</v>
      </c>
      <c r="N205" s="1530" t="s">
        <v>335</v>
      </c>
      <c r="O205" s="1528" t="s">
        <v>335</v>
      </c>
      <c r="P205" s="1529" t="s">
        <v>335</v>
      </c>
      <c r="Q205" s="1529" t="s">
        <v>335</v>
      </c>
      <c r="R205" s="1203">
        <v>125728.63</v>
      </c>
      <c r="S205" s="1349">
        <f t="shared" si="1194"/>
        <v>125728.63</v>
      </c>
      <c r="T205" s="1350" t="s">
        <v>335</v>
      </c>
      <c r="U205" s="1351" t="s">
        <v>335</v>
      </c>
      <c r="V205" s="1352" t="s">
        <v>335</v>
      </c>
      <c r="W205" s="1344">
        <v>0</v>
      </c>
      <c r="X205" s="1177">
        <v>0</v>
      </c>
      <c r="Y205" s="1177">
        <v>0</v>
      </c>
      <c r="Z205" s="1177">
        <v>0</v>
      </c>
      <c r="AA205" s="1177">
        <f>W205+Y205</f>
        <v>0</v>
      </c>
      <c r="AB205" s="1177">
        <f>X205+Z205</f>
        <v>0</v>
      </c>
      <c r="AC205" s="1178">
        <f>AB205/R205</f>
        <v>0</v>
      </c>
      <c r="AD205" s="1233">
        <v>0</v>
      </c>
      <c r="AE205" s="1232">
        <v>0</v>
      </c>
      <c r="AF205" s="1192">
        <v>0</v>
      </c>
      <c r="AG205" s="1189">
        <v>0</v>
      </c>
      <c r="AH205" s="1232">
        <f>AD205+AF205</f>
        <v>0</v>
      </c>
      <c r="AI205" s="1189">
        <f>AE205+AG205</f>
        <v>0</v>
      </c>
      <c r="AJ205" s="1193">
        <f>AI205/S205</f>
        <v>0</v>
      </c>
      <c r="AK205" s="1353"/>
      <c r="AL205" s="1245"/>
      <c r="AM205" s="1245"/>
      <c r="AN205" s="1236"/>
      <c r="AO205" s="1243"/>
      <c r="AP205" s="1221"/>
      <c r="AQ205" s="1221"/>
      <c r="AR205" s="1221"/>
      <c r="AS205" s="1221">
        <f>AO205+AQ205</f>
        <v>0</v>
      </c>
      <c r="AT205" s="1282">
        <f>AP205+AR205</f>
        <v>0</v>
      </c>
      <c r="AU205" s="1245"/>
      <c r="AV205" s="1224"/>
      <c r="AW205" s="1224"/>
      <c r="AX205" s="1224"/>
      <c r="AY205" s="1198">
        <f>AU205+AW205</f>
        <v>0</v>
      </c>
      <c r="AZ205" s="1199">
        <f>AV205+AX205</f>
        <v>0</v>
      </c>
      <c r="BA205" s="1262"/>
      <c r="BB205" s="1226"/>
      <c r="BC205" s="1176">
        <f t="shared" ref="BC205:BH205" si="1289">W205+AO205</f>
        <v>0</v>
      </c>
      <c r="BD205" s="1177">
        <f t="shared" si="1289"/>
        <v>0</v>
      </c>
      <c r="BE205" s="1177">
        <f t="shared" si="1289"/>
        <v>0</v>
      </c>
      <c r="BF205" s="1177">
        <f t="shared" si="1289"/>
        <v>0</v>
      </c>
      <c r="BG205" s="1177">
        <f t="shared" si="1289"/>
        <v>0</v>
      </c>
      <c r="BH205" s="1177">
        <f t="shared" si="1289"/>
        <v>0</v>
      </c>
      <c r="BI205" s="1178">
        <f>BH205/R205</f>
        <v>0</v>
      </c>
      <c r="BJ205" s="1175">
        <f t="shared" ref="BJ205:BO205" si="1290">AD205+AU205</f>
        <v>0</v>
      </c>
      <c r="BK205" s="1180">
        <f t="shared" si="1290"/>
        <v>0</v>
      </c>
      <c r="BL205" s="1180">
        <f t="shared" si="1290"/>
        <v>0</v>
      </c>
      <c r="BM205" s="1180">
        <f t="shared" si="1290"/>
        <v>0</v>
      </c>
      <c r="BN205" s="1180">
        <f t="shared" si="1290"/>
        <v>0</v>
      </c>
      <c r="BO205" s="1180">
        <f t="shared" si="1290"/>
        <v>0</v>
      </c>
      <c r="BP205" s="1227">
        <f>BO205/S205</f>
        <v>0</v>
      </c>
      <c r="BQ205" s="1398" t="s">
        <v>335</v>
      </c>
      <c r="BR205" s="1343"/>
      <c r="BS205" s="1224"/>
      <c r="BT205" s="1236"/>
      <c r="BU205" s="1243"/>
      <c r="BV205" s="1221"/>
      <c r="BW205" s="1221"/>
      <c r="BX205" s="1221"/>
      <c r="BY205" s="1221">
        <f>BU205+BW205</f>
        <v>0</v>
      </c>
      <c r="BZ205" s="1244">
        <f>BV205+BX205</f>
        <v>0</v>
      </c>
      <c r="CA205" s="1245"/>
      <c r="CB205" s="1224"/>
      <c r="CC205" s="1224"/>
      <c r="CD205" s="1224"/>
      <c r="CE205" s="1198">
        <f>CA205+CC205</f>
        <v>0</v>
      </c>
      <c r="CF205" s="1199">
        <f>CB205+CD205</f>
        <v>0</v>
      </c>
      <c r="CG205" s="1351" t="s">
        <v>335</v>
      </c>
      <c r="CH205" s="1352" t="s">
        <v>335</v>
      </c>
      <c r="CI205" s="1213">
        <f t="shared" ref="CI205:CN205" si="1291">BC205+BU205</f>
        <v>0</v>
      </c>
      <c r="CJ205" s="1174">
        <f t="shared" si="1291"/>
        <v>0</v>
      </c>
      <c r="CK205" s="1174">
        <f t="shared" si="1291"/>
        <v>0</v>
      </c>
      <c r="CL205" s="1174">
        <f t="shared" si="1291"/>
        <v>0</v>
      </c>
      <c r="CM205" s="1174">
        <f t="shared" si="1291"/>
        <v>0</v>
      </c>
      <c r="CN205" s="1174">
        <f t="shared" si="1291"/>
        <v>0</v>
      </c>
      <c r="CO205" s="1260">
        <f>CN205/R205</f>
        <v>0</v>
      </c>
      <c r="CP205" s="1321">
        <f t="shared" ref="CP205:CU205" si="1292">BJ205+CA205</f>
        <v>0</v>
      </c>
      <c r="CQ205" s="1173">
        <f t="shared" si="1292"/>
        <v>0</v>
      </c>
      <c r="CR205" s="1173">
        <f t="shared" si="1292"/>
        <v>0</v>
      </c>
      <c r="CS205" s="1173">
        <f t="shared" si="1292"/>
        <v>0</v>
      </c>
      <c r="CT205" s="1173">
        <f t="shared" si="1292"/>
        <v>0</v>
      </c>
      <c r="CU205" s="1173">
        <f t="shared" si="1292"/>
        <v>0</v>
      </c>
      <c r="CV205" s="1181">
        <f>CU205/S205</f>
        <v>0</v>
      </c>
      <c r="CW205" s="1522" t="s">
        <v>335</v>
      </c>
      <c r="CX205" s="1343"/>
      <c r="CY205" s="1224"/>
      <c r="CZ205" s="1236"/>
      <c r="DA205" s="1243"/>
      <c r="DB205" s="1221"/>
      <c r="DC205" s="1221"/>
      <c r="DD205" s="1221"/>
      <c r="DE205" s="1221">
        <f>DA205+DC205</f>
        <v>0</v>
      </c>
      <c r="DF205" s="1244">
        <f>DB205+DD205</f>
        <v>0</v>
      </c>
      <c r="DG205" s="1245"/>
      <c r="DH205" s="1224"/>
      <c r="DI205" s="1224"/>
      <c r="DJ205" s="1224"/>
      <c r="DK205" s="1198">
        <f>DG205+DI205</f>
        <v>0</v>
      </c>
      <c r="DL205" s="1199">
        <f>DH205+DJ205</f>
        <v>0</v>
      </c>
      <c r="DM205" s="1351" t="s">
        <v>335</v>
      </c>
      <c r="DN205" s="1352" t="s">
        <v>335</v>
      </c>
      <c r="DO205" s="1213">
        <f t="shared" ref="DO205:DT205" si="1293">CI205+DA205</f>
        <v>0</v>
      </c>
      <c r="DP205" s="1174">
        <f t="shared" si="1293"/>
        <v>0</v>
      </c>
      <c r="DQ205" s="1174">
        <f t="shared" si="1293"/>
        <v>0</v>
      </c>
      <c r="DR205" s="1174">
        <f t="shared" si="1293"/>
        <v>0</v>
      </c>
      <c r="DS205" s="1174">
        <f t="shared" si="1293"/>
        <v>0</v>
      </c>
      <c r="DT205" s="1174">
        <f t="shared" si="1293"/>
        <v>0</v>
      </c>
      <c r="DU205" s="1260">
        <f>DT205/R205</f>
        <v>0</v>
      </c>
      <c r="DV205" s="1321">
        <f t="shared" ref="DV205:EA205" si="1294">CP205+DG205</f>
        <v>0</v>
      </c>
      <c r="DW205" s="1173">
        <f t="shared" si="1294"/>
        <v>0</v>
      </c>
      <c r="DX205" s="1173">
        <f t="shared" si="1294"/>
        <v>0</v>
      </c>
      <c r="DY205" s="1173">
        <f t="shared" si="1294"/>
        <v>0</v>
      </c>
      <c r="DZ205" s="1173">
        <f t="shared" si="1294"/>
        <v>0</v>
      </c>
      <c r="EA205" s="1173">
        <f t="shared" si="1294"/>
        <v>0</v>
      </c>
      <c r="EB205" s="1181">
        <f>EA205/S205</f>
        <v>0</v>
      </c>
      <c r="EC205" s="1523" t="s">
        <v>335</v>
      </c>
      <c r="ED205" s="1498"/>
      <c r="EE205" s="1224"/>
      <c r="EF205" s="1236"/>
      <c r="EG205" s="1243"/>
      <c r="EH205" s="1221"/>
      <c r="EI205" s="1221"/>
      <c r="EJ205" s="1221"/>
      <c r="EK205" s="1221">
        <f>EG205+EI205</f>
        <v>0</v>
      </c>
      <c r="EL205" s="1244">
        <f>EH205+EJ205</f>
        <v>0</v>
      </c>
      <c r="EM205" s="1245"/>
      <c r="EN205" s="1224"/>
      <c r="EO205" s="1224"/>
      <c r="EP205" s="1224"/>
      <c r="EQ205" s="1198">
        <f>EM205+EO205</f>
        <v>0</v>
      </c>
      <c r="ER205" s="1199">
        <f>EN205+EP205</f>
        <v>0</v>
      </c>
      <c r="ES205" s="1351" t="s">
        <v>335</v>
      </c>
      <c r="ET205" s="1465" t="s">
        <v>335</v>
      </c>
      <c r="EU205" s="1176">
        <f t="shared" ref="EU205:EZ205" si="1295">EG205+DO205</f>
        <v>0</v>
      </c>
      <c r="EV205" s="1177">
        <f t="shared" si="1295"/>
        <v>0</v>
      </c>
      <c r="EW205" s="1177">
        <f t="shared" si="1295"/>
        <v>0</v>
      </c>
      <c r="EX205" s="1177">
        <f t="shared" si="1295"/>
        <v>0</v>
      </c>
      <c r="EY205" s="1177">
        <f t="shared" si="1295"/>
        <v>0</v>
      </c>
      <c r="EZ205" s="1177">
        <f t="shared" si="1295"/>
        <v>0</v>
      </c>
      <c r="FA205" s="1178">
        <f>EZ205/R205</f>
        <v>0</v>
      </c>
      <c r="FB205" s="1179">
        <f t="shared" ref="FB205:FG205" si="1296">DV205+EM205</f>
        <v>0</v>
      </c>
      <c r="FC205" s="1180">
        <f t="shared" si="1296"/>
        <v>0</v>
      </c>
      <c r="FD205" s="1180">
        <f t="shared" si="1296"/>
        <v>0</v>
      </c>
      <c r="FE205" s="1180">
        <f t="shared" si="1296"/>
        <v>0</v>
      </c>
      <c r="FF205" s="1180">
        <f t="shared" si="1296"/>
        <v>0</v>
      </c>
      <c r="FG205" s="1180">
        <f t="shared" si="1296"/>
        <v>0</v>
      </c>
      <c r="FH205" s="1181">
        <f>FG205/S205</f>
        <v>0</v>
      </c>
      <c r="FI205" s="1522" t="s">
        <v>335</v>
      </c>
      <c r="FJ205" s="1498"/>
      <c r="FK205" s="1224"/>
      <c r="FL205" s="1236"/>
      <c r="FM205" s="1243"/>
      <c r="FN205" s="1221"/>
      <c r="FO205" s="1221"/>
      <c r="FP205" s="1221"/>
      <c r="FQ205" s="1221">
        <f>FM205+FO205</f>
        <v>0</v>
      </c>
      <c r="FR205" s="1244">
        <f>FN205+FP205</f>
        <v>0</v>
      </c>
      <c r="FS205" s="1245"/>
      <c r="FT205" s="1224"/>
      <c r="FU205" s="1224"/>
      <c r="FV205" s="1218"/>
      <c r="FW205" s="1198">
        <f>FS205+FU205</f>
        <v>0</v>
      </c>
      <c r="FX205" s="1199">
        <f>FT205+FV205</f>
        <v>0</v>
      </c>
      <c r="FY205" s="1351" t="s">
        <v>335</v>
      </c>
      <c r="FZ205" s="1465" t="s">
        <v>335</v>
      </c>
      <c r="GA205" s="1176">
        <f t="shared" ref="GA205:GF205" si="1297">FM205+EU205</f>
        <v>0</v>
      </c>
      <c r="GB205" s="1177">
        <f t="shared" si="1297"/>
        <v>0</v>
      </c>
      <c r="GC205" s="1177">
        <f t="shared" si="1297"/>
        <v>0</v>
      </c>
      <c r="GD205" s="1177">
        <f t="shared" si="1297"/>
        <v>0</v>
      </c>
      <c r="GE205" s="1177">
        <f t="shared" si="1297"/>
        <v>0</v>
      </c>
      <c r="GF205" s="1177">
        <f t="shared" si="1297"/>
        <v>0</v>
      </c>
      <c r="GG205" s="1178">
        <f>GF205/R205</f>
        <v>0</v>
      </c>
      <c r="GH205" s="1179">
        <f t="shared" ref="GH205:GM205" si="1298">FB205+FS205</f>
        <v>0</v>
      </c>
      <c r="GI205" s="1180">
        <f t="shared" si="1298"/>
        <v>0</v>
      </c>
      <c r="GJ205" s="1180">
        <f t="shared" si="1298"/>
        <v>0</v>
      </c>
      <c r="GK205" s="1180">
        <f t="shared" si="1298"/>
        <v>0</v>
      </c>
      <c r="GL205" s="1180">
        <f t="shared" si="1298"/>
        <v>0</v>
      </c>
      <c r="GM205" s="1180">
        <f t="shared" si="1298"/>
        <v>0</v>
      </c>
      <c r="GN205" s="1181">
        <f>GM205/S205</f>
        <v>0</v>
      </c>
      <c r="GO205" s="1522" t="s">
        <v>335</v>
      </c>
      <c r="GP205" s="1498"/>
      <c r="GQ205" s="1224"/>
      <c r="GR205" s="1236"/>
      <c r="GS205" s="1243"/>
      <c r="GT205" s="1221"/>
      <c r="GU205" s="1221"/>
      <c r="GV205" s="1221"/>
      <c r="GW205" s="1221">
        <f>GS205+GU205</f>
        <v>0</v>
      </c>
      <c r="GX205" s="1244">
        <f>GT205+GV205</f>
        <v>0</v>
      </c>
      <c r="GY205" s="1245"/>
      <c r="GZ205" s="1224">
        <v>125728.63</v>
      </c>
      <c r="HA205" s="1224"/>
      <c r="HB205" s="1218"/>
      <c r="HC205" s="1198">
        <f>GY205+HA205</f>
        <v>0</v>
      </c>
      <c r="HD205" s="1199">
        <f>GZ205+HB205</f>
        <v>125728.63</v>
      </c>
      <c r="HE205" s="1695" t="s">
        <v>335</v>
      </c>
      <c r="HF205" s="1465" t="s">
        <v>335</v>
      </c>
      <c r="HG205" s="1176">
        <f t="shared" ref="HG205:HL205" si="1299">GS205+GA205</f>
        <v>0</v>
      </c>
      <c r="HH205" s="1177">
        <f t="shared" si="1299"/>
        <v>0</v>
      </c>
      <c r="HI205" s="1177">
        <f t="shared" si="1299"/>
        <v>0</v>
      </c>
      <c r="HJ205" s="1177">
        <f t="shared" si="1299"/>
        <v>0</v>
      </c>
      <c r="HK205" s="1177">
        <f t="shared" si="1299"/>
        <v>0</v>
      </c>
      <c r="HL205" s="1177">
        <f t="shared" si="1299"/>
        <v>0</v>
      </c>
      <c r="HM205" s="1178">
        <f>HL205/R205</f>
        <v>0</v>
      </c>
      <c r="HN205" s="1179">
        <f t="shared" ref="HN205:HS205" si="1300">GH205+GY205</f>
        <v>0</v>
      </c>
      <c r="HO205" s="1180">
        <f t="shared" si="1300"/>
        <v>125728.63</v>
      </c>
      <c r="HP205" s="1180">
        <f t="shared" si="1300"/>
        <v>0</v>
      </c>
      <c r="HQ205" s="1180">
        <f t="shared" si="1300"/>
        <v>0</v>
      </c>
      <c r="HR205" s="1180">
        <f t="shared" si="1300"/>
        <v>0</v>
      </c>
      <c r="HS205" s="1180">
        <f t="shared" si="1300"/>
        <v>125728.63</v>
      </c>
      <c r="HT205" s="1181">
        <f>HS205/S205</f>
        <v>1</v>
      </c>
      <c r="HU205" s="1522" t="s">
        <v>335</v>
      </c>
    </row>
    <row r="206" spans="1:229" s="1170" customFormat="1" ht="18" hidden="1" customHeight="1" outlineLevel="1" x14ac:dyDescent="0.2">
      <c r="A206" s="3673"/>
      <c r="B206" s="3672"/>
      <c r="C206" s="3698"/>
      <c r="D206" s="1167" t="s">
        <v>345</v>
      </c>
      <c r="E206" s="1528" t="s">
        <v>335</v>
      </c>
      <c r="F206" s="1529" t="s">
        <v>335</v>
      </c>
      <c r="G206" s="1529" t="s">
        <v>335</v>
      </c>
      <c r="H206" s="1529" t="s">
        <v>335</v>
      </c>
      <c r="I206" s="1529" t="s">
        <v>335</v>
      </c>
      <c r="J206" s="1529" t="s">
        <v>335</v>
      </c>
      <c r="K206" s="1529" t="s">
        <v>335</v>
      </c>
      <c r="L206" s="1529" t="s">
        <v>335</v>
      </c>
      <c r="M206" s="1529" t="s">
        <v>335</v>
      </c>
      <c r="N206" s="1530" t="s">
        <v>335</v>
      </c>
      <c r="O206" s="1528" t="s">
        <v>335</v>
      </c>
      <c r="P206" s="1529" t="s">
        <v>335</v>
      </c>
      <c r="Q206" s="1529" t="s">
        <v>335</v>
      </c>
      <c r="R206" s="1203">
        <v>325296.51</v>
      </c>
      <c r="S206" s="1349">
        <f t="shared" si="1194"/>
        <v>325296.51</v>
      </c>
      <c r="T206" s="1350" t="s">
        <v>335</v>
      </c>
      <c r="U206" s="1351" t="s">
        <v>335</v>
      </c>
      <c r="V206" s="1352" t="s">
        <v>335</v>
      </c>
      <c r="W206" s="1344">
        <f>18648*13</f>
        <v>242424</v>
      </c>
      <c r="X206" s="1177">
        <f>120960+114991.8+3623.4+2440</f>
        <v>242015.19999999998</v>
      </c>
      <c r="Y206" s="1177"/>
      <c r="Z206" s="1177"/>
      <c r="AA206" s="1177">
        <f t="shared" si="1195"/>
        <v>242424</v>
      </c>
      <c r="AB206" s="1177">
        <f t="shared" si="1196"/>
        <v>242015.19999999998</v>
      </c>
      <c r="AC206" s="1178">
        <f t="shared" si="1197"/>
        <v>0.74398338918545415</v>
      </c>
      <c r="AD206" s="1233">
        <f>W206*1.5</f>
        <v>363636</v>
      </c>
      <c r="AE206" s="1232">
        <v>325296.51</v>
      </c>
      <c r="AF206" s="1192"/>
      <c r="AG206" s="1189"/>
      <c r="AH206" s="1232">
        <f t="shared" si="1198"/>
        <v>363636</v>
      </c>
      <c r="AI206" s="1189">
        <f t="shared" si="1199"/>
        <v>325296.51</v>
      </c>
      <c r="AJ206" s="1193">
        <f t="shared" si="1200"/>
        <v>1</v>
      </c>
      <c r="AK206" s="1353"/>
      <c r="AL206" s="1245"/>
      <c r="AM206" s="1245"/>
      <c r="AN206" s="1236"/>
      <c r="AO206" s="1243"/>
      <c r="AP206" s="1221"/>
      <c r="AQ206" s="1221"/>
      <c r="AR206" s="1221"/>
      <c r="AS206" s="1221">
        <f t="shared" si="1201"/>
        <v>0</v>
      </c>
      <c r="AT206" s="1282">
        <f t="shared" si="1202"/>
        <v>0</v>
      </c>
      <c r="AU206" s="1245"/>
      <c r="AV206" s="1224"/>
      <c r="AW206" s="1224"/>
      <c r="AX206" s="1224"/>
      <c r="AY206" s="1198">
        <f t="shared" si="1222"/>
        <v>0</v>
      </c>
      <c r="AZ206" s="1199">
        <f t="shared" si="1223"/>
        <v>0</v>
      </c>
      <c r="BA206" s="1262"/>
      <c r="BB206" s="1226"/>
      <c r="BC206" s="1176">
        <f t="shared" si="1228"/>
        <v>242424</v>
      </c>
      <c r="BD206" s="1177">
        <f t="shared" si="1229"/>
        <v>242015.19999999998</v>
      </c>
      <c r="BE206" s="1177">
        <f t="shared" si="1230"/>
        <v>0</v>
      </c>
      <c r="BF206" s="1177">
        <f t="shared" si="1231"/>
        <v>0</v>
      </c>
      <c r="BG206" s="1177">
        <f t="shared" si="1232"/>
        <v>242424</v>
      </c>
      <c r="BH206" s="1177">
        <f t="shared" si="1233"/>
        <v>242015.19999999998</v>
      </c>
      <c r="BI206" s="1178">
        <f t="shared" si="1234"/>
        <v>0.74398338918545415</v>
      </c>
      <c r="BJ206" s="1175">
        <f t="shared" si="1235"/>
        <v>363636</v>
      </c>
      <c r="BK206" s="1180">
        <f t="shared" si="1236"/>
        <v>325296.51</v>
      </c>
      <c r="BL206" s="1180">
        <f t="shared" si="1237"/>
        <v>0</v>
      </c>
      <c r="BM206" s="1180">
        <f t="shared" si="1238"/>
        <v>0</v>
      </c>
      <c r="BN206" s="1180">
        <f t="shared" si="1239"/>
        <v>363636</v>
      </c>
      <c r="BO206" s="1180">
        <f t="shared" si="1240"/>
        <v>325296.51</v>
      </c>
      <c r="BP206" s="1227">
        <f t="shared" si="1154"/>
        <v>1</v>
      </c>
      <c r="BQ206" s="1398" t="s">
        <v>335</v>
      </c>
      <c r="BR206" s="1343"/>
      <c r="BS206" s="1224"/>
      <c r="BT206" s="1236"/>
      <c r="BU206" s="1243"/>
      <c r="BV206" s="1221"/>
      <c r="BW206" s="1221"/>
      <c r="BX206" s="1221"/>
      <c r="BY206" s="1221">
        <f t="shared" si="1203"/>
        <v>0</v>
      </c>
      <c r="BZ206" s="1244">
        <f t="shared" si="1204"/>
        <v>0</v>
      </c>
      <c r="CA206" s="1245"/>
      <c r="CB206" s="1224"/>
      <c r="CC206" s="1224"/>
      <c r="CD206" s="1224"/>
      <c r="CE206" s="1198">
        <f t="shared" si="1224"/>
        <v>0</v>
      </c>
      <c r="CF206" s="1199">
        <f t="shared" si="1225"/>
        <v>0</v>
      </c>
      <c r="CG206" s="1351" t="s">
        <v>335</v>
      </c>
      <c r="CH206" s="1352" t="s">
        <v>335</v>
      </c>
      <c r="CI206" s="1213">
        <f t="shared" si="1155"/>
        <v>242424</v>
      </c>
      <c r="CJ206" s="1174">
        <f t="shared" si="1156"/>
        <v>242015.19999999998</v>
      </c>
      <c r="CK206" s="1174">
        <f t="shared" si="1157"/>
        <v>0</v>
      </c>
      <c r="CL206" s="1174">
        <f t="shared" si="1158"/>
        <v>0</v>
      </c>
      <c r="CM206" s="1174">
        <f t="shared" si="1159"/>
        <v>242424</v>
      </c>
      <c r="CN206" s="1174">
        <f t="shared" si="1160"/>
        <v>242015.19999999998</v>
      </c>
      <c r="CO206" s="1260">
        <f t="shared" si="1134"/>
        <v>0.74398338918545415</v>
      </c>
      <c r="CP206" s="1321">
        <f t="shared" si="1205"/>
        <v>363636</v>
      </c>
      <c r="CQ206" s="1173">
        <f t="shared" si="1206"/>
        <v>325296.51</v>
      </c>
      <c r="CR206" s="1173">
        <f t="shared" si="1241"/>
        <v>0</v>
      </c>
      <c r="CS206" s="1173">
        <f t="shared" si="1242"/>
        <v>0</v>
      </c>
      <c r="CT206" s="1173">
        <f t="shared" si="1161"/>
        <v>363636</v>
      </c>
      <c r="CU206" s="1173">
        <f t="shared" si="1162"/>
        <v>325296.51</v>
      </c>
      <c r="CV206" s="1181">
        <f t="shared" si="1136"/>
        <v>1</v>
      </c>
      <c r="CW206" s="1522" t="s">
        <v>335</v>
      </c>
      <c r="CX206" s="1343"/>
      <c r="CY206" s="1224"/>
      <c r="CZ206" s="1236"/>
      <c r="DA206" s="1243"/>
      <c r="DB206" s="1221"/>
      <c r="DC206" s="1221"/>
      <c r="DD206" s="1221"/>
      <c r="DE206" s="1221">
        <f t="shared" si="1207"/>
        <v>0</v>
      </c>
      <c r="DF206" s="1244">
        <f t="shared" si="1208"/>
        <v>0</v>
      </c>
      <c r="DG206" s="1245"/>
      <c r="DH206" s="1224"/>
      <c r="DI206" s="1224"/>
      <c r="DJ206" s="1224"/>
      <c r="DK206" s="1198">
        <f t="shared" si="1226"/>
        <v>0</v>
      </c>
      <c r="DL206" s="1199">
        <f t="shared" si="1227"/>
        <v>0</v>
      </c>
      <c r="DM206" s="1351" t="s">
        <v>335</v>
      </c>
      <c r="DN206" s="1352" t="s">
        <v>335</v>
      </c>
      <c r="DO206" s="1213">
        <f t="shared" si="969"/>
        <v>242424</v>
      </c>
      <c r="DP206" s="1174">
        <f t="shared" si="970"/>
        <v>242015.19999999998</v>
      </c>
      <c r="DQ206" s="1174">
        <f t="shared" si="971"/>
        <v>0</v>
      </c>
      <c r="DR206" s="1174">
        <f t="shared" si="972"/>
        <v>0</v>
      </c>
      <c r="DS206" s="1174">
        <f t="shared" si="973"/>
        <v>242424</v>
      </c>
      <c r="DT206" s="1174">
        <f t="shared" si="974"/>
        <v>242015.19999999998</v>
      </c>
      <c r="DU206" s="1260">
        <f t="shared" si="1243"/>
        <v>0.74398338918545415</v>
      </c>
      <c r="DV206" s="1321">
        <f t="shared" si="1209"/>
        <v>363636</v>
      </c>
      <c r="DW206" s="1173">
        <f t="shared" si="1210"/>
        <v>325296.51</v>
      </c>
      <c r="DX206" s="1173">
        <f t="shared" si="1244"/>
        <v>0</v>
      </c>
      <c r="DY206" s="1173">
        <f t="shared" si="1245"/>
        <v>0</v>
      </c>
      <c r="DZ206" s="1173">
        <f t="shared" si="1246"/>
        <v>363636</v>
      </c>
      <c r="EA206" s="1173">
        <f t="shared" si="1247"/>
        <v>325296.51</v>
      </c>
      <c r="EB206" s="1181">
        <f t="shared" si="1212"/>
        <v>1</v>
      </c>
      <c r="EC206" s="1523" t="s">
        <v>335</v>
      </c>
      <c r="ED206" s="1498"/>
      <c r="EE206" s="1224"/>
      <c r="EF206" s="1236"/>
      <c r="EG206" s="1243">
        <f t="shared" si="1213"/>
        <v>21978</v>
      </c>
      <c r="EH206" s="1221"/>
      <c r="EI206" s="1221"/>
      <c r="EJ206" s="1221"/>
      <c r="EK206" s="1221">
        <f t="shared" si="1163"/>
        <v>21978</v>
      </c>
      <c r="EL206" s="1244">
        <f t="shared" si="1164"/>
        <v>0</v>
      </c>
      <c r="EM206" s="1245">
        <f t="shared" si="1214"/>
        <v>21978</v>
      </c>
      <c r="EN206" s="1224"/>
      <c r="EO206" s="1224"/>
      <c r="EP206" s="1224"/>
      <c r="EQ206" s="1198">
        <f t="shared" si="1287"/>
        <v>21978</v>
      </c>
      <c r="ER206" s="1199">
        <f t="shared" si="1287"/>
        <v>0</v>
      </c>
      <c r="ES206" s="1351" t="s">
        <v>335</v>
      </c>
      <c r="ET206" s="1465" t="s">
        <v>335</v>
      </c>
      <c r="EU206" s="1176">
        <f t="shared" si="868"/>
        <v>264402</v>
      </c>
      <c r="EV206" s="1177">
        <f t="shared" si="1166"/>
        <v>242015.19999999998</v>
      </c>
      <c r="EW206" s="1177">
        <f t="shared" si="1167"/>
        <v>0</v>
      </c>
      <c r="EX206" s="1177">
        <f t="shared" si="1168"/>
        <v>0</v>
      </c>
      <c r="EY206" s="1177">
        <f t="shared" si="1249"/>
        <v>264402</v>
      </c>
      <c r="EZ206" s="1177">
        <f t="shared" si="1250"/>
        <v>242015.19999999998</v>
      </c>
      <c r="FA206" s="1178">
        <f t="shared" si="1251"/>
        <v>0.74398338918545415</v>
      </c>
      <c r="FB206" s="1179">
        <f t="shared" si="1215"/>
        <v>385614</v>
      </c>
      <c r="FC206" s="1180">
        <f t="shared" si="1216"/>
        <v>325296.51</v>
      </c>
      <c r="FD206" s="1180">
        <f t="shared" si="1252"/>
        <v>0</v>
      </c>
      <c r="FE206" s="1180">
        <f t="shared" si="1253"/>
        <v>0</v>
      </c>
      <c r="FF206" s="1180">
        <f t="shared" si="1254"/>
        <v>385614</v>
      </c>
      <c r="FG206" s="1180">
        <f t="shared" si="1255"/>
        <v>325296.51</v>
      </c>
      <c r="FH206" s="1181">
        <f t="shared" si="869"/>
        <v>1</v>
      </c>
      <c r="FI206" s="1522" t="s">
        <v>335</v>
      </c>
      <c r="FJ206" s="1498"/>
      <c r="FK206" s="1224"/>
      <c r="FL206" s="1236"/>
      <c r="FM206" s="1243">
        <f t="shared" si="1218"/>
        <v>0</v>
      </c>
      <c r="FN206" s="1221"/>
      <c r="FO206" s="1221"/>
      <c r="FP206" s="1221"/>
      <c r="FQ206" s="1221">
        <f t="shared" si="1171"/>
        <v>0</v>
      </c>
      <c r="FR206" s="1244">
        <f t="shared" si="1172"/>
        <v>0</v>
      </c>
      <c r="FS206" s="1245">
        <f t="shared" si="1219"/>
        <v>0</v>
      </c>
      <c r="FT206" s="1224"/>
      <c r="FU206" s="1224"/>
      <c r="FV206" s="1218">
        <v>0</v>
      </c>
      <c r="FW206" s="1198">
        <f t="shared" si="1288"/>
        <v>0</v>
      </c>
      <c r="FX206" s="1199">
        <f t="shared" si="1288"/>
        <v>0</v>
      </c>
      <c r="FY206" s="1351" t="s">
        <v>335</v>
      </c>
      <c r="FZ206" s="1465" t="s">
        <v>335</v>
      </c>
      <c r="GA206" s="1176">
        <f t="shared" si="1258"/>
        <v>264402</v>
      </c>
      <c r="GB206" s="1177">
        <f t="shared" si="1259"/>
        <v>242015.19999999998</v>
      </c>
      <c r="GC206" s="1177">
        <f t="shared" si="1260"/>
        <v>0</v>
      </c>
      <c r="GD206" s="1177">
        <f t="shared" si="1261"/>
        <v>0</v>
      </c>
      <c r="GE206" s="1177">
        <f t="shared" si="1262"/>
        <v>264402</v>
      </c>
      <c r="GF206" s="1177">
        <f t="shared" si="1263"/>
        <v>242015.19999999998</v>
      </c>
      <c r="GG206" s="1178">
        <f t="shared" si="1176"/>
        <v>0.74398338918545415</v>
      </c>
      <c r="GH206" s="1179">
        <f t="shared" si="1264"/>
        <v>385614</v>
      </c>
      <c r="GI206" s="1180">
        <f t="shared" si="1265"/>
        <v>325296.51</v>
      </c>
      <c r="GJ206" s="1180">
        <f t="shared" si="1266"/>
        <v>0</v>
      </c>
      <c r="GK206" s="1180">
        <f t="shared" si="1267"/>
        <v>0</v>
      </c>
      <c r="GL206" s="1180">
        <f t="shared" si="1268"/>
        <v>385614</v>
      </c>
      <c r="GM206" s="1180">
        <f t="shared" si="1269"/>
        <v>325296.51</v>
      </c>
      <c r="GN206" s="1181">
        <f t="shared" si="1022"/>
        <v>1</v>
      </c>
      <c r="GO206" s="1522" t="s">
        <v>335</v>
      </c>
      <c r="GP206" s="1498"/>
      <c r="GQ206" s="1224"/>
      <c r="GR206" s="1236"/>
      <c r="GS206" s="1243"/>
      <c r="GT206" s="1221"/>
      <c r="GU206" s="1221"/>
      <c r="GV206" s="1221"/>
      <c r="GW206" s="1221">
        <f t="shared" si="1179"/>
        <v>0</v>
      </c>
      <c r="GX206" s="1244">
        <f t="shared" si="1180"/>
        <v>0</v>
      </c>
      <c r="GY206" s="1245"/>
      <c r="GZ206" s="1224"/>
      <c r="HA206" s="1224"/>
      <c r="HB206" s="1218">
        <v>0</v>
      </c>
      <c r="HC206" s="1198">
        <f t="shared" si="1285"/>
        <v>0</v>
      </c>
      <c r="HD206" s="1199">
        <f t="shared" si="1286"/>
        <v>0</v>
      </c>
      <c r="HE206" s="1695" t="s">
        <v>335</v>
      </c>
      <c r="HF206" s="1465" t="s">
        <v>335</v>
      </c>
      <c r="HG206" s="1176">
        <f t="shared" si="1182"/>
        <v>264402</v>
      </c>
      <c r="HH206" s="1177">
        <f t="shared" si="1183"/>
        <v>242015.19999999998</v>
      </c>
      <c r="HI206" s="1177">
        <f t="shared" si="1184"/>
        <v>0</v>
      </c>
      <c r="HJ206" s="1177">
        <f t="shared" si="1185"/>
        <v>0</v>
      </c>
      <c r="HK206" s="1177">
        <f t="shared" si="1186"/>
        <v>264402</v>
      </c>
      <c r="HL206" s="1177">
        <f t="shared" si="1187"/>
        <v>242015.19999999998</v>
      </c>
      <c r="HM206" s="1178">
        <f t="shared" si="1220"/>
        <v>0.74398338918545415</v>
      </c>
      <c r="HN206" s="1179">
        <f t="shared" si="1188"/>
        <v>385614</v>
      </c>
      <c r="HO206" s="1180">
        <f t="shared" si="1189"/>
        <v>325296.51</v>
      </c>
      <c r="HP206" s="1180">
        <f t="shared" si="1190"/>
        <v>0</v>
      </c>
      <c r="HQ206" s="1180">
        <f t="shared" si="1191"/>
        <v>0</v>
      </c>
      <c r="HR206" s="1180">
        <f t="shared" si="1192"/>
        <v>385614</v>
      </c>
      <c r="HS206" s="1180">
        <f t="shared" si="1193"/>
        <v>325296.51</v>
      </c>
      <c r="HT206" s="1181">
        <f t="shared" si="1221"/>
        <v>1</v>
      </c>
      <c r="HU206" s="1522" t="s">
        <v>335</v>
      </c>
    </row>
    <row r="207" spans="1:229" s="1170" customFormat="1" ht="18" hidden="1" customHeight="1" outlineLevel="1" x14ac:dyDescent="0.2">
      <c r="A207" s="3673"/>
      <c r="B207" s="3672"/>
      <c r="C207" s="3698"/>
      <c r="D207" s="1531" t="s">
        <v>346</v>
      </c>
      <c r="E207" s="1532" t="s">
        <v>335</v>
      </c>
      <c r="F207" s="1533" t="s">
        <v>335</v>
      </c>
      <c r="G207" s="1533" t="s">
        <v>335</v>
      </c>
      <c r="H207" s="1533" t="s">
        <v>335</v>
      </c>
      <c r="I207" s="1533" t="s">
        <v>335</v>
      </c>
      <c r="J207" s="1533" t="s">
        <v>335</v>
      </c>
      <c r="K207" s="1533" t="s">
        <v>335</v>
      </c>
      <c r="L207" s="1533" t="s">
        <v>335</v>
      </c>
      <c r="M207" s="1533" t="s">
        <v>335</v>
      </c>
      <c r="N207" s="1534" t="s">
        <v>335</v>
      </c>
      <c r="O207" s="1535" t="s">
        <v>335</v>
      </c>
      <c r="P207" s="1533" t="s">
        <v>335</v>
      </c>
      <c r="Q207" s="1533" t="s">
        <v>335</v>
      </c>
      <c r="R207" s="1251">
        <v>129135.67999999999</v>
      </c>
      <c r="S207" s="1379">
        <f t="shared" si="1194"/>
        <v>129135.67999999999</v>
      </c>
      <c r="T207" s="1350" t="s">
        <v>335</v>
      </c>
      <c r="U207" s="1351" t="s">
        <v>335</v>
      </c>
      <c r="V207" s="1352" t="s">
        <v>335</v>
      </c>
      <c r="W207" s="1344">
        <f>18648*7</f>
        <v>130536</v>
      </c>
      <c r="X207" s="1315">
        <v>129135.67999999999</v>
      </c>
      <c r="Y207" s="1315"/>
      <c r="Z207" s="1315"/>
      <c r="AA207" s="1177">
        <f t="shared" si="1195"/>
        <v>130536</v>
      </c>
      <c r="AB207" s="1177">
        <f t="shared" si="1196"/>
        <v>129135.67999999999</v>
      </c>
      <c r="AC207" s="1178">
        <f t="shared" si="1197"/>
        <v>1</v>
      </c>
      <c r="AD207" s="1233">
        <f>W207</f>
        <v>130536</v>
      </c>
      <c r="AE207" s="1382">
        <v>129135.67999999999</v>
      </c>
      <c r="AF207" s="1192"/>
      <c r="AG207" s="1189"/>
      <c r="AH207" s="1232">
        <f t="shared" si="1198"/>
        <v>130536</v>
      </c>
      <c r="AI207" s="1189">
        <f t="shared" si="1199"/>
        <v>129135.67999999999</v>
      </c>
      <c r="AJ207" s="1193">
        <f t="shared" si="1200"/>
        <v>1</v>
      </c>
      <c r="AK207" s="1383"/>
      <c r="AL207" s="1312"/>
      <c r="AM207" s="1312"/>
      <c r="AN207" s="1309"/>
      <c r="AO207" s="1310"/>
      <c r="AP207" s="1311"/>
      <c r="AQ207" s="1311"/>
      <c r="AR207" s="1311"/>
      <c r="AS207" s="1221">
        <f t="shared" si="1201"/>
        <v>0</v>
      </c>
      <c r="AT207" s="1282">
        <f t="shared" si="1202"/>
        <v>0</v>
      </c>
      <c r="AU207" s="1312"/>
      <c r="AV207" s="1308"/>
      <c r="AW207" s="1308"/>
      <c r="AX207" s="1308"/>
      <c r="AY207" s="1198">
        <f t="shared" si="1222"/>
        <v>0</v>
      </c>
      <c r="AZ207" s="1199">
        <f t="shared" si="1223"/>
        <v>0</v>
      </c>
      <c r="BA207" s="1384"/>
      <c r="BB207" s="1314"/>
      <c r="BC207" s="1176">
        <f t="shared" si="1228"/>
        <v>130536</v>
      </c>
      <c r="BD207" s="1177">
        <f t="shared" si="1229"/>
        <v>129135.67999999999</v>
      </c>
      <c r="BE207" s="1177">
        <f t="shared" si="1230"/>
        <v>0</v>
      </c>
      <c r="BF207" s="1177">
        <f t="shared" si="1231"/>
        <v>0</v>
      </c>
      <c r="BG207" s="1177">
        <f t="shared" si="1232"/>
        <v>130536</v>
      </c>
      <c r="BH207" s="1177">
        <f t="shared" si="1233"/>
        <v>129135.67999999999</v>
      </c>
      <c r="BI207" s="1178">
        <f t="shared" si="1234"/>
        <v>1</v>
      </c>
      <c r="BJ207" s="1175">
        <f t="shared" si="1235"/>
        <v>130536</v>
      </c>
      <c r="BK207" s="1180">
        <f t="shared" si="1236"/>
        <v>129135.67999999999</v>
      </c>
      <c r="BL207" s="1180">
        <f t="shared" si="1237"/>
        <v>0</v>
      </c>
      <c r="BM207" s="1180">
        <f t="shared" si="1238"/>
        <v>0</v>
      </c>
      <c r="BN207" s="1180">
        <f t="shared" si="1239"/>
        <v>130536</v>
      </c>
      <c r="BO207" s="1180">
        <f t="shared" si="1240"/>
        <v>129135.67999999999</v>
      </c>
      <c r="BP207" s="1227">
        <f t="shared" si="1154"/>
        <v>1</v>
      </c>
      <c r="BQ207" s="1398" t="s">
        <v>335</v>
      </c>
      <c r="BR207" s="1385"/>
      <c r="BS207" s="1308"/>
      <c r="BT207" s="1309"/>
      <c r="BU207" s="1310"/>
      <c r="BV207" s="1311"/>
      <c r="BW207" s="1311"/>
      <c r="BX207" s="1311"/>
      <c r="BY207" s="1221">
        <f t="shared" si="1203"/>
        <v>0</v>
      </c>
      <c r="BZ207" s="1244">
        <f t="shared" si="1204"/>
        <v>0</v>
      </c>
      <c r="CA207" s="1312"/>
      <c r="CB207" s="1308"/>
      <c r="CC207" s="1308"/>
      <c r="CD207" s="1308"/>
      <c r="CE207" s="1198">
        <f t="shared" si="1224"/>
        <v>0</v>
      </c>
      <c r="CF207" s="1199">
        <f t="shared" si="1225"/>
        <v>0</v>
      </c>
      <c r="CG207" s="1380" t="s">
        <v>335</v>
      </c>
      <c r="CH207" s="1381" t="s">
        <v>335</v>
      </c>
      <c r="CI207" s="1305">
        <f t="shared" si="1155"/>
        <v>130536</v>
      </c>
      <c r="CJ207" s="1306">
        <f t="shared" si="1156"/>
        <v>129135.67999999999</v>
      </c>
      <c r="CK207" s="1306">
        <f t="shared" si="1157"/>
        <v>0</v>
      </c>
      <c r="CL207" s="1306">
        <f t="shared" si="1158"/>
        <v>0</v>
      </c>
      <c r="CM207" s="1306">
        <f t="shared" si="1159"/>
        <v>130536</v>
      </c>
      <c r="CN207" s="1174">
        <f t="shared" si="1160"/>
        <v>129135.67999999999</v>
      </c>
      <c r="CO207" s="1260">
        <f t="shared" si="1134"/>
        <v>1</v>
      </c>
      <c r="CP207" s="1321">
        <f t="shared" si="1205"/>
        <v>130536</v>
      </c>
      <c r="CQ207" s="1173">
        <f t="shared" si="1206"/>
        <v>129135.67999999999</v>
      </c>
      <c r="CR207" s="1173">
        <f t="shared" si="1241"/>
        <v>0</v>
      </c>
      <c r="CS207" s="1173">
        <f t="shared" si="1242"/>
        <v>0</v>
      </c>
      <c r="CT207" s="1173">
        <f t="shared" si="1161"/>
        <v>130536</v>
      </c>
      <c r="CU207" s="1173">
        <f t="shared" si="1162"/>
        <v>129135.67999999999</v>
      </c>
      <c r="CV207" s="1181">
        <f t="shared" si="1136"/>
        <v>1</v>
      </c>
      <c r="CW207" s="1522" t="s">
        <v>335</v>
      </c>
      <c r="CX207" s="1385"/>
      <c r="CY207" s="1308"/>
      <c r="CZ207" s="1309"/>
      <c r="DA207" s="1310"/>
      <c r="DB207" s="1311"/>
      <c r="DC207" s="1311"/>
      <c r="DD207" s="1311"/>
      <c r="DE207" s="1221">
        <f t="shared" si="1207"/>
        <v>0</v>
      </c>
      <c r="DF207" s="1244">
        <f t="shared" si="1208"/>
        <v>0</v>
      </c>
      <c r="DG207" s="1312"/>
      <c r="DH207" s="1308"/>
      <c r="DI207" s="1308"/>
      <c r="DJ207" s="1308"/>
      <c r="DK207" s="1198">
        <f t="shared" si="1226"/>
        <v>0</v>
      </c>
      <c r="DL207" s="1199">
        <f t="shared" si="1227"/>
        <v>0</v>
      </c>
      <c r="DM207" s="1380" t="s">
        <v>335</v>
      </c>
      <c r="DN207" s="1381" t="s">
        <v>335</v>
      </c>
      <c r="DO207" s="1305">
        <f t="shared" si="969"/>
        <v>130536</v>
      </c>
      <c r="DP207" s="1306">
        <f t="shared" si="970"/>
        <v>129135.67999999999</v>
      </c>
      <c r="DQ207" s="1306">
        <f t="shared" si="971"/>
        <v>0</v>
      </c>
      <c r="DR207" s="1306">
        <f t="shared" si="972"/>
        <v>0</v>
      </c>
      <c r="DS207" s="1174">
        <f t="shared" si="973"/>
        <v>130536</v>
      </c>
      <c r="DT207" s="1174">
        <f t="shared" si="974"/>
        <v>129135.67999999999</v>
      </c>
      <c r="DU207" s="1260">
        <f t="shared" si="1243"/>
        <v>1</v>
      </c>
      <c r="DV207" s="1321">
        <f t="shared" si="1209"/>
        <v>130536</v>
      </c>
      <c r="DW207" s="1173">
        <f t="shared" si="1210"/>
        <v>129135.67999999999</v>
      </c>
      <c r="DX207" s="1173">
        <f t="shared" si="1244"/>
        <v>0</v>
      </c>
      <c r="DY207" s="1173">
        <f t="shared" si="1245"/>
        <v>0</v>
      </c>
      <c r="DZ207" s="1173">
        <f t="shared" si="1246"/>
        <v>130536</v>
      </c>
      <c r="EA207" s="1173">
        <f t="shared" si="1247"/>
        <v>129135.67999999999</v>
      </c>
      <c r="EB207" s="1181">
        <f t="shared" si="1212"/>
        <v>1</v>
      </c>
      <c r="EC207" s="1536" t="s">
        <v>335</v>
      </c>
      <c r="ED207" s="1499"/>
      <c r="EE207" s="1308"/>
      <c r="EF207" s="1309"/>
      <c r="EG207" s="1243">
        <f t="shared" si="1213"/>
        <v>21978</v>
      </c>
      <c r="EH207" s="1311"/>
      <c r="EI207" s="1311"/>
      <c r="EJ207" s="1311"/>
      <c r="EK207" s="1221">
        <f t="shared" si="1163"/>
        <v>21978</v>
      </c>
      <c r="EL207" s="1244">
        <f t="shared" si="1164"/>
        <v>0</v>
      </c>
      <c r="EM207" s="1245">
        <f t="shared" si="1214"/>
        <v>21978</v>
      </c>
      <c r="EN207" s="1308"/>
      <c r="EO207" s="1308"/>
      <c r="EP207" s="1308"/>
      <c r="EQ207" s="1198">
        <f t="shared" si="1287"/>
        <v>21978</v>
      </c>
      <c r="ER207" s="1199">
        <f t="shared" si="1287"/>
        <v>0</v>
      </c>
      <c r="ES207" s="1380" t="s">
        <v>335</v>
      </c>
      <c r="ET207" s="1466" t="s">
        <v>335</v>
      </c>
      <c r="EU207" s="1176">
        <f t="shared" si="868"/>
        <v>152514</v>
      </c>
      <c r="EV207" s="1177">
        <f t="shared" si="1166"/>
        <v>129135.67999999999</v>
      </c>
      <c r="EW207" s="1177">
        <f t="shared" si="1167"/>
        <v>0</v>
      </c>
      <c r="EX207" s="1177">
        <f t="shared" si="1168"/>
        <v>0</v>
      </c>
      <c r="EY207" s="1177">
        <f t="shared" si="1249"/>
        <v>152514</v>
      </c>
      <c r="EZ207" s="1177">
        <f t="shared" si="1250"/>
        <v>129135.67999999999</v>
      </c>
      <c r="FA207" s="1178">
        <f t="shared" si="1251"/>
        <v>1</v>
      </c>
      <c r="FB207" s="1179">
        <f t="shared" si="1215"/>
        <v>152514</v>
      </c>
      <c r="FC207" s="1180">
        <f t="shared" si="1216"/>
        <v>129135.67999999999</v>
      </c>
      <c r="FD207" s="1180">
        <f t="shared" si="1252"/>
        <v>0</v>
      </c>
      <c r="FE207" s="1180">
        <f t="shared" si="1253"/>
        <v>0</v>
      </c>
      <c r="FF207" s="1180">
        <f t="shared" si="1254"/>
        <v>152514</v>
      </c>
      <c r="FG207" s="1180">
        <f t="shared" si="1255"/>
        <v>129135.67999999999</v>
      </c>
      <c r="FH207" s="1181">
        <f t="shared" si="869"/>
        <v>1</v>
      </c>
      <c r="FI207" s="1522" t="s">
        <v>335</v>
      </c>
      <c r="FJ207" s="1498"/>
      <c r="FK207" s="1308"/>
      <c r="FL207" s="1236"/>
      <c r="FM207" s="1243">
        <f t="shared" si="1218"/>
        <v>0</v>
      </c>
      <c r="FN207" s="1311"/>
      <c r="FO207" s="1311"/>
      <c r="FP207" s="1311"/>
      <c r="FQ207" s="1221">
        <f t="shared" si="1171"/>
        <v>0</v>
      </c>
      <c r="FR207" s="1244">
        <f t="shared" si="1172"/>
        <v>0</v>
      </c>
      <c r="FS207" s="1245">
        <f t="shared" si="1219"/>
        <v>0</v>
      </c>
      <c r="FT207" s="1308"/>
      <c r="FU207" s="1308"/>
      <c r="FV207" s="1218">
        <v>0</v>
      </c>
      <c r="FW207" s="1198">
        <f t="shared" si="1288"/>
        <v>0</v>
      </c>
      <c r="FX207" s="1199">
        <f t="shared" si="1288"/>
        <v>0</v>
      </c>
      <c r="FY207" s="1380" t="s">
        <v>335</v>
      </c>
      <c r="FZ207" s="1466" t="s">
        <v>335</v>
      </c>
      <c r="GA207" s="1176">
        <f t="shared" si="1258"/>
        <v>152514</v>
      </c>
      <c r="GB207" s="1177">
        <f t="shared" si="1259"/>
        <v>129135.67999999999</v>
      </c>
      <c r="GC207" s="1177">
        <f t="shared" si="1260"/>
        <v>0</v>
      </c>
      <c r="GD207" s="1177">
        <f t="shared" si="1261"/>
        <v>0</v>
      </c>
      <c r="GE207" s="1177">
        <f t="shared" si="1262"/>
        <v>152514</v>
      </c>
      <c r="GF207" s="1177">
        <f t="shared" si="1263"/>
        <v>129135.67999999999</v>
      </c>
      <c r="GG207" s="1178">
        <f t="shared" si="1176"/>
        <v>1</v>
      </c>
      <c r="GH207" s="1179">
        <f t="shared" si="1264"/>
        <v>152514</v>
      </c>
      <c r="GI207" s="1180">
        <f t="shared" si="1265"/>
        <v>129135.67999999999</v>
      </c>
      <c r="GJ207" s="1180">
        <f t="shared" si="1266"/>
        <v>0</v>
      </c>
      <c r="GK207" s="1180">
        <f t="shared" si="1267"/>
        <v>0</v>
      </c>
      <c r="GL207" s="1180">
        <f t="shared" si="1268"/>
        <v>152514</v>
      </c>
      <c r="GM207" s="1180">
        <f t="shared" si="1269"/>
        <v>129135.67999999999</v>
      </c>
      <c r="GN207" s="1181">
        <f t="shared" si="1022"/>
        <v>1</v>
      </c>
      <c r="GO207" s="1522" t="s">
        <v>335</v>
      </c>
      <c r="GP207" s="1498"/>
      <c r="GQ207" s="1308"/>
      <c r="GR207" s="1236"/>
      <c r="GS207" s="1243"/>
      <c r="GT207" s="1311"/>
      <c r="GU207" s="1311"/>
      <c r="GV207" s="1311"/>
      <c r="GW207" s="1221">
        <f t="shared" si="1179"/>
        <v>0</v>
      </c>
      <c r="GX207" s="1244">
        <f t="shared" si="1180"/>
        <v>0</v>
      </c>
      <c r="GY207" s="1245"/>
      <c r="GZ207" s="1308"/>
      <c r="HA207" s="1308"/>
      <c r="HB207" s="1218">
        <v>0</v>
      </c>
      <c r="HC207" s="1198">
        <f t="shared" si="1285"/>
        <v>0</v>
      </c>
      <c r="HD207" s="1199">
        <f t="shared" si="1286"/>
        <v>0</v>
      </c>
      <c r="HE207" s="1696" t="s">
        <v>335</v>
      </c>
      <c r="HF207" s="1466" t="s">
        <v>335</v>
      </c>
      <c r="HG207" s="1176">
        <f t="shared" si="1182"/>
        <v>152514</v>
      </c>
      <c r="HH207" s="1177">
        <f t="shared" si="1183"/>
        <v>129135.67999999999</v>
      </c>
      <c r="HI207" s="1177">
        <f t="shared" si="1184"/>
        <v>0</v>
      </c>
      <c r="HJ207" s="1177">
        <f t="shared" si="1185"/>
        <v>0</v>
      </c>
      <c r="HK207" s="1177">
        <f t="shared" si="1186"/>
        <v>152514</v>
      </c>
      <c r="HL207" s="1177">
        <f t="shared" si="1187"/>
        <v>129135.67999999999</v>
      </c>
      <c r="HM207" s="1178">
        <f t="shared" si="1220"/>
        <v>1</v>
      </c>
      <c r="HN207" s="1179">
        <f t="shared" si="1188"/>
        <v>152514</v>
      </c>
      <c r="HO207" s="1180">
        <f t="shared" si="1189"/>
        <v>129135.67999999999</v>
      </c>
      <c r="HP207" s="1180">
        <f t="shared" si="1190"/>
        <v>0</v>
      </c>
      <c r="HQ207" s="1180">
        <f t="shared" si="1191"/>
        <v>0</v>
      </c>
      <c r="HR207" s="1180">
        <f t="shared" si="1192"/>
        <v>152514</v>
      </c>
      <c r="HS207" s="1180">
        <f t="shared" si="1193"/>
        <v>129135.67999999999</v>
      </c>
      <c r="HT207" s="1181">
        <f t="shared" si="1221"/>
        <v>1</v>
      </c>
      <c r="HU207" s="1522" t="s">
        <v>335</v>
      </c>
    </row>
    <row r="208" spans="1:229" s="1170" customFormat="1" ht="18" hidden="1" customHeight="1" outlineLevel="1" x14ac:dyDescent="0.2">
      <c r="A208" s="3673"/>
      <c r="B208" s="3672"/>
      <c r="C208" s="3699"/>
      <c r="D208" s="1537" t="s">
        <v>517</v>
      </c>
      <c r="E208" s="1532" t="s">
        <v>335</v>
      </c>
      <c r="F208" s="1533" t="s">
        <v>335</v>
      </c>
      <c r="G208" s="1533" t="s">
        <v>335</v>
      </c>
      <c r="H208" s="1533" t="s">
        <v>335</v>
      </c>
      <c r="I208" s="1533" t="s">
        <v>335</v>
      </c>
      <c r="J208" s="1533" t="s">
        <v>335</v>
      </c>
      <c r="K208" s="1533" t="s">
        <v>335</v>
      </c>
      <c r="L208" s="1533" t="s">
        <v>335</v>
      </c>
      <c r="M208" s="1533" t="s">
        <v>335</v>
      </c>
      <c r="N208" s="1534" t="s">
        <v>335</v>
      </c>
      <c r="O208" s="1535" t="s">
        <v>335</v>
      </c>
      <c r="P208" s="1533" t="s">
        <v>335</v>
      </c>
      <c r="Q208" s="1533" t="s">
        <v>335</v>
      </c>
      <c r="R208" s="1251">
        <v>56812.99</v>
      </c>
      <c r="S208" s="1482">
        <f t="shared" si="1194"/>
        <v>56812.99</v>
      </c>
      <c r="T208" s="1350" t="s">
        <v>335</v>
      </c>
      <c r="U208" s="1351" t="s">
        <v>335</v>
      </c>
      <c r="V208" s="1352" t="s">
        <v>335</v>
      </c>
      <c r="W208" s="1176">
        <v>0</v>
      </c>
      <c r="X208" s="1307">
        <v>0</v>
      </c>
      <c r="Y208" s="1307">
        <v>0</v>
      </c>
      <c r="Z208" s="1307">
        <v>0</v>
      </c>
      <c r="AA208" s="1177">
        <f t="shared" si="1195"/>
        <v>0</v>
      </c>
      <c r="AB208" s="1177">
        <f t="shared" si="1196"/>
        <v>0</v>
      </c>
      <c r="AC208" s="1178">
        <f t="shared" si="1197"/>
        <v>0</v>
      </c>
      <c r="AD208" s="1233">
        <v>0</v>
      </c>
      <c r="AE208" s="1484">
        <v>0</v>
      </c>
      <c r="AF208" s="1189">
        <v>0</v>
      </c>
      <c r="AG208" s="1189">
        <v>0</v>
      </c>
      <c r="AH208" s="1232">
        <f t="shared" si="1198"/>
        <v>0</v>
      </c>
      <c r="AI208" s="1189">
        <f t="shared" si="1199"/>
        <v>0</v>
      </c>
      <c r="AJ208" s="1193">
        <f t="shared" si="1200"/>
        <v>0</v>
      </c>
      <c r="AK208" s="1383"/>
      <c r="AL208" s="1312"/>
      <c r="AM208" s="1312"/>
      <c r="AN208" s="1309"/>
      <c r="AO208" s="1310"/>
      <c r="AP208" s="1311"/>
      <c r="AQ208" s="1311"/>
      <c r="AR208" s="1311"/>
      <c r="AS208" s="1221">
        <f t="shared" si="1201"/>
        <v>0</v>
      </c>
      <c r="AT208" s="1282">
        <f t="shared" si="1202"/>
        <v>0</v>
      </c>
      <c r="AU208" s="1312"/>
      <c r="AV208" s="1308"/>
      <c r="AW208" s="1308"/>
      <c r="AX208" s="1308"/>
      <c r="AY208" s="1198">
        <f t="shared" si="1222"/>
        <v>0</v>
      </c>
      <c r="AZ208" s="1199">
        <f t="shared" si="1223"/>
        <v>0</v>
      </c>
      <c r="BA208" s="1313"/>
      <c r="BB208" s="1314"/>
      <c r="BC208" s="1176">
        <f t="shared" si="1228"/>
        <v>0</v>
      </c>
      <c r="BD208" s="1177">
        <f t="shared" si="1229"/>
        <v>0</v>
      </c>
      <c r="BE208" s="1177">
        <f t="shared" si="1230"/>
        <v>0</v>
      </c>
      <c r="BF208" s="1177">
        <f t="shared" si="1231"/>
        <v>0</v>
      </c>
      <c r="BG208" s="1177">
        <f t="shared" si="1232"/>
        <v>0</v>
      </c>
      <c r="BH208" s="1177">
        <f t="shared" si="1233"/>
        <v>0</v>
      </c>
      <c r="BI208" s="1178">
        <f t="shared" si="1234"/>
        <v>0</v>
      </c>
      <c r="BJ208" s="1175">
        <f t="shared" si="1235"/>
        <v>0</v>
      </c>
      <c r="BK208" s="1180">
        <f t="shared" si="1236"/>
        <v>0</v>
      </c>
      <c r="BL208" s="1180">
        <f t="shared" si="1237"/>
        <v>0</v>
      </c>
      <c r="BM208" s="1180">
        <f t="shared" si="1238"/>
        <v>0</v>
      </c>
      <c r="BN208" s="1180">
        <f t="shared" si="1239"/>
        <v>0</v>
      </c>
      <c r="BO208" s="1180">
        <f t="shared" si="1240"/>
        <v>0</v>
      </c>
      <c r="BP208" s="1227">
        <f t="shared" si="1154"/>
        <v>0</v>
      </c>
      <c r="BQ208" s="1398" t="s">
        <v>335</v>
      </c>
      <c r="BR208" s="1385"/>
      <c r="BS208" s="1308"/>
      <c r="BT208" s="1309"/>
      <c r="BU208" s="1310"/>
      <c r="BV208" s="1311"/>
      <c r="BW208" s="1311"/>
      <c r="BX208" s="1311"/>
      <c r="BY208" s="1221">
        <f t="shared" si="1203"/>
        <v>0</v>
      </c>
      <c r="BZ208" s="1244">
        <f t="shared" si="1204"/>
        <v>0</v>
      </c>
      <c r="CA208" s="1312"/>
      <c r="CB208" s="1308"/>
      <c r="CC208" s="1308"/>
      <c r="CD208" s="1308"/>
      <c r="CE208" s="1198">
        <f t="shared" si="1224"/>
        <v>0</v>
      </c>
      <c r="CF208" s="1199">
        <f t="shared" si="1225"/>
        <v>0</v>
      </c>
      <c r="CG208" s="1483"/>
      <c r="CH208" s="1381"/>
      <c r="CI208" s="1176"/>
      <c r="CJ208" s="1177"/>
      <c r="CK208" s="1177"/>
      <c r="CL208" s="1177"/>
      <c r="CM208" s="1177">
        <f t="shared" si="1159"/>
        <v>0</v>
      </c>
      <c r="CN208" s="1174">
        <f t="shared" si="1160"/>
        <v>0</v>
      </c>
      <c r="CO208" s="1260">
        <f t="shared" si="1134"/>
        <v>0</v>
      </c>
      <c r="CP208" s="1321">
        <f t="shared" si="1205"/>
        <v>0</v>
      </c>
      <c r="CQ208" s="1173">
        <f t="shared" si="1206"/>
        <v>0</v>
      </c>
      <c r="CR208" s="1173">
        <f t="shared" si="1241"/>
        <v>0</v>
      </c>
      <c r="CS208" s="1173">
        <f t="shared" si="1242"/>
        <v>0</v>
      </c>
      <c r="CT208" s="1173">
        <f t="shared" si="1161"/>
        <v>0</v>
      </c>
      <c r="CU208" s="1173">
        <f t="shared" si="1162"/>
        <v>0</v>
      </c>
      <c r="CV208" s="1181">
        <f t="shared" si="1136"/>
        <v>0</v>
      </c>
      <c r="CW208" s="1538" t="s">
        <v>335</v>
      </c>
      <c r="CX208" s="1385"/>
      <c r="CY208" s="1308"/>
      <c r="CZ208" s="1309"/>
      <c r="DA208" s="1310"/>
      <c r="DB208" s="1311"/>
      <c r="DC208" s="1311"/>
      <c r="DD208" s="1311"/>
      <c r="DE208" s="1221">
        <f t="shared" si="1207"/>
        <v>0</v>
      </c>
      <c r="DF208" s="1244">
        <f t="shared" si="1208"/>
        <v>0</v>
      </c>
      <c r="DG208" s="1312"/>
      <c r="DH208" s="1308"/>
      <c r="DI208" s="1308"/>
      <c r="DJ208" s="1308"/>
      <c r="DK208" s="1198">
        <f t="shared" si="1226"/>
        <v>0</v>
      </c>
      <c r="DL208" s="1199">
        <f t="shared" si="1227"/>
        <v>0</v>
      </c>
      <c r="DM208" s="1380" t="s">
        <v>335</v>
      </c>
      <c r="DN208" s="1381" t="s">
        <v>335</v>
      </c>
      <c r="DO208" s="1176"/>
      <c r="DP208" s="1177"/>
      <c r="DQ208" s="1177"/>
      <c r="DR208" s="1177"/>
      <c r="DS208" s="1174">
        <f t="shared" si="973"/>
        <v>0</v>
      </c>
      <c r="DT208" s="1174">
        <f t="shared" si="974"/>
        <v>0</v>
      </c>
      <c r="DU208" s="1260">
        <f t="shared" si="1243"/>
        <v>0</v>
      </c>
      <c r="DV208" s="1321">
        <f t="shared" si="1209"/>
        <v>0</v>
      </c>
      <c r="DW208" s="1173">
        <f t="shared" si="1210"/>
        <v>0</v>
      </c>
      <c r="DX208" s="1173">
        <f t="shared" si="1244"/>
        <v>0</v>
      </c>
      <c r="DY208" s="1173">
        <f t="shared" si="1245"/>
        <v>0</v>
      </c>
      <c r="DZ208" s="1173">
        <f t="shared" si="1246"/>
        <v>0</v>
      </c>
      <c r="EA208" s="1173">
        <f t="shared" si="1247"/>
        <v>0</v>
      </c>
      <c r="EB208" s="1181">
        <f t="shared" si="1212"/>
        <v>0</v>
      </c>
      <c r="EC208" s="1539" t="s">
        <v>335</v>
      </c>
      <c r="ED208" s="1499"/>
      <c r="EE208" s="1308"/>
      <c r="EF208" s="1309"/>
      <c r="EG208" s="1243">
        <f t="shared" si="1213"/>
        <v>21978</v>
      </c>
      <c r="EH208" s="1311"/>
      <c r="EI208" s="1311"/>
      <c r="EJ208" s="1311"/>
      <c r="EK208" s="1221">
        <f t="shared" si="1163"/>
        <v>21978</v>
      </c>
      <c r="EL208" s="1244">
        <f t="shared" si="1164"/>
        <v>0</v>
      </c>
      <c r="EM208" s="1245">
        <f t="shared" si="1214"/>
        <v>21978</v>
      </c>
      <c r="EN208" s="1308">
        <v>56812.99</v>
      </c>
      <c r="EO208" s="1308"/>
      <c r="EP208" s="1308"/>
      <c r="EQ208" s="1198">
        <f t="shared" ref="EQ208:ER210" si="1301">EM208+EO208</f>
        <v>21978</v>
      </c>
      <c r="ER208" s="1199">
        <f t="shared" si="1301"/>
        <v>56812.99</v>
      </c>
      <c r="ES208" s="1380" t="s">
        <v>335</v>
      </c>
      <c r="ET208" s="1466" t="s">
        <v>335</v>
      </c>
      <c r="EU208" s="1176">
        <f t="shared" si="868"/>
        <v>21978</v>
      </c>
      <c r="EV208" s="1177">
        <f t="shared" si="1166"/>
        <v>0</v>
      </c>
      <c r="EW208" s="1177"/>
      <c r="EX208" s="1177"/>
      <c r="EY208" s="1177">
        <f t="shared" si="1249"/>
        <v>21978</v>
      </c>
      <c r="EZ208" s="1177">
        <f t="shared" si="1250"/>
        <v>0</v>
      </c>
      <c r="FA208" s="1178">
        <f t="shared" si="1251"/>
        <v>0</v>
      </c>
      <c r="FB208" s="1179">
        <f t="shared" si="1215"/>
        <v>21978</v>
      </c>
      <c r="FC208" s="1180">
        <f t="shared" si="1216"/>
        <v>56812.99</v>
      </c>
      <c r="FD208" s="1180">
        <f t="shared" si="1252"/>
        <v>0</v>
      </c>
      <c r="FE208" s="1180">
        <f t="shared" si="1253"/>
        <v>0</v>
      </c>
      <c r="FF208" s="1180">
        <f t="shared" si="1254"/>
        <v>21978</v>
      </c>
      <c r="FG208" s="1180">
        <f t="shared" si="1255"/>
        <v>56812.99</v>
      </c>
      <c r="FH208" s="1181"/>
      <c r="FI208" s="1522" t="s">
        <v>335</v>
      </c>
      <c r="FJ208" s="1498"/>
      <c r="FK208" s="1308"/>
      <c r="FL208" s="1236"/>
      <c r="FM208" s="1243">
        <f t="shared" si="1218"/>
        <v>0</v>
      </c>
      <c r="FN208" s="1311">
        <f>56812.99</f>
        <v>56812.99</v>
      </c>
      <c r="FO208" s="1311"/>
      <c r="FP208" s="1311"/>
      <c r="FQ208" s="1221">
        <f t="shared" si="1171"/>
        <v>0</v>
      </c>
      <c r="FR208" s="1244">
        <f t="shared" si="1172"/>
        <v>56812.99</v>
      </c>
      <c r="FS208" s="1245">
        <f t="shared" si="1219"/>
        <v>0</v>
      </c>
      <c r="FT208" s="1308"/>
      <c r="FU208" s="1308"/>
      <c r="FV208" s="1218">
        <v>0</v>
      </c>
      <c r="FW208" s="1198">
        <f t="shared" ref="FW208:FX210" si="1302">FS208+FU208</f>
        <v>0</v>
      </c>
      <c r="FX208" s="1199">
        <f t="shared" si="1302"/>
        <v>0</v>
      </c>
      <c r="FY208" s="1483"/>
      <c r="FZ208" s="1466"/>
      <c r="GA208" s="1176">
        <f t="shared" si="1258"/>
        <v>21978</v>
      </c>
      <c r="GB208" s="1177">
        <f t="shared" si="1259"/>
        <v>56812.99</v>
      </c>
      <c r="GC208" s="1177">
        <f t="shared" si="1260"/>
        <v>0</v>
      </c>
      <c r="GD208" s="1177">
        <f t="shared" si="1261"/>
        <v>0</v>
      </c>
      <c r="GE208" s="1177">
        <f t="shared" si="1262"/>
        <v>21978</v>
      </c>
      <c r="GF208" s="1177">
        <f t="shared" si="1263"/>
        <v>56812.99</v>
      </c>
      <c r="GG208" s="1178">
        <f t="shared" si="1176"/>
        <v>1</v>
      </c>
      <c r="GH208" s="1179">
        <f t="shared" si="1264"/>
        <v>21978</v>
      </c>
      <c r="GI208" s="1180">
        <f t="shared" si="1265"/>
        <v>56812.99</v>
      </c>
      <c r="GJ208" s="1180">
        <f t="shared" si="1266"/>
        <v>0</v>
      </c>
      <c r="GK208" s="1180">
        <f t="shared" si="1267"/>
        <v>0</v>
      </c>
      <c r="GL208" s="1180">
        <f t="shared" si="1268"/>
        <v>21978</v>
      </c>
      <c r="GM208" s="1180">
        <f t="shared" si="1269"/>
        <v>56812.99</v>
      </c>
      <c r="GN208" s="1181">
        <f t="shared" si="1022"/>
        <v>1</v>
      </c>
      <c r="GO208" s="1522" t="s">
        <v>335</v>
      </c>
      <c r="GP208" s="1498"/>
      <c r="GQ208" s="1308"/>
      <c r="GR208" s="1236"/>
      <c r="GS208" s="1243"/>
      <c r="GT208" s="1311"/>
      <c r="GU208" s="1311"/>
      <c r="GV208" s="1311"/>
      <c r="GW208" s="1221">
        <f t="shared" si="1179"/>
        <v>0</v>
      </c>
      <c r="GX208" s="1244">
        <f t="shared" si="1180"/>
        <v>0</v>
      </c>
      <c r="GY208" s="1245"/>
      <c r="GZ208" s="1308"/>
      <c r="HA208" s="1308"/>
      <c r="HB208" s="1218">
        <v>0</v>
      </c>
      <c r="HC208" s="1198">
        <f t="shared" si="1285"/>
        <v>0</v>
      </c>
      <c r="HD208" s="1199">
        <f t="shared" si="1286"/>
        <v>0</v>
      </c>
      <c r="HE208" s="1697"/>
      <c r="HF208" s="1466"/>
      <c r="HG208" s="1176">
        <f t="shared" si="1182"/>
        <v>21978</v>
      </c>
      <c r="HH208" s="1177">
        <f t="shared" si="1183"/>
        <v>56812.99</v>
      </c>
      <c r="HI208" s="1177">
        <f t="shared" si="1184"/>
        <v>0</v>
      </c>
      <c r="HJ208" s="1177">
        <f t="shared" si="1185"/>
        <v>0</v>
      </c>
      <c r="HK208" s="1177">
        <f t="shared" si="1186"/>
        <v>21978</v>
      </c>
      <c r="HL208" s="1177">
        <f t="shared" si="1187"/>
        <v>56812.99</v>
      </c>
      <c r="HM208" s="1178">
        <f t="shared" si="1220"/>
        <v>1</v>
      </c>
      <c r="HN208" s="1179">
        <f t="shared" si="1188"/>
        <v>21978</v>
      </c>
      <c r="HO208" s="1180">
        <f t="shared" si="1189"/>
        <v>56812.99</v>
      </c>
      <c r="HP208" s="1180">
        <f t="shared" si="1190"/>
        <v>0</v>
      </c>
      <c r="HQ208" s="1180">
        <f t="shared" si="1191"/>
        <v>0</v>
      </c>
      <c r="HR208" s="1180">
        <f t="shared" si="1192"/>
        <v>21978</v>
      </c>
      <c r="HS208" s="1180">
        <f t="shared" si="1193"/>
        <v>56812.99</v>
      </c>
      <c r="HT208" s="1181">
        <f t="shared" si="1221"/>
        <v>1</v>
      </c>
      <c r="HU208" s="1522" t="s">
        <v>335</v>
      </c>
    </row>
    <row r="209" spans="1:229" ht="18" customHeight="1" collapsed="1" x14ac:dyDescent="0.2">
      <c r="A209" s="3673"/>
      <c r="B209" s="3672"/>
      <c r="C209" s="511">
        <v>3</v>
      </c>
      <c r="D209" s="1378" t="s">
        <v>352</v>
      </c>
      <c r="E209" s="1252">
        <f>40-E173-E163+1</f>
        <v>20</v>
      </c>
      <c r="F209" s="258">
        <f>G209*E209</f>
        <v>1890</v>
      </c>
      <c r="G209" s="664">
        <v>94.5</v>
      </c>
      <c r="H209" s="516">
        <v>0</v>
      </c>
      <c r="I209" s="258">
        <v>0</v>
      </c>
      <c r="J209" s="258">
        <v>0</v>
      </c>
      <c r="K209" s="516">
        <v>0</v>
      </c>
      <c r="L209" s="258">
        <v>0</v>
      </c>
      <c r="M209" s="258">
        <v>0</v>
      </c>
      <c r="N209" s="679">
        <f>F209+I209+L209</f>
        <v>1890</v>
      </c>
      <c r="O209" s="776" t="s">
        <v>335</v>
      </c>
      <c r="P209" s="777" t="s">
        <v>335</v>
      </c>
      <c r="Q209" s="777" t="s">
        <v>335</v>
      </c>
      <c r="R209" s="258">
        <f>159.51*7.4*N209</f>
        <v>2230906.86</v>
      </c>
      <c r="S209" s="778">
        <f>R209</f>
        <v>2230906.86</v>
      </c>
      <c r="T209" s="726">
        <f>R209</f>
        <v>2230906.86</v>
      </c>
      <c r="U209" s="522">
        <v>0</v>
      </c>
      <c r="V209" s="1342">
        <v>0</v>
      </c>
      <c r="W209" s="524">
        <v>258560.50000000003</v>
      </c>
      <c r="X209" s="524">
        <v>0</v>
      </c>
      <c r="Y209" s="524">
        <v>0</v>
      </c>
      <c r="Z209" s="524">
        <v>0</v>
      </c>
      <c r="AA209" s="525">
        <f>W209+Y209</f>
        <v>258560.50000000003</v>
      </c>
      <c r="AB209" s="524">
        <f>X209+Z209</f>
        <v>0</v>
      </c>
      <c r="AC209" s="526">
        <f>AB209/R209</f>
        <v>0</v>
      </c>
      <c r="AD209" s="522">
        <v>0</v>
      </c>
      <c r="AE209" s="522">
        <v>0</v>
      </c>
      <c r="AF209" s="522">
        <v>258560.50000000003</v>
      </c>
      <c r="AG209" s="522">
        <v>0</v>
      </c>
      <c r="AH209" s="176">
        <f>AD209+AF209</f>
        <v>258560.50000000003</v>
      </c>
      <c r="AI209" s="522">
        <f>AE209+AG209</f>
        <v>0</v>
      </c>
      <c r="AJ209" s="527">
        <f>AI209/S209</f>
        <v>0</v>
      </c>
      <c r="AK209" s="528">
        <f>U209/T209</f>
        <v>0</v>
      </c>
      <c r="AL209" s="529">
        <f>153374.85-AL186-AL181</f>
        <v>129280.25000000001</v>
      </c>
      <c r="AM209" s="533"/>
      <c r="AN209" s="725">
        <f>AX209</f>
        <v>0</v>
      </c>
      <c r="AO209" s="670">
        <f>AL209</f>
        <v>129280.25000000001</v>
      </c>
      <c r="AP209" s="531"/>
      <c r="AQ209" s="531"/>
      <c r="AR209" s="531"/>
      <c r="AS209" s="531">
        <f>AO209+AQ209</f>
        <v>129280.25000000001</v>
      </c>
      <c r="AT209" s="1282">
        <f t="shared" si="1202"/>
        <v>0</v>
      </c>
      <c r="AU209" s="529">
        <v>0</v>
      </c>
      <c r="AV209" s="533"/>
      <c r="AW209" s="533">
        <f>AO209</f>
        <v>129280.25000000001</v>
      </c>
      <c r="AX209" s="533"/>
      <c r="AY209" s="533">
        <f>AU209+AW209</f>
        <v>129280.25000000001</v>
      </c>
      <c r="AZ209" s="534">
        <f>AX209+AV209</f>
        <v>0</v>
      </c>
      <c r="BA209" s="535">
        <f t="shared" ref="BA209:BF209" si="1303">U209+AM209</f>
        <v>0</v>
      </c>
      <c r="BB209" s="536">
        <f t="shared" si="1303"/>
        <v>0</v>
      </c>
      <c r="BC209" s="523">
        <f t="shared" si="1303"/>
        <v>387840.75000000006</v>
      </c>
      <c r="BD209" s="525">
        <f t="shared" si="1303"/>
        <v>0</v>
      </c>
      <c r="BE209" s="525">
        <f t="shared" si="1303"/>
        <v>0</v>
      </c>
      <c r="BF209" s="525">
        <f t="shared" si="1303"/>
        <v>0</v>
      </c>
      <c r="BG209" s="525">
        <f>AA209+AS209</f>
        <v>387840.75000000006</v>
      </c>
      <c r="BH209" s="525">
        <f>AB209+AT209</f>
        <v>0</v>
      </c>
      <c r="BI209" s="526">
        <f>BH209/R209</f>
        <v>0</v>
      </c>
      <c r="BJ209" s="535">
        <f>AD209+AU209</f>
        <v>0</v>
      </c>
      <c r="BK209" s="538">
        <f>AE209+AV209</f>
        <v>0</v>
      </c>
      <c r="BL209" s="538">
        <f t="shared" ref="BL209:BO210" si="1304">AF209+AW209</f>
        <v>387840.75000000006</v>
      </c>
      <c r="BM209" s="538">
        <f t="shared" si="1304"/>
        <v>0</v>
      </c>
      <c r="BN209" s="538">
        <f t="shared" si="1304"/>
        <v>387840.75000000006</v>
      </c>
      <c r="BO209" s="538">
        <f t="shared" si="1304"/>
        <v>0</v>
      </c>
      <c r="BP209" s="779">
        <f>BO209/S209</f>
        <v>0</v>
      </c>
      <c r="BQ209" s="540">
        <f>BA209/T209</f>
        <v>0</v>
      </c>
      <c r="BR209" s="529">
        <v>153374.85</v>
      </c>
      <c r="BS209" s="533"/>
      <c r="BT209" s="725"/>
      <c r="BU209" s="670">
        <v>153374.85</v>
      </c>
      <c r="BV209" s="531">
        <v>0</v>
      </c>
      <c r="BW209" s="531"/>
      <c r="BX209" s="531"/>
      <c r="BY209" s="531">
        <f>BU209+BW209</f>
        <v>153374.85</v>
      </c>
      <c r="BZ209" s="532">
        <f>BX209+BV209</f>
        <v>0</v>
      </c>
      <c r="CA209" s="529"/>
      <c r="CB209" s="533"/>
      <c r="CC209" s="533">
        <f>BU209</f>
        <v>153374.85</v>
      </c>
      <c r="CD209" s="533"/>
      <c r="CE209" s="533">
        <f>CA209+CC209</f>
        <v>153374.85</v>
      </c>
      <c r="CF209" s="534">
        <f>CD209+CB209</f>
        <v>0</v>
      </c>
      <c r="CG209" s="535">
        <f t="shared" ref="CG209:CN209" si="1305">BA209+BS209</f>
        <v>0</v>
      </c>
      <c r="CH209" s="536">
        <f t="shared" si="1305"/>
        <v>0</v>
      </c>
      <c r="CI209" s="523">
        <f t="shared" si="1305"/>
        <v>541215.60000000009</v>
      </c>
      <c r="CJ209" s="525">
        <f t="shared" si="1305"/>
        <v>0</v>
      </c>
      <c r="CK209" s="525">
        <f t="shared" si="1305"/>
        <v>0</v>
      </c>
      <c r="CL209" s="525">
        <f t="shared" si="1305"/>
        <v>0</v>
      </c>
      <c r="CM209" s="525">
        <f t="shared" si="1305"/>
        <v>541215.60000000009</v>
      </c>
      <c r="CN209" s="525">
        <f t="shared" si="1305"/>
        <v>0</v>
      </c>
      <c r="CO209" s="526">
        <f>CN209/R209</f>
        <v>0</v>
      </c>
      <c r="CP209" s="537">
        <f t="shared" ref="CP209:CU210" si="1306">BJ209+CA209</f>
        <v>0</v>
      </c>
      <c r="CQ209" s="538">
        <f t="shared" si="1306"/>
        <v>0</v>
      </c>
      <c r="CR209" s="538">
        <f t="shared" si="1306"/>
        <v>541215.60000000009</v>
      </c>
      <c r="CS209" s="538">
        <f t="shared" si="1306"/>
        <v>0</v>
      </c>
      <c r="CT209" s="538">
        <f t="shared" si="1306"/>
        <v>541215.60000000009</v>
      </c>
      <c r="CU209" s="538">
        <f t="shared" si="1306"/>
        <v>0</v>
      </c>
      <c r="CV209" s="539">
        <f>CU209/S209</f>
        <v>0</v>
      </c>
      <c r="CW209" s="540">
        <f>CG209/T209</f>
        <v>0</v>
      </c>
      <c r="CX209" s="529">
        <v>141327.54999999999</v>
      </c>
      <c r="CY209" s="533"/>
      <c r="CZ209" s="725"/>
      <c r="DA209" s="670">
        <f>CX209</f>
        <v>141327.54999999999</v>
      </c>
      <c r="DB209" s="531"/>
      <c r="DC209" s="531"/>
      <c r="DD209" s="531"/>
      <c r="DE209" s="531">
        <f>DA209+DC209</f>
        <v>141327.54999999999</v>
      </c>
      <c r="DF209" s="532">
        <f>DD209+DB209</f>
        <v>0</v>
      </c>
      <c r="DG209" s="529"/>
      <c r="DH209" s="533"/>
      <c r="DI209" s="533">
        <f>DA209</f>
        <v>141327.54999999999</v>
      </c>
      <c r="DJ209" s="533"/>
      <c r="DK209" s="533">
        <f>DG209+DI209</f>
        <v>141327.54999999999</v>
      </c>
      <c r="DL209" s="534">
        <f>DJ209+DH209</f>
        <v>0</v>
      </c>
      <c r="DM209" s="535">
        <f>CG209+CY209</f>
        <v>0</v>
      </c>
      <c r="DN209" s="536">
        <f>CH209+CZ209</f>
        <v>0</v>
      </c>
      <c r="DO209" s="523">
        <f t="shared" si="969"/>
        <v>682543.15000000014</v>
      </c>
      <c r="DP209" s="525">
        <f t="shared" si="970"/>
        <v>0</v>
      </c>
      <c r="DQ209" s="525">
        <f t="shared" si="971"/>
        <v>0</v>
      </c>
      <c r="DR209" s="525">
        <f t="shared" si="972"/>
        <v>0</v>
      </c>
      <c r="DS209" s="525">
        <f t="shared" si="973"/>
        <v>682543.15000000014</v>
      </c>
      <c r="DT209" s="525">
        <f t="shared" si="974"/>
        <v>0</v>
      </c>
      <c r="DU209" s="526">
        <f>DT209/R209</f>
        <v>0</v>
      </c>
      <c r="DV209" s="537">
        <f t="shared" ref="DV209:DY210" si="1307">CP209+DG209</f>
        <v>0</v>
      </c>
      <c r="DW209" s="538">
        <f t="shared" si="1307"/>
        <v>0</v>
      </c>
      <c r="DX209" s="538">
        <f t="shared" si="1307"/>
        <v>682543.15000000014</v>
      </c>
      <c r="DY209" s="538">
        <f t="shared" si="1307"/>
        <v>0</v>
      </c>
      <c r="DZ209" s="538">
        <f t="shared" si="977"/>
        <v>682543.15000000014</v>
      </c>
      <c r="EA209" s="538">
        <f t="shared" si="978"/>
        <v>0</v>
      </c>
      <c r="EB209" s="539">
        <f>EA209/S209</f>
        <v>0</v>
      </c>
      <c r="EC209" s="1489">
        <f>DM209/T209</f>
        <v>0</v>
      </c>
      <c r="ED209" s="715">
        <f>153374.85-60236.5</f>
        <v>93138.35</v>
      </c>
      <c r="EE209" s="533"/>
      <c r="EF209" s="725"/>
      <c r="EG209" s="1257">
        <f>ED209</f>
        <v>93138.35</v>
      </c>
      <c r="EH209" s="531"/>
      <c r="EI209" s="531"/>
      <c r="EJ209" s="531"/>
      <c r="EK209" s="531">
        <f>EG209+EI209</f>
        <v>93138.35</v>
      </c>
      <c r="EL209" s="532">
        <f>EJ209+EH209</f>
        <v>0</v>
      </c>
      <c r="EM209" s="529">
        <v>0</v>
      </c>
      <c r="EN209" s="533"/>
      <c r="EO209" s="533"/>
      <c r="EP209" s="533"/>
      <c r="EQ209" s="533">
        <f t="shared" si="1301"/>
        <v>0</v>
      </c>
      <c r="ER209" s="534">
        <f t="shared" si="1301"/>
        <v>0</v>
      </c>
      <c r="ES209" s="535">
        <f>DM209+EE209</f>
        <v>0</v>
      </c>
      <c r="ET209" s="1365">
        <f>DN209+EF209</f>
        <v>0</v>
      </c>
      <c r="EU209" s="523">
        <f t="shared" si="868"/>
        <v>775681.50000000012</v>
      </c>
      <c r="EV209" s="525">
        <f t="shared" si="1166"/>
        <v>0</v>
      </c>
      <c r="EW209" s="525">
        <f t="shared" si="1167"/>
        <v>0</v>
      </c>
      <c r="EX209" s="525">
        <f t="shared" si="1168"/>
        <v>0</v>
      </c>
      <c r="EY209" s="525">
        <f>EK209+DS209</f>
        <v>775681.50000000012</v>
      </c>
      <c r="EZ209" s="525">
        <f>EL209+DT209</f>
        <v>0</v>
      </c>
      <c r="FA209" s="526">
        <f>EZ209/R209</f>
        <v>0</v>
      </c>
      <c r="FB209" s="537">
        <f t="shared" ref="FB209:FG210" si="1308">DV209+EM209</f>
        <v>0</v>
      </c>
      <c r="FC209" s="538">
        <f t="shared" si="1308"/>
        <v>0</v>
      </c>
      <c r="FD209" s="538">
        <f t="shared" si="1308"/>
        <v>682543.15000000014</v>
      </c>
      <c r="FE209" s="538">
        <f t="shared" si="1308"/>
        <v>0</v>
      </c>
      <c r="FF209" s="538">
        <f t="shared" si="1308"/>
        <v>682543.15000000014</v>
      </c>
      <c r="FG209" s="538">
        <f t="shared" si="1308"/>
        <v>0</v>
      </c>
      <c r="FH209" s="539">
        <f t="shared" si="869"/>
        <v>0</v>
      </c>
      <c r="FI209" s="540">
        <f>ES209/T209</f>
        <v>0</v>
      </c>
      <c r="FJ209" s="715">
        <f>261800.55-FJ173</f>
        <v>105185.65</v>
      </c>
      <c r="FK209" s="533"/>
      <c r="FL209" s="725"/>
      <c r="FM209" s="1257">
        <f>FJ209</f>
        <v>105185.65</v>
      </c>
      <c r="FN209" s="531"/>
      <c r="FO209" s="531"/>
      <c r="FP209" s="531"/>
      <c r="FQ209" s="531">
        <f>FM209+FO209</f>
        <v>105185.65</v>
      </c>
      <c r="FR209" s="532">
        <f>FP209+FN209</f>
        <v>0</v>
      </c>
      <c r="FS209" s="529"/>
      <c r="FT209" s="533"/>
      <c r="FU209" s="533"/>
      <c r="FV209" s="533"/>
      <c r="FW209" s="533">
        <f t="shared" si="1302"/>
        <v>0</v>
      </c>
      <c r="FX209" s="534">
        <f t="shared" si="1302"/>
        <v>0</v>
      </c>
      <c r="FY209" s="535">
        <f>ES209+FK209</f>
        <v>0</v>
      </c>
      <c r="FZ209" s="1365">
        <f>ET209+FL209</f>
        <v>0</v>
      </c>
      <c r="GA209" s="523">
        <f t="shared" ref="GA209:GF210" si="1309">FM209+EU209</f>
        <v>880867.15000000014</v>
      </c>
      <c r="GB209" s="525">
        <f t="shared" si="1309"/>
        <v>0</v>
      </c>
      <c r="GC209" s="525">
        <f t="shared" si="1309"/>
        <v>0</v>
      </c>
      <c r="GD209" s="525">
        <f t="shared" si="1309"/>
        <v>0</v>
      </c>
      <c r="GE209" s="525">
        <f t="shared" si="1309"/>
        <v>880867.15000000014</v>
      </c>
      <c r="GF209" s="525">
        <f t="shared" si="1309"/>
        <v>0</v>
      </c>
      <c r="GG209" s="526">
        <f t="shared" si="1176"/>
        <v>0</v>
      </c>
      <c r="GH209" s="537">
        <f>FB209+FS209</f>
        <v>0</v>
      </c>
      <c r="GI209" s="538">
        <f>FC209+FT209</f>
        <v>0</v>
      </c>
      <c r="GJ209" s="538">
        <f t="shared" ref="GJ209:GM210" si="1310">FD209+FU209</f>
        <v>682543.15000000014</v>
      </c>
      <c r="GK209" s="538">
        <f t="shared" si="1310"/>
        <v>0</v>
      </c>
      <c r="GL209" s="538">
        <f t="shared" si="1310"/>
        <v>682543.15000000014</v>
      </c>
      <c r="GM209" s="538">
        <f t="shared" si="1310"/>
        <v>0</v>
      </c>
      <c r="GN209" s="1256">
        <f t="shared" si="1022"/>
        <v>0</v>
      </c>
      <c r="GO209" s="1157">
        <f>FY209/T209</f>
        <v>0</v>
      </c>
      <c r="GP209" s="715">
        <f>261800.55-GP173</f>
        <v>105185.65</v>
      </c>
      <c r="GQ209" s="533"/>
      <c r="GR209" s="725"/>
      <c r="GS209" s="1257">
        <f>261800.55-GS173</f>
        <v>105185.65000000002</v>
      </c>
      <c r="GT209" s="531"/>
      <c r="GU209" s="531"/>
      <c r="GV209" s="531"/>
      <c r="GW209" s="531">
        <f>GS209+GU209</f>
        <v>105185.65000000002</v>
      </c>
      <c r="GX209" s="532">
        <f>GV209+GT209</f>
        <v>0</v>
      </c>
      <c r="GY209" s="529"/>
      <c r="GZ209" s="533">
        <v>0</v>
      </c>
      <c r="HA209" s="533">
        <f>GS209</f>
        <v>105185.65000000002</v>
      </c>
      <c r="HB209" s="533">
        <v>0</v>
      </c>
      <c r="HC209" s="533">
        <f t="shared" si="1285"/>
        <v>105185.65000000002</v>
      </c>
      <c r="HD209" s="534">
        <f t="shared" si="1286"/>
        <v>0</v>
      </c>
      <c r="HE209" s="1679">
        <f>FY209+GQ209</f>
        <v>0</v>
      </c>
      <c r="HF209" s="1365">
        <f>FZ209+GR209</f>
        <v>0</v>
      </c>
      <c r="HG209" s="523">
        <f t="shared" si="1182"/>
        <v>986052.80000000016</v>
      </c>
      <c r="HH209" s="525">
        <f t="shared" si="1183"/>
        <v>0</v>
      </c>
      <c r="HI209" s="525">
        <f t="shared" si="1184"/>
        <v>0</v>
      </c>
      <c r="HJ209" s="525">
        <f t="shared" si="1185"/>
        <v>0</v>
      </c>
      <c r="HK209" s="525">
        <f t="shared" si="1186"/>
        <v>986052.80000000016</v>
      </c>
      <c r="HL209" s="525">
        <f t="shared" si="1187"/>
        <v>0</v>
      </c>
      <c r="HM209" s="526">
        <f>HL209/R209</f>
        <v>0</v>
      </c>
      <c r="HN209" s="537">
        <f>GH209+GY209</f>
        <v>0</v>
      </c>
      <c r="HO209" s="538">
        <f>GI209+GZ209</f>
        <v>0</v>
      </c>
      <c r="HP209" s="538">
        <f t="shared" si="1190"/>
        <v>787728.80000000016</v>
      </c>
      <c r="HQ209" s="538">
        <f t="shared" si="1191"/>
        <v>0</v>
      </c>
      <c r="HR209" s="538">
        <f t="shared" si="1192"/>
        <v>787728.80000000016</v>
      </c>
      <c r="HS209" s="538">
        <f t="shared" si="1193"/>
        <v>0</v>
      </c>
      <c r="HT209" s="1256">
        <f>HS209/S209</f>
        <v>0</v>
      </c>
      <c r="HU209" s="1157">
        <f>HE209/T209</f>
        <v>0</v>
      </c>
    </row>
    <row r="210" spans="1:229" s="628" customFormat="1" ht="19.5" customHeight="1" thickBot="1" x14ac:dyDescent="0.25">
      <c r="A210" s="3673"/>
      <c r="B210" s="3672"/>
      <c r="C210" s="801" t="s">
        <v>478</v>
      </c>
      <c r="D210" s="770" t="s">
        <v>480</v>
      </c>
      <c r="E210" s="802" t="s">
        <v>335</v>
      </c>
      <c r="F210" s="803" t="s">
        <v>335</v>
      </c>
      <c r="G210" s="803" t="s">
        <v>335</v>
      </c>
      <c r="H210" s="803" t="s">
        <v>335</v>
      </c>
      <c r="I210" s="803" t="s">
        <v>335</v>
      </c>
      <c r="J210" s="803" t="s">
        <v>335</v>
      </c>
      <c r="K210" s="803" t="s">
        <v>335</v>
      </c>
      <c r="L210" s="803" t="s">
        <v>335</v>
      </c>
      <c r="M210" s="803" t="s">
        <v>335</v>
      </c>
      <c r="N210" s="804" t="s">
        <v>335</v>
      </c>
      <c r="O210" s="802" t="s">
        <v>335</v>
      </c>
      <c r="P210" s="803" t="s">
        <v>335</v>
      </c>
      <c r="Q210" s="803" t="s">
        <v>335</v>
      </c>
      <c r="R210" s="805">
        <f>320*7.4*N209</f>
        <v>4475520</v>
      </c>
      <c r="S210" s="806">
        <f>R210</f>
        <v>4475520</v>
      </c>
      <c r="T210" s="1386" t="s">
        <v>335</v>
      </c>
      <c r="U210" s="807" t="s">
        <v>335</v>
      </c>
      <c r="V210" s="808" t="s">
        <v>335</v>
      </c>
      <c r="W210" s="599">
        <v>307692</v>
      </c>
      <c r="X210" s="599">
        <v>0</v>
      </c>
      <c r="Y210" s="599">
        <v>0</v>
      </c>
      <c r="Z210" s="599">
        <v>0</v>
      </c>
      <c r="AA210" s="598">
        <f>W210+Y210</f>
        <v>307692</v>
      </c>
      <c r="AB210" s="599">
        <f>X210+Z210</f>
        <v>0</v>
      </c>
      <c r="AC210" s="526">
        <f>AB210/R210</f>
        <v>0</v>
      </c>
      <c r="AD210" s="637">
        <v>0</v>
      </c>
      <c r="AE210" s="637">
        <v>0</v>
      </c>
      <c r="AF210" s="637">
        <v>0</v>
      </c>
      <c r="AG210" s="637">
        <v>0</v>
      </c>
      <c r="AH210" s="638">
        <f>AD210+AF210</f>
        <v>0</v>
      </c>
      <c r="AI210" s="637">
        <f>AE210+AG210</f>
        <v>0</v>
      </c>
      <c r="AJ210" s="550">
        <f>AI210/S210</f>
        <v>0</v>
      </c>
      <c r="AK210" s="809" t="s">
        <v>335</v>
      </c>
      <c r="AL210" s="788" t="s">
        <v>335</v>
      </c>
      <c r="AM210" s="788" t="s">
        <v>335</v>
      </c>
      <c r="AN210" s="789" t="s">
        <v>335</v>
      </c>
      <c r="AO210" s="810">
        <v>307692</v>
      </c>
      <c r="AP210" s="811"/>
      <c r="AQ210" s="811"/>
      <c r="AR210" s="811"/>
      <c r="AS210" s="811">
        <f>AO210+AQ210</f>
        <v>307692</v>
      </c>
      <c r="AT210" s="812">
        <f>AP210+AR210</f>
        <v>0</v>
      </c>
      <c r="AU210" s="734">
        <v>307692</v>
      </c>
      <c r="AV210" s="813"/>
      <c r="AW210" s="813">
        <v>0</v>
      </c>
      <c r="AX210" s="813"/>
      <c r="AY210" s="813">
        <f>AU210+AW210</f>
        <v>307692</v>
      </c>
      <c r="AZ210" s="814">
        <f>AV210+AX210</f>
        <v>0</v>
      </c>
      <c r="BA210" s="95" t="s">
        <v>335</v>
      </c>
      <c r="BB210" s="93" t="s">
        <v>335</v>
      </c>
      <c r="BC210" s="611">
        <f>W210+AO210</f>
        <v>615384</v>
      </c>
      <c r="BD210" s="598">
        <f>X210+AP210</f>
        <v>0</v>
      </c>
      <c r="BE210" s="598">
        <f>Y210+AQ210</f>
        <v>0</v>
      </c>
      <c r="BF210" s="598">
        <f>Z210+AR210</f>
        <v>0</v>
      </c>
      <c r="BG210" s="598">
        <f>AA210+AS210</f>
        <v>615384</v>
      </c>
      <c r="BH210" s="598">
        <f>AB210+AT210</f>
        <v>0</v>
      </c>
      <c r="BI210" s="600">
        <f>BH210/R210</f>
        <v>0</v>
      </c>
      <c r="BJ210" s="609">
        <f>AD210+AU210</f>
        <v>307692</v>
      </c>
      <c r="BK210" s="613">
        <f>AE210+AV210</f>
        <v>0</v>
      </c>
      <c r="BL210" s="613">
        <f t="shared" si="1304"/>
        <v>0</v>
      </c>
      <c r="BM210" s="613">
        <f t="shared" si="1304"/>
        <v>0</v>
      </c>
      <c r="BN210" s="613">
        <f t="shared" si="1304"/>
        <v>307692</v>
      </c>
      <c r="BO210" s="613">
        <f t="shared" si="1304"/>
        <v>0</v>
      </c>
      <c r="BP210" s="772">
        <f>BO210/S210</f>
        <v>0</v>
      </c>
      <c r="BQ210" s="92" t="s">
        <v>335</v>
      </c>
      <c r="BR210" s="1078" t="s">
        <v>335</v>
      </c>
      <c r="BS210" s="1078" t="s">
        <v>335</v>
      </c>
      <c r="BT210" s="946" t="s">
        <v>335</v>
      </c>
      <c r="BU210" s="1389">
        <f>307692-BU191</f>
        <v>307692</v>
      </c>
      <c r="BV210" s="1390">
        <v>0</v>
      </c>
      <c r="BW210" s="1390"/>
      <c r="BX210" s="1390"/>
      <c r="BY210" s="1390">
        <f>BU210+BW210</f>
        <v>307692</v>
      </c>
      <c r="BZ210" s="1391">
        <f>BV210+BX210</f>
        <v>0</v>
      </c>
      <c r="CA210" s="639">
        <f>BU210</f>
        <v>307692</v>
      </c>
      <c r="CB210" s="1392"/>
      <c r="CC210" s="1392"/>
      <c r="CD210" s="1392"/>
      <c r="CE210" s="1392">
        <f>CA210+CC210</f>
        <v>307692</v>
      </c>
      <c r="CF210" s="814">
        <f>CB210+CD210</f>
        <v>0</v>
      </c>
      <c r="CG210" s="90" t="s">
        <v>335</v>
      </c>
      <c r="CH210" s="91" t="s">
        <v>335</v>
      </c>
      <c r="CI210" s="611">
        <f t="shared" ref="CI210:CN210" si="1311">BC210+BU210</f>
        <v>923076</v>
      </c>
      <c r="CJ210" s="598">
        <f t="shared" si="1311"/>
        <v>0</v>
      </c>
      <c r="CK210" s="598">
        <f t="shared" si="1311"/>
        <v>0</v>
      </c>
      <c r="CL210" s="598">
        <f t="shared" si="1311"/>
        <v>0</v>
      </c>
      <c r="CM210" s="598">
        <f t="shared" si="1311"/>
        <v>923076</v>
      </c>
      <c r="CN210" s="598">
        <f t="shared" si="1311"/>
        <v>0</v>
      </c>
      <c r="CO210" s="600">
        <f>CN210/R210</f>
        <v>0</v>
      </c>
      <c r="CP210" s="612">
        <f t="shared" si="1306"/>
        <v>615384</v>
      </c>
      <c r="CQ210" s="613">
        <f t="shared" si="1306"/>
        <v>0</v>
      </c>
      <c r="CR210" s="613">
        <f t="shared" si="1306"/>
        <v>0</v>
      </c>
      <c r="CS210" s="613">
        <f t="shared" si="1306"/>
        <v>0</v>
      </c>
      <c r="CT210" s="613">
        <f t="shared" si="1306"/>
        <v>615384</v>
      </c>
      <c r="CU210" s="613">
        <f t="shared" si="1306"/>
        <v>0</v>
      </c>
      <c r="CV210" s="614">
        <f>CU210/S210</f>
        <v>0</v>
      </c>
      <c r="CW210" s="92" t="s">
        <v>335</v>
      </c>
      <c r="CX210" s="1078" t="s">
        <v>335</v>
      </c>
      <c r="CY210" s="1078" t="s">
        <v>335</v>
      </c>
      <c r="CZ210" s="946" t="s">
        <v>335</v>
      </c>
      <c r="DA210" s="1389"/>
      <c r="DB210" s="1390"/>
      <c r="DC210" s="1390"/>
      <c r="DD210" s="1390"/>
      <c r="DE210" s="1390">
        <f>DA210+DC210</f>
        <v>0</v>
      </c>
      <c r="DF210" s="1391">
        <f>DB210+DD210</f>
        <v>0</v>
      </c>
      <c r="DG210" s="639">
        <f>DA210</f>
        <v>0</v>
      </c>
      <c r="DH210" s="1392"/>
      <c r="DI210" s="1392"/>
      <c r="DJ210" s="1392"/>
      <c r="DK210" s="1392">
        <f>DG210+DI210</f>
        <v>0</v>
      </c>
      <c r="DL210" s="814">
        <f>DH210+DJ210</f>
        <v>0</v>
      </c>
      <c r="DM210" s="90" t="s">
        <v>335</v>
      </c>
      <c r="DN210" s="91" t="s">
        <v>335</v>
      </c>
      <c r="DO210" s="611">
        <f t="shared" si="969"/>
        <v>923076</v>
      </c>
      <c r="DP210" s="598">
        <f t="shared" si="970"/>
        <v>0</v>
      </c>
      <c r="DQ210" s="598">
        <f t="shared" si="971"/>
        <v>0</v>
      </c>
      <c r="DR210" s="598">
        <f t="shared" si="972"/>
        <v>0</v>
      </c>
      <c r="DS210" s="598">
        <f t="shared" si="973"/>
        <v>923076</v>
      </c>
      <c r="DT210" s="598">
        <f t="shared" si="974"/>
        <v>0</v>
      </c>
      <c r="DU210" s="600">
        <f>DT210/R210</f>
        <v>0</v>
      </c>
      <c r="DV210" s="612">
        <f t="shared" si="1307"/>
        <v>615384</v>
      </c>
      <c r="DW210" s="613">
        <f t="shared" si="1307"/>
        <v>0</v>
      </c>
      <c r="DX210" s="613">
        <f t="shared" si="1307"/>
        <v>0</v>
      </c>
      <c r="DY210" s="613">
        <f t="shared" si="1307"/>
        <v>0</v>
      </c>
      <c r="DZ210" s="613">
        <f t="shared" si="977"/>
        <v>615384</v>
      </c>
      <c r="EA210" s="613">
        <f t="shared" si="978"/>
        <v>0</v>
      </c>
      <c r="EB210" s="614">
        <f>EA210/S210</f>
        <v>0</v>
      </c>
      <c r="EC210" s="1490" t="s">
        <v>335</v>
      </c>
      <c r="ED210" s="1500" t="s">
        <v>335</v>
      </c>
      <c r="EE210" s="1078" t="s">
        <v>335</v>
      </c>
      <c r="EF210" s="946" t="s">
        <v>335</v>
      </c>
      <c r="EG210" s="1389"/>
      <c r="EH210" s="1390"/>
      <c r="EI210" s="1390"/>
      <c r="EJ210" s="1390"/>
      <c r="EK210" s="1390">
        <f>EG210+EI210</f>
        <v>0</v>
      </c>
      <c r="EL210" s="1391">
        <f>EH210+EJ210</f>
        <v>0</v>
      </c>
      <c r="EM210" s="639"/>
      <c r="EN210" s="1392"/>
      <c r="EO210" s="1392"/>
      <c r="EP210" s="1392"/>
      <c r="EQ210" s="1392">
        <f t="shared" si="1301"/>
        <v>0</v>
      </c>
      <c r="ER210" s="1468">
        <f t="shared" si="1301"/>
        <v>0</v>
      </c>
      <c r="ES210" s="1469" t="s">
        <v>335</v>
      </c>
      <c r="ET210" s="1467" t="s">
        <v>335</v>
      </c>
      <c r="EU210" s="611">
        <f t="shared" si="868"/>
        <v>923076</v>
      </c>
      <c r="EV210" s="598">
        <f t="shared" si="1166"/>
        <v>0</v>
      </c>
      <c r="EW210" s="598">
        <f t="shared" si="1167"/>
        <v>0</v>
      </c>
      <c r="EX210" s="598">
        <f t="shared" si="1168"/>
        <v>0</v>
      </c>
      <c r="EY210" s="598">
        <f>EK210+DS210</f>
        <v>923076</v>
      </c>
      <c r="EZ210" s="598">
        <f>EL210+DT210</f>
        <v>0</v>
      </c>
      <c r="FA210" s="600">
        <f>EZ210/R210</f>
        <v>0</v>
      </c>
      <c r="FB210" s="612">
        <f t="shared" si="1308"/>
        <v>615384</v>
      </c>
      <c r="FC210" s="613">
        <f t="shared" si="1308"/>
        <v>0</v>
      </c>
      <c r="FD210" s="613">
        <f t="shared" si="1308"/>
        <v>0</v>
      </c>
      <c r="FE210" s="613">
        <f t="shared" si="1308"/>
        <v>0</v>
      </c>
      <c r="FF210" s="613">
        <f t="shared" si="1308"/>
        <v>615384</v>
      </c>
      <c r="FG210" s="613">
        <f t="shared" si="1308"/>
        <v>0</v>
      </c>
      <c r="FH210" s="614">
        <f t="shared" si="869"/>
        <v>0</v>
      </c>
      <c r="FI210" s="92" t="s">
        <v>335</v>
      </c>
      <c r="FJ210" s="1500" t="s">
        <v>335</v>
      </c>
      <c r="FK210" s="1078" t="s">
        <v>335</v>
      </c>
      <c r="FL210" s="946" t="s">
        <v>335</v>
      </c>
      <c r="FM210" s="1389"/>
      <c r="FN210" s="1390"/>
      <c r="FO210" s="1390"/>
      <c r="FP210" s="1390"/>
      <c r="FQ210" s="1390">
        <f>FM210+FO210</f>
        <v>0</v>
      </c>
      <c r="FR210" s="1391">
        <f>FN210+FP210</f>
        <v>0</v>
      </c>
      <c r="FS210" s="639"/>
      <c r="FT210" s="1392"/>
      <c r="FU210" s="1392"/>
      <c r="FV210" s="1392"/>
      <c r="FW210" s="1392">
        <f t="shared" si="1302"/>
        <v>0</v>
      </c>
      <c r="FX210" s="1468">
        <f t="shared" si="1302"/>
        <v>0</v>
      </c>
      <c r="FY210" s="1469" t="s">
        <v>335</v>
      </c>
      <c r="FZ210" s="1467" t="s">
        <v>335</v>
      </c>
      <c r="GA210" s="611">
        <f t="shared" si="1309"/>
        <v>923076</v>
      </c>
      <c r="GB210" s="598">
        <f t="shared" si="1309"/>
        <v>0</v>
      </c>
      <c r="GC210" s="598">
        <f t="shared" si="1309"/>
        <v>0</v>
      </c>
      <c r="GD210" s="598">
        <f t="shared" si="1309"/>
        <v>0</v>
      </c>
      <c r="GE210" s="598">
        <f t="shared" si="1309"/>
        <v>923076</v>
      </c>
      <c r="GF210" s="598">
        <f t="shared" si="1309"/>
        <v>0</v>
      </c>
      <c r="GG210" s="600">
        <f t="shared" si="1176"/>
        <v>0</v>
      </c>
      <c r="GH210" s="612">
        <f>FB210+FS210</f>
        <v>615384</v>
      </c>
      <c r="GI210" s="613">
        <f>FC210+FT210</f>
        <v>0</v>
      </c>
      <c r="GJ210" s="613">
        <f t="shared" si="1310"/>
        <v>0</v>
      </c>
      <c r="GK210" s="613">
        <f t="shared" si="1310"/>
        <v>0</v>
      </c>
      <c r="GL210" s="613">
        <f t="shared" si="1310"/>
        <v>615384</v>
      </c>
      <c r="GM210" s="613">
        <f t="shared" si="1310"/>
        <v>0</v>
      </c>
      <c r="GN210" s="614">
        <f t="shared" si="1022"/>
        <v>0</v>
      </c>
      <c r="GO210" s="92" t="s">
        <v>335</v>
      </c>
      <c r="GP210" s="1500" t="s">
        <v>335</v>
      </c>
      <c r="GQ210" s="1078" t="s">
        <v>335</v>
      </c>
      <c r="GR210" s="946" t="s">
        <v>335</v>
      </c>
      <c r="GS210" s="1389">
        <v>307692</v>
      </c>
      <c r="GT210" s="1390"/>
      <c r="GU210" s="1390"/>
      <c r="GV210" s="1390"/>
      <c r="GW210" s="1390">
        <f>GS210+GU210</f>
        <v>307692</v>
      </c>
      <c r="GX210" s="1391">
        <f>GT210+GV210</f>
        <v>0</v>
      </c>
      <c r="GY210" s="639">
        <f>GS210</f>
        <v>307692</v>
      </c>
      <c r="GZ210" s="1392">
        <v>0</v>
      </c>
      <c r="HA210" s="1392"/>
      <c r="HB210" s="1392">
        <v>0</v>
      </c>
      <c r="HC210" s="1392">
        <f t="shared" si="1285"/>
        <v>307692</v>
      </c>
      <c r="HD210" s="1468">
        <f t="shared" si="1286"/>
        <v>0</v>
      </c>
      <c r="HE210" s="1698" t="s">
        <v>335</v>
      </c>
      <c r="HF210" s="1467" t="s">
        <v>335</v>
      </c>
      <c r="HG210" s="611">
        <f t="shared" si="1182"/>
        <v>1230768</v>
      </c>
      <c r="HH210" s="598">
        <f t="shared" si="1183"/>
        <v>0</v>
      </c>
      <c r="HI210" s="598">
        <f t="shared" si="1184"/>
        <v>0</v>
      </c>
      <c r="HJ210" s="598">
        <f t="shared" si="1185"/>
        <v>0</v>
      </c>
      <c r="HK210" s="598">
        <f t="shared" si="1186"/>
        <v>1230768</v>
      </c>
      <c r="HL210" s="598">
        <f t="shared" si="1187"/>
        <v>0</v>
      </c>
      <c r="HM210" s="600">
        <f>HL210/R210</f>
        <v>0</v>
      </c>
      <c r="HN210" s="612">
        <f>GH210+GY210</f>
        <v>923076</v>
      </c>
      <c r="HO210" s="613">
        <f>GI210+GZ210</f>
        <v>0</v>
      </c>
      <c r="HP210" s="613">
        <f t="shared" si="1190"/>
        <v>0</v>
      </c>
      <c r="HQ210" s="613">
        <f t="shared" si="1191"/>
        <v>0</v>
      </c>
      <c r="HR210" s="613">
        <f t="shared" si="1192"/>
        <v>923076</v>
      </c>
      <c r="HS210" s="613">
        <f t="shared" si="1193"/>
        <v>0</v>
      </c>
      <c r="HT210" s="614">
        <f>HS210/S210</f>
        <v>0</v>
      </c>
      <c r="HU210" s="92" t="s">
        <v>335</v>
      </c>
    </row>
    <row r="211" spans="1:229" s="101" customFormat="1" ht="30" customHeight="1" thickBot="1" x14ac:dyDescent="0.25">
      <c r="A211" s="3674"/>
      <c r="B211" s="3675"/>
      <c r="C211" s="755" t="s">
        <v>479</v>
      </c>
      <c r="D211" s="781" t="e">
        <f>#REF!</f>
        <v>#REF!</v>
      </c>
      <c r="E211" s="818">
        <f>E163+E173+E209</f>
        <v>41</v>
      </c>
      <c r="F211" s="816">
        <f>F163+F173+F209</f>
        <v>4712.8900000000003</v>
      </c>
      <c r="G211" s="817">
        <f>F211/E211</f>
        <v>114.94853658536586</v>
      </c>
      <c r="H211" s="818">
        <f>H163+H173+H209</f>
        <v>0</v>
      </c>
      <c r="I211" s="816">
        <f>I163+I173+I209</f>
        <v>0</v>
      </c>
      <c r="J211" s="1147">
        <f>IF(I211&gt;0,I211/H211,0)</f>
        <v>0</v>
      </c>
      <c r="K211" s="818">
        <f>K163+K173+K209</f>
        <v>0</v>
      </c>
      <c r="L211" s="816">
        <f>L163+L173+L209</f>
        <v>0</v>
      </c>
      <c r="M211" s="1147">
        <f>IF(L211&gt;0,L211/K211,0)</f>
        <v>0</v>
      </c>
      <c r="N211" s="816">
        <f>N163+N173+N209</f>
        <v>4712.8900000000003</v>
      </c>
      <c r="O211" s="755" t="s">
        <v>335</v>
      </c>
      <c r="P211" s="755" t="s">
        <v>335</v>
      </c>
      <c r="Q211" s="755" t="s">
        <v>335</v>
      </c>
      <c r="R211" s="816">
        <f>R163+R168+R173+R191+R209+R210</f>
        <v>14105229.360000001</v>
      </c>
      <c r="S211" s="816">
        <f>S163+S168+S173+S191+S209+S210</f>
        <v>14105229.360000001</v>
      </c>
      <c r="T211" s="816">
        <f>T163+T173+T209</f>
        <v>5114027.93</v>
      </c>
      <c r="U211" s="816">
        <f>U163+U173+U209</f>
        <v>606242.09</v>
      </c>
      <c r="V211" s="816">
        <f>V163+V173+V209</f>
        <v>606242.09000000008</v>
      </c>
      <c r="W211" s="816">
        <f t="shared" ref="W211:AB211" si="1312">W163+W168+W173+W191+W209+W210</f>
        <v>3426036.24</v>
      </c>
      <c r="X211" s="816">
        <f t="shared" si="1312"/>
        <v>2916648.37</v>
      </c>
      <c r="Y211" s="816">
        <f t="shared" si="1312"/>
        <v>0</v>
      </c>
      <c r="Z211" s="816">
        <f t="shared" si="1312"/>
        <v>0</v>
      </c>
      <c r="AA211" s="816">
        <f t="shared" si="1312"/>
        <v>3426036.24</v>
      </c>
      <c r="AB211" s="816">
        <f t="shared" si="1312"/>
        <v>2916648.37</v>
      </c>
      <c r="AC211" s="621">
        <f>AB211/R211</f>
        <v>0.20677780527774417</v>
      </c>
      <c r="AD211" s="816">
        <f t="shared" ref="AD211:AI211" si="1313">AD163+AD168+AD173+AD191+AD209+AD210</f>
        <v>2718822.85</v>
      </c>
      <c r="AE211" s="816">
        <f t="shared" si="1313"/>
        <v>2194375.58</v>
      </c>
      <c r="AF211" s="816">
        <f t="shared" si="1313"/>
        <v>917512.33000000007</v>
      </c>
      <c r="AG211" s="816">
        <f t="shared" si="1313"/>
        <v>606242.09000000008</v>
      </c>
      <c r="AH211" s="816">
        <f t="shared" si="1313"/>
        <v>3636335.18</v>
      </c>
      <c r="AI211" s="816">
        <f t="shared" si="1313"/>
        <v>2800617.67</v>
      </c>
      <c r="AJ211" s="621">
        <f>AI211/S211</f>
        <v>0.19855172847752967</v>
      </c>
      <c r="AK211" s="1387" t="s">
        <v>335</v>
      </c>
      <c r="AL211" s="816">
        <f>AL163+AL173+AL209</f>
        <v>261800.55</v>
      </c>
      <c r="AM211" s="816">
        <f>AM163+AM173+AM209</f>
        <v>84558.48000000001</v>
      </c>
      <c r="AN211" s="816">
        <f>AN163+AN173+AN209</f>
        <v>84558.48000000001</v>
      </c>
      <c r="AO211" s="816">
        <f t="shared" ref="AO211:AZ211" si="1314">AO163+AO168+AO173+AO191+AO209+AO210</f>
        <v>569492.55000000005</v>
      </c>
      <c r="AP211" s="816">
        <f t="shared" si="1314"/>
        <v>132009.79</v>
      </c>
      <c r="AQ211" s="816">
        <f t="shared" si="1314"/>
        <v>0</v>
      </c>
      <c r="AR211" s="816">
        <f t="shared" si="1314"/>
        <v>0</v>
      </c>
      <c r="AS211" s="816">
        <f t="shared" si="1314"/>
        <v>569492.55000000005</v>
      </c>
      <c r="AT211" s="816">
        <f t="shared" si="1314"/>
        <v>132009.79</v>
      </c>
      <c r="AU211" s="816">
        <f t="shared" si="1314"/>
        <v>307692</v>
      </c>
      <c r="AV211" s="816">
        <f t="shared" si="1314"/>
        <v>0</v>
      </c>
      <c r="AW211" s="816">
        <f t="shared" si="1314"/>
        <v>261800.55</v>
      </c>
      <c r="AX211" s="816">
        <f t="shared" si="1314"/>
        <v>84558.48000000001</v>
      </c>
      <c r="AY211" s="816">
        <f t="shared" si="1314"/>
        <v>569492.55000000005</v>
      </c>
      <c r="AZ211" s="816">
        <f t="shared" si="1314"/>
        <v>84558.48000000001</v>
      </c>
      <c r="BA211" s="816">
        <f>BA163+BA173+BA209</f>
        <v>690800.57000000007</v>
      </c>
      <c r="BB211" s="816">
        <f>BB163+BB173+BB209</f>
        <v>690800.57000000007</v>
      </c>
      <c r="BC211" s="816">
        <f t="shared" ref="BC211:BH211" si="1315">BC163+BC168+BC173+BC191+BC209+BC210</f>
        <v>3995528.79</v>
      </c>
      <c r="BD211" s="816">
        <f t="shared" si="1315"/>
        <v>3048658.16</v>
      </c>
      <c r="BE211" s="816">
        <f t="shared" si="1315"/>
        <v>0</v>
      </c>
      <c r="BF211" s="816">
        <f t="shared" si="1315"/>
        <v>0</v>
      </c>
      <c r="BG211" s="816">
        <f t="shared" si="1315"/>
        <v>3995528.79</v>
      </c>
      <c r="BH211" s="816">
        <f t="shared" si="1315"/>
        <v>3048658.16</v>
      </c>
      <c r="BI211" s="782">
        <f>BH211/R211</f>
        <v>0.21613673072523507</v>
      </c>
      <c r="BJ211" s="816">
        <f t="shared" ref="BJ211:BO211" si="1316">BJ163+BJ168+BJ173+BJ191+BJ209+BJ210</f>
        <v>3026514.85</v>
      </c>
      <c r="BK211" s="816">
        <f t="shared" si="1316"/>
        <v>2194375.58</v>
      </c>
      <c r="BL211" s="816">
        <f t="shared" si="1316"/>
        <v>1179312.8800000001</v>
      </c>
      <c r="BM211" s="816">
        <f t="shared" si="1316"/>
        <v>690800.57000000007</v>
      </c>
      <c r="BN211" s="816">
        <f t="shared" si="1316"/>
        <v>4205827.7300000004</v>
      </c>
      <c r="BO211" s="816">
        <f t="shared" si="1316"/>
        <v>2885176.1500000004</v>
      </c>
      <c r="BP211" s="1273">
        <f>BO211/S211</f>
        <v>0.20454656045380323</v>
      </c>
      <c r="BQ211" s="1388" t="s">
        <v>335</v>
      </c>
      <c r="BR211" s="816">
        <f>BR163+BR173+BR209</f>
        <v>261800.55000000002</v>
      </c>
      <c r="BS211" s="816">
        <f>BS163+BS173+BS209</f>
        <v>56106.19</v>
      </c>
      <c r="BT211" s="816">
        <f>BT163+BT173+BT209</f>
        <v>56106.19</v>
      </c>
      <c r="BU211" s="816">
        <f t="shared" ref="BU211:CF211" si="1317">BU163+BU168+BU173+BU191+BU209+BU210</f>
        <v>569492.55000000005</v>
      </c>
      <c r="BV211" s="816">
        <f t="shared" si="1317"/>
        <v>56106.19</v>
      </c>
      <c r="BW211" s="816">
        <f t="shared" si="1317"/>
        <v>0</v>
      </c>
      <c r="BX211" s="816">
        <f t="shared" si="1317"/>
        <v>0</v>
      </c>
      <c r="BY211" s="816">
        <f t="shared" si="1317"/>
        <v>569492.55000000005</v>
      </c>
      <c r="BZ211" s="816">
        <f t="shared" si="1317"/>
        <v>56106.19</v>
      </c>
      <c r="CA211" s="816">
        <f t="shared" si="1317"/>
        <v>307692</v>
      </c>
      <c r="CB211" s="816">
        <f t="shared" si="1317"/>
        <v>0</v>
      </c>
      <c r="CC211" s="816">
        <f t="shared" si="1317"/>
        <v>261800.55000000002</v>
      </c>
      <c r="CD211" s="816">
        <f t="shared" si="1317"/>
        <v>56106.19</v>
      </c>
      <c r="CE211" s="816">
        <f t="shared" si="1317"/>
        <v>569492.55000000005</v>
      </c>
      <c r="CF211" s="816">
        <f t="shared" si="1317"/>
        <v>56106.19</v>
      </c>
      <c r="CG211" s="816">
        <f>CG163+CG173+CG209</f>
        <v>746906.76</v>
      </c>
      <c r="CH211" s="816">
        <f>CH163+CH173+CH209</f>
        <v>746906.76</v>
      </c>
      <c r="CI211" s="816">
        <f t="shared" ref="CI211:CN211" si="1318">CI163+CI168+CI173+CI191+CI209+CI210</f>
        <v>4565021.34</v>
      </c>
      <c r="CJ211" s="816">
        <f t="shared" si="1318"/>
        <v>3104764.35</v>
      </c>
      <c r="CK211" s="816">
        <f t="shared" si="1318"/>
        <v>0</v>
      </c>
      <c r="CL211" s="816">
        <f t="shared" si="1318"/>
        <v>0</v>
      </c>
      <c r="CM211" s="816">
        <f t="shared" si="1318"/>
        <v>4565021.34</v>
      </c>
      <c r="CN211" s="816">
        <f t="shared" si="1318"/>
        <v>3104764.35</v>
      </c>
      <c r="CO211" s="649">
        <f>CN211/R211</f>
        <v>0.22011441790550224</v>
      </c>
      <c r="CP211" s="816">
        <f t="shared" ref="CP211:CU211" si="1319">CP163+CP168+CP173+CP191+CP209+CP210</f>
        <v>3334206.85</v>
      </c>
      <c r="CQ211" s="816">
        <f t="shared" si="1319"/>
        <v>2194375.58</v>
      </c>
      <c r="CR211" s="816">
        <f t="shared" si="1319"/>
        <v>1441113.4300000002</v>
      </c>
      <c r="CS211" s="816">
        <f t="shared" si="1319"/>
        <v>746906.76</v>
      </c>
      <c r="CT211" s="816">
        <f t="shared" si="1319"/>
        <v>4775320.28</v>
      </c>
      <c r="CU211" s="816">
        <f t="shared" si="1319"/>
        <v>2941282.34</v>
      </c>
      <c r="CV211" s="649">
        <f>CU211/S211</f>
        <v>0.20852424763407035</v>
      </c>
      <c r="CW211" s="759" t="s">
        <v>335</v>
      </c>
      <c r="CX211" s="816">
        <f>CX163+CX173+CX209</f>
        <v>249753.25</v>
      </c>
      <c r="CY211" s="816">
        <f>CY163+CY173+CY209</f>
        <v>111710.02</v>
      </c>
      <c r="CZ211" s="816">
        <f>CZ163+CZ173+CZ209</f>
        <v>111710.02</v>
      </c>
      <c r="DA211" s="816">
        <f t="shared" ref="DA211:DL211" si="1320">DA163+DA168+DA173+DA191+DA209+DA210</f>
        <v>249753.25</v>
      </c>
      <c r="DB211" s="816">
        <f t="shared" si="1320"/>
        <v>399416.79</v>
      </c>
      <c r="DC211" s="816">
        <f t="shared" si="1320"/>
        <v>0</v>
      </c>
      <c r="DD211" s="816">
        <f t="shared" si="1320"/>
        <v>0</v>
      </c>
      <c r="DE211" s="816">
        <f t="shared" si="1320"/>
        <v>249753.25</v>
      </c>
      <c r="DF211" s="816">
        <f t="shared" si="1320"/>
        <v>399416.79</v>
      </c>
      <c r="DG211" s="816">
        <f t="shared" si="1320"/>
        <v>307692</v>
      </c>
      <c r="DH211" s="816">
        <f t="shared" si="1320"/>
        <v>275307.90999999997</v>
      </c>
      <c r="DI211" s="816">
        <f t="shared" si="1320"/>
        <v>249753.25</v>
      </c>
      <c r="DJ211" s="816">
        <f t="shared" si="1320"/>
        <v>111710.02</v>
      </c>
      <c r="DK211" s="816">
        <f t="shared" si="1320"/>
        <v>557445.25</v>
      </c>
      <c r="DL211" s="816">
        <f t="shared" si="1320"/>
        <v>387017.93</v>
      </c>
      <c r="DM211" s="816">
        <f>DM163+DM173+DM209</f>
        <v>858616.78</v>
      </c>
      <c r="DN211" s="816">
        <f>DN163+DN173+DN209</f>
        <v>858616.78</v>
      </c>
      <c r="DO211" s="816">
        <f t="shared" ref="DO211:DT211" si="1321">DO163+DO168+DO173+DO191+DO209+DO210</f>
        <v>4814774.59</v>
      </c>
      <c r="DP211" s="816">
        <f t="shared" si="1321"/>
        <v>3504181.1399999997</v>
      </c>
      <c r="DQ211" s="816">
        <f t="shared" si="1321"/>
        <v>0</v>
      </c>
      <c r="DR211" s="816">
        <f t="shared" si="1321"/>
        <v>0</v>
      </c>
      <c r="DS211" s="816">
        <f t="shared" si="1321"/>
        <v>4814774.59</v>
      </c>
      <c r="DT211" s="816">
        <f t="shared" si="1321"/>
        <v>3504181.1399999997</v>
      </c>
      <c r="DU211" s="649">
        <f>DT211/R211</f>
        <v>0.24843134773385914</v>
      </c>
      <c r="DV211" s="816">
        <f t="shared" ref="DV211:EA211" si="1322">DV163+DV168+DV173+DV191+DV209+DV210</f>
        <v>3641898.85</v>
      </c>
      <c r="DW211" s="816">
        <f t="shared" si="1322"/>
        <v>2469683.4899999998</v>
      </c>
      <c r="DX211" s="816">
        <f t="shared" si="1322"/>
        <v>1690866.6800000002</v>
      </c>
      <c r="DY211" s="816">
        <f t="shared" si="1322"/>
        <v>858616.78</v>
      </c>
      <c r="DZ211" s="816">
        <f t="shared" si="1322"/>
        <v>5332765.53</v>
      </c>
      <c r="EA211" s="816">
        <f t="shared" si="1322"/>
        <v>3328300.27</v>
      </c>
      <c r="EB211" s="649">
        <f>EA211/S211</f>
        <v>0.23596215169946019</v>
      </c>
      <c r="EC211" s="759" t="s">
        <v>335</v>
      </c>
      <c r="ED211" s="816">
        <f>ED163+ED173+ED209</f>
        <v>273848.84999999998</v>
      </c>
      <c r="EE211" s="816">
        <f>EE163+EE173+EE209</f>
        <v>0</v>
      </c>
      <c r="EF211" s="816">
        <f>EF163+EF173+EF209</f>
        <v>0</v>
      </c>
      <c r="EG211" s="816">
        <f t="shared" ref="EG211:ER211" si="1323">EG163+EG168+EG173+EG191+EG209+EG210</f>
        <v>569492.54999999993</v>
      </c>
      <c r="EH211" s="816">
        <f t="shared" si="1323"/>
        <v>0</v>
      </c>
      <c r="EI211" s="816">
        <f t="shared" si="1323"/>
        <v>0</v>
      </c>
      <c r="EJ211" s="816">
        <f t="shared" si="1323"/>
        <v>0</v>
      </c>
      <c r="EK211" s="816">
        <f t="shared" si="1323"/>
        <v>569492.54999999993</v>
      </c>
      <c r="EL211" s="816">
        <f t="shared" si="1323"/>
        <v>0</v>
      </c>
      <c r="EM211" s="816">
        <f t="shared" si="1323"/>
        <v>307692</v>
      </c>
      <c r="EN211" s="816">
        <f t="shared" si="1323"/>
        <v>590660.84</v>
      </c>
      <c r="EO211" s="816">
        <f t="shared" si="1323"/>
        <v>168662.19999999998</v>
      </c>
      <c r="EP211" s="816">
        <f t="shared" si="1323"/>
        <v>0</v>
      </c>
      <c r="EQ211" s="816">
        <f t="shared" si="1323"/>
        <v>476354.19999999995</v>
      </c>
      <c r="ER211" s="816">
        <f t="shared" si="1323"/>
        <v>590660.84</v>
      </c>
      <c r="ES211" s="1470">
        <f>ES163+ES173+ES209</f>
        <v>858616.78</v>
      </c>
      <c r="ET211" s="816">
        <f>ET163+ET173+ET209</f>
        <v>858616.78</v>
      </c>
      <c r="EU211" s="816">
        <f t="shared" ref="EU211:EZ211" si="1324">EU163+EU168+EU173+EU191+EU209+EU210</f>
        <v>5384267.1400000006</v>
      </c>
      <c r="EV211" s="816">
        <f t="shared" si="1324"/>
        <v>3504181.1399999997</v>
      </c>
      <c r="EW211" s="816">
        <f t="shared" si="1324"/>
        <v>0</v>
      </c>
      <c r="EX211" s="816">
        <f t="shared" si="1324"/>
        <v>0</v>
      </c>
      <c r="EY211" s="816">
        <f t="shared" si="1324"/>
        <v>5384267.1400000006</v>
      </c>
      <c r="EZ211" s="816">
        <f t="shared" si="1324"/>
        <v>3504181.1399999997</v>
      </c>
      <c r="FA211" s="1134">
        <f>EZ211/R211</f>
        <v>0.24843134773385914</v>
      </c>
      <c r="FB211" s="1474">
        <f t="shared" ref="FB211:FG211" si="1325">FB163+FB168+FB173+FB191+FB209+FB210</f>
        <v>3949590.85</v>
      </c>
      <c r="FC211" s="1475">
        <f t="shared" si="1325"/>
        <v>3060344.33</v>
      </c>
      <c r="FD211" s="1475">
        <f t="shared" si="1325"/>
        <v>1859528.8800000001</v>
      </c>
      <c r="FE211" s="1475">
        <f t="shared" si="1325"/>
        <v>858616.78</v>
      </c>
      <c r="FF211" s="1475">
        <f t="shared" si="1325"/>
        <v>5809119.7300000004</v>
      </c>
      <c r="FG211" s="1475">
        <f t="shared" si="1325"/>
        <v>3918961.1100000003</v>
      </c>
      <c r="FH211" s="1506">
        <f t="shared" si="869"/>
        <v>0.27783746084367111</v>
      </c>
      <c r="FI211" s="759" t="s">
        <v>335</v>
      </c>
      <c r="FJ211" s="816">
        <f>FJ163+FJ173+FJ209</f>
        <v>261800.55</v>
      </c>
      <c r="FK211" s="816">
        <f>FK163+FK173+FK209</f>
        <v>164481.15</v>
      </c>
      <c r="FL211" s="816">
        <f>FL163+FL173+FL209</f>
        <v>164481.15</v>
      </c>
      <c r="FM211" s="816">
        <f t="shared" ref="FM211:FX211" si="1326">FM163+FM168+FM173+FM191+FM209+FM210</f>
        <v>569492.55000000005</v>
      </c>
      <c r="FN211" s="816">
        <f t="shared" si="1326"/>
        <v>755141.99</v>
      </c>
      <c r="FO211" s="816">
        <f t="shared" si="1326"/>
        <v>0</v>
      </c>
      <c r="FP211" s="816">
        <f t="shared" si="1326"/>
        <v>0</v>
      </c>
      <c r="FQ211" s="816">
        <f t="shared" si="1326"/>
        <v>569492.55000000005</v>
      </c>
      <c r="FR211" s="816">
        <f t="shared" si="1326"/>
        <v>755141.99</v>
      </c>
      <c r="FS211" s="816">
        <f t="shared" si="1326"/>
        <v>307692</v>
      </c>
      <c r="FT211" s="1612">
        <f t="shared" si="1326"/>
        <v>113565.99</v>
      </c>
      <c r="FU211" s="816">
        <f t="shared" si="1326"/>
        <v>156614.9</v>
      </c>
      <c r="FV211" s="816">
        <f t="shared" si="1326"/>
        <v>164481.15</v>
      </c>
      <c r="FW211" s="816">
        <f t="shared" si="1326"/>
        <v>464306.9</v>
      </c>
      <c r="FX211" s="816">
        <f t="shared" si="1326"/>
        <v>278047.14</v>
      </c>
      <c r="FY211" s="1470">
        <f>FY163+FY173+FY209</f>
        <v>1023097.93</v>
      </c>
      <c r="FZ211" s="816">
        <f>FZ163+FZ173+FZ209</f>
        <v>1023097.9300000002</v>
      </c>
      <c r="GA211" s="816">
        <f t="shared" ref="GA211:GF211" si="1327">GA163+GA168+GA173+GA191+GA209+GA210</f>
        <v>5953759.6900000004</v>
      </c>
      <c r="GB211" s="816">
        <f t="shared" si="1327"/>
        <v>4259323.1300000008</v>
      </c>
      <c r="GC211" s="816">
        <f t="shared" si="1327"/>
        <v>0</v>
      </c>
      <c r="GD211" s="816">
        <f t="shared" si="1327"/>
        <v>0</v>
      </c>
      <c r="GE211" s="816">
        <f t="shared" si="1327"/>
        <v>5953759.6900000004</v>
      </c>
      <c r="GF211" s="816">
        <f t="shared" si="1327"/>
        <v>4259323.1300000008</v>
      </c>
      <c r="GG211" s="1504">
        <f>GF211/R211</f>
        <v>0.30196766187146923</v>
      </c>
      <c r="GH211" s="1474">
        <f t="shared" ref="GH211:GM211" si="1328">GH163+GH168+GH173+GH191+GH209+GH210</f>
        <v>4257282.8499999996</v>
      </c>
      <c r="GI211" s="1475">
        <f t="shared" si="1328"/>
        <v>3173910.3200000003</v>
      </c>
      <c r="GJ211" s="1475">
        <f t="shared" si="1328"/>
        <v>2016143.78</v>
      </c>
      <c r="GK211" s="1475">
        <f t="shared" si="1328"/>
        <v>1023097.9300000002</v>
      </c>
      <c r="GL211" s="1475">
        <f t="shared" si="1328"/>
        <v>6273426.6299999999</v>
      </c>
      <c r="GM211" s="1475">
        <f t="shared" si="1328"/>
        <v>4197008.25</v>
      </c>
      <c r="GN211" s="1505">
        <f>GM211/S211</f>
        <v>0.2975498053156081</v>
      </c>
      <c r="GO211" s="759" t="s">
        <v>335</v>
      </c>
      <c r="GP211" s="816">
        <f>GP163+GP173+GP209</f>
        <v>261800.55</v>
      </c>
      <c r="GQ211" s="816">
        <f>GQ163+GQ173+GQ209</f>
        <v>130351.73999999999</v>
      </c>
      <c r="GR211" s="816">
        <f>GR163+GR173+GR209</f>
        <v>130351.73999999999</v>
      </c>
      <c r="GS211" s="816">
        <f t="shared" ref="GS211:HD211" si="1329">GS163+GS168+GS173+GS191+GS209+GS210</f>
        <v>569492.55000000005</v>
      </c>
      <c r="GT211" s="816">
        <f t="shared" si="1329"/>
        <v>130351.73999999999</v>
      </c>
      <c r="GU211" s="816">
        <f t="shared" si="1329"/>
        <v>0</v>
      </c>
      <c r="GV211" s="816">
        <f t="shared" si="1329"/>
        <v>0</v>
      </c>
      <c r="GW211" s="816">
        <f t="shared" si="1329"/>
        <v>569492.55000000005</v>
      </c>
      <c r="GX211" s="816">
        <f t="shared" si="1329"/>
        <v>130351.73999999999</v>
      </c>
      <c r="GY211" s="816">
        <f t="shared" si="1329"/>
        <v>307692</v>
      </c>
      <c r="GZ211" s="1147">
        <f t="shared" si="1329"/>
        <v>125728.63</v>
      </c>
      <c r="HA211" s="816">
        <f t="shared" si="1329"/>
        <v>261800.55</v>
      </c>
      <c r="HB211" s="816">
        <f t="shared" si="1329"/>
        <v>130351.73999999999</v>
      </c>
      <c r="HC211" s="816">
        <f t="shared" si="1329"/>
        <v>569492.55000000005</v>
      </c>
      <c r="HD211" s="816">
        <f t="shared" si="1329"/>
        <v>256080.37</v>
      </c>
      <c r="HE211" s="1699">
        <f>HE163+HE173+HE209</f>
        <v>1153449.67</v>
      </c>
      <c r="HF211" s="816">
        <f>HF163+HF173+HF209</f>
        <v>1153449.6700000002</v>
      </c>
      <c r="HG211" s="816">
        <f t="shared" ref="HG211:HL211" si="1330">HG163+HG168+HG173+HG191+HG209+HG210</f>
        <v>6523252.2400000002</v>
      </c>
      <c r="HH211" s="816">
        <f t="shared" si="1330"/>
        <v>4389674.870000001</v>
      </c>
      <c r="HI211" s="816">
        <f t="shared" si="1330"/>
        <v>0</v>
      </c>
      <c r="HJ211" s="816">
        <f t="shared" si="1330"/>
        <v>0</v>
      </c>
      <c r="HK211" s="816">
        <f t="shared" si="1330"/>
        <v>6523252.2400000002</v>
      </c>
      <c r="HL211" s="816">
        <f t="shared" si="1330"/>
        <v>4389674.870000001</v>
      </c>
      <c r="HM211" s="1504">
        <f>HL211/R211</f>
        <v>0.31120903871640415</v>
      </c>
      <c r="HN211" s="1474">
        <f t="shared" ref="HN211:HS211" si="1331">HN163+HN168+HN173+HN191+HN209+HN210</f>
        <v>4564974.8499999996</v>
      </c>
      <c r="HO211" s="1475">
        <f t="shared" si="1331"/>
        <v>3299638.95</v>
      </c>
      <c r="HP211" s="1475">
        <f t="shared" si="1331"/>
        <v>2277944.3300000005</v>
      </c>
      <c r="HQ211" s="1475">
        <f t="shared" si="1331"/>
        <v>1153449.6700000002</v>
      </c>
      <c r="HR211" s="1475">
        <f t="shared" si="1331"/>
        <v>6842919.1799999997</v>
      </c>
      <c r="HS211" s="1475">
        <f t="shared" si="1331"/>
        <v>4453088.620000001</v>
      </c>
      <c r="HT211" s="1507">
        <f>HS211/S211</f>
        <v>0.31570480042162186</v>
      </c>
      <c r="HU211" s="759" t="s">
        <v>335</v>
      </c>
    </row>
    <row r="212" spans="1:229" ht="22.5" customHeight="1" thickBot="1" x14ac:dyDescent="0.25">
      <c r="A212" s="815"/>
      <c r="B212" s="815"/>
      <c r="C212" s="815"/>
      <c r="D212" s="820"/>
      <c r="E212" s="821"/>
      <c r="F212" s="780"/>
      <c r="G212" s="821"/>
      <c r="H212" s="821"/>
      <c r="I212" s="780"/>
      <c r="J212" s="780"/>
      <c r="K212" s="821"/>
      <c r="L212" s="780"/>
      <c r="M212" s="780"/>
      <c r="N212" s="820"/>
      <c r="O212" s="815"/>
      <c r="P212" s="815"/>
      <c r="Q212" s="815"/>
      <c r="R212" s="780"/>
      <c r="S212" s="780"/>
      <c r="T212" s="408"/>
      <c r="U212" s="761"/>
      <c r="V212" s="761"/>
      <c r="W212" s="761"/>
      <c r="X212" s="761"/>
      <c r="Y212" s="761"/>
      <c r="Z212" s="761"/>
      <c r="AA212" s="761"/>
      <c r="AB212" s="761">
        <f>AB168+AB191</f>
        <v>2310406.2799999998</v>
      </c>
      <c r="AC212" s="761"/>
      <c r="AD212" s="761"/>
      <c r="AE212" s="761"/>
      <c r="AF212" s="761"/>
      <c r="AG212" s="761"/>
      <c r="AH212" s="761"/>
      <c r="AI212" s="761"/>
      <c r="AJ212" s="762"/>
      <c r="AK212" s="763"/>
      <c r="AL212" s="764"/>
      <c r="AM212" s="764"/>
      <c r="AN212" s="764"/>
      <c r="AO212" s="764"/>
      <c r="AP212" s="764"/>
      <c r="AQ212" s="764"/>
      <c r="AR212" s="764"/>
      <c r="AS212" s="764"/>
      <c r="AT212" s="764"/>
      <c r="AU212" s="764"/>
      <c r="AV212" s="764"/>
      <c r="AW212" s="764"/>
      <c r="AX212" s="764"/>
      <c r="AY212" s="764"/>
      <c r="AZ212" s="822"/>
      <c r="BA212" s="312"/>
      <c r="BB212" s="764"/>
      <c r="BC212" s="312"/>
      <c r="BD212" s="312"/>
      <c r="BE212" s="312"/>
      <c r="BF212" s="312"/>
      <c r="BG212" s="312"/>
      <c r="BH212" s="312"/>
      <c r="BI212" s="406"/>
      <c r="BJ212" s="312"/>
      <c r="BK212" s="312"/>
      <c r="BL212" s="312"/>
      <c r="BM212" s="312"/>
      <c r="BN212" s="312"/>
      <c r="BO212" s="312"/>
      <c r="BP212" s="406"/>
      <c r="BQ212" s="407"/>
      <c r="BR212" s="764"/>
      <c r="BS212" s="764"/>
      <c r="BT212" s="764"/>
      <c r="BU212" s="764"/>
      <c r="BV212" s="764"/>
      <c r="BW212" s="764"/>
      <c r="BX212" s="764"/>
      <c r="BY212" s="764"/>
      <c r="BZ212" s="764"/>
      <c r="CA212" s="764"/>
      <c r="CB212" s="764"/>
      <c r="CC212" s="764"/>
      <c r="CD212" s="764"/>
      <c r="CE212" s="764"/>
      <c r="CF212" s="822"/>
      <c r="CG212" s="312"/>
      <c r="CH212" s="764"/>
      <c r="CI212" s="764"/>
      <c r="CJ212" s="764"/>
      <c r="CK212" s="764"/>
      <c r="CL212" s="764"/>
      <c r="CM212" s="764"/>
      <c r="CN212" s="764">
        <f>CN168+CN191</f>
        <v>2357857.59</v>
      </c>
      <c r="CO212" s="764"/>
      <c r="CP212" s="764"/>
      <c r="CQ212" s="764"/>
      <c r="CR212" s="764"/>
      <c r="CS212" s="764"/>
      <c r="CT212" s="764"/>
      <c r="CU212" s="764"/>
      <c r="CV212" s="406"/>
      <c r="CW212" s="407"/>
      <c r="CX212" s="764"/>
      <c r="CY212" s="764"/>
      <c r="CZ212" s="764"/>
      <c r="DA212" s="764"/>
      <c r="DB212" s="764"/>
      <c r="DC212" s="764"/>
      <c r="DD212" s="764"/>
      <c r="DE212" s="764"/>
      <c r="DF212" s="764"/>
      <c r="DG212" s="764"/>
      <c r="DH212" s="764"/>
      <c r="DI212" s="764"/>
      <c r="DJ212" s="764"/>
      <c r="DK212" s="764"/>
      <c r="DL212" s="822"/>
      <c r="DM212" s="312"/>
      <c r="DN212" s="764"/>
      <c r="DO212" s="764"/>
      <c r="DP212" s="764"/>
      <c r="DQ212" s="764"/>
      <c r="DR212" s="764"/>
      <c r="DS212" s="764"/>
      <c r="DT212" s="764"/>
      <c r="DU212" s="764"/>
      <c r="DV212" s="764"/>
      <c r="DW212" s="764"/>
      <c r="DX212" s="764"/>
      <c r="DY212" s="764"/>
      <c r="DZ212" s="764"/>
      <c r="EA212" s="764"/>
      <c r="EB212" s="406"/>
      <c r="EC212" s="407"/>
      <c r="ED212" s="764"/>
      <c r="EE212" s="764"/>
      <c r="EF212" s="764"/>
      <c r="EG212" s="764"/>
      <c r="EH212" s="764"/>
      <c r="EI212" s="764"/>
      <c r="EJ212" s="764"/>
      <c r="EK212" s="764"/>
      <c r="EL212" s="764"/>
      <c r="EM212" s="764"/>
      <c r="EN212" s="764"/>
      <c r="EO212" s="764"/>
      <c r="EP212" s="764"/>
      <c r="EQ212" s="764"/>
      <c r="ER212" s="822"/>
      <c r="ES212" s="312"/>
      <c r="ET212" s="764"/>
      <c r="EU212" s="764"/>
      <c r="EV212" s="764"/>
      <c r="EW212" s="764"/>
      <c r="EX212" s="764"/>
      <c r="EY212" s="764"/>
      <c r="EZ212" s="764">
        <f>EZ168+EZ191</f>
        <v>2645564.3599999994</v>
      </c>
      <c r="FA212" s="764"/>
      <c r="FB212" s="780"/>
      <c r="FC212" s="780"/>
      <c r="FD212" s="780"/>
      <c r="FE212" s="780"/>
      <c r="FF212" s="780"/>
      <c r="FG212" s="780"/>
      <c r="FH212" s="406"/>
      <c r="FI212" s="407"/>
      <c r="FJ212" s="764"/>
      <c r="FK212" s="764"/>
      <c r="FL212" s="764"/>
      <c r="FM212" s="764"/>
      <c r="FN212" s="764"/>
      <c r="FO212" s="764"/>
      <c r="FP212" s="764"/>
      <c r="FQ212" s="764"/>
      <c r="FR212" s="764"/>
      <c r="FS212" s="764"/>
      <c r="FT212" s="764"/>
      <c r="FU212" s="764"/>
      <c r="FV212" s="764"/>
      <c r="FW212" s="764"/>
      <c r="FX212" s="822"/>
      <c r="FY212" s="312"/>
      <c r="FZ212" s="764"/>
      <c r="GA212" s="764"/>
      <c r="GB212" s="764"/>
      <c r="GC212" s="764"/>
      <c r="GD212" s="764"/>
      <c r="GE212" s="764"/>
      <c r="GF212" s="764"/>
      <c r="GG212" s="764"/>
      <c r="GH212" s="780"/>
      <c r="GI212" s="780"/>
      <c r="GJ212" s="780"/>
      <c r="GK212" s="780"/>
      <c r="GL212" s="780"/>
      <c r="GM212" s="780"/>
      <c r="GN212" s="406"/>
      <c r="GO212" s="407"/>
      <c r="GP212" s="764"/>
      <c r="GQ212" s="764"/>
      <c r="GR212" s="764"/>
      <c r="GS212" s="764"/>
      <c r="GT212" s="764"/>
      <c r="GU212" s="764"/>
      <c r="GV212" s="764"/>
      <c r="GW212" s="764"/>
      <c r="GX212" s="764"/>
      <c r="GY212" s="764"/>
      <c r="GZ212" s="764"/>
      <c r="HA212" s="764"/>
      <c r="HB212" s="764"/>
      <c r="HC212" s="764"/>
      <c r="HD212" s="822"/>
      <c r="HE212" s="1700"/>
      <c r="HF212" s="764"/>
      <c r="HG212" s="764"/>
      <c r="HH212" s="764"/>
      <c r="HI212" s="764"/>
      <c r="HJ212" s="764"/>
      <c r="HK212" s="764"/>
      <c r="HL212" s="764"/>
      <c r="HM212" s="764"/>
      <c r="HN212" s="780"/>
      <c r="HO212" s="780"/>
      <c r="HP212" s="780"/>
      <c r="HQ212" s="780"/>
      <c r="HR212" s="780"/>
      <c r="HS212" s="780"/>
      <c r="HT212" s="406"/>
      <c r="HU212" s="407"/>
    </row>
    <row r="213" spans="1:229" s="102" customFormat="1" ht="30" customHeight="1" x14ac:dyDescent="0.2">
      <c r="A213" s="3669" t="s">
        <v>354</v>
      </c>
      <c r="B213" s="3694"/>
      <c r="C213" s="823" t="s">
        <v>172</v>
      </c>
      <c r="D213" s="824" t="s">
        <v>371</v>
      </c>
      <c r="E213" s="825"/>
      <c r="F213" s="704"/>
      <c r="G213" s="826"/>
      <c r="H213" s="827"/>
      <c r="I213" s="704"/>
      <c r="J213" s="704"/>
      <c r="K213" s="827"/>
      <c r="L213" s="704"/>
      <c r="M213" s="704"/>
      <c r="N213" s="828"/>
      <c r="O213" s="825"/>
      <c r="P213" s="826"/>
      <c r="Q213" s="826"/>
      <c r="R213" s="829"/>
      <c r="S213" s="830"/>
      <c r="T213" s="831">
        <f>3470799.89+3518537.76</f>
        <v>6989337.6500000004</v>
      </c>
      <c r="U213" s="832">
        <f>AB213</f>
        <v>0</v>
      </c>
      <c r="V213" s="833" t="s">
        <v>335</v>
      </c>
      <c r="W213" s="834">
        <v>0</v>
      </c>
      <c r="X213" s="835">
        <v>0</v>
      </c>
      <c r="Y213" s="835">
        <v>0</v>
      </c>
      <c r="Z213" s="835">
        <v>0</v>
      </c>
      <c r="AA213" s="836">
        <f>W213+Y213</f>
        <v>0</v>
      </c>
      <c r="AB213" s="835">
        <f>X213+Z213</f>
        <v>0</v>
      </c>
      <c r="AC213" s="837"/>
      <c r="AD213" s="838" t="s">
        <v>335</v>
      </c>
      <c r="AE213" s="839" t="s">
        <v>335</v>
      </c>
      <c r="AF213" s="839" t="s">
        <v>335</v>
      </c>
      <c r="AG213" s="839" t="s">
        <v>335</v>
      </c>
      <c r="AH213" s="839" t="s">
        <v>335</v>
      </c>
      <c r="AI213" s="839" t="s">
        <v>335</v>
      </c>
      <c r="AJ213" s="840"/>
      <c r="AK213" s="841"/>
      <c r="AL213" s="842"/>
      <c r="AM213" s="843"/>
      <c r="AN213" s="844" t="s">
        <v>335</v>
      </c>
      <c r="AO213" s="845"/>
      <c r="AP213" s="846"/>
      <c r="AQ213" s="846"/>
      <c r="AR213" s="846"/>
      <c r="AS213" s="846">
        <f>AO213+AQ213</f>
        <v>0</v>
      </c>
      <c r="AT213" s="847">
        <f>AP213+AR213</f>
        <v>0</v>
      </c>
      <c r="AU213" s="848" t="s">
        <v>335</v>
      </c>
      <c r="AV213" s="849" t="s">
        <v>335</v>
      </c>
      <c r="AW213" s="849" t="s">
        <v>335</v>
      </c>
      <c r="AX213" s="849" t="s">
        <v>335</v>
      </c>
      <c r="AY213" s="849" t="s">
        <v>335</v>
      </c>
      <c r="AZ213" s="850" t="s">
        <v>335</v>
      </c>
      <c r="BA213" s="851">
        <f t="shared" ref="BA213:BA222" si="1332">U213+AM213</f>
        <v>0</v>
      </c>
      <c r="BB213" s="833" t="s">
        <v>335</v>
      </c>
      <c r="BC213" s="835">
        <f t="shared" ref="BC213:BC221" si="1333">W213+AO213</f>
        <v>0</v>
      </c>
      <c r="BD213" s="836">
        <f t="shared" ref="BD213:BD221" si="1334">X213+AP213</f>
        <v>0</v>
      </c>
      <c r="BE213" s="836">
        <f t="shared" ref="BE213:BE221" si="1335">Y213+AQ213</f>
        <v>0</v>
      </c>
      <c r="BF213" s="836">
        <f t="shared" ref="BF213:BF221" si="1336">Z213+AR213</f>
        <v>0</v>
      </c>
      <c r="BG213" s="836">
        <f t="shared" ref="BG213:BG221" si="1337">AA213+AS213</f>
        <v>0</v>
      </c>
      <c r="BH213" s="836">
        <f t="shared" ref="BH213:BH221" si="1338">AB213+AT213</f>
        <v>0</v>
      </c>
      <c r="BI213" s="837"/>
      <c r="BJ213" s="852" t="s">
        <v>335</v>
      </c>
      <c r="BK213" s="853" t="s">
        <v>335</v>
      </c>
      <c r="BL213" s="853" t="s">
        <v>335</v>
      </c>
      <c r="BM213" s="853" t="s">
        <v>335</v>
      </c>
      <c r="BN213" s="853" t="s">
        <v>335</v>
      </c>
      <c r="BO213" s="853" t="s">
        <v>335</v>
      </c>
      <c r="BP213" s="854"/>
      <c r="BQ213" s="855"/>
      <c r="BR213" s="842"/>
      <c r="BS213" s="843"/>
      <c r="BT213" s="844" t="s">
        <v>335</v>
      </c>
      <c r="BU213" s="845"/>
      <c r="BV213" s="846"/>
      <c r="BW213" s="846"/>
      <c r="BX213" s="846"/>
      <c r="BY213" s="846">
        <f>BU213+BW213</f>
        <v>0</v>
      </c>
      <c r="BZ213" s="847">
        <f>BV213+BX213</f>
        <v>0</v>
      </c>
      <c r="CA213" s="848" t="s">
        <v>335</v>
      </c>
      <c r="CB213" s="849" t="s">
        <v>335</v>
      </c>
      <c r="CC213" s="849" t="s">
        <v>335</v>
      </c>
      <c r="CD213" s="849" t="s">
        <v>335</v>
      </c>
      <c r="CE213" s="849" t="s">
        <v>335</v>
      </c>
      <c r="CF213" s="850" t="s">
        <v>335</v>
      </c>
      <c r="CG213" s="851">
        <f t="shared" ref="CG213:CG222" si="1339">BA213+BS213</f>
        <v>0</v>
      </c>
      <c r="CH213" s="833" t="s">
        <v>335</v>
      </c>
      <c r="CI213" s="866">
        <f t="shared" ref="CI213:CN214" si="1340">BC213+BU213</f>
        <v>0</v>
      </c>
      <c r="CJ213" s="868">
        <f t="shared" si="1340"/>
        <v>0</v>
      </c>
      <c r="CK213" s="868">
        <f t="shared" si="1340"/>
        <v>0</v>
      </c>
      <c r="CL213" s="868">
        <f t="shared" si="1340"/>
        <v>0</v>
      </c>
      <c r="CM213" s="868">
        <f t="shared" si="1340"/>
        <v>0</v>
      </c>
      <c r="CN213" s="868">
        <f t="shared" si="1340"/>
        <v>0</v>
      </c>
      <c r="CO213" s="837"/>
      <c r="CP213" s="852" t="s">
        <v>335</v>
      </c>
      <c r="CQ213" s="853" t="s">
        <v>335</v>
      </c>
      <c r="CR213" s="853" t="s">
        <v>335</v>
      </c>
      <c r="CS213" s="853" t="s">
        <v>335</v>
      </c>
      <c r="CT213" s="853" t="s">
        <v>335</v>
      </c>
      <c r="CU213" s="853" t="s">
        <v>335</v>
      </c>
      <c r="CV213" s="854"/>
      <c r="CW213" s="855"/>
      <c r="CX213" s="842"/>
      <c r="CY213" s="843"/>
      <c r="CZ213" s="844" t="s">
        <v>335</v>
      </c>
      <c r="DA213" s="845"/>
      <c r="DB213" s="846"/>
      <c r="DC213" s="846"/>
      <c r="DD213" s="846"/>
      <c r="DE213" s="846">
        <f>DA213+DC213</f>
        <v>0</v>
      </c>
      <c r="DF213" s="847">
        <f>DB213+DD213</f>
        <v>0</v>
      </c>
      <c r="DG213" s="848" t="s">
        <v>335</v>
      </c>
      <c r="DH213" s="849" t="s">
        <v>335</v>
      </c>
      <c r="DI213" s="849" t="s">
        <v>335</v>
      </c>
      <c r="DJ213" s="849" t="s">
        <v>335</v>
      </c>
      <c r="DK213" s="849" t="s">
        <v>335</v>
      </c>
      <c r="DL213" s="850" t="s">
        <v>335</v>
      </c>
      <c r="DM213" s="851">
        <f t="shared" ref="DM213:DM222" si="1341">CG213+CY213</f>
        <v>0</v>
      </c>
      <c r="DN213" s="833" t="s">
        <v>335</v>
      </c>
      <c r="DO213" s="866">
        <f t="shared" ref="DO213:DT214" si="1342">CI213+DA213</f>
        <v>0</v>
      </c>
      <c r="DP213" s="868">
        <f t="shared" si="1342"/>
        <v>0</v>
      </c>
      <c r="DQ213" s="868">
        <f t="shared" si="1342"/>
        <v>0</v>
      </c>
      <c r="DR213" s="868">
        <f t="shared" si="1342"/>
        <v>0</v>
      </c>
      <c r="DS213" s="868">
        <f t="shared" si="1342"/>
        <v>0</v>
      </c>
      <c r="DT213" s="868">
        <f t="shared" si="1342"/>
        <v>0</v>
      </c>
      <c r="DU213" s="837"/>
      <c r="DV213" s="852" t="s">
        <v>335</v>
      </c>
      <c r="DW213" s="853" t="s">
        <v>335</v>
      </c>
      <c r="DX213" s="853" t="s">
        <v>335</v>
      </c>
      <c r="DY213" s="853" t="s">
        <v>335</v>
      </c>
      <c r="DZ213" s="853" t="s">
        <v>335</v>
      </c>
      <c r="EA213" s="853" t="s">
        <v>335</v>
      </c>
      <c r="EB213" s="854"/>
      <c r="EC213" s="855"/>
      <c r="ED213" s="842"/>
      <c r="EE213" s="843"/>
      <c r="EF213" s="844" t="s">
        <v>335</v>
      </c>
      <c r="EG213" s="845"/>
      <c r="EH213" s="846"/>
      <c r="EI213" s="846"/>
      <c r="EJ213" s="846"/>
      <c r="EK213" s="846">
        <f>EG213+EI213</f>
        <v>0</v>
      </c>
      <c r="EL213" s="847">
        <f>EH213+EJ213</f>
        <v>0</v>
      </c>
      <c r="EM213" s="848" t="s">
        <v>335</v>
      </c>
      <c r="EN213" s="849" t="s">
        <v>335</v>
      </c>
      <c r="EO213" s="849" t="s">
        <v>335</v>
      </c>
      <c r="EP213" s="849" t="s">
        <v>335</v>
      </c>
      <c r="EQ213" s="849" t="s">
        <v>335</v>
      </c>
      <c r="ER213" s="850" t="s">
        <v>335</v>
      </c>
      <c r="ES213" s="1460">
        <f>DM213+EE213</f>
        <v>0</v>
      </c>
      <c r="ET213" s="833" t="s">
        <v>335</v>
      </c>
      <c r="EU213" s="834">
        <f>EG213+DO213</f>
        <v>0</v>
      </c>
      <c r="EV213" s="836">
        <f t="shared" ref="EV213:EZ214" si="1343">EH213+DP213</f>
        <v>0</v>
      </c>
      <c r="EW213" s="836">
        <f t="shared" si="1343"/>
        <v>0</v>
      </c>
      <c r="EX213" s="836">
        <f t="shared" si="1343"/>
        <v>0</v>
      </c>
      <c r="EY213" s="836">
        <f t="shared" si="1343"/>
        <v>0</v>
      </c>
      <c r="EZ213" s="836">
        <f t="shared" si="1343"/>
        <v>0</v>
      </c>
      <c r="FA213" s="837"/>
      <c r="FB213" s="1149" t="s">
        <v>335</v>
      </c>
      <c r="FC213" s="853" t="s">
        <v>335</v>
      </c>
      <c r="FD213" s="853" t="s">
        <v>335</v>
      </c>
      <c r="FE213" s="853" t="s">
        <v>335</v>
      </c>
      <c r="FF213" s="853" t="s">
        <v>335</v>
      </c>
      <c r="FG213" s="853" t="s">
        <v>335</v>
      </c>
      <c r="FH213" s="1161"/>
      <c r="FI213" s="855"/>
      <c r="FJ213" s="842"/>
      <c r="FK213" s="843"/>
      <c r="FL213" s="844" t="s">
        <v>335</v>
      </c>
      <c r="FM213" s="845"/>
      <c r="FN213" s="846"/>
      <c r="FO213" s="846"/>
      <c r="FP213" s="846"/>
      <c r="FQ213" s="846">
        <f>FM213+FO213</f>
        <v>0</v>
      </c>
      <c r="FR213" s="847">
        <f>FN213+FP213</f>
        <v>0</v>
      </c>
      <c r="FS213" s="848" t="s">
        <v>335</v>
      </c>
      <c r="FT213" s="849" t="s">
        <v>335</v>
      </c>
      <c r="FU213" s="849" t="s">
        <v>335</v>
      </c>
      <c r="FV213" s="849" t="s">
        <v>335</v>
      </c>
      <c r="FW213" s="849" t="s">
        <v>335</v>
      </c>
      <c r="FX213" s="850" t="s">
        <v>335</v>
      </c>
      <c r="FY213" s="1460">
        <f>ES213+FK213</f>
        <v>0</v>
      </c>
      <c r="FZ213" s="833" t="s">
        <v>335</v>
      </c>
      <c r="GA213" s="834">
        <f t="shared" ref="GA213:GF214" si="1344">FM213+EU213</f>
        <v>0</v>
      </c>
      <c r="GB213" s="836">
        <f t="shared" si="1344"/>
        <v>0</v>
      </c>
      <c r="GC213" s="836">
        <f t="shared" si="1344"/>
        <v>0</v>
      </c>
      <c r="GD213" s="836">
        <f t="shared" si="1344"/>
        <v>0</v>
      </c>
      <c r="GE213" s="836">
        <f t="shared" si="1344"/>
        <v>0</v>
      </c>
      <c r="GF213" s="836">
        <f t="shared" si="1344"/>
        <v>0</v>
      </c>
      <c r="GG213" s="837"/>
      <c r="GH213" s="1149" t="s">
        <v>335</v>
      </c>
      <c r="GI213" s="853" t="s">
        <v>335</v>
      </c>
      <c r="GJ213" s="853" t="s">
        <v>335</v>
      </c>
      <c r="GK213" s="853" t="s">
        <v>335</v>
      </c>
      <c r="GL213" s="853" t="s">
        <v>335</v>
      </c>
      <c r="GM213" s="853" t="s">
        <v>335</v>
      </c>
      <c r="GN213" s="1161"/>
      <c r="GO213" s="855"/>
      <c r="GP213" s="842"/>
      <c r="GQ213" s="843"/>
      <c r="GR213" s="844" t="s">
        <v>335</v>
      </c>
      <c r="GS213" s="845"/>
      <c r="GT213" s="846"/>
      <c r="GU213" s="846"/>
      <c r="GV213" s="846"/>
      <c r="GW213" s="846">
        <f>GS213+GU213</f>
        <v>0</v>
      </c>
      <c r="GX213" s="847">
        <f>GT213+GV213</f>
        <v>0</v>
      </c>
      <c r="GY213" s="848" t="s">
        <v>335</v>
      </c>
      <c r="GZ213" s="849" t="s">
        <v>335</v>
      </c>
      <c r="HA213" s="849" t="s">
        <v>335</v>
      </c>
      <c r="HB213" s="849" t="s">
        <v>335</v>
      </c>
      <c r="HC213" s="849" t="s">
        <v>335</v>
      </c>
      <c r="HD213" s="850" t="s">
        <v>335</v>
      </c>
      <c r="HE213" s="1701">
        <f>FY213+GQ213</f>
        <v>0</v>
      </c>
      <c r="HF213" s="833" t="s">
        <v>335</v>
      </c>
      <c r="HG213" s="834">
        <f t="shared" ref="HG213:HL214" si="1345">GS213+GA213</f>
        <v>0</v>
      </c>
      <c r="HH213" s="836">
        <f t="shared" si="1345"/>
        <v>0</v>
      </c>
      <c r="HI213" s="836">
        <f t="shared" si="1345"/>
        <v>0</v>
      </c>
      <c r="HJ213" s="836">
        <f t="shared" si="1345"/>
        <v>0</v>
      </c>
      <c r="HK213" s="836">
        <f t="shared" si="1345"/>
        <v>0</v>
      </c>
      <c r="HL213" s="836">
        <f t="shared" si="1345"/>
        <v>0</v>
      </c>
      <c r="HM213" s="837"/>
      <c r="HN213" s="1149" t="s">
        <v>335</v>
      </c>
      <c r="HO213" s="853" t="s">
        <v>335</v>
      </c>
      <c r="HP213" s="853" t="s">
        <v>335</v>
      </c>
      <c r="HQ213" s="853" t="s">
        <v>335</v>
      </c>
      <c r="HR213" s="853" t="s">
        <v>335</v>
      </c>
      <c r="HS213" s="853" t="s">
        <v>335</v>
      </c>
      <c r="HT213" s="1161"/>
      <c r="HU213" s="855"/>
    </row>
    <row r="214" spans="1:229" s="102" customFormat="1" ht="30" customHeight="1" x14ac:dyDescent="0.2">
      <c r="A214" s="3671"/>
      <c r="B214" s="3695"/>
      <c r="C214" s="856" t="s">
        <v>173</v>
      </c>
      <c r="D214" s="857" t="s">
        <v>372</v>
      </c>
      <c r="E214" s="858"/>
      <c r="F214" s="340"/>
      <c r="G214" s="859"/>
      <c r="H214" s="860"/>
      <c r="I214" s="340"/>
      <c r="J214" s="340"/>
      <c r="K214" s="860"/>
      <c r="L214" s="340"/>
      <c r="M214" s="340"/>
      <c r="N214" s="861"/>
      <c r="O214" s="858"/>
      <c r="P214" s="859"/>
      <c r="Q214" s="859"/>
      <c r="R214" s="859"/>
      <c r="S214" s="862"/>
      <c r="T214" s="863">
        <f>-19660193.59*22/122+19660193.59</f>
        <v>16114912.778688524</v>
      </c>
      <c r="U214" s="864">
        <f>AB214</f>
        <v>0</v>
      </c>
      <c r="V214" s="865" t="s">
        <v>335</v>
      </c>
      <c r="W214" s="866">
        <v>0</v>
      </c>
      <c r="X214" s="867">
        <v>0</v>
      </c>
      <c r="Y214" s="867">
        <v>0</v>
      </c>
      <c r="Z214" s="867">
        <v>0</v>
      </c>
      <c r="AA214" s="868">
        <f>W214+Y214</f>
        <v>0</v>
      </c>
      <c r="AB214" s="867">
        <f>X214+Z214</f>
        <v>0</v>
      </c>
      <c r="AC214" s="869"/>
      <c r="AD214" s="870" t="s">
        <v>335</v>
      </c>
      <c r="AE214" s="839" t="s">
        <v>335</v>
      </c>
      <c r="AF214" s="839" t="s">
        <v>335</v>
      </c>
      <c r="AG214" s="839" t="s">
        <v>335</v>
      </c>
      <c r="AH214" s="839" t="s">
        <v>335</v>
      </c>
      <c r="AI214" s="839" t="s">
        <v>335</v>
      </c>
      <c r="AJ214" s="840"/>
      <c r="AK214" s="871"/>
      <c r="AL214" s="872"/>
      <c r="AM214" s="843"/>
      <c r="AN214" s="873" t="s">
        <v>335</v>
      </c>
      <c r="AO214" s="874"/>
      <c r="AP214" s="875"/>
      <c r="AQ214" s="875"/>
      <c r="AR214" s="875"/>
      <c r="AS214" s="846">
        <f>AO214+AQ214</f>
        <v>0</v>
      </c>
      <c r="AT214" s="847">
        <f>AP214+AR214</f>
        <v>0</v>
      </c>
      <c r="AU214" s="848" t="s">
        <v>335</v>
      </c>
      <c r="AV214" s="849" t="s">
        <v>335</v>
      </c>
      <c r="AW214" s="849" t="s">
        <v>335</v>
      </c>
      <c r="AX214" s="849" t="s">
        <v>335</v>
      </c>
      <c r="AY214" s="849" t="s">
        <v>335</v>
      </c>
      <c r="AZ214" s="850" t="s">
        <v>335</v>
      </c>
      <c r="BA214" s="876">
        <f t="shared" si="1332"/>
        <v>0</v>
      </c>
      <c r="BB214" s="865" t="s">
        <v>335</v>
      </c>
      <c r="BC214" s="877">
        <f t="shared" si="1333"/>
        <v>0</v>
      </c>
      <c r="BD214" s="878">
        <f t="shared" si="1334"/>
        <v>0</v>
      </c>
      <c r="BE214" s="878">
        <f t="shared" si="1335"/>
        <v>0</v>
      </c>
      <c r="BF214" s="878">
        <f t="shared" si="1336"/>
        <v>0</v>
      </c>
      <c r="BG214" s="878">
        <f t="shared" si="1337"/>
        <v>0</v>
      </c>
      <c r="BH214" s="878">
        <f t="shared" si="1338"/>
        <v>0</v>
      </c>
      <c r="BI214" s="879"/>
      <c r="BJ214" s="880" t="s">
        <v>335</v>
      </c>
      <c r="BK214" s="881" t="s">
        <v>335</v>
      </c>
      <c r="BL214" s="881" t="s">
        <v>335</v>
      </c>
      <c r="BM214" s="881" t="s">
        <v>335</v>
      </c>
      <c r="BN214" s="881" t="s">
        <v>335</v>
      </c>
      <c r="BO214" s="881" t="s">
        <v>335</v>
      </c>
      <c r="BP214" s="882"/>
      <c r="BQ214" s="883"/>
      <c r="BR214" s="872"/>
      <c r="BS214" s="843"/>
      <c r="BT214" s="873" t="s">
        <v>335</v>
      </c>
      <c r="BU214" s="874"/>
      <c r="BV214" s="875"/>
      <c r="BW214" s="875"/>
      <c r="BX214" s="875"/>
      <c r="BY214" s="846">
        <f>BU214+BW214</f>
        <v>0</v>
      </c>
      <c r="BZ214" s="847">
        <f>BV214+BX214</f>
        <v>0</v>
      </c>
      <c r="CA214" s="848" t="s">
        <v>335</v>
      </c>
      <c r="CB214" s="849" t="s">
        <v>335</v>
      </c>
      <c r="CC214" s="849" t="s">
        <v>335</v>
      </c>
      <c r="CD214" s="849" t="s">
        <v>335</v>
      </c>
      <c r="CE214" s="849" t="s">
        <v>335</v>
      </c>
      <c r="CF214" s="850" t="s">
        <v>335</v>
      </c>
      <c r="CG214" s="876">
        <f t="shared" si="1339"/>
        <v>0</v>
      </c>
      <c r="CH214" s="865" t="s">
        <v>335</v>
      </c>
      <c r="CI214" s="866">
        <f t="shared" si="1340"/>
        <v>0</v>
      </c>
      <c r="CJ214" s="868">
        <f t="shared" si="1340"/>
        <v>0</v>
      </c>
      <c r="CK214" s="868">
        <f t="shared" si="1340"/>
        <v>0</v>
      </c>
      <c r="CL214" s="868">
        <f t="shared" si="1340"/>
        <v>0</v>
      </c>
      <c r="CM214" s="868">
        <f t="shared" si="1340"/>
        <v>0</v>
      </c>
      <c r="CN214" s="868">
        <f t="shared" si="1340"/>
        <v>0</v>
      </c>
      <c r="CO214" s="879"/>
      <c r="CP214" s="880" t="s">
        <v>335</v>
      </c>
      <c r="CQ214" s="881" t="s">
        <v>335</v>
      </c>
      <c r="CR214" s="881" t="s">
        <v>335</v>
      </c>
      <c r="CS214" s="881" t="s">
        <v>335</v>
      </c>
      <c r="CT214" s="881" t="s">
        <v>335</v>
      </c>
      <c r="CU214" s="881" t="s">
        <v>335</v>
      </c>
      <c r="CV214" s="882"/>
      <c r="CW214" s="883"/>
      <c r="CX214" s="872"/>
      <c r="CY214" s="843"/>
      <c r="CZ214" s="873" t="s">
        <v>335</v>
      </c>
      <c r="DA214" s="874"/>
      <c r="DB214" s="875"/>
      <c r="DC214" s="875"/>
      <c r="DD214" s="875"/>
      <c r="DE214" s="846">
        <f>DA214+DC214</f>
        <v>0</v>
      </c>
      <c r="DF214" s="847">
        <f>DB214+DD214</f>
        <v>0</v>
      </c>
      <c r="DG214" s="848" t="s">
        <v>335</v>
      </c>
      <c r="DH214" s="849" t="s">
        <v>335</v>
      </c>
      <c r="DI214" s="849" t="s">
        <v>335</v>
      </c>
      <c r="DJ214" s="849" t="s">
        <v>335</v>
      </c>
      <c r="DK214" s="849" t="s">
        <v>335</v>
      </c>
      <c r="DL214" s="850" t="s">
        <v>335</v>
      </c>
      <c r="DM214" s="876">
        <f t="shared" si="1341"/>
        <v>0</v>
      </c>
      <c r="DN214" s="865" t="s">
        <v>335</v>
      </c>
      <c r="DO214" s="866">
        <f t="shared" si="1342"/>
        <v>0</v>
      </c>
      <c r="DP214" s="868">
        <f t="shared" si="1342"/>
        <v>0</v>
      </c>
      <c r="DQ214" s="868">
        <f t="shared" si="1342"/>
        <v>0</v>
      </c>
      <c r="DR214" s="868">
        <f t="shared" si="1342"/>
        <v>0</v>
      </c>
      <c r="DS214" s="868">
        <f t="shared" si="1342"/>
        <v>0</v>
      </c>
      <c r="DT214" s="868">
        <f t="shared" si="1342"/>
        <v>0</v>
      </c>
      <c r="DU214" s="879"/>
      <c r="DV214" s="880" t="s">
        <v>335</v>
      </c>
      <c r="DW214" s="881" t="s">
        <v>335</v>
      </c>
      <c r="DX214" s="881" t="s">
        <v>335</v>
      </c>
      <c r="DY214" s="881" t="s">
        <v>335</v>
      </c>
      <c r="DZ214" s="881" t="s">
        <v>335</v>
      </c>
      <c r="EA214" s="881" t="s">
        <v>335</v>
      </c>
      <c r="EB214" s="882"/>
      <c r="EC214" s="883"/>
      <c r="ED214" s="872"/>
      <c r="EE214" s="843"/>
      <c r="EF214" s="873" t="s">
        <v>335</v>
      </c>
      <c r="EG214" s="874"/>
      <c r="EH214" s="875"/>
      <c r="EI214" s="875"/>
      <c r="EJ214" s="875"/>
      <c r="EK214" s="846">
        <f>EG214+EI214</f>
        <v>0</v>
      </c>
      <c r="EL214" s="847">
        <f>EH214+EJ214</f>
        <v>0</v>
      </c>
      <c r="EM214" s="848" t="s">
        <v>335</v>
      </c>
      <c r="EN214" s="849" t="s">
        <v>335</v>
      </c>
      <c r="EO214" s="849" t="s">
        <v>335</v>
      </c>
      <c r="EP214" s="849" t="s">
        <v>335</v>
      </c>
      <c r="EQ214" s="849" t="s">
        <v>335</v>
      </c>
      <c r="ER214" s="850" t="s">
        <v>335</v>
      </c>
      <c r="ES214" s="1459">
        <f>DM214+EE214</f>
        <v>0</v>
      </c>
      <c r="ET214" s="865" t="s">
        <v>335</v>
      </c>
      <c r="EU214" s="1154">
        <f>EG214+DO214</f>
        <v>0</v>
      </c>
      <c r="EV214" s="878">
        <f t="shared" si="1343"/>
        <v>0</v>
      </c>
      <c r="EW214" s="878">
        <f t="shared" si="1343"/>
        <v>0</v>
      </c>
      <c r="EX214" s="878">
        <f t="shared" si="1343"/>
        <v>0</v>
      </c>
      <c r="EY214" s="878">
        <f t="shared" si="1343"/>
        <v>0</v>
      </c>
      <c r="EZ214" s="878">
        <f t="shared" si="1343"/>
        <v>0</v>
      </c>
      <c r="FA214" s="879"/>
      <c r="FB214" s="1155" t="s">
        <v>335</v>
      </c>
      <c r="FC214" s="881" t="s">
        <v>335</v>
      </c>
      <c r="FD214" s="881" t="s">
        <v>335</v>
      </c>
      <c r="FE214" s="881" t="s">
        <v>335</v>
      </c>
      <c r="FF214" s="881" t="s">
        <v>335</v>
      </c>
      <c r="FG214" s="881" t="s">
        <v>335</v>
      </c>
      <c r="FH214" s="1450"/>
      <c r="FI214" s="883"/>
      <c r="FJ214" s="872"/>
      <c r="FK214" s="843"/>
      <c r="FL214" s="873" t="s">
        <v>335</v>
      </c>
      <c r="FM214" s="874"/>
      <c r="FN214" s="875"/>
      <c r="FO214" s="875"/>
      <c r="FP214" s="875"/>
      <c r="FQ214" s="846">
        <f>FM214+FO214</f>
        <v>0</v>
      </c>
      <c r="FR214" s="847">
        <f>FN214+FP214</f>
        <v>0</v>
      </c>
      <c r="FS214" s="848" t="s">
        <v>335</v>
      </c>
      <c r="FT214" s="849" t="s">
        <v>335</v>
      </c>
      <c r="FU214" s="849" t="s">
        <v>335</v>
      </c>
      <c r="FV214" s="849" t="s">
        <v>335</v>
      </c>
      <c r="FW214" s="849" t="s">
        <v>335</v>
      </c>
      <c r="FX214" s="850" t="s">
        <v>335</v>
      </c>
      <c r="FY214" s="1459">
        <f>ES214+FK214</f>
        <v>0</v>
      </c>
      <c r="FZ214" s="865" t="s">
        <v>335</v>
      </c>
      <c r="GA214" s="1154">
        <f t="shared" si="1344"/>
        <v>0</v>
      </c>
      <c r="GB214" s="878">
        <f t="shared" si="1344"/>
        <v>0</v>
      </c>
      <c r="GC214" s="878">
        <f t="shared" si="1344"/>
        <v>0</v>
      </c>
      <c r="GD214" s="878">
        <f t="shared" si="1344"/>
        <v>0</v>
      </c>
      <c r="GE214" s="878">
        <f t="shared" si="1344"/>
        <v>0</v>
      </c>
      <c r="GF214" s="878">
        <f t="shared" si="1344"/>
        <v>0</v>
      </c>
      <c r="GG214" s="879"/>
      <c r="GH214" s="1155" t="s">
        <v>335</v>
      </c>
      <c r="GI214" s="881" t="s">
        <v>335</v>
      </c>
      <c r="GJ214" s="881" t="s">
        <v>335</v>
      </c>
      <c r="GK214" s="881" t="s">
        <v>335</v>
      </c>
      <c r="GL214" s="881" t="s">
        <v>335</v>
      </c>
      <c r="GM214" s="881" t="s">
        <v>335</v>
      </c>
      <c r="GN214" s="1450"/>
      <c r="GO214" s="883"/>
      <c r="GP214" s="872"/>
      <c r="GQ214" s="843"/>
      <c r="GR214" s="873" t="s">
        <v>335</v>
      </c>
      <c r="GS214" s="874"/>
      <c r="GT214" s="875"/>
      <c r="GU214" s="875"/>
      <c r="GV214" s="875"/>
      <c r="GW214" s="846">
        <f>GS214+GU214</f>
        <v>0</v>
      </c>
      <c r="GX214" s="847">
        <f>GT214+GV214</f>
        <v>0</v>
      </c>
      <c r="GY214" s="848" t="s">
        <v>335</v>
      </c>
      <c r="GZ214" s="849" t="s">
        <v>335</v>
      </c>
      <c r="HA214" s="849" t="s">
        <v>335</v>
      </c>
      <c r="HB214" s="849" t="s">
        <v>335</v>
      </c>
      <c r="HC214" s="849" t="s">
        <v>335</v>
      </c>
      <c r="HD214" s="850" t="s">
        <v>335</v>
      </c>
      <c r="HE214" s="1702">
        <f>FY214+GQ214</f>
        <v>0</v>
      </c>
      <c r="HF214" s="865" t="s">
        <v>335</v>
      </c>
      <c r="HG214" s="1154">
        <f t="shared" si="1345"/>
        <v>0</v>
      </c>
      <c r="HH214" s="878">
        <f t="shared" si="1345"/>
        <v>0</v>
      </c>
      <c r="HI214" s="878">
        <f t="shared" si="1345"/>
        <v>0</v>
      </c>
      <c r="HJ214" s="878">
        <f t="shared" si="1345"/>
        <v>0</v>
      </c>
      <c r="HK214" s="878">
        <f t="shared" si="1345"/>
        <v>0</v>
      </c>
      <c r="HL214" s="878">
        <f t="shared" si="1345"/>
        <v>0</v>
      </c>
      <c r="HM214" s="879"/>
      <c r="HN214" s="1155" t="s">
        <v>335</v>
      </c>
      <c r="HO214" s="881" t="s">
        <v>335</v>
      </c>
      <c r="HP214" s="881" t="s">
        <v>335</v>
      </c>
      <c r="HQ214" s="881" t="s">
        <v>335</v>
      </c>
      <c r="HR214" s="881" t="s">
        <v>335</v>
      </c>
      <c r="HS214" s="881" t="s">
        <v>335</v>
      </c>
      <c r="HT214" s="1450"/>
      <c r="HU214" s="883"/>
    </row>
    <row r="215" spans="1:229" s="101" customFormat="1" ht="30" customHeight="1" x14ac:dyDescent="0.2">
      <c r="A215" s="3671"/>
      <c r="B215" s="3695"/>
      <c r="C215" s="884" t="s">
        <v>174</v>
      </c>
      <c r="D215" s="885" t="s">
        <v>382</v>
      </c>
      <c r="E215" s="886"/>
      <c r="F215" s="887"/>
      <c r="G215" s="888"/>
      <c r="H215" s="889"/>
      <c r="I215" s="887"/>
      <c r="J215" s="887"/>
      <c r="K215" s="889"/>
      <c r="L215" s="887"/>
      <c r="M215" s="887"/>
      <c r="N215" s="890"/>
      <c r="O215" s="886"/>
      <c r="P215" s="888"/>
      <c r="Q215" s="888"/>
      <c r="R215" s="888"/>
      <c r="S215" s="891"/>
      <c r="T215" s="892">
        <f>SUM(T213:T214)</f>
        <v>23104250.428688526</v>
      </c>
      <c r="U215" s="893">
        <f>SUM(U213:U214)</f>
        <v>0</v>
      </c>
      <c r="V215" s="894" t="s">
        <v>335</v>
      </c>
      <c r="W215" s="895">
        <f t="shared" ref="W215:AB215" si="1346">SUM(W213:W214)</f>
        <v>0</v>
      </c>
      <c r="X215" s="896">
        <f t="shared" si="1346"/>
        <v>0</v>
      </c>
      <c r="Y215" s="896">
        <f t="shared" si="1346"/>
        <v>0</v>
      </c>
      <c r="Z215" s="896">
        <f t="shared" si="1346"/>
        <v>0</v>
      </c>
      <c r="AA215" s="896">
        <f>SUM(AA213:AA214)</f>
        <v>0</v>
      </c>
      <c r="AB215" s="896">
        <f t="shared" si="1346"/>
        <v>0</v>
      </c>
      <c r="AC215" s="897"/>
      <c r="AD215" s="898" t="s">
        <v>335</v>
      </c>
      <c r="AE215" s="410" t="s">
        <v>335</v>
      </c>
      <c r="AF215" s="410" t="s">
        <v>335</v>
      </c>
      <c r="AG215" s="410" t="s">
        <v>335</v>
      </c>
      <c r="AH215" s="410" t="s">
        <v>335</v>
      </c>
      <c r="AI215" s="410" t="s">
        <v>335</v>
      </c>
      <c r="AJ215" s="899"/>
      <c r="AK215" s="900"/>
      <c r="AL215" s="901"/>
      <c r="AM215" s="902">
        <f>AT215</f>
        <v>0</v>
      </c>
      <c r="AN215" s="903" t="s">
        <v>335</v>
      </c>
      <c r="AO215" s="904">
        <f t="shared" ref="AO215:AT215" si="1347">SUM(AO213:AO214)</f>
        <v>0</v>
      </c>
      <c r="AP215" s="904">
        <f t="shared" si="1347"/>
        <v>0</v>
      </c>
      <c r="AQ215" s="904">
        <f t="shared" si="1347"/>
        <v>0</v>
      </c>
      <c r="AR215" s="904">
        <f t="shared" si="1347"/>
        <v>0</v>
      </c>
      <c r="AS215" s="904">
        <f t="shared" si="1347"/>
        <v>0</v>
      </c>
      <c r="AT215" s="905">
        <f t="shared" si="1347"/>
        <v>0</v>
      </c>
      <c r="AU215" s="906" t="s">
        <v>335</v>
      </c>
      <c r="AV215" s="412" t="s">
        <v>335</v>
      </c>
      <c r="AW215" s="412" t="s">
        <v>335</v>
      </c>
      <c r="AX215" s="412" t="s">
        <v>335</v>
      </c>
      <c r="AY215" s="412" t="s">
        <v>335</v>
      </c>
      <c r="AZ215" s="907" t="s">
        <v>335</v>
      </c>
      <c r="BA215" s="908">
        <f t="shared" si="1332"/>
        <v>0</v>
      </c>
      <c r="BB215" s="894" t="s">
        <v>335</v>
      </c>
      <c r="BC215" s="909">
        <f t="shared" si="1333"/>
        <v>0</v>
      </c>
      <c r="BD215" s="910">
        <f t="shared" si="1334"/>
        <v>0</v>
      </c>
      <c r="BE215" s="910">
        <f t="shared" si="1335"/>
        <v>0</v>
      </c>
      <c r="BF215" s="910">
        <f t="shared" si="1336"/>
        <v>0</v>
      </c>
      <c r="BG215" s="910">
        <f t="shared" si="1337"/>
        <v>0</v>
      </c>
      <c r="BH215" s="910">
        <f t="shared" si="1338"/>
        <v>0</v>
      </c>
      <c r="BI215" s="911"/>
      <c r="BJ215" s="912" t="s">
        <v>335</v>
      </c>
      <c r="BK215" s="913" t="s">
        <v>335</v>
      </c>
      <c r="BL215" s="913" t="s">
        <v>335</v>
      </c>
      <c r="BM215" s="913" t="s">
        <v>335</v>
      </c>
      <c r="BN215" s="913" t="s">
        <v>335</v>
      </c>
      <c r="BO215" s="913" t="s">
        <v>335</v>
      </c>
      <c r="BP215" s="914"/>
      <c r="BQ215" s="915"/>
      <c r="BR215" s="901"/>
      <c r="BS215" s="902">
        <f>BZ215</f>
        <v>0</v>
      </c>
      <c r="BT215" s="903" t="s">
        <v>335</v>
      </c>
      <c r="BU215" s="904">
        <f t="shared" ref="BU215:BZ215" si="1348">SUM(BU213:BU214)</f>
        <v>0</v>
      </c>
      <c r="BV215" s="904">
        <f t="shared" si="1348"/>
        <v>0</v>
      </c>
      <c r="BW215" s="904">
        <f t="shared" si="1348"/>
        <v>0</v>
      </c>
      <c r="BX215" s="904">
        <f t="shared" si="1348"/>
        <v>0</v>
      </c>
      <c r="BY215" s="904">
        <f t="shared" si="1348"/>
        <v>0</v>
      </c>
      <c r="BZ215" s="905">
        <f t="shared" si="1348"/>
        <v>0</v>
      </c>
      <c r="CA215" s="906" t="s">
        <v>335</v>
      </c>
      <c r="CB215" s="412" t="s">
        <v>335</v>
      </c>
      <c r="CC215" s="412" t="s">
        <v>335</v>
      </c>
      <c r="CD215" s="412" t="s">
        <v>335</v>
      </c>
      <c r="CE215" s="412" t="s">
        <v>335</v>
      </c>
      <c r="CF215" s="907" t="s">
        <v>335</v>
      </c>
      <c r="CG215" s="908">
        <f t="shared" si="1339"/>
        <v>0</v>
      </c>
      <c r="CH215" s="894" t="s">
        <v>335</v>
      </c>
      <c r="CI215" s="909">
        <f t="shared" ref="CI215:CN215" si="1349">SUM(CI213:CI214)</f>
        <v>0</v>
      </c>
      <c r="CJ215" s="910">
        <f t="shared" si="1349"/>
        <v>0</v>
      </c>
      <c r="CK215" s="910">
        <f t="shared" si="1349"/>
        <v>0</v>
      </c>
      <c r="CL215" s="910">
        <f t="shared" si="1349"/>
        <v>0</v>
      </c>
      <c r="CM215" s="910">
        <f t="shared" si="1349"/>
        <v>0</v>
      </c>
      <c r="CN215" s="910">
        <f t="shared" si="1349"/>
        <v>0</v>
      </c>
      <c r="CO215" s="911"/>
      <c r="CP215" s="912" t="s">
        <v>335</v>
      </c>
      <c r="CQ215" s="913" t="s">
        <v>335</v>
      </c>
      <c r="CR215" s="913" t="s">
        <v>335</v>
      </c>
      <c r="CS215" s="913" t="s">
        <v>335</v>
      </c>
      <c r="CT215" s="913" t="s">
        <v>335</v>
      </c>
      <c r="CU215" s="913" t="s">
        <v>335</v>
      </c>
      <c r="CV215" s="914"/>
      <c r="CW215" s="915"/>
      <c r="CX215" s="901"/>
      <c r="CY215" s="902">
        <f>DF215</f>
        <v>0</v>
      </c>
      <c r="CZ215" s="903" t="s">
        <v>335</v>
      </c>
      <c r="DA215" s="904">
        <f t="shared" ref="DA215:DF215" si="1350">SUM(DA213:DA214)</f>
        <v>0</v>
      </c>
      <c r="DB215" s="904">
        <f t="shared" si="1350"/>
        <v>0</v>
      </c>
      <c r="DC215" s="904">
        <f t="shared" si="1350"/>
        <v>0</v>
      </c>
      <c r="DD215" s="904">
        <f t="shared" si="1350"/>
        <v>0</v>
      </c>
      <c r="DE215" s="904">
        <f t="shared" si="1350"/>
        <v>0</v>
      </c>
      <c r="DF215" s="905">
        <f t="shared" si="1350"/>
        <v>0</v>
      </c>
      <c r="DG215" s="906" t="s">
        <v>335</v>
      </c>
      <c r="DH215" s="412" t="s">
        <v>335</v>
      </c>
      <c r="DI215" s="412" t="s">
        <v>335</v>
      </c>
      <c r="DJ215" s="412" t="s">
        <v>335</v>
      </c>
      <c r="DK215" s="412" t="s">
        <v>335</v>
      </c>
      <c r="DL215" s="907" t="s">
        <v>335</v>
      </c>
      <c r="DM215" s="908">
        <f t="shared" si="1341"/>
        <v>0</v>
      </c>
      <c r="DN215" s="894" t="s">
        <v>335</v>
      </c>
      <c r="DO215" s="909">
        <f t="shared" ref="DO215:DT215" si="1351">SUM(DO213:DO214)</f>
        <v>0</v>
      </c>
      <c r="DP215" s="910">
        <f t="shared" si="1351"/>
        <v>0</v>
      </c>
      <c r="DQ215" s="910">
        <f t="shared" si="1351"/>
        <v>0</v>
      </c>
      <c r="DR215" s="910">
        <f t="shared" si="1351"/>
        <v>0</v>
      </c>
      <c r="DS215" s="910">
        <f t="shared" si="1351"/>
        <v>0</v>
      </c>
      <c r="DT215" s="910">
        <f t="shared" si="1351"/>
        <v>0</v>
      </c>
      <c r="DU215" s="911"/>
      <c r="DV215" s="912" t="s">
        <v>335</v>
      </c>
      <c r="DW215" s="913" t="s">
        <v>335</v>
      </c>
      <c r="DX215" s="913" t="s">
        <v>335</v>
      </c>
      <c r="DY215" s="913" t="s">
        <v>335</v>
      </c>
      <c r="DZ215" s="913" t="s">
        <v>335</v>
      </c>
      <c r="EA215" s="913" t="s">
        <v>335</v>
      </c>
      <c r="EB215" s="914"/>
      <c r="EC215" s="915"/>
      <c r="ED215" s="901"/>
      <c r="EE215" s="902"/>
      <c r="EF215" s="903" t="s">
        <v>335</v>
      </c>
      <c r="EG215" s="904"/>
      <c r="EH215" s="904"/>
      <c r="EI215" s="904"/>
      <c r="EJ215" s="904"/>
      <c r="EK215" s="904">
        <f>SUM(EK213:EK214)</f>
        <v>0</v>
      </c>
      <c r="EL215" s="905">
        <f>SUM(EL213:EL214)</f>
        <v>0</v>
      </c>
      <c r="EM215" s="906" t="s">
        <v>335</v>
      </c>
      <c r="EN215" s="412" t="s">
        <v>335</v>
      </c>
      <c r="EO215" s="412" t="s">
        <v>335</v>
      </c>
      <c r="EP215" s="412" t="s">
        <v>335</v>
      </c>
      <c r="EQ215" s="412" t="s">
        <v>335</v>
      </c>
      <c r="ER215" s="907" t="s">
        <v>335</v>
      </c>
      <c r="ES215" s="876">
        <f t="shared" ref="ES215:ES222" si="1352">DM215+EE215</f>
        <v>0</v>
      </c>
      <c r="ET215" s="894" t="s">
        <v>335</v>
      </c>
      <c r="EU215" s="1471">
        <f t="shared" ref="EU215:EZ215" si="1353">SUM(EU213:EU214)</f>
        <v>0</v>
      </c>
      <c r="EV215" s="910">
        <f t="shared" si="1353"/>
        <v>0</v>
      </c>
      <c r="EW215" s="910">
        <f t="shared" si="1353"/>
        <v>0</v>
      </c>
      <c r="EX215" s="910">
        <f t="shared" si="1353"/>
        <v>0</v>
      </c>
      <c r="EY215" s="910">
        <f t="shared" si="1353"/>
        <v>0</v>
      </c>
      <c r="EZ215" s="910">
        <f t="shared" si="1353"/>
        <v>0</v>
      </c>
      <c r="FA215" s="911"/>
      <c r="FB215" s="1476" t="s">
        <v>335</v>
      </c>
      <c r="FC215" s="913" t="s">
        <v>335</v>
      </c>
      <c r="FD215" s="913" t="s">
        <v>335</v>
      </c>
      <c r="FE215" s="913" t="s">
        <v>335</v>
      </c>
      <c r="FF215" s="913" t="s">
        <v>335</v>
      </c>
      <c r="FG215" s="913" t="s">
        <v>335</v>
      </c>
      <c r="FH215" s="1477"/>
      <c r="FI215" s="915"/>
      <c r="FJ215" s="901"/>
      <c r="FK215" s="902"/>
      <c r="FL215" s="903" t="s">
        <v>335</v>
      </c>
      <c r="FM215" s="904"/>
      <c r="FN215" s="904"/>
      <c r="FO215" s="904"/>
      <c r="FP215" s="904"/>
      <c r="FQ215" s="904">
        <f>SUM(FQ213:FQ214)</f>
        <v>0</v>
      </c>
      <c r="FR215" s="905">
        <f>SUM(FR213:FR214)</f>
        <v>0</v>
      </c>
      <c r="FS215" s="906" t="s">
        <v>335</v>
      </c>
      <c r="FT215" s="412" t="s">
        <v>335</v>
      </c>
      <c r="FU215" s="412" t="s">
        <v>335</v>
      </c>
      <c r="FV215" s="412" t="s">
        <v>335</v>
      </c>
      <c r="FW215" s="412" t="s">
        <v>335</v>
      </c>
      <c r="FX215" s="907" t="s">
        <v>335</v>
      </c>
      <c r="FY215" s="876">
        <f t="shared" ref="FY215:FY222" si="1354">ES215+FK215</f>
        <v>0</v>
      </c>
      <c r="FZ215" s="894" t="s">
        <v>335</v>
      </c>
      <c r="GA215" s="1471">
        <f t="shared" ref="GA215:GF215" si="1355">SUM(GA213:GA214)</f>
        <v>0</v>
      </c>
      <c r="GB215" s="910">
        <f t="shared" si="1355"/>
        <v>0</v>
      </c>
      <c r="GC215" s="910">
        <f t="shared" si="1355"/>
        <v>0</v>
      </c>
      <c r="GD215" s="910">
        <f t="shared" si="1355"/>
        <v>0</v>
      </c>
      <c r="GE215" s="910">
        <f t="shared" si="1355"/>
        <v>0</v>
      </c>
      <c r="GF215" s="910">
        <f t="shared" si="1355"/>
        <v>0</v>
      </c>
      <c r="GG215" s="911"/>
      <c r="GH215" s="1476" t="s">
        <v>335</v>
      </c>
      <c r="GI215" s="913" t="s">
        <v>335</v>
      </c>
      <c r="GJ215" s="913" t="s">
        <v>335</v>
      </c>
      <c r="GK215" s="913" t="s">
        <v>335</v>
      </c>
      <c r="GL215" s="913" t="s">
        <v>335</v>
      </c>
      <c r="GM215" s="913" t="s">
        <v>335</v>
      </c>
      <c r="GN215" s="1477"/>
      <c r="GO215" s="915"/>
      <c r="GP215" s="901"/>
      <c r="GQ215" s="902"/>
      <c r="GR215" s="903" t="s">
        <v>335</v>
      </c>
      <c r="GS215" s="904"/>
      <c r="GT215" s="904"/>
      <c r="GU215" s="904"/>
      <c r="GV215" s="904"/>
      <c r="GW215" s="904">
        <f>SUM(GW213:GW214)</f>
        <v>0</v>
      </c>
      <c r="GX215" s="905">
        <f>SUM(GX213:GX214)</f>
        <v>0</v>
      </c>
      <c r="GY215" s="906" t="s">
        <v>335</v>
      </c>
      <c r="GZ215" s="412" t="s">
        <v>335</v>
      </c>
      <c r="HA215" s="412" t="s">
        <v>335</v>
      </c>
      <c r="HB215" s="412" t="s">
        <v>335</v>
      </c>
      <c r="HC215" s="412" t="s">
        <v>335</v>
      </c>
      <c r="HD215" s="907" t="s">
        <v>335</v>
      </c>
      <c r="HE215" s="1703">
        <f t="shared" ref="HE215:HE222" si="1356">FY215+GQ215</f>
        <v>0</v>
      </c>
      <c r="HF215" s="894" t="s">
        <v>335</v>
      </c>
      <c r="HG215" s="1471">
        <f t="shared" ref="HG215:HL215" si="1357">SUM(HG213:HG214)</f>
        <v>0</v>
      </c>
      <c r="HH215" s="910">
        <f t="shared" si="1357"/>
        <v>0</v>
      </c>
      <c r="HI215" s="910">
        <f t="shared" si="1357"/>
        <v>0</v>
      </c>
      <c r="HJ215" s="910">
        <f t="shared" si="1357"/>
        <v>0</v>
      </c>
      <c r="HK215" s="910">
        <f t="shared" si="1357"/>
        <v>0</v>
      </c>
      <c r="HL215" s="910">
        <f t="shared" si="1357"/>
        <v>0</v>
      </c>
      <c r="HM215" s="911"/>
      <c r="HN215" s="1476" t="s">
        <v>335</v>
      </c>
      <c r="HO215" s="913" t="s">
        <v>335</v>
      </c>
      <c r="HP215" s="913" t="s">
        <v>335</v>
      </c>
      <c r="HQ215" s="913" t="s">
        <v>335</v>
      </c>
      <c r="HR215" s="913" t="s">
        <v>335</v>
      </c>
      <c r="HS215" s="913" t="s">
        <v>335</v>
      </c>
      <c r="HT215" s="1477"/>
      <c r="HU215" s="915"/>
    </row>
    <row r="216" spans="1:229" s="102" customFormat="1" ht="30" customHeight="1" x14ac:dyDescent="0.2">
      <c r="A216" s="3671"/>
      <c r="B216" s="3695"/>
      <c r="C216" s="856" t="s">
        <v>355</v>
      </c>
      <c r="D216" s="857" t="s">
        <v>293</v>
      </c>
      <c r="E216" s="825"/>
      <c r="F216" s="704"/>
      <c r="G216" s="826"/>
      <c r="H216" s="827"/>
      <c r="I216" s="704"/>
      <c r="J216" s="704"/>
      <c r="K216" s="827"/>
      <c r="L216" s="704"/>
      <c r="M216" s="704"/>
      <c r="N216" s="828"/>
      <c r="O216" s="825"/>
      <c r="P216" s="826"/>
      <c r="Q216" s="826"/>
      <c r="R216" s="826"/>
      <c r="S216" s="830"/>
      <c r="T216" s="831">
        <v>11691091.369999999</v>
      </c>
      <c r="U216" s="864" t="e">
        <f>AB216</f>
        <v>#REF!</v>
      </c>
      <c r="V216" s="865" t="s">
        <v>335</v>
      </c>
      <c r="W216" s="866">
        <v>636759.29999999993</v>
      </c>
      <c r="X216" s="867" t="e">
        <f>#REF!+#REF!+#REF!+#REF!</f>
        <v>#REF!</v>
      </c>
      <c r="Y216" s="867">
        <v>0</v>
      </c>
      <c r="Z216" s="867">
        <v>0</v>
      </c>
      <c r="AA216" s="868">
        <f t="shared" ref="AA216:AB221" si="1358">W216+Y216</f>
        <v>636759.29999999993</v>
      </c>
      <c r="AB216" s="867" t="e">
        <f t="shared" si="1358"/>
        <v>#REF!</v>
      </c>
      <c r="AC216" s="869"/>
      <c r="AD216" s="1297">
        <v>0</v>
      </c>
      <c r="AE216" s="864">
        <v>0</v>
      </c>
      <c r="AF216" s="864">
        <v>0</v>
      </c>
      <c r="AG216" s="864">
        <v>0</v>
      </c>
      <c r="AH216" s="341">
        <f>AD216+AF216</f>
        <v>0</v>
      </c>
      <c r="AI216" s="864">
        <f>AE216+AG216</f>
        <v>0</v>
      </c>
      <c r="AJ216" s="1296"/>
      <c r="AK216" s="871"/>
      <c r="AL216" s="872"/>
      <c r="AM216" s="843"/>
      <c r="AN216" s="873" t="s">
        <v>335</v>
      </c>
      <c r="AO216" s="874">
        <v>60540.11</v>
      </c>
      <c r="AP216" s="875" t="e">
        <f>#REF!</f>
        <v>#REF!</v>
      </c>
      <c r="AQ216" s="875"/>
      <c r="AR216" s="875"/>
      <c r="AS216" s="846">
        <f t="shared" ref="AS216:AS221" si="1359">AO216+AQ216</f>
        <v>60540.11</v>
      </c>
      <c r="AT216" s="847" t="e">
        <f t="shared" ref="AT216:AT221" si="1360">AP216+AR216</f>
        <v>#REF!</v>
      </c>
      <c r="AU216" s="922">
        <v>0</v>
      </c>
      <c r="AV216" s="916">
        <v>0</v>
      </c>
      <c r="AW216" s="916">
        <v>0</v>
      </c>
      <c r="AX216" s="916">
        <v>0</v>
      </c>
      <c r="AY216" s="916">
        <f>AU216+AW216</f>
        <v>0</v>
      </c>
      <c r="AZ216" s="923">
        <f>AV216+AX216</f>
        <v>0</v>
      </c>
      <c r="BA216" s="876" t="e">
        <f t="shared" si="1332"/>
        <v>#REF!</v>
      </c>
      <c r="BB216" s="865" t="s">
        <v>335</v>
      </c>
      <c r="BC216" s="877">
        <f t="shared" si="1333"/>
        <v>697299.40999999992</v>
      </c>
      <c r="BD216" s="878" t="e">
        <f t="shared" si="1334"/>
        <v>#REF!</v>
      </c>
      <c r="BE216" s="878">
        <f t="shared" si="1335"/>
        <v>0</v>
      </c>
      <c r="BF216" s="878">
        <f t="shared" si="1336"/>
        <v>0</v>
      </c>
      <c r="BG216" s="878">
        <f t="shared" si="1337"/>
        <v>697299.40999999992</v>
      </c>
      <c r="BH216" s="878" t="e">
        <f t="shared" si="1338"/>
        <v>#REF!</v>
      </c>
      <c r="BI216" s="879"/>
      <c r="BJ216" s="1153">
        <f t="shared" ref="BJ216:BO216" si="1361">AD216+AU216</f>
        <v>0</v>
      </c>
      <c r="BK216" s="924">
        <f t="shared" si="1361"/>
        <v>0</v>
      </c>
      <c r="BL216" s="924">
        <f t="shared" si="1361"/>
        <v>0</v>
      </c>
      <c r="BM216" s="924">
        <f t="shared" si="1361"/>
        <v>0</v>
      </c>
      <c r="BN216" s="924">
        <f t="shared" si="1361"/>
        <v>0</v>
      </c>
      <c r="BO216" s="924">
        <f t="shared" si="1361"/>
        <v>0</v>
      </c>
      <c r="BP216" s="882"/>
      <c r="BQ216" s="883"/>
      <c r="BR216" s="872"/>
      <c r="BS216" s="916"/>
      <c r="BT216" s="873" t="s">
        <v>335</v>
      </c>
      <c r="BU216" s="874">
        <v>60540.11</v>
      </c>
      <c r="BV216" s="875" t="e">
        <f>#REF!+#REF!</f>
        <v>#REF!</v>
      </c>
      <c r="BW216" s="875"/>
      <c r="BX216" s="875"/>
      <c r="BY216" s="846">
        <f t="shared" ref="BY216:BY221" si="1362">BU216+BW216</f>
        <v>60540.11</v>
      </c>
      <c r="BZ216" s="847" t="e">
        <f t="shared" ref="BZ216:BZ221" si="1363">BV216+BX216</f>
        <v>#REF!</v>
      </c>
      <c r="CA216" s="922">
        <v>2717543.12</v>
      </c>
      <c r="CB216" s="916">
        <v>2242402.81</v>
      </c>
      <c r="CC216" s="916"/>
      <c r="CD216" s="916"/>
      <c r="CE216" s="916">
        <f>CA216+CC216</f>
        <v>2717543.12</v>
      </c>
      <c r="CF216" s="923">
        <f>CB216+CD216</f>
        <v>2242402.81</v>
      </c>
      <c r="CG216" s="876" t="e">
        <f t="shared" si="1339"/>
        <v>#REF!</v>
      </c>
      <c r="CH216" s="865" t="s">
        <v>335</v>
      </c>
      <c r="CI216" s="866">
        <f t="shared" ref="CI216:CI221" si="1364">BC216+BU216</f>
        <v>757839.5199999999</v>
      </c>
      <c r="CJ216" s="868" t="e">
        <f t="shared" ref="CJ216:CJ221" si="1365">BD216+BV216</f>
        <v>#REF!</v>
      </c>
      <c r="CK216" s="868">
        <f t="shared" ref="CK216:CK221" si="1366">BE216+BW216</f>
        <v>0</v>
      </c>
      <c r="CL216" s="868">
        <f t="shared" ref="CL216:CL221" si="1367">BF216+BX216</f>
        <v>0</v>
      </c>
      <c r="CM216" s="868">
        <f t="shared" ref="CM216:CM221" si="1368">BG216+BY216</f>
        <v>757839.5199999999</v>
      </c>
      <c r="CN216" s="868" t="e">
        <f t="shared" ref="CN216:CN221" si="1369">BH216+BZ216</f>
        <v>#REF!</v>
      </c>
      <c r="CO216" s="879"/>
      <c r="CP216" s="1153">
        <f t="shared" ref="CP216:CU216" si="1370">BJ216+CA216</f>
        <v>2717543.12</v>
      </c>
      <c r="CQ216" s="924">
        <f t="shared" si="1370"/>
        <v>2242402.81</v>
      </c>
      <c r="CR216" s="924">
        <f t="shared" si="1370"/>
        <v>0</v>
      </c>
      <c r="CS216" s="924">
        <f t="shared" si="1370"/>
        <v>0</v>
      </c>
      <c r="CT216" s="924">
        <f t="shared" si="1370"/>
        <v>2717543.12</v>
      </c>
      <c r="CU216" s="924">
        <f t="shared" si="1370"/>
        <v>2242402.81</v>
      </c>
      <c r="CV216" s="882"/>
      <c r="CW216" s="883"/>
      <c r="CX216" s="872"/>
      <c r="CY216" s="843"/>
      <c r="CZ216" s="873" t="s">
        <v>335</v>
      </c>
      <c r="DA216" s="874">
        <v>60540.11</v>
      </c>
      <c r="DB216" s="875" t="e">
        <f>#REF!</f>
        <v>#REF!</v>
      </c>
      <c r="DC216" s="875"/>
      <c r="DD216" s="875"/>
      <c r="DE216" s="846">
        <f t="shared" ref="DE216:DE221" si="1371">DA216+DC216</f>
        <v>60540.11</v>
      </c>
      <c r="DF216" s="847" t="e">
        <f t="shared" ref="DF216:DF221" si="1372">DB216+DD216</f>
        <v>#REF!</v>
      </c>
      <c r="DG216" s="1286"/>
      <c r="DH216" s="1287"/>
      <c r="DI216" s="1287"/>
      <c r="DJ216" s="1287"/>
      <c r="DK216" s="1287">
        <f>DG216+DI216</f>
        <v>0</v>
      </c>
      <c r="DL216" s="1288">
        <f>DH216+DJ216</f>
        <v>0</v>
      </c>
      <c r="DM216" s="876" t="e">
        <f t="shared" si="1341"/>
        <v>#REF!</v>
      </c>
      <c r="DN216" s="865" t="s">
        <v>335</v>
      </c>
      <c r="DO216" s="866">
        <f t="shared" ref="DO216:DO221" si="1373">CI216+DA216</f>
        <v>818379.62999999989</v>
      </c>
      <c r="DP216" s="868" t="e">
        <f t="shared" ref="DP216:DP221" si="1374">CJ216+DB216</f>
        <v>#REF!</v>
      </c>
      <c r="DQ216" s="868">
        <f t="shared" ref="DQ216:DQ221" si="1375">CK216+DC216</f>
        <v>0</v>
      </c>
      <c r="DR216" s="868">
        <f t="shared" ref="DR216:DR221" si="1376">CL216+DD216</f>
        <v>0</v>
      </c>
      <c r="DS216" s="868">
        <f t="shared" ref="DS216:DS221" si="1377">CM216+DE216</f>
        <v>818379.62999999989</v>
      </c>
      <c r="DT216" s="868" t="e">
        <f t="shared" ref="DT216:DT221" si="1378">CN216+DF216</f>
        <v>#REF!</v>
      </c>
      <c r="DU216" s="879"/>
      <c r="DV216" s="912" t="s">
        <v>335</v>
      </c>
      <c r="DW216" s="913" t="s">
        <v>335</v>
      </c>
      <c r="DX216" s="913" t="s">
        <v>335</v>
      </c>
      <c r="DY216" s="913" t="s">
        <v>335</v>
      </c>
      <c r="DZ216" s="913" t="s">
        <v>335</v>
      </c>
      <c r="EA216" s="913" t="s">
        <v>335</v>
      </c>
      <c r="EB216" s="882"/>
      <c r="EC216" s="883"/>
      <c r="ED216" s="872"/>
      <c r="EE216" s="843"/>
      <c r="EF216" s="873" t="s">
        <v>335</v>
      </c>
      <c r="EG216" s="874">
        <v>60540.11</v>
      </c>
      <c r="EH216" s="875" t="e">
        <f>#REF!</f>
        <v>#REF!</v>
      </c>
      <c r="EI216" s="875"/>
      <c r="EJ216" s="875"/>
      <c r="EK216" s="846">
        <f t="shared" ref="EK216:EK221" si="1379">EG216+EI216</f>
        <v>60540.11</v>
      </c>
      <c r="EL216" s="847" t="e">
        <f t="shared" ref="EL216:EL221" si="1380">EH216+EJ216</f>
        <v>#REF!</v>
      </c>
      <c r="EM216" s="922">
        <v>15557379.619999999</v>
      </c>
      <c r="EN216" s="916">
        <v>5789802.7199999997</v>
      </c>
      <c r="EO216" s="916"/>
      <c r="EP216" s="916"/>
      <c r="EQ216" s="916">
        <f>EM216+EO216</f>
        <v>15557379.619999999</v>
      </c>
      <c r="ER216" s="923">
        <f>EN216+EP216</f>
        <v>5789802.7199999997</v>
      </c>
      <c r="ES216" s="876" t="e">
        <f t="shared" si="1352"/>
        <v>#REF!</v>
      </c>
      <c r="ET216" s="865" t="s">
        <v>335</v>
      </c>
      <c r="EU216" s="1154">
        <f t="shared" ref="EU216:EU221" si="1381">EG216+DO216</f>
        <v>878919.73999999987</v>
      </c>
      <c r="EV216" s="878" t="e">
        <f t="shared" ref="EV216:EZ221" si="1382">EH216+DP216</f>
        <v>#REF!</v>
      </c>
      <c r="EW216" s="878">
        <f t="shared" si="1382"/>
        <v>0</v>
      </c>
      <c r="EX216" s="878">
        <f t="shared" si="1382"/>
        <v>0</v>
      </c>
      <c r="EY216" s="878">
        <f t="shared" si="1382"/>
        <v>878919.73999999987</v>
      </c>
      <c r="EZ216" s="878" t="e">
        <f t="shared" si="1382"/>
        <v>#REF!</v>
      </c>
      <c r="FA216" s="879"/>
      <c r="FB216" s="1476" t="s">
        <v>335</v>
      </c>
      <c r="FC216" s="913" t="s">
        <v>335</v>
      </c>
      <c r="FD216" s="913" t="s">
        <v>335</v>
      </c>
      <c r="FE216" s="913" t="s">
        <v>335</v>
      </c>
      <c r="FF216" s="913" t="s">
        <v>335</v>
      </c>
      <c r="FG216" s="913" t="s">
        <v>335</v>
      </c>
      <c r="FH216" s="1450"/>
      <c r="FI216" s="883"/>
      <c r="FJ216" s="872"/>
      <c r="FK216" s="843"/>
      <c r="FL216" s="873" t="s">
        <v>335</v>
      </c>
      <c r="FM216" s="874">
        <v>60540.11</v>
      </c>
      <c r="FN216" s="875" t="e">
        <f>#REF!</f>
        <v>#REF!</v>
      </c>
      <c r="FO216" s="875"/>
      <c r="FP216" s="875"/>
      <c r="FQ216" s="846">
        <f t="shared" ref="FQ216:FQ221" si="1383">FM216+FO216</f>
        <v>60540.11</v>
      </c>
      <c r="FR216" s="847" t="e">
        <f t="shared" ref="FR216:FR221" si="1384">FN216+FP216</f>
        <v>#REF!</v>
      </c>
      <c r="FS216" s="1286"/>
      <c r="FT216" s="1287"/>
      <c r="FU216" s="1287"/>
      <c r="FV216" s="1287"/>
      <c r="FW216" s="1287">
        <f>FS216+FU216</f>
        <v>0</v>
      </c>
      <c r="FX216" s="1288">
        <f>FT216+FV216</f>
        <v>0</v>
      </c>
      <c r="FY216" s="876" t="e">
        <f t="shared" si="1354"/>
        <v>#REF!</v>
      </c>
      <c r="FZ216" s="865" t="s">
        <v>335</v>
      </c>
      <c r="GA216" s="1154">
        <f t="shared" ref="GA216:GA221" si="1385">FM216+EU216</f>
        <v>939459.84999999986</v>
      </c>
      <c r="GB216" s="878" t="e">
        <f t="shared" ref="GB216:GB221" si="1386">FN216+EV216</f>
        <v>#REF!</v>
      </c>
      <c r="GC216" s="878">
        <f t="shared" ref="GC216:GC221" si="1387">FO216+EW216</f>
        <v>0</v>
      </c>
      <c r="GD216" s="878">
        <f t="shared" ref="GD216:GD221" si="1388">FP216+EX216</f>
        <v>0</v>
      </c>
      <c r="GE216" s="878">
        <f t="shared" ref="GE216:GE221" si="1389">FQ216+EY216</f>
        <v>939459.84999999986</v>
      </c>
      <c r="GF216" s="878" t="e">
        <f t="shared" ref="GF216:GF221" si="1390">FR216+EZ216</f>
        <v>#REF!</v>
      </c>
      <c r="GG216" s="879"/>
      <c r="GH216" s="1476" t="s">
        <v>335</v>
      </c>
      <c r="GI216" s="913" t="s">
        <v>335</v>
      </c>
      <c r="GJ216" s="913" t="s">
        <v>335</v>
      </c>
      <c r="GK216" s="913" t="s">
        <v>335</v>
      </c>
      <c r="GL216" s="913" t="s">
        <v>335</v>
      </c>
      <c r="GM216" s="913" t="s">
        <v>335</v>
      </c>
      <c r="GN216" s="1450"/>
      <c r="GO216" s="883"/>
      <c r="GP216" s="872"/>
      <c r="GQ216" s="843"/>
      <c r="GR216" s="873" t="s">
        <v>335</v>
      </c>
      <c r="GS216" s="874">
        <v>60540.15</v>
      </c>
      <c r="GT216" s="875" t="e">
        <f>#REF!-303242.59</f>
        <v>#REF!</v>
      </c>
      <c r="GU216" s="875"/>
      <c r="GV216" s="875"/>
      <c r="GW216" s="846">
        <f t="shared" ref="GW216:GW221" si="1391">GS216+GU216</f>
        <v>60540.15</v>
      </c>
      <c r="GX216" s="847" t="e">
        <f t="shared" ref="GX216:GX221" si="1392">GT216+GV216</f>
        <v>#REF!</v>
      </c>
      <c r="GY216" s="906" t="s">
        <v>335</v>
      </c>
      <c r="GZ216" s="412" t="s">
        <v>335</v>
      </c>
      <c r="HA216" s="412" t="s">
        <v>335</v>
      </c>
      <c r="HB216" s="412" t="s">
        <v>335</v>
      </c>
      <c r="HC216" s="412" t="s">
        <v>335</v>
      </c>
      <c r="HD216" s="907" t="s">
        <v>335</v>
      </c>
      <c r="HE216" s="1703" t="e">
        <f t="shared" si="1356"/>
        <v>#REF!</v>
      </c>
      <c r="HF216" s="865" t="s">
        <v>335</v>
      </c>
      <c r="HG216" s="1154">
        <f t="shared" ref="HG216:HG221" si="1393">GS216+GA216</f>
        <v>999999.99999999988</v>
      </c>
      <c r="HH216" s="878" t="e">
        <f t="shared" ref="HH216:HH221" si="1394">GT216+GB216</f>
        <v>#REF!</v>
      </c>
      <c r="HI216" s="878">
        <f t="shared" ref="HI216:HI221" si="1395">GU216+GC216</f>
        <v>0</v>
      </c>
      <c r="HJ216" s="878">
        <f t="shared" ref="HJ216:HJ221" si="1396">GV216+GD216</f>
        <v>0</v>
      </c>
      <c r="HK216" s="878">
        <f t="shared" ref="HK216:HK221" si="1397">GW216+GE216</f>
        <v>999999.99999999988</v>
      </c>
      <c r="HL216" s="878" t="e">
        <f t="shared" ref="HL216:HL221" si="1398">GX216+GF216</f>
        <v>#REF!</v>
      </c>
      <c r="HM216" s="879"/>
      <c r="HN216" s="1476" t="s">
        <v>335</v>
      </c>
      <c r="HO216" s="913" t="s">
        <v>335</v>
      </c>
      <c r="HP216" s="913" t="s">
        <v>335</v>
      </c>
      <c r="HQ216" s="913" t="s">
        <v>335</v>
      </c>
      <c r="HR216" s="913" t="s">
        <v>335</v>
      </c>
      <c r="HS216" s="913" t="s">
        <v>335</v>
      </c>
      <c r="HT216" s="1450"/>
      <c r="HU216" s="883"/>
    </row>
    <row r="217" spans="1:229" s="102" customFormat="1" ht="30" customHeight="1" x14ac:dyDescent="0.2">
      <c r="A217" s="3671"/>
      <c r="B217" s="3695"/>
      <c r="C217" s="856" t="s">
        <v>356</v>
      </c>
      <c r="D217" s="857" t="s">
        <v>294</v>
      </c>
      <c r="E217" s="825"/>
      <c r="F217" s="704"/>
      <c r="G217" s="826"/>
      <c r="H217" s="827"/>
      <c r="I217" s="704"/>
      <c r="J217" s="704"/>
      <c r="K217" s="827"/>
      <c r="L217" s="704"/>
      <c r="M217" s="704"/>
      <c r="N217" s="828"/>
      <c r="O217" s="825"/>
      <c r="P217" s="826"/>
      <c r="Q217" s="826"/>
      <c r="R217" s="826"/>
      <c r="S217" s="830"/>
      <c r="T217" s="831">
        <v>21542771.07</v>
      </c>
      <c r="U217" s="864">
        <f>AB217</f>
        <v>0</v>
      </c>
      <c r="V217" s="865" t="s">
        <v>335</v>
      </c>
      <c r="W217" s="866">
        <v>0</v>
      </c>
      <c r="X217" s="867">
        <v>0</v>
      </c>
      <c r="Y217" s="867">
        <v>0</v>
      </c>
      <c r="Z217" s="867">
        <v>0</v>
      </c>
      <c r="AA217" s="868">
        <f t="shared" si="1358"/>
        <v>0</v>
      </c>
      <c r="AB217" s="867">
        <f t="shared" si="1358"/>
        <v>0</v>
      </c>
      <c r="AC217" s="879"/>
      <c r="AD217" s="870" t="s">
        <v>335</v>
      </c>
      <c r="AE217" s="839" t="s">
        <v>335</v>
      </c>
      <c r="AF217" s="839" t="s">
        <v>335</v>
      </c>
      <c r="AG217" s="839" t="s">
        <v>335</v>
      </c>
      <c r="AH217" s="839" t="s">
        <v>335</v>
      </c>
      <c r="AI217" s="839" t="s">
        <v>335</v>
      </c>
      <c r="AJ217" s="840"/>
      <c r="AK217" s="871"/>
      <c r="AL217" s="872"/>
      <c r="AM217" s="916"/>
      <c r="AN217" s="873" t="s">
        <v>335</v>
      </c>
      <c r="AO217" s="874"/>
      <c r="AP217" s="874"/>
      <c r="AQ217" s="875"/>
      <c r="AR217" s="875"/>
      <c r="AS217" s="846">
        <f t="shared" si="1359"/>
        <v>0</v>
      </c>
      <c r="AT217" s="847">
        <f t="shared" si="1360"/>
        <v>0</v>
      </c>
      <c r="AU217" s="906" t="s">
        <v>335</v>
      </c>
      <c r="AV217" s="412" t="s">
        <v>335</v>
      </c>
      <c r="AW217" s="412" t="s">
        <v>335</v>
      </c>
      <c r="AX217" s="412" t="s">
        <v>335</v>
      </c>
      <c r="AY217" s="412" t="s">
        <v>335</v>
      </c>
      <c r="AZ217" s="907" t="s">
        <v>335</v>
      </c>
      <c r="BA217" s="876">
        <f t="shared" si="1332"/>
        <v>0</v>
      </c>
      <c r="BB217" s="865" t="s">
        <v>335</v>
      </c>
      <c r="BC217" s="877">
        <f t="shared" si="1333"/>
        <v>0</v>
      </c>
      <c r="BD217" s="878">
        <f t="shared" si="1334"/>
        <v>0</v>
      </c>
      <c r="BE217" s="878">
        <f t="shared" si="1335"/>
        <v>0</v>
      </c>
      <c r="BF217" s="878">
        <f t="shared" si="1336"/>
        <v>0</v>
      </c>
      <c r="BG217" s="878">
        <f t="shared" si="1337"/>
        <v>0</v>
      </c>
      <c r="BH217" s="878">
        <f t="shared" si="1338"/>
        <v>0</v>
      </c>
      <c r="BI217" s="879"/>
      <c r="BJ217" s="1618" t="s">
        <v>335</v>
      </c>
      <c r="BK217" s="1276" t="s">
        <v>335</v>
      </c>
      <c r="BL217" s="1276" t="s">
        <v>335</v>
      </c>
      <c r="BM217" s="1276" t="s">
        <v>335</v>
      </c>
      <c r="BN217" s="1276" t="s">
        <v>335</v>
      </c>
      <c r="BO217" s="1276" t="s">
        <v>335</v>
      </c>
      <c r="BP217" s="1277"/>
      <c r="BQ217" s="1619"/>
      <c r="BR217" s="842"/>
      <c r="BS217" s="843"/>
      <c r="BT217" s="873" t="s">
        <v>335</v>
      </c>
      <c r="BU217" s="874"/>
      <c r="BV217" s="874"/>
      <c r="BW217" s="875"/>
      <c r="BX217" s="875"/>
      <c r="BY217" s="846">
        <f t="shared" si="1362"/>
        <v>0</v>
      </c>
      <c r="BZ217" s="847">
        <f t="shared" si="1363"/>
        <v>0</v>
      </c>
      <c r="CA217" s="906" t="s">
        <v>335</v>
      </c>
      <c r="CB217" s="412" t="s">
        <v>335</v>
      </c>
      <c r="CC217" s="412" t="s">
        <v>335</v>
      </c>
      <c r="CD217" s="412" t="s">
        <v>335</v>
      </c>
      <c r="CE217" s="412" t="s">
        <v>335</v>
      </c>
      <c r="CF217" s="907" t="s">
        <v>335</v>
      </c>
      <c r="CG217" s="876">
        <f t="shared" si="1339"/>
        <v>0</v>
      </c>
      <c r="CH217" s="865" t="s">
        <v>335</v>
      </c>
      <c r="CI217" s="866">
        <f t="shared" si="1364"/>
        <v>0</v>
      </c>
      <c r="CJ217" s="868">
        <f t="shared" si="1365"/>
        <v>0</v>
      </c>
      <c r="CK217" s="868">
        <f t="shared" si="1366"/>
        <v>0</v>
      </c>
      <c r="CL217" s="868">
        <f t="shared" si="1367"/>
        <v>0</v>
      </c>
      <c r="CM217" s="868">
        <f t="shared" si="1368"/>
        <v>0</v>
      </c>
      <c r="CN217" s="868">
        <f t="shared" si="1369"/>
        <v>0</v>
      </c>
      <c r="CO217" s="879"/>
      <c r="CP217" s="880" t="s">
        <v>335</v>
      </c>
      <c r="CQ217" s="881" t="s">
        <v>335</v>
      </c>
      <c r="CR217" s="881" t="s">
        <v>335</v>
      </c>
      <c r="CS217" s="881" t="s">
        <v>335</v>
      </c>
      <c r="CT217" s="881" t="s">
        <v>335</v>
      </c>
      <c r="CU217" s="881" t="s">
        <v>335</v>
      </c>
      <c r="CV217" s="882"/>
      <c r="CW217" s="883"/>
      <c r="CX217" s="872"/>
      <c r="CY217" s="916"/>
      <c r="CZ217" s="873" t="s">
        <v>335</v>
      </c>
      <c r="DA217" s="874"/>
      <c r="DB217" s="874"/>
      <c r="DC217" s="875"/>
      <c r="DD217" s="875"/>
      <c r="DE217" s="846">
        <f t="shared" si="1371"/>
        <v>0</v>
      </c>
      <c r="DF217" s="847">
        <f t="shared" si="1372"/>
        <v>0</v>
      </c>
      <c r="DG217" s="906" t="s">
        <v>335</v>
      </c>
      <c r="DH217" s="412" t="s">
        <v>335</v>
      </c>
      <c r="DI217" s="412" t="s">
        <v>335</v>
      </c>
      <c r="DJ217" s="412" t="s">
        <v>335</v>
      </c>
      <c r="DK217" s="412" t="s">
        <v>335</v>
      </c>
      <c r="DL217" s="907" t="s">
        <v>335</v>
      </c>
      <c r="DM217" s="876">
        <f t="shared" si="1341"/>
        <v>0</v>
      </c>
      <c r="DN217" s="865" t="s">
        <v>335</v>
      </c>
      <c r="DO217" s="866">
        <f t="shared" si="1373"/>
        <v>0</v>
      </c>
      <c r="DP217" s="868">
        <f t="shared" si="1374"/>
        <v>0</v>
      </c>
      <c r="DQ217" s="868">
        <f t="shared" si="1375"/>
        <v>0</v>
      </c>
      <c r="DR217" s="868">
        <f t="shared" si="1376"/>
        <v>0</v>
      </c>
      <c r="DS217" s="868">
        <f t="shared" si="1377"/>
        <v>0</v>
      </c>
      <c r="DT217" s="868">
        <f t="shared" si="1378"/>
        <v>0</v>
      </c>
      <c r="DU217" s="879"/>
      <c r="DV217" s="880" t="s">
        <v>335</v>
      </c>
      <c r="DW217" s="881" t="s">
        <v>335</v>
      </c>
      <c r="DX217" s="881" t="s">
        <v>335</v>
      </c>
      <c r="DY217" s="881" t="s">
        <v>335</v>
      </c>
      <c r="DZ217" s="881" t="s">
        <v>335</v>
      </c>
      <c r="EA217" s="881" t="s">
        <v>335</v>
      </c>
      <c r="EB217" s="882"/>
      <c r="EC217" s="883"/>
      <c r="ED217" s="872"/>
      <c r="EE217" s="916"/>
      <c r="EF217" s="873" t="s">
        <v>335</v>
      </c>
      <c r="EG217" s="874"/>
      <c r="EH217" s="874"/>
      <c r="EI217" s="875"/>
      <c r="EJ217" s="875"/>
      <c r="EK217" s="846">
        <f t="shared" si="1379"/>
        <v>0</v>
      </c>
      <c r="EL217" s="847">
        <f t="shared" si="1380"/>
        <v>0</v>
      </c>
      <c r="EM217" s="906" t="s">
        <v>335</v>
      </c>
      <c r="EN217" s="412" t="s">
        <v>335</v>
      </c>
      <c r="EO217" s="412" t="s">
        <v>335</v>
      </c>
      <c r="EP217" s="412" t="s">
        <v>335</v>
      </c>
      <c r="EQ217" s="412" t="s">
        <v>335</v>
      </c>
      <c r="ER217" s="907" t="s">
        <v>335</v>
      </c>
      <c r="ES217" s="876">
        <f t="shared" si="1352"/>
        <v>0</v>
      </c>
      <c r="ET217" s="865" t="s">
        <v>335</v>
      </c>
      <c r="EU217" s="1154">
        <f t="shared" si="1381"/>
        <v>0</v>
      </c>
      <c r="EV217" s="878">
        <f t="shared" si="1382"/>
        <v>0</v>
      </c>
      <c r="EW217" s="878">
        <f t="shared" si="1382"/>
        <v>0</v>
      </c>
      <c r="EX217" s="878">
        <f t="shared" si="1382"/>
        <v>0</v>
      </c>
      <c r="EY217" s="878">
        <f t="shared" si="1382"/>
        <v>0</v>
      </c>
      <c r="EZ217" s="878">
        <f t="shared" si="1382"/>
        <v>0</v>
      </c>
      <c r="FA217" s="879"/>
      <c r="FB217" s="1155" t="s">
        <v>335</v>
      </c>
      <c r="FC217" s="881" t="s">
        <v>335</v>
      </c>
      <c r="FD217" s="881" t="s">
        <v>335</v>
      </c>
      <c r="FE217" s="881" t="s">
        <v>335</v>
      </c>
      <c r="FF217" s="881" t="s">
        <v>335</v>
      </c>
      <c r="FG217" s="881" t="s">
        <v>335</v>
      </c>
      <c r="FH217" s="1450"/>
      <c r="FI217" s="883"/>
      <c r="FJ217" s="872"/>
      <c r="FK217" s="916"/>
      <c r="FL217" s="873" t="s">
        <v>335</v>
      </c>
      <c r="FM217" s="874"/>
      <c r="FN217" s="874"/>
      <c r="FO217" s="875"/>
      <c r="FP217" s="875"/>
      <c r="FQ217" s="846">
        <f t="shared" si="1383"/>
        <v>0</v>
      </c>
      <c r="FR217" s="847">
        <f t="shared" si="1384"/>
        <v>0</v>
      </c>
      <c r="FS217" s="906" t="s">
        <v>335</v>
      </c>
      <c r="FT217" s="412" t="s">
        <v>335</v>
      </c>
      <c r="FU217" s="412" t="s">
        <v>335</v>
      </c>
      <c r="FV217" s="412" t="s">
        <v>335</v>
      </c>
      <c r="FW217" s="412" t="s">
        <v>335</v>
      </c>
      <c r="FX217" s="907" t="s">
        <v>335</v>
      </c>
      <c r="FY217" s="876">
        <f t="shared" si="1354"/>
        <v>0</v>
      </c>
      <c r="FZ217" s="865" t="s">
        <v>335</v>
      </c>
      <c r="GA217" s="1154">
        <f t="shared" si="1385"/>
        <v>0</v>
      </c>
      <c r="GB217" s="878">
        <f t="shared" si="1386"/>
        <v>0</v>
      </c>
      <c r="GC217" s="878">
        <f t="shared" si="1387"/>
        <v>0</v>
      </c>
      <c r="GD217" s="878">
        <f t="shared" si="1388"/>
        <v>0</v>
      </c>
      <c r="GE217" s="878">
        <f t="shared" si="1389"/>
        <v>0</v>
      </c>
      <c r="GF217" s="878">
        <f t="shared" si="1390"/>
        <v>0</v>
      </c>
      <c r="GG217" s="879"/>
      <c r="GH217" s="1155" t="s">
        <v>335</v>
      </c>
      <c r="GI217" s="881" t="s">
        <v>335</v>
      </c>
      <c r="GJ217" s="881" t="s">
        <v>335</v>
      </c>
      <c r="GK217" s="881" t="s">
        <v>335</v>
      </c>
      <c r="GL217" s="881" t="s">
        <v>335</v>
      </c>
      <c r="GM217" s="881" t="s">
        <v>335</v>
      </c>
      <c r="GN217" s="1450"/>
      <c r="GO217" s="883"/>
      <c r="GP217" s="872"/>
      <c r="GQ217" s="916"/>
      <c r="GR217" s="873" t="s">
        <v>335</v>
      </c>
      <c r="GS217" s="874"/>
      <c r="GT217" s="874"/>
      <c r="GU217" s="875"/>
      <c r="GV217" s="875"/>
      <c r="GW217" s="846">
        <f t="shared" si="1391"/>
        <v>0</v>
      </c>
      <c r="GX217" s="847">
        <f t="shared" si="1392"/>
        <v>0</v>
      </c>
      <c r="GY217" s="906" t="s">
        <v>335</v>
      </c>
      <c r="GZ217" s="412" t="s">
        <v>335</v>
      </c>
      <c r="HA217" s="412" t="s">
        <v>335</v>
      </c>
      <c r="HB217" s="412" t="s">
        <v>335</v>
      </c>
      <c r="HC217" s="412" t="s">
        <v>335</v>
      </c>
      <c r="HD217" s="907" t="s">
        <v>335</v>
      </c>
      <c r="HE217" s="1703">
        <f t="shared" si="1356"/>
        <v>0</v>
      </c>
      <c r="HF217" s="865" t="s">
        <v>335</v>
      </c>
      <c r="HG217" s="1154">
        <f t="shared" si="1393"/>
        <v>0</v>
      </c>
      <c r="HH217" s="878">
        <f t="shared" si="1394"/>
        <v>0</v>
      </c>
      <c r="HI217" s="878">
        <f t="shared" si="1395"/>
        <v>0</v>
      </c>
      <c r="HJ217" s="878">
        <f t="shared" si="1396"/>
        <v>0</v>
      </c>
      <c r="HK217" s="878">
        <f t="shared" si="1397"/>
        <v>0</v>
      </c>
      <c r="HL217" s="878">
        <f t="shared" si="1398"/>
        <v>0</v>
      </c>
      <c r="HM217" s="879"/>
      <c r="HN217" s="1155" t="s">
        <v>335</v>
      </c>
      <c r="HO217" s="881" t="s">
        <v>335</v>
      </c>
      <c r="HP217" s="881" t="s">
        <v>335</v>
      </c>
      <c r="HQ217" s="881" t="s">
        <v>335</v>
      </c>
      <c r="HR217" s="881" t="s">
        <v>335</v>
      </c>
      <c r="HS217" s="881" t="s">
        <v>335</v>
      </c>
      <c r="HT217" s="1450"/>
      <c r="HU217" s="883"/>
    </row>
    <row r="218" spans="1:229" s="102" customFormat="1" ht="30" customHeight="1" x14ac:dyDescent="0.2">
      <c r="A218" s="3671"/>
      <c r="B218" s="3695"/>
      <c r="C218" s="917" t="s">
        <v>357</v>
      </c>
      <c r="D218" s="918" t="s">
        <v>176</v>
      </c>
      <c r="E218" s="858"/>
      <c r="F218" s="340"/>
      <c r="G218" s="859"/>
      <c r="H218" s="860"/>
      <c r="I218" s="340"/>
      <c r="J218" s="340"/>
      <c r="K218" s="860"/>
      <c r="L218" s="340"/>
      <c r="M218" s="340"/>
      <c r="N218" s="861"/>
      <c r="O218" s="858"/>
      <c r="P218" s="859"/>
      <c r="Q218" s="859"/>
      <c r="R218" s="859"/>
      <c r="S218" s="862"/>
      <c r="T218" s="863">
        <v>75517921.670000002</v>
      </c>
      <c r="U218" s="864">
        <f>AB218</f>
        <v>0</v>
      </c>
      <c r="V218" s="865" t="s">
        <v>335</v>
      </c>
      <c r="W218" s="866">
        <v>0</v>
      </c>
      <c r="X218" s="867">
        <v>0</v>
      </c>
      <c r="Y218" s="867">
        <v>0</v>
      </c>
      <c r="Z218" s="867">
        <v>0</v>
      </c>
      <c r="AA218" s="868">
        <f t="shared" si="1358"/>
        <v>0</v>
      </c>
      <c r="AB218" s="867">
        <f t="shared" si="1358"/>
        <v>0</v>
      </c>
      <c r="AC218" s="869"/>
      <c r="AD218" s="832">
        <v>0</v>
      </c>
      <c r="AE218" s="832">
        <v>0</v>
      </c>
      <c r="AF218" s="832">
        <v>0</v>
      </c>
      <c r="AG218" s="832">
        <v>0</v>
      </c>
      <c r="AH218" s="919">
        <f t="shared" ref="AH218:AI222" si="1399">AD218+AF218</f>
        <v>0</v>
      </c>
      <c r="AI218" s="832">
        <f t="shared" si="1399"/>
        <v>0</v>
      </c>
      <c r="AJ218" s="920"/>
      <c r="AK218" s="921"/>
      <c r="AL218" s="872"/>
      <c r="AM218" s="916"/>
      <c r="AN218" s="873" t="s">
        <v>335</v>
      </c>
      <c r="AO218" s="874"/>
      <c r="AP218" s="874"/>
      <c r="AQ218" s="875"/>
      <c r="AR218" s="875"/>
      <c r="AS218" s="846">
        <f t="shared" si="1359"/>
        <v>0</v>
      </c>
      <c r="AT218" s="847">
        <f t="shared" si="1360"/>
        <v>0</v>
      </c>
      <c r="AU218" s="922">
        <v>0</v>
      </c>
      <c r="AV218" s="916"/>
      <c r="AW218" s="916">
        <v>0</v>
      </c>
      <c r="AX218" s="916"/>
      <c r="AY218" s="916">
        <f t="shared" ref="AY218:AZ222" si="1400">AU218+AW218</f>
        <v>0</v>
      </c>
      <c r="AZ218" s="923">
        <f t="shared" si="1400"/>
        <v>0</v>
      </c>
      <c r="BA218" s="876">
        <f t="shared" si="1332"/>
        <v>0</v>
      </c>
      <c r="BB218" s="865" t="s">
        <v>335</v>
      </c>
      <c r="BC218" s="877">
        <f t="shared" si="1333"/>
        <v>0</v>
      </c>
      <c r="BD218" s="878">
        <f t="shared" si="1334"/>
        <v>0</v>
      </c>
      <c r="BE218" s="878">
        <f t="shared" si="1335"/>
        <v>0</v>
      </c>
      <c r="BF218" s="878">
        <f t="shared" si="1336"/>
        <v>0</v>
      </c>
      <c r="BG218" s="878">
        <f t="shared" si="1337"/>
        <v>0</v>
      </c>
      <c r="BH218" s="878">
        <f t="shared" si="1338"/>
        <v>0</v>
      </c>
      <c r="BI218" s="879"/>
      <c r="BJ218" s="876">
        <f t="shared" ref="BJ218:BK222" si="1401">AD218+AU218</f>
        <v>0</v>
      </c>
      <c r="BK218" s="924">
        <f t="shared" si="1401"/>
        <v>0</v>
      </c>
      <c r="BL218" s="924">
        <f t="shared" ref="BL218:BO222" si="1402">AF218+AW218</f>
        <v>0</v>
      </c>
      <c r="BM218" s="924">
        <f t="shared" si="1402"/>
        <v>0</v>
      </c>
      <c r="BN218" s="924">
        <f t="shared" si="1402"/>
        <v>0</v>
      </c>
      <c r="BO218" s="924">
        <f t="shared" si="1402"/>
        <v>0</v>
      </c>
      <c r="BP218" s="882"/>
      <c r="BQ218" s="883"/>
      <c r="BR218" s="872"/>
      <c r="BS218" s="916"/>
      <c r="BT218" s="873" t="s">
        <v>335</v>
      </c>
      <c r="BU218" s="874"/>
      <c r="BV218" s="874"/>
      <c r="BW218" s="875"/>
      <c r="BX218" s="875"/>
      <c r="BY218" s="846">
        <f t="shared" si="1362"/>
        <v>0</v>
      </c>
      <c r="BZ218" s="847">
        <f t="shared" si="1363"/>
        <v>0</v>
      </c>
      <c r="CA218" s="922"/>
      <c r="CB218" s="916"/>
      <c r="CC218" s="916"/>
      <c r="CD218" s="916"/>
      <c r="CE218" s="916">
        <f t="shared" ref="CE218:CF222" si="1403">CA218+CC218</f>
        <v>0</v>
      </c>
      <c r="CF218" s="923">
        <f t="shared" si="1403"/>
        <v>0</v>
      </c>
      <c r="CG218" s="876">
        <f t="shared" si="1339"/>
        <v>0</v>
      </c>
      <c r="CH218" s="865" t="s">
        <v>335</v>
      </c>
      <c r="CI218" s="866">
        <f t="shared" si="1364"/>
        <v>0</v>
      </c>
      <c r="CJ218" s="868">
        <f t="shared" si="1365"/>
        <v>0</v>
      </c>
      <c r="CK218" s="868">
        <f t="shared" si="1366"/>
        <v>0</v>
      </c>
      <c r="CL218" s="868">
        <f t="shared" si="1367"/>
        <v>0</v>
      </c>
      <c r="CM218" s="868">
        <f t="shared" si="1368"/>
        <v>0</v>
      </c>
      <c r="CN218" s="868">
        <f t="shared" si="1369"/>
        <v>0</v>
      </c>
      <c r="CO218" s="879"/>
      <c r="CP218" s="1153">
        <f t="shared" ref="CP218:CU222" si="1404">BJ218+CA218</f>
        <v>0</v>
      </c>
      <c r="CQ218" s="924">
        <f t="shared" si="1404"/>
        <v>0</v>
      </c>
      <c r="CR218" s="924">
        <f t="shared" si="1404"/>
        <v>0</v>
      </c>
      <c r="CS218" s="924">
        <f t="shared" si="1404"/>
        <v>0</v>
      </c>
      <c r="CT218" s="924">
        <f t="shared" si="1404"/>
        <v>0</v>
      </c>
      <c r="CU218" s="924">
        <f t="shared" si="1404"/>
        <v>0</v>
      </c>
      <c r="CV218" s="882"/>
      <c r="CW218" s="883"/>
      <c r="CX218" s="872"/>
      <c r="CY218" s="916"/>
      <c r="CZ218" s="873" t="s">
        <v>335</v>
      </c>
      <c r="DA218" s="874"/>
      <c r="DB218" s="874"/>
      <c r="DC218" s="875"/>
      <c r="DD218" s="875"/>
      <c r="DE218" s="846">
        <f t="shared" si="1371"/>
        <v>0</v>
      </c>
      <c r="DF218" s="847">
        <f t="shared" si="1372"/>
        <v>0</v>
      </c>
      <c r="DG218" s="922">
        <v>15557379.619999999</v>
      </c>
      <c r="DH218" s="916">
        <v>18567651.170000002</v>
      </c>
      <c r="DI218" s="916"/>
      <c r="DJ218" s="916"/>
      <c r="DK218" s="916">
        <f t="shared" ref="DK218:DL222" si="1405">DG218+DI218</f>
        <v>15557379.619999999</v>
      </c>
      <c r="DL218" s="923">
        <f t="shared" si="1405"/>
        <v>18567651.170000002</v>
      </c>
      <c r="DM218" s="876">
        <f t="shared" si="1341"/>
        <v>0</v>
      </c>
      <c r="DN218" s="865" t="s">
        <v>335</v>
      </c>
      <c r="DO218" s="866">
        <f t="shared" si="1373"/>
        <v>0</v>
      </c>
      <c r="DP218" s="868">
        <f t="shared" si="1374"/>
        <v>0</v>
      </c>
      <c r="DQ218" s="868">
        <f t="shared" si="1375"/>
        <v>0</v>
      </c>
      <c r="DR218" s="868">
        <f t="shared" si="1376"/>
        <v>0</v>
      </c>
      <c r="DS218" s="868">
        <f t="shared" si="1377"/>
        <v>0</v>
      </c>
      <c r="DT218" s="868">
        <f t="shared" si="1378"/>
        <v>0</v>
      </c>
      <c r="DU218" s="879"/>
      <c r="DV218" s="1153">
        <f t="shared" ref="DV218:EA222" si="1406">CP218+DG218</f>
        <v>15557379.619999999</v>
      </c>
      <c r="DW218" s="924">
        <f t="shared" si="1406"/>
        <v>18567651.170000002</v>
      </c>
      <c r="DX218" s="924">
        <f t="shared" si="1406"/>
        <v>0</v>
      </c>
      <c r="DY218" s="924">
        <f t="shared" si="1406"/>
        <v>0</v>
      </c>
      <c r="DZ218" s="924">
        <f t="shared" si="1406"/>
        <v>15557379.619999999</v>
      </c>
      <c r="EA218" s="924">
        <f t="shared" si="1406"/>
        <v>18567651.170000002</v>
      </c>
      <c r="EB218" s="882"/>
      <c r="EC218" s="883"/>
      <c r="ED218" s="872"/>
      <c r="EE218" s="916"/>
      <c r="EF218" s="873" t="s">
        <v>335</v>
      </c>
      <c r="EG218" s="874"/>
      <c r="EH218" s="874"/>
      <c r="EI218" s="875"/>
      <c r="EJ218" s="875"/>
      <c r="EK218" s="846">
        <f t="shared" si="1379"/>
        <v>0</v>
      </c>
      <c r="EL218" s="847">
        <f t="shared" si="1380"/>
        <v>0</v>
      </c>
      <c r="EM218" s="922">
        <v>15557379.619999999</v>
      </c>
      <c r="EN218" s="916">
        <v>5789802.7199999997</v>
      </c>
      <c r="EO218" s="916"/>
      <c r="EP218" s="916"/>
      <c r="EQ218" s="916">
        <f t="shared" ref="EQ218:ER222" si="1407">EM218+EO218</f>
        <v>15557379.619999999</v>
      </c>
      <c r="ER218" s="923">
        <f t="shared" si="1407"/>
        <v>5789802.7199999997</v>
      </c>
      <c r="ES218" s="876">
        <f t="shared" si="1352"/>
        <v>0</v>
      </c>
      <c r="ET218" s="865" t="s">
        <v>335</v>
      </c>
      <c r="EU218" s="1154">
        <f t="shared" si="1381"/>
        <v>0</v>
      </c>
      <c r="EV218" s="878">
        <f t="shared" si="1382"/>
        <v>0</v>
      </c>
      <c r="EW218" s="878">
        <f t="shared" si="1382"/>
        <v>0</v>
      </c>
      <c r="EX218" s="878">
        <f t="shared" si="1382"/>
        <v>0</v>
      </c>
      <c r="EY218" s="878">
        <f t="shared" si="1382"/>
        <v>0</v>
      </c>
      <c r="EZ218" s="878">
        <f t="shared" si="1382"/>
        <v>0</v>
      </c>
      <c r="FA218" s="879"/>
      <c r="FB218" s="1153">
        <f>DV218+EM218</f>
        <v>31114759.239999998</v>
      </c>
      <c r="FC218" s="924">
        <f t="shared" ref="FC218:FG222" si="1408">DW218+EN218</f>
        <v>24357453.890000001</v>
      </c>
      <c r="FD218" s="924">
        <f t="shared" si="1408"/>
        <v>0</v>
      </c>
      <c r="FE218" s="924">
        <f t="shared" si="1408"/>
        <v>0</v>
      </c>
      <c r="FF218" s="924">
        <f t="shared" si="1408"/>
        <v>31114759.239999998</v>
      </c>
      <c r="FG218" s="924">
        <f t="shared" si="1408"/>
        <v>24357453.890000001</v>
      </c>
      <c r="FH218" s="1478"/>
      <c r="FI218" s="883"/>
      <c r="FJ218" s="872"/>
      <c r="FK218" s="916"/>
      <c r="FL218" s="873" t="s">
        <v>335</v>
      </c>
      <c r="FM218" s="874"/>
      <c r="FN218" s="874">
        <v>12300</v>
      </c>
      <c r="FO218" s="875"/>
      <c r="FP218" s="875"/>
      <c r="FQ218" s="846">
        <f t="shared" si="1383"/>
        <v>0</v>
      </c>
      <c r="FR218" s="847">
        <f t="shared" si="1384"/>
        <v>12300</v>
      </c>
      <c r="FS218" s="922">
        <f>15557379.62*3</f>
        <v>46672138.859999999</v>
      </c>
      <c r="FT218" s="916">
        <f>3124585.07</f>
        <v>3124585.07</v>
      </c>
      <c r="FU218" s="916"/>
      <c r="FV218" s="916"/>
      <c r="FW218" s="916">
        <f t="shared" ref="FW218:FX222" si="1409">FS218+FU218</f>
        <v>46672138.859999999</v>
      </c>
      <c r="FX218" s="923">
        <f t="shared" si="1409"/>
        <v>3124585.07</v>
      </c>
      <c r="FY218" s="876">
        <f t="shared" si="1354"/>
        <v>0</v>
      </c>
      <c r="FZ218" s="865" t="s">
        <v>335</v>
      </c>
      <c r="GA218" s="1154">
        <f t="shared" si="1385"/>
        <v>0</v>
      </c>
      <c r="GB218" s="878">
        <f t="shared" si="1386"/>
        <v>12300</v>
      </c>
      <c r="GC218" s="878">
        <f t="shared" si="1387"/>
        <v>0</v>
      </c>
      <c r="GD218" s="878">
        <f t="shared" si="1388"/>
        <v>0</v>
      </c>
      <c r="GE218" s="878">
        <f t="shared" si="1389"/>
        <v>0</v>
      </c>
      <c r="GF218" s="878">
        <f t="shared" si="1390"/>
        <v>12300</v>
      </c>
      <c r="GG218" s="879"/>
      <c r="GH218" s="1153">
        <f t="shared" ref="GH218:GM222" si="1410">FB218+FS218</f>
        <v>77786898.099999994</v>
      </c>
      <c r="GI218" s="924">
        <f t="shared" si="1410"/>
        <v>27482038.960000001</v>
      </c>
      <c r="GJ218" s="924">
        <f t="shared" si="1410"/>
        <v>0</v>
      </c>
      <c r="GK218" s="924">
        <f t="shared" si="1410"/>
        <v>0</v>
      </c>
      <c r="GL218" s="924">
        <f t="shared" si="1410"/>
        <v>77786898.099999994</v>
      </c>
      <c r="GM218" s="924">
        <f t="shared" si="1410"/>
        <v>27482038.960000001</v>
      </c>
      <c r="GN218" s="1478"/>
      <c r="GO218" s="883"/>
      <c r="GP218" s="872"/>
      <c r="GQ218" s="916"/>
      <c r="GR218" s="873" t="s">
        <v>335</v>
      </c>
      <c r="GS218" s="874"/>
      <c r="GT218" s="874">
        <v>14760</v>
      </c>
      <c r="GU218" s="875"/>
      <c r="GV218" s="875"/>
      <c r="GW218" s="846">
        <f t="shared" si="1391"/>
        <v>0</v>
      </c>
      <c r="GX218" s="847">
        <f t="shared" si="1392"/>
        <v>14760</v>
      </c>
      <c r="GY218" s="922">
        <v>15557379.630000001</v>
      </c>
      <c r="GZ218" s="1667">
        <v>2199643.5</v>
      </c>
      <c r="HA218" s="916"/>
      <c r="HB218" s="916">
        <v>0</v>
      </c>
      <c r="HC218" s="916">
        <f t="shared" ref="HC218:HD222" si="1411">GY218+HA218</f>
        <v>15557379.630000001</v>
      </c>
      <c r="HD218" s="923">
        <f t="shared" si="1411"/>
        <v>2199643.5</v>
      </c>
      <c r="HE218" s="1703">
        <f t="shared" si="1356"/>
        <v>0</v>
      </c>
      <c r="HF218" s="865" t="s">
        <v>335</v>
      </c>
      <c r="HG218" s="1154">
        <f t="shared" si="1393"/>
        <v>0</v>
      </c>
      <c r="HH218" s="878">
        <f t="shared" si="1394"/>
        <v>27060</v>
      </c>
      <c r="HI218" s="878">
        <f t="shared" si="1395"/>
        <v>0</v>
      </c>
      <c r="HJ218" s="878">
        <f t="shared" si="1396"/>
        <v>0</v>
      </c>
      <c r="HK218" s="878">
        <f t="shared" si="1397"/>
        <v>0</v>
      </c>
      <c r="HL218" s="878">
        <f t="shared" si="1398"/>
        <v>27060</v>
      </c>
      <c r="HM218" s="879"/>
      <c r="HN218" s="1153">
        <f t="shared" ref="HN218:HS222" si="1412">GH218+GY218</f>
        <v>93344277.729999989</v>
      </c>
      <c r="HO218" s="924">
        <f t="shared" si="1412"/>
        <v>29681682.460000001</v>
      </c>
      <c r="HP218" s="924">
        <f t="shared" si="1412"/>
        <v>0</v>
      </c>
      <c r="HQ218" s="924">
        <f t="shared" si="1412"/>
        <v>0</v>
      </c>
      <c r="HR218" s="924">
        <f t="shared" si="1412"/>
        <v>93344277.729999989</v>
      </c>
      <c r="HS218" s="924">
        <f t="shared" si="1412"/>
        <v>29681682.460000001</v>
      </c>
      <c r="HT218" s="1478"/>
      <c r="HU218" s="883"/>
    </row>
    <row r="219" spans="1:229" s="102" customFormat="1" ht="30" customHeight="1" x14ac:dyDescent="0.2">
      <c r="A219" s="3671"/>
      <c r="B219" s="3695"/>
      <c r="C219" s="917" t="s">
        <v>358</v>
      </c>
      <c r="D219" s="925" t="s">
        <v>438</v>
      </c>
      <c r="E219" s="858"/>
      <c r="F219" s="340"/>
      <c r="G219" s="859"/>
      <c r="H219" s="860"/>
      <c r="I219" s="340"/>
      <c r="J219" s="340"/>
      <c r="K219" s="860"/>
      <c r="L219" s="340"/>
      <c r="M219" s="340"/>
      <c r="N219" s="861"/>
      <c r="O219" s="858"/>
      <c r="P219" s="859"/>
      <c r="Q219" s="859"/>
      <c r="R219" s="859"/>
      <c r="S219" s="862"/>
      <c r="T219" s="863">
        <v>19616360.98</v>
      </c>
      <c r="U219" s="864">
        <f>AB219</f>
        <v>3660913.51</v>
      </c>
      <c r="V219" s="865" t="s">
        <v>335</v>
      </c>
      <c r="W219" s="866">
        <v>8884058.6500000004</v>
      </c>
      <c r="X219" s="867">
        <v>3660913.51</v>
      </c>
      <c r="Y219" s="867">
        <v>0</v>
      </c>
      <c r="Z219" s="867">
        <v>0</v>
      </c>
      <c r="AA219" s="868">
        <f t="shared" si="1358"/>
        <v>8884058.6500000004</v>
      </c>
      <c r="AB219" s="867">
        <f t="shared" si="1358"/>
        <v>3660913.51</v>
      </c>
      <c r="AC219" s="869"/>
      <c r="AD219" s="832">
        <v>0</v>
      </c>
      <c r="AE219" s="832">
        <v>0</v>
      </c>
      <c r="AF219" s="832">
        <v>0</v>
      </c>
      <c r="AG219" s="832">
        <v>0</v>
      </c>
      <c r="AH219" s="919">
        <f t="shared" si="1399"/>
        <v>0</v>
      </c>
      <c r="AI219" s="832">
        <f t="shared" si="1399"/>
        <v>0</v>
      </c>
      <c r="AJ219" s="920"/>
      <c r="AK219" s="921"/>
      <c r="AL219" s="872"/>
      <c r="AM219" s="916"/>
      <c r="AN219" s="873" t="s">
        <v>335</v>
      </c>
      <c r="AO219" s="874"/>
      <c r="AP219" s="874">
        <f>AM219</f>
        <v>0</v>
      </c>
      <c r="AQ219" s="875"/>
      <c r="AR219" s="875"/>
      <c r="AS219" s="846">
        <f t="shared" si="1359"/>
        <v>0</v>
      </c>
      <c r="AT219" s="847">
        <f t="shared" si="1360"/>
        <v>0</v>
      </c>
      <c r="AU219" s="922"/>
      <c r="AV219" s="916"/>
      <c r="AW219" s="916">
        <v>0</v>
      </c>
      <c r="AX219" s="916"/>
      <c r="AY219" s="916">
        <f t="shared" si="1400"/>
        <v>0</v>
      </c>
      <c r="AZ219" s="923">
        <f t="shared" si="1400"/>
        <v>0</v>
      </c>
      <c r="BA219" s="876">
        <f t="shared" si="1332"/>
        <v>3660913.51</v>
      </c>
      <c r="BB219" s="865" t="s">
        <v>335</v>
      </c>
      <c r="BC219" s="877">
        <f t="shared" si="1333"/>
        <v>8884058.6500000004</v>
      </c>
      <c r="BD219" s="878">
        <f t="shared" si="1334"/>
        <v>3660913.51</v>
      </c>
      <c r="BE219" s="878">
        <f t="shared" si="1335"/>
        <v>0</v>
      </c>
      <c r="BF219" s="878">
        <f t="shared" si="1336"/>
        <v>0</v>
      </c>
      <c r="BG219" s="878">
        <f t="shared" si="1337"/>
        <v>8884058.6500000004</v>
      </c>
      <c r="BH219" s="878">
        <f t="shared" si="1338"/>
        <v>3660913.51</v>
      </c>
      <c r="BI219" s="879"/>
      <c r="BJ219" s="876">
        <f t="shared" si="1401"/>
        <v>0</v>
      </c>
      <c r="BK219" s="924">
        <f t="shared" si="1401"/>
        <v>0</v>
      </c>
      <c r="BL219" s="924">
        <f t="shared" si="1402"/>
        <v>0</v>
      </c>
      <c r="BM219" s="924">
        <f t="shared" si="1402"/>
        <v>0</v>
      </c>
      <c r="BN219" s="924">
        <f t="shared" si="1402"/>
        <v>0</v>
      </c>
      <c r="BO219" s="924">
        <f t="shared" si="1402"/>
        <v>0</v>
      </c>
      <c r="BP219" s="882"/>
      <c r="BQ219" s="883"/>
      <c r="BR219" s="872">
        <v>579278.09</v>
      </c>
      <c r="BS219" s="916"/>
      <c r="BT219" s="873" t="s">
        <v>335</v>
      </c>
      <c r="BU219" s="874">
        <v>579278.09</v>
      </c>
      <c r="BV219" s="874"/>
      <c r="BW219" s="875"/>
      <c r="BX219" s="875"/>
      <c r="BY219" s="846">
        <f t="shared" si="1362"/>
        <v>579278.09</v>
      </c>
      <c r="BZ219" s="847">
        <f t="shared" si="1363"/>
        <v>0</v>
      </c>
      <c r="CA219" s="922"/>
      <c r="CB219" s="916"/>
      <c r="CC219" s="916"/>
      <c r="CD219" s="916"/>
      <c r="CE219" s="916">
        <f t="shared" si="1403"/>
        <v>0</v>
      </c>
      <c r="CF219" s="923">
        <f t="shared" si="1403"/>
        <v>0</v>
      </c>
      <c r="CG219" s="876">
        <f t="shared" si="1339"/>
        <v>3660913.51</v>
      </c>
      <c r="CH219" s="865" t="s">
        <v>335</v>
      </c>
      <c r="CI219" s="866">
        <f t="shared" si="1364"/>
        <v>9463336.7400000002</v>
      </c>
      <c r="CJ219" s="868">
        <f t="shared" si="1365"/>
        <v>3660913.51</v>
      </c>
      <c r="CK219" s="868">
        <f t="shared" si="1366"/>
        <v>0</v>
      </c>
      <c r="CL219" s="868">
        <f t="shared" si="1367"/>
        <v>0</v>
      </c>
      <c r="CM219" s="868">
        <f t="shared" si="1368"/>
        <v>9463336.7400000002</v>
      </c>
      <c r="CN219" s="868">
        <f t="shared" si="1369"/>
        <v>3660913.51</v>
      </c>
      <c r="CO219" s="879"/>
      <c r="CP219" s="1148">
        <f t="shared" si="1404"/>
        <v>0</v>
      </c>
      <c r="CQ219" s="1268">
        <f t="shared" si="1404"/>
        <v>0</v>
      </c>
      <c r="CR219" s="1268">
        <f t="shared" si="1404"/>
        <v>0</v>
      </c>
      <c r="CS219" s="1268">
        <f t="shared" si="1404"/>
        <v>0</v>
      </c>
      <c r="CT219" s="1268">
        <f t="shared" si="1404"/>
        <v>0</v>
      </c>
      <c r="CU219" s="1268">
        <f t="shared" si="1404"/>
        <v>0</v>
      </c>
      <c r="CV219" s="882"/>
      <c r="CW219" s="883"/>
      <c r="CX219" s="872"/>
      <c r="CY219" s="916"/>
      <c r="CZ219" s="873" t="s">
        <v>335</v>
      </c>
      <c r="DA219" s="874">
        <v>3303615.12</v>
      </c>
      <c r="DB219" s="874"/>
      <c r="DC219" s="875"/>
      <c r="DD219" s="875"/>
      <c r="DE219" s="846">
        <f t="shared" si="1371"/>
        <v>3303615.12</v>
      </c>
      <c r="DF219" s="847">
        <f t="shared" si="1372"/>
        <v>0</v>
      </c>
      <c r="DG219" s="922"/>
      <c r="DH219" s="916"/>
      <c r="DI219" s="916"/>
      <c r="DJ219" s="916"/>
      <c r="DK219" s="916">
        <f t="shared" si="1405"/>
        <v>0</v>
      </c>
      <c r="DL219" s="923">
        <f t="shared" si="1405"/>
        <v>0</v>
      </c>
      <c r="DM219" s="876">
        <f t="shared" si="1341"/>
        <v>3660913.51</v>
      </c>
      <c r="DN219" s="865" t="s">
        <v>335</v>
      </c>
      <c r="DO219" s="866">
        <f t="shared" si="1373"/>
        <v>12766951.859999999</v>
      </c>
      <c r="DP219" s="868">
        <f t="shared" si="1374"/>
        <v>3660913.51</v>
      </c>
      <c r="DQ219" s="868">
        <f t="shared" si="1375"/>
        <v>0</v>
      </c>
      <c r="DR219" s="868">
        <f t="shared" si="1376"/>
        <v>0</v>
      </c>
      <c r="DS219" s="868">
        <f t="shared" si="1377"/>
        <v>12766951.859999999</v>
      </c>
      <c r="DT219" s="868">
        <f t="shared" si="1378"/>
        <v>3660913.51</v>
      </c>
      <c r="DU219" s="879"/>
      <c r="DV219" s="1148">
        <f t="shared" si="1406"/>
        <v>0</v>
      </c>
      <c r="DW219" s="1268">
        <f t="shared" si="1406"/>
        <v>0</v>
      </c>
      <c r="DX219" s="1268">
        <f t="shared" si="1406"/>
        <v>0</v>
      </c>
      <c r="DY219" s="1268">
        <f t="shared" si="1406"/>
        <v>0</v>
      </c>
      <c r="DZ219" s="1268">
        <f t="shared" si="1406"/>
        <v>0</v>
      </c>
      <c r="EA219" s="1268">
        <f t="shared" si="1406"/>
        <v>0</v>
      </c>
      <c r="EB219" s="882"/>
      <c r="EC219" s="883"/>
      <c r="ED219" s="872">
        <v>4366526.2699999996</v>
      </c>
      <c r="EE219" s="916"/>
      <c r="EF219" s="873" t="s">
        <v>335</v>
      </c>
      <c r="EG219" s="874">
        <v>4366526.2699999996</v>
      </c>
      <c r="EH219" s="874"/>
      <c r="EI219" s="875"/>
      <c r="EJ219" s="875"/>
      <c r="EK219" s="846">
        <f t="shared" si="1379"/>
        <v>4366526.2699999996</v>
      </c>
      <c r="EL219" s="847">
        <f t="shared" si="1380"/>
        <v>0</v>
      </c>
      <c r="EM219" s="922"/>
      <c r="EN219" s="916"/>
      <c r="EO219" s="916"/>
      <c r="EP219" s="916"/>
      <c r="EQ219" s="916">
        <f t="shared" si="1407"/>
        <v>0</v>
      </c>
      <c r="ER219" s="923">
        <f t="shared" si="1407"/>
        <v>0</v>
      </c>
      <c r="ES219" s="876">
        <f t="shared" si="1352"/>
        <v>3660913.51</v>
      </c>
      <c r="ET219" s="865" t="s">
        <v>335</v>
      </c>
      <c r="EU219" s="1154">
        <f t="shared" si="1381"/>
        <v>17133478.129999999</v>
      </c>
      <c r="EV219" s="878">
        <f t="shared" si="1382"/>
        <v>3660913.51</v>
      </c>
      <c r="EW219" s="878">
        <f t="shared" si="1382"/>
        <v>0</v>
      </c>
      <c r="EX219" s="878">
        <f t="shared" si="1382"/>
        <v>0</v>
      </c>
      <c r="EY219" s="878">
        <f t="shared" si="1382"/>
        <v>17133478.129999999</v>
      </c>
      <c r="EZ219" s="878">
        <f t="shared" si="1382"/>
        <v>3660913.51</v>
      </c>
      <c r="FA219" s="879"/>
      <c r="FB219" s="1153">
        <f>DV219+EM219</f>
        <v>0</v>
      </c>
      <c r="FC219" s="924">
        <f t="shared" si="1408"/>
        <v>0</v>
      </c>
      <c r="FD219" s="924">
        <f t="shared" si="1408"/>
        <v>0</v>
      </c>
      <c r="FE219" s="924">
        <f t="shared" si="1408"/>
        <v>0</v>
      </c>
      <c r="FF219" s="924">
        <f t="shared" si="1408"/>
        <v>0</v>
      </c>
      <c r="FG219" s="924">
        <f t="shared" si="1408"/>
        <v>0</v>
      </c>
      <c r="FH219" s="1478"/>
      <c r="FI219" s="883"/>
      <c r="FJ219" s="872"/>
      <c r="FK219" s="916"/>
      <c r="FL219" s="873" t="s">
        <v>335</v>
      </c>
      <c r="FM219" s="874"/>
      <c r="FN219" s="874"/>
      <c r="FO219" s="875"/>
      <c r="FP219" s="875"/>
      <c r="FQ219" s="846">
        <f t="shared" si="1383"/>
        <v>0</v>
      </c>
      <c r="FR219" s="847">
        <f t="shared" si="1384"/>
        <v>0</v>
      </c>
      <c r="FS219" s="922"/>
      <c r="FT219" s="916"/>
      <c r="FU219" s="916"/>
      <c r="FV219" s="916"/>
      <c r="FW219" s="916">
        <f t="shared" si="1409"/>
        <v>0</v>
      </c>
      <c r="FX219" s="923">
        <f t="shared" si="1409"/>
        <v>0</v>
      </c>
      <c r="FY219" s="876">
        <f t="shared" si="1354"/>
        <v>3660913.51</v>
      </c>
      <c r="FZ219" s="865" t="s">
        <v>335</v>
      </c>
      <c r="GA219" s="1154">
        <f t="shared" si="1385"/>
        <v>17133478.129999999</v>
      </c>
      <c r="GB219" s="878">
        <f t="shared" si="1386"/>
        <v>3660913.51</v>
      </c>
      <c r="GC219" s="878">
        <f t="shared" si="1387"/>
        <v>0</v>
      </c>
      <c r="GD219" s="878">
        <f t="shared" si="1388"/>
        <v>0</v>
      </c>
      <c r="GE219" s="878">
        <f t="shared" si="1389"/>
        <v>17133478.129999999</v>
      </c>
      <c r="GF219" s="878">
        <f t="shared" si="1390"/>
        <v>3660913.51</v>
      </c>
      <c r="GG219" s="879"/>
      <c r="GH219" s="1153">
        <f t="shared" si="1410"/>
        <v>0</v>
      </c>
      <c r="GI219" s="924">
        <f t="shared" si="1410"/>
        <v>0</v>
      </c>
      <c r="GJ219" s="924">
        <f t="shared" si="1410"/>
        <v>0</v>
      </c>
      <c r="GK219" s="924">
        <f t="shared" si="1410"/>
        <v>0</v>
      </c>
      <c r="GL219" s="924">
        <f t="shared" si="1410"/>
        <v>0</v>
      </c>
      <c r="GM219" s="924">
        <f t="shared" si="1410"/>
        <v>0</v>
      </c>
      <c r="GN219" s="1478"/>
      <c r="GO219" s="883"/>
      <c r="GP219" s="872"/>
      <c r="GQ219" s="916"/>
      <c r="GR219" s="873" t="s">
        <v>335</v>
      </c>
      <c r="GS219" s="874"/>
      <c r="GT219" s="874"/>
      <c r="GU219" s="875"/>
      <c r="GV219" s="875"/>
      <c r="GW219" s="846">
        <f t="shared" si="1391"/>
        <v>0</v>
      </c>
      <c r="GX219" s="847">
        <f t="shared" si="1392"/>
        <v>0</v>
      </c>
      <c r="GY219" s="922"/>
      <c r="GZ219" s="916"/>
      <c r="HA219" s="916"/>
      <c r="HB219" s="916"/>
      <c r="HC219" s="916">
        <f t="shared" si="1411"/>
        <v>0</v>
      </c>
      <c r="HD219" s="923">
        <f t="shared" si="1411"/>
        <v>0</v>
      </c>
      <c r="HE219" s="1703">
        <f t="shared" si="1356"/>
        <v>3660913.51</v>
      </c>
      <c r="HF219" s="865" t="s">
        <v>335</v>
      </c>
      <c r="HG219" s="1154">
        <f t="shared" si="1393"/>
        <v>17133478.129999999</v>
      </c>
      <c r="HH219" s="878">
        <f t="shared" si="1394"/>
        <v>3660913.51</v>
      </c>
      <c r="HI219" s="878">
        <f t="shared" si="1395"/>
        <v>0</v>
      </c>
      <c r="HJ219" s="878">
        <f t="shared" si="1396"/>
        <v>0</v>
      </c>
      <c r="HK219" s="878">
        <f t="shared" si="1397"/>
        <v>17133478.129999999</v>
      </c>
      <c r="HL219" s="878">
        <f t="shared" si="1398"/>
        <v>3660913.51</v>
      </c>
      <c r="HM219" s="879"/>
      <c r="HN219" s="1153">
        <f t="shared" si="1412"/>
        <v>0</v>
      </c>
      <c r="HO219" s="924">
        <f t="shared" si="1412"/>
        <v>0</v>
      </c>
      <c r="HP219" s="924">
        <f t="shared" si="1412"/>
        <v>0</v>
      </c>
      <c r="HQ219" s="924">
        <f t="shared" si="1412"/>
        <v>0</v>
      </c>
      <c r="HR219" s="924">
        <f t="shared" si="1412"/>
        <v>0</v>
      </c>
      <c r="HS219" s="924">
        <f t="shared" si="1412"/>
        <v>0</v>
      </c>
      <c r="HT219" s="1478"/>
      <c r="HU219" s="883"/>
    </row>
    <row r="220" spans="1:229" s="102" customFormat="1" ht="30" customHeight="1" x14ac:dyDescent="0.2">
      <c r="A220" s="3671"/>
      <c r="B220" s="3695"/>
      <c r="C220" s="926" t="s">
        <v>359</v>
      </c>
      <c r="D220" s="927" t="s">
        <v>223</v>
      </c>
      <c r="E220" s="858"/>
      <c r="F220" s="340"/>
      <c r="G220" s="859"/>
      <c r="H220" s="860"/>
      <c r="I220" s="340"/>
      <c r="J220" s="340"/>
      <c r="K220" s="860"/>
      <c r="L220" s="340"/>
      <c r="M220" s="340"/>
      <c r="N220" s="861"/>
      <c r="O220" s="858"/>
      <c r="P220" s="859"/>
      <c r="Q220" s="859"/>
      <c r="R220" s="859"/>
      <c r="S220" s="862"/>
      <c r="T220" s="863">
        <v>-678358839.25</v>
      </c>
      <c r="U220" s="864">
        <f>AI220-AB220</f>
        <v>-8111246.7999999998</v>
      </c>
      <c r="V220" s="865" t="s">
        <v>335</v>
      </c>
      <c r="W220" s="866">
        <v>9017388.1600000001</v>
      </c>
      <c r="X220" s="867">
        <v>9017388.1600000001</v>
      </c>
      <c r="Y220" s="867">
        <v>0</v>
      </c>
      <c r="Z220" s="867">
        <v>0</v>
      </c>
      <c r="AA220" s="868">
        <f t="shared" si="1358"/>
        <v>9017388.1600000001</v>
      </c>
      <c r="AB220" s="867">
        <f t="shared" si="1358"/>
        <v>9017388.1600000001</v>
      </c>
      <c r="AC220" s="869"/>
      <c r="AD220" s="832">
        <v>1343924.45</v>
      </c>
      <c r="AE220" s="832">
        <v>906141.36</v>
      </c>
      <c r="AF220" s="832">
        <v>0</v>
      </c>
      <c r="AG220" s="832">
        <v>0</v>
      </c>
      <c r="AH220" s="919">
        <f t="shared" si="1399"/>
        <v>1343924.45</v>
      </c>
      <c r="AI220" s="832">
        <f t="shared" si="1399"/>
        <v>906141.36</v>
      </c>
      <c r="AJ220" s="920"/>
      <c r="AK220" s="921"/>
      <c r="AL220" s="872"/>
      <c r="AM220" s="916"/>
      <c r="AN220" s="873" t="s">
        <v>335</v>
      </c>
      <c r="AO220" s="874">
        <v>734752.44</v>
      </c>
      <c r="AP220" s="875"/>
      <c r="AQ220" s="875"/>
      <c r="AR220" s="875"/>
      <c r="AS220" s="846">
        <f t="shared" si="1359"/>
        <v>734752.44</v>
      </c>
      <c r="AT220" s="847">
        <f t="shared" si="1360"/>
        <v>0</v>
      </c>
      <c r="AU220" s="922">
        <f>3333201.07</f>
        <v>3333201.07</v>
      </c>
      <c r="AV220" s="872">
        <f>3770984.16-1307655.6</f>
        <v>2463328.56</v>
      </c>
      <c r="AW220" s="916">
        <v>0</v>
      </c>
      <c r="AX220" s="916"/>
      <c r="AY220" s="916">
        <f t="shared" si="1400"/>
        <v>3333201.07</v>
      </c>
      <c r="AZ220" s="923">
        <f t="shared" si="1400"/>
        <v>2463328.56</v>
      </c>
      <c r="BA220" s="876">
        <f t="shared" si="1332"/>
        <v>-8111246.7999999998</v>
      </c>
      <c r="BB220" s="865" t="s">
        <v>335</v>
      </c>
      <c r="BC220" s="877">
        <f t="shared" si="1333"/>
        <v>9752140.5999999996</v>
      </c>
      <c r="BD220" s="878">
        <f t="shared" si="1334"/>
        <v>9017388.1600000001</v>
      </c>
      <c r="BE220" s="878">
        <f t="shared" si="1335"/>
        <v>0</v>
      </c>
      <c r="BF220" s="878">
        <f t="shared" si="1336"/>
        <v>0</v>
      </c>
      <c r="BG220" s="878">
        <f t="shared" si="1337"/>
        <v>9752140.5999999996</v>
      </c>
      <c r="BH220" s="878">
        <f t="shared" si="1338"/>
        <v>9017388.1600000001</v>
      </c>
      <c r="BI220" s="879"/>
      <c r="BJ220" s="876">
        <f t="shared" si="1401"/>
        <v>4677125.5199999996</v>
      </c>
      <c r="BK220" s="924">
        <f t="shared" si="1401"/>
        <v>3369469.92</v>
      </c>
      <c r="BL220" s="924">
        <f t="shared" si="1402"/>
        <v>0</v>
      </c>
      <c r="BM220" s="924">
        <f t="shared" si="1402"/>
        <v>0</v>
      </c>
      <c r="BN220" s="924">
        <f t="shared" si="1402"/>
        <v>4677125.5199999996</v>
      </c>
      <c r="BO220" s="924">
        <f t="shared" si="1402"/>
        <v>3369469.92</v>
      </c>
      <c r="BP220" s="882"/>
      <c r="BQ220" s="883"/>
      <c r="BR220" s="872"/>
      <c r="BS220" s="916"/>
      <c r="BT220" s="873" t="s">
        <v>335</v>
      </c>
      <c r="BU220" s="874"/>
      <c r="BV220" s="875">
        <v>2022221.07</v>
      </c>
      <c r="BW220" s="875"/>
      <c r="BX220" s="875"/>
      <c r="BY220" s="846">
        <f t="shared" si="1362"/>
        <v>0</v>
      </c>
      <c r="BZ220" s="847">
        <f t="shared" si="1363"/>
        <v>2022221.07</v>
      </c>
      <c r="CA220" s="922">
        <v>0</v>
      </c>
      <c r="CB220" s="872"/>
      <c r="CC220" s="916"/>
      <c r="CD220" s="916"/>
      <c r="CE220" s="916">
        <f t="shared" si="1403"/>
        <v>0</v>
      </c>
      <c r="CF220" s="923">
        <f t="shared" si="1403"/>
        <v>0</v>
      </c>
      <c r="CG220" s="876">
        <f t="shared" si="1339"/>
        <v>-8111246.7999999998</v>
      </c>
      <c r="CH220" s="865" t="s">
        <v>335</v>
      </c>
      <c r="CI220" s="866">
        <f t="shared" si="1364"/>
        <v>9752140.5999999996</v>
      </c>
      <c r="CJ220" s="868">
        <f t="shared" si="1365"/>
        <v>11039609.23</v>
      </c>
      <c r="CK220" s="868">
        <f t="shared" si="1366"/>
        <v>0</v>
      </c>
      <c r="CL220" s="868">
        <f t="shared" si="1367"/>
        <v>0</v>
      </c>
      <c r="CM220" s="868">
        <f t="shared" si="1368"/>
        <v>9752140.5999999996</v>
      </c>
      <c r="CN220" s="868">
        <f t="shared" si="1369"/>
        <v>11039609.23</v>
      </c>
      <c r="CO220" s="879"/>
      <c r="CP220" s="1148">
        <f t="shared" si="1404"/>
        <v>4677125.5199999996</v>
      </c>
      <c r="CQ220" s="1268">
        <f t="shared" si="1404"/>
        <v>3369469.92</v>
      </c>
      <c r="CR220" s="1268">
        <f t="shared" si="1404"/>
        <v>0</v>
      </c>
      <c r="CS220" s="1268">
        <f t="shared" si="1404"/>
        <v>0</v>
      </c>
      <c r="CT220" s="1268">
        <f t="shared" si="1404"/>
        <v>4677125.5199999996</v>
      </c>
      <c r="CU220" s="1268">
        <f t="shared" si="1404"/>
        <v>3369469.92</v>
      </c>
      <c r="CV220" s="882"/>
      <c r="CW220" s="883"/>
      <c r="CX220" s="872"/>
      <c r="CY220" s="916"/>
      <c r="CZ220" s="873" t="s">
        <v>335</v>
      </c>
      <c r="DA220" s="874"/>
      <c r="DB220" s="875">
        <v>1511314.18</v>
      </c>
      <c r="DC220" s="875"/>
      <c r="DD220" s="875"/>
      <c r="DE220" s="846">
        <f t="shared" si="1371"/>
        <v>0</v>
      </c>
      <c r="DF220" s="847">
        <f t="shared" si="1372"/>
        <v>1511314.18</v>
      </c>
      <c r="DG220" s="922"/>
      <c r="DH220" s="872"/>
      <c r="DI220" s="916"/>
      <c r="DJ220" s="916"/>
      <c r="DK220" s="916">
        <f t="shared" si="1405"/>
        <v>0</v>
      </c>
      <c r="DL220" s="923">
        <f t="shared" si="1405"/>
        <v>0</v>
      </c>
      <c r="DM220" s="876">
        <f t="shared" si="1341"/>
        <v>-8111246.7999999998</v>
      </c>
      <c r="DN220" s="865" t="s">
        <v>335</v>
      </c>
      <c r="DO220" s="866">
        <f t="shared" si="1373"/>
        <v>9752140.5999999996</v>
      </c>
      <c r="DP220" s="868">
        <f t="shared" si="1374"/>
        <v>12550923.41</v>
      </c>
      <c r="DQ220" s="868">
        <f t="shared" si="1375"/>
        <v>0</v>
      </c>
      <c r="DR220" s="868">
        <f t="shared" si="1376"/>
        <v>0</v>
      </c>
      <c r="DS220" s="868">
        <f t="shared" si="1377"/>
        <v>9752140.5999999996</v>
      </c>
      <c r="DT220" s="868">
        <f t="shared" si="1378"/>
        <v>12550923.41</v>
      </c>
      <c r="DU220" s="879"/>
      <c r="DV220" s="1148">
        <f t="shared" si="1406"/>
        <v>4677125.5199999996</v>
      </c>
      <c r="DW220" s="1268">
        <f t="shared" si="1406"/>
        <v>3369469.92</v>
      </c>
      <c r="DX220" s="1268">
        <f t="shared" si="1406"/>
        <v>0</v>
      </c>
      <c r="DY220" s="1268">
        <f t="shared" si="1406"/>
        <v>0</v>
      </c>
      <c r="DZ220" s="1268">
        <f t="shared" si="1406"/>
        <v>4677125.5199999996</v>
      </c>
      <c r="EA220" s="1268">
        <f t="shared" si="1406"/>
        <v>3369469.92</v>
      </c>
      <c r="EB220" s="882"/>
      <c r="EC220" s="883"/>
      <c r="ED220" s="872"/>
      <c r="EE220" s="916"/>
      <c r="EF220" s="873" t="s">
        <v>335</v>
      </c>
      <c r="EG220" s="874">
        <v>2500000</v>
      </c>
      <c r="EH220" s="875">
        <v>2415250.9900000002</v>
      </c>
      <c r="EI220" s="875"/>
      <c r="EJ220" s="875"/>
      <c r="EK220" s="846">
        <f t="shared" si="1379"/>
        <v>2500000</v>
      </c>
      <c r="EL220" s="847">
        <f t="shared" si="1380"/>
        <v>2415250.9900000002</v>
      </c>
      <c r="EM220" s="922"/>
      <c r="EN220" s="872">
        <f>1307655.6+3216209.01</f>
        <v>4523864.6099999994</v>
      </c>
      <c r="EO220" s="916"/>
      <c r="EP220" s="916"/>
      <c r="EQ220" s="916">
        <f t="shared" si="1407"/>
        <v>0</v>
      </c>
      <c r="ER220" s="923">
        <f t="shared" si="1407"/>
        <v>4523864.6099999994</v>
      </c>
      <c r="ES220" s="876">
        <f t="shared" si="1352"/>
        <v>-8111246.7999999998</v>
      </c>
      <c r="ET220" s="865" t="s">
        <v>335</v>
      </c>
      <c r="EU220" s="1154">
        <f t="shared" si="1381"/>
        <v>12252140.6</v>
      </c>
      <c r="EV220" s="878">
        <f t="shared" si="1382"/>
        <v>14966174.4</v>
      </c>
      <c r="EW220" s="878">
        <f t="shared" si="1382"/>
        <v>0</v>
      </c>
      <c r="EX220" s="878">
        <f t="shared" si="1382"/>
        <v>0</v>
      </c>
      <c r="EY220" s="878">
        <f t="shared" si="1382"/>
        <v>12252140.6</v>
      </c>
      <c r="EZ220" s="878">
        <f t="shared" si="1382"/>
        <v>14966174.4</v>
      </c>
      <c r="FA220" s="879"/>
      <c r="FB220" s="1153">
        <f>DV220+EM220</f>
        <v>4677125.5199999996</v>
      </c>
      <c r="FC220" s="924">
        <f t="shared" si="1408"/>
        <v>7893334.5299999993</v>
      </c>
      <c r="FD220" s="924">
        <f t="shared" si="1408"/>
        <v>0</v>
      </c>
      <c r="FE220" s="924">
        <f t="shared" si="1408"/>
        <v>0</v>
      </c>
      <c r="FF220" s="924">
        <f t="shared" si="1408"/>
        <v>4677125.5199999996</v>
      </c>
      <c r="FG220" s="924">
        <f t="shared" si="1408"/>
        <v>7893334.5299999993</v>
      </c>
      <c r="FH220" s="1478"/>
      <c r="FI220" s="883"/>
      <c r="FJ220" s="872"/>
      <c r="FK220" s="916"/>
      <c r="FL220" s="873" t="s">
        <v>335</v>
      </c>
      <c r="FM220" s="874"/>
      <c r="FN220" s="875"/>
      <c r="FO220" s="875"/>
      <c r="FP220" s="875"/>
      <c r="FQ220" s="846">
        <f t="shared" si="1383"/>
        <v>0</v>
      </c>
      <c r="FR220" s="847">
        <f t="shared" si="1384"/>
        <v>0</v>
      </c>
      <c r="FS220" s="922"/>
      <c r="FT220" s="872"/>
      <c r="FU220" s="916"/>
      <c r="FV220" s="916"/>
      <c r="FW220" s="916">
        <f t="shared" si="1409"/>
        <v>0</v>
      </c>
      <c r="FX220" s="923">
        <f t="shared" si="1409"/>
        <v>0</v>
      </c>
      <c r="FY220" s="876">
        <f t="shared" si="1354"/>
        <v>-8111246.7999999998</v>
      </c>
      <c r="FZ220" s="865" t="s">
        <v>335</v>
      </c>
      <c r="GA220" s="1154">
        <f t="shared" si="1385"/>
        <v>12252140.6</v>
      </c>
      <c r="GB220" s="878">
        <f t="shared" si="1386"/>
        <v>14966174.4</v>
      </c>
      <c r="GC220" s="878">
        <f t="shared" si="1387"/>
        <v>0</v>
      </c>
      <c r="GD220" s="878">
        <f t="shared" si="1388"/>
        <v>0</v>
      </c>
      <c r="GE220" s="878">
        <f t="shared" si="1389"/>
        <v>12252140.6</v>
      </c>
      <c r="GF220" s="878">
        <f t="shared" si="1390"/>
        <v>14966174.4</v>
      </c>
      <c r="GG220" s="879"/>
      <c r="GH220" s="1153">
        <f t="shared" si="1410"/>
        <v>4677125.5199999996</v>
      </c>
      <c r="GI220" s="924">
        <f t="shared" si="1410"/>
        <v>7893334.5299999993</v>
      </c>
      <c r="GJ220" s="924">
        <f t="shared" si="1410"/>
        <v>0</v>
      </c>
      <c r="GK220" s="924">
        <f t="shared" si="1410"/>
        <v>0</v>
      </c>
      <c r="GL220" s="924">
        <f t="shared" si="1410"/>
        <v>4677125.5199999996</v>
      </c>
      <c r="GM220" s="924">
        <f t="shared" si="1410"/>
        <v>7893334.5299999993</v>
      </c>
      <c r="GN220" s="1478"/>
      <c r="GO220" s="883"/>
      <c r="GP220" s="872"/>
      <c r="GQ220" s="916"/>
      <c r="GR220" s="873" t="s">
        <v>335</v>
      </c>
      <c r="GS220" s="874"/>
      <c r="GT220" s="875"/>
      <c r="GU220" s="875"/>
      <c r="GV220" s="875"/>
      <c r="GW220" s="846">
        <f t="shared" si="1391"/>
        <v>0</v>
      </c>
      <c r="GX220" s="847">
        <f t="shared" si="1392"/>
        <v>0</v>
      </c>
      <c r="GY220" s="922"/>
      <c r="GZ220" s="872"/>
      <c r="HA220" s="916"/>
      <c r="HB220" s="916"/>
      <c r="HC220" s="916">
        <f t="shared" si="1411"/>
        <v>0</v>
      </c>
      <c r="HD220" s="923">
        <f t="shared" si="1411"/>
        <v>0</v>
      </c>
      <c r="HE220" s="1703">
        <f t="shared" si="1356"/>
        <v>-8111246.7999999998</v>
      </c>
      <c r="HF220" s="865" t="s">
        <v>335</v>
      </c>
      <c r="HG220" s="1154">
        <f t="shared" si="1393"/>
        <v>12252140.6</v>
      </c>
      <c r="HH220" s="878">
        <f t="shared" si="1394"/>
        <v>14966174.4</v>
      </c>
      <c r="HI220" s="878">
        <f t="shared" si="1395"/>
        <v>0</v>
      </c>
      <c r="HJ220" s="878">
        <f t="shared" si="1396"/>
        <v>0</v>
      </c>
      <c r="HK220" s="878">
        <f t="shared" si="1397"/>
        <v>12252140.6</v>
      </c>
      <c r="HL220" s="878">
        <f t="shared" si="1398"/>
        <v>14966174.4</v>
      </c>
      <c r="HM220" s="879"/>
      <c r="HN220" s="1153">
        <f t="shared" si="1412"/>
        <v>4677125.5199999996</v>
      </c>
      <c r="HO220" s="924">
        <f t="shared" si="1412"/>
        <v>7893334.5299999993</v>
      </c>
      <c r="HP220" s="924">
        <f t="shared" si="1412"/>
        <v>0</v>
      </c>
      <c r="HQ220" s="924">
        <f t="shared" si="1412"/>
        <v>0</v>
      </c>
      <c r="HR220" s="924">
        <f t="shared" si="1412"/>
        <v>4677125.5199999996</v>
      </c>
      <c r="HS220" s="924">
        <f t="shared" si="1412"/>
        <v>7893334.5299999993</v>
      </c>
      <c r="HT220" s="1478"/>
      <c r="HU220" s="883"/>
    </row>
    <row r="221" spans="1:229" s="102" customFormat="1" ht="40.5" customHeight="1" x14ac:dyDescent="0.2">
      <c r="A221" s="3671"/>
      <c r="B221" s="3695"/>
      <c r="C221" s="917" t="s">
        <v>360</v>
      </c>
      <c r="D221" s="927" t="s">
        <v>225</v>
      </c>
      <c r="E221" s="858"/>
      <c r="F221" s="340"/>
      <c r="G221" s="859"/>
      <c r="H221" s="860"/>
      <c r="I221" s="340"/>
      <c r="J221" s="340"/>
      <c r="K221" s="860"/>
      <c r="L221" s="340"/>
      <c r="M221" s="340"/>
      <c r="N221" s="861"/>
      <c r="O221" s="858"/>
      <c r="P221" s="859"/>
      <c r="Q221" s="859"/>
      <c r="R221" s="859"/>
      <c r="S221" s="862"/>
      <c r="T221" s="863">
        <v>-65235414.060000002</v>
      </c>
      <c r="U221" s="864">
        <f>AI221-AB221</f>
        <v>-1587642.9200000002</v>
      </c>
      <c r="V221" s="865" t="s">
        <v>335</v>
      </c>
      <c r="W221" s="866">
        <v>1805598.82</v>
      </c>
      <c r="X221" s="867">
        <v>1615926.82</v>
      </c>
      <c r="Y221" s="867">
        <v>0</v>
      </c>
      <c r="Z221" s="867">
        <v>0</v>
      </c>
      <c r="AA221" s="868">
        <f t="shared" si="1358"/>
        <v>1805598.82</v>
      </c>
      <c r="AB221" s="867">
        <f t="shared" si="1358"/>
        <v>1615926.82</v>
      </c>
      <c r="AC221" s="869"/>
      <c r="AD221" s="832">
        <v>6008580.7599999998</v>
      </c>
      <c r="AE221" s="832">
        <v>28283.9</v>
      </c>
      <c r="AF221" s="832">
        <v>0</v>
      </c>
      <c r="AG221" s="832">
        <v>0</v>
      </c>
      <c r="AH221" s="919">
        <f t="shared" si="1399"/>
        <v>6008580.7599999998</v>
      </c>
      <c r="AI221" s="832">
        <f t="shared" si="1399"/>
        <v>28283.9</v>
      </c>
      <c r="AJ221" s="920"/>
      <c r="AK221" s="921"/>
      <c r="AL221" s="872"/>
      <c r="AM221" s="916"/>
      <c r="AN221" s="873" t="s">
        <v>335</v>
      </c>
      <c r="AO221" s="874">
        <v>0</v>
      </c>
      <c r="AP221" s="875"/>
      <c r="AQ221" s="875">
        <v>0</v>
      </c>
      <c r="AR221" s="875"/>
      <c r="AS221" s="846">
        <f t="shared" si="1359"/>
        <v>0</v>
      </c>
      <c r="AT221" s="847">
        <f t="shared" si="1360"/>
        <v>0</v>
      </c>
      <c r="AU221" s="922">
        <f>2717543.12</f>
        <v>2717543.12</v>
      </c>
      <c r="AV221" s="916">
        <f>3486348.29+1307655.6</f>
        <v>4794003.8900000006</v>
      </c>
      <c r="AW221" s="916">
        <v>0</v>
      </c>
      <c r="AX221" s="916"/>
      <c r="AY221" s="916">
        <f t="shared" si="1400"/>
        <v>2717543.12</v>
      </c>
      <c r="AZ221" s="923">
        <f t="shared" si="1400"/>
        <v>4794003.8900000006</v>
      </c>
      <c r="BA221" s="876">
        <f t="shared" si="1332"/>
        <v>-1587642.9200000002</v>
      </c>
      <c r="BB221" s="865" t="s">
        <v>335</v>
      </c>
      <c r="BC221" s="877">
        <f t="shared" si="1333"/>
        <v>1805598.82</v>
      </c>
      <c r="BD221" s="878">
        <f t="shared" si="1334"/>
        <v>1615926.82</v>
      </c>
      <c r="BE221" s="878">
        <f t="shared" si="1335"/>
        <v>0</v>
      </c>
      <c r="BF221" s="878">
        <f t="shared" si="1336"/>
        <v>0</v>
      </c>
      <c r="BG221" s="878">
        <f t="shared" si="1337"/>
        <v>1805598.82</v>
      </c>
      <c r="BH221" s="878">
        <f t="shared" si="1338"/>
        <v>1615926.82</v>
      </c>
      <c r="BI221" s="879"/>
      <c r="BJ221" s="876">
        <f t="shared" si="1401"/>
        <v>8726123.879999999</v>
      </c>
      <c r="BK221" s="924">
        <f t="shared" si="1401"/>
        <v>4822287.790000001</v>
      </c>
      <c r="BL221" s="924">
        <f t="shared" si="1402"/>
        <v>0</v>
      </c>
      <c r="BM221" s="924">
        <f t="shared" si="1402"/>
        <v>0</v>
      </c>
      <c r="BN221" s="924">
        <f t="shared" si="1402"/>
        <v>8726123.879999999</v>
      </c>
      <c r="BO221" s="924">
        <f t="shared" si="1402"/>
        <v>4822287.790000001</v>
      </c>
      <c r="BP221" s="882"/>
      <c r="BQ221" s="883"/>
      <c r="BR221" s="872"/>
      <c r="BS221" s="916"/>
      <c r="BT221" s="873" t="s">
        <v>335</v>
      </c>
      <c r="BU221" s="874">
        <v>200000</v>
      </c>
      <c r="BV221" s="875">
        <v>746656.24</v>
      </c>
      <c r="BW221" s="875">
        <v>0</v>
      </c>
      <c r="BX221" s="875"/>
      <c r="BY221" s="846">
        <f t="shared" si="1362"/>
        <v>200000</v>
      </c>
      <c r="BZ221" s="847">
        <f t="shared" si="1363"/>
        <v>746656.24</v>
      </c>
      <c r="CA221" s="922">
        <v>2717543.12</v>
      </c>
      <c r="CB221" s="916">
        <v>2242402.81</v>
      </c>
      <c r="CC221" s="916"/>
      <c r="CD221" s="916"/>
      <c r="CE221" s="916">
        <f t="shared" si="1403"/>
        <v>2717543.12</v>
      </c>
      <c r="CF221" s="923">
        <f t="shared" si="1403"/>
        <v>2242402.81</v>
      </c>
      <c r="CG221" s="876">
        <f t="shared" si="1339"/>
        <v>-1587642.9200000002</v>
      </c>
      <c r="CH221" s="865" t="s">
        <v>335</v>
      </c>
      <c r="CI221" s="866">
        <f t="shared" si="1364"/>
        <v>2005598.82</v>
      </c>
      <c r="CJ221" s="868">
        <f t="shared" si="1365"/>
        <v>2362583.06</v>
      </c>
      <c r="CK221" s="868">
        <f t="shared" si="1366"/>
        <v>0</v>
      </c>
      <c r="CL221" s="868">
        <f t="shared" si="1367"/>
        <v>0</v>
      </c>
      <c r="CM221" s="868">
        <f t="shared" si="1368"/>
        <v>2005598.82</v>
      </c>
      <c r="CN221" s="868">
        <f t="shared" si="1369"/>
        <v>2362583.06</v>
      </c>
      <c r="CO221" s="879"/>
      <c r="CP221" s="1148">
        <f t="shared" si="1404"/>
        <v>11443667</v>
      </c>
      <c r="CQ221" s="1268">
        <f t="shared" si="1404"/>
        <v>7064690.6000000015</v>
      </c>
      <c r="CR221" s="1268">
        <f t="shared" si="1404"/>
        <v>0</v>
      </c>
      <c r="CS221" s="1268">
        <f t="shared" si="1404"/>
        <v>0</v>
      </c>
      <c r="CT221" s="1268">
        <f t="shared" si="1404"/>
        <v>11443667</v>
      </c>
      <c r="CU221" s="1268">
        <f t="shared" si="1404"/>
        <v>7064690.6000000015</v>
      </c>
      <c r="CV221" s="882"/>
      <c r="CW221" s="883"/>
      <c r="CX221" s="872"/>
      <c r="CY221" s="916"/>
      <c r="CZ221" s="873" t="s">
        <v>335</v>
      </c>
      <c r="DA221" s="874"/>
      <c r="DB221" s="875"/>
      <c r="DC221" s="875"/>
      <c r="DD221" s="875"/>
      <c r="DE221" s="846">
        <f t="shared" si="1371"/>
        <v>0</v>
      </c>
      <c r="DF221" s="847">
        <f t="shared" si="1372"/>
        <v>0</v>
      </c>
      <c r="DG221" s="922">
        <v>2717543.12</v>
      </c>
      <c r="DH221" s="916"/>
      <c r="DI221" s="916"/>
      <c r="DJ221" s="916"/>
      <c r="DK221" s="916">
        <f t="shared" si="1405"/>
        <v>2717543.12</v>
      </c>
      <c r="DL221" s="923">
        <f t="shared" si="1405"/>
        <v>0</v>
      </c>
      <c r="DM221" s="876">
        <f t="shared" si="1341"/>
        <v>-1587642.9200000002</v>
      </c>
      <c r="DN221" s="865" t="s">
        <v>335</v>
      </c>
      <c r="DO221" s="866">
        <f t="shared" si="1373"/>
        <v>2005598.82</v>
      </c>
      <c r="DP221" s="868">
        <f t="shared" si="1374"/>
        <v>2362583.06</v>
      </c>
      <c r="DQ221" s="868">
        <f t="shared" si="1375"/>
        <v>0</v>
      </c>
      <c r="DR221" s="868">
        <f t="shared" si="1376"/>
        <v>0</v>
      </c>
      <c r="DS221" s="868">
        <f t="shared" si="1377"/>
        <v>2005598.82</v>
      </c>
      <c r="DT221" s="868">
        <f t="shared" si="1378"/>
        <v>2362583.06</v>
      </c>
      <c r="DU221" s="879"/>
      <c r="DV221" s="1148">
        <f t="shared" si="1406"/>
        <v>14161210.120000001</v>
      </c>
      <c r="DW221" s="1268">
        <f t="shared" si="1406"/>
        <v>7064690.6000000015</v>
      </c>
      <c r="DX221" s="1268">
        <f t="shared" si="1406"/>
        <v>0</v>
      </c>
      <c r="DY221" s="1268">
        <f t="shared" si="1406"/>
        <v>0</v>
      </c>
      <c r="DZ221" s="1268">
        <f t="shared" si="1406"/>
        <v>14161210.120000001</v>
      </c>
      <c r="EA221" s="1268">
        <f t="shared" si="1406"/>
        <v>7064690.6000000015</v>
      </c>
      <c r="EB221" s="882"/>
      <c r="EC221" s="883"/>
      <c r="ED221" s="872"/>
      <c r="EE221" s="916"/>
      <c r="EF221" s="873" t="s">
        <v>335</v>
      </c>
      <c r="EG221" s="874"/>
      <c r="EH221" s="875"/>
      <c r="EI221" s="875"/>
      <c r="EJ221" s="875"/>
      <c r="EK221" s="846">
        <f t="shared" si="1379"/>
        <v>0</v>
      </c>
      <c r="EL221" s="847">
        <f t="shared" si="1380"/>
        <v>0</v>
      </c>
      <c r="EM221" s="922">
        <v>2717543.12</v>
      </c>
      <c r="EN221" s="916">
        <f>5192344.4+3013077.42</f>
        <v>8205421.8200000003</v>
      </c>
      <c r="EO221" s="916"/>
      <c r="EP221" s="916"/>
      <c r="EQ221" s="916">
        <f t="shared" si="1407"/>
        <v>2717543.12</v>
      </c>
      <c r="ER221" s="923">
        <f t="shared" si="1407"/>
        <v>8205421.8200000003</v>
      </c>
      <c r="ES221" s="876">
        <f t="shared" si="1352"/>
        <v>-1587642.9200000002</v>
      </c>
      <c r="ET221" s="865" t="s">
        <v>335</v>
      </c>
      <c r="EU221" s="1154">
        <f t="shared" si="1381"/>
        <v>2005598.82</v>
      </c>
      <c r="EV221" s="878">
        <f t="shared" si="1382"/>
        <v>2362583.06</v>
      </c>
      <c r="EW221" s="878">
        <f t="shared" si="1382"/>
        <v>0</v>
      </c>
      <c r="EX221" s="878">
        <f t="shared" si="1382"/>
        <v>0</v>
      </c>
      <c r="EY221" s="878">
        <f t="shared" si="1382"/>
        <v>2005598.82</v>
      </c>
      <c r="EZ221" s="878">
        <f t="shared" si="1382"/>
        <v>2362583.06</v>
      </c>
      <c r="FA221" s="879"/>
      <c r="FB221" s="1153">
        <f>DV221+EM221</f>
        <v>16878753.240000002</v>
      </c>
      <c r="FC221" s="924">
        <f t="shared" si="1408"/>
        <v>15270112.420000002</v>
      </c>
      <c r="FD221" s="924">
        <f t="shared" si="1408"/>
        <v>0</v>
      </c>
      <c r="FE221" s="924">
        <f t="shared" si="1408"/>
        <v>0</v>
      </c>
      <c r="FF221" s="924">
        <f t="shared" si="1408"/>
        <v>16878753.240000002</v>
      </c>
      <c r="FG221" s="924">
        <f t="shared" si="1408"/>
        <v>15270112.420000002</v>
      </c>
      <c r="FH221" s="1478"/>
      <c r="FI221" s="883"/>
      <c r="FJ221" s="872"/>
      <c r="FK221" s="916"/>
      <c r="FL221" s="873" t="s">
        <v>335</v>
      </c>
      <c r="FM221" s="874"/>
      <c r="FN221" s="875">
        <v>168420.03</v>
      </c>
      <c r="FO221" s="875"/>
      <c r="FP221" s="875"/>
      <c r="FQ221" s="846">
        <f t="shared" si="1383"/>
        <v>0</v>
      </c>
      <c r="FR221" s="847">
        <f t="shared" si="1384"/>
        <v>168420.03</v>
      </c>
      <c r="FS221" s="922">
        <v>2717543.12</v>
      </c>
      <c r="FT221" s="916"/>
      <c r="FU221" s="916"/>
      <c r="FV221" s="916"/>
      <c r="FW221" s="916">
        <f t="shared" si="1409"/>
        <v>2717543.12</v>
      </c>
      <c r="FX221" s="923">
        <f t="shared" si="1409"/>
        <v>0</v>
      </c>
      <c r="FY221" s="876">
        <f t="shared" si="1354"/>
        <v>-1587642.9200000002</v>
      </c>
      <c r="FZ221" s="865" t="s">
        <v>335</v>
      </c>
      <c r="GA221" s="1154">
        <f t="shared" si="1385"/>
        <v>2005598.82</v>
      </c>
      <c r="GB221" s="878">
        <f t="shared" si="1386"/>
        <v>2531003.09</v>
      </c>
      <c r="GC221" s="878">
        <f t="shared" si="1387"/>
        <v>0</v>
      </c>
      <c r="GD221" s="878">
        <f t="shared" si="1388"/>
        <v>0</v>
      </c>
      <c r="GE221" s="878">
        <f t="shared" si="1389"/>
        <v>2005598.82</v>
      </c>
      <c r="GF221" s="878">
        <f t="shared" si="1390"/>
        <v>2531003.09</v>
      </c>
      <c r="GG221" s="879"/>
      <c r="GH221" s="1153">
        <f t="shared" si="1410"/>
        <v>19596296.360000003</v>
      </c>
      <c r="GI221" s="924">
        <f t="shared" si="1410"/>
        <v>15270112.420000002</v>
      </c>
      <c r="GJ221" s="924">
        <f t="shared" si="1410"/>
        <v>0</v>
      </c>
      <c r="GK221" s="924">
        <f t="shared" si="1410"/>
        <v>0</v>
      </c>
      <c r="GL221" s="924">
        <f t="shared" si="1410"/>
        <v>19596296.360000003</v>
      </c>
      <c r="GM221" s="924">
        <f t="shared" si="1410"/>
        <v>15270112.420000002</v>
      </c>
      <c r="GN221" s="1478"/>
      <c r="GO221" s="883"/>
      <c r="GP221" s="872"/>
      <c r="GQ221" s="916"/>
      <c r="GR221" s="873" t="s">
        <v>335</v>
      </c>
      <c r="GS221" s="874"/>
      <c r="GT221" s="875"/>
      <c r="GU221" s="875"/>
      <c r="GV221" s="875"/>
      <c r="GW221" s="846">
        <f t="shared" si="1391"/>
        <v>0</v>
      </c>
      <c r="GX221" s="847">
        <f t="shared" si="1392"/>
        <v>0</v>
      </c>
      <c r="GY221" s="922">
        <v>2717543.12</v>
      </c>
      <c r="GZ221" s="916"/>
      <c r="HA221" s="916"/>
      <c r="HB221" s="916"/>
      <c r="HC221" s="916">
        <f t="shared" si="1411"/>
        <v>2717543.12</v>
      </c>
      <c r="HD221" s="923">
        <f t="shared" si="1411"/>
        <v>0</v>
      </c>
      <c r="HE221" s="1703">
        <f t="shared" si="1356"/>
        <v>-1587642.9200000002</v>
      </c>
      <c r="HF221" s="865" t="s">
        <v>335</v>
      </c>
      <c r="HG221" s="1154">
        <f t="shared" si="1393"/>
        <v>2005598.82</v>
      </c>
      <c r="HH221" s="878">
        <f t="shared" si="1394"/>
        <v>2531003.09</v>
      </c>
      <c r="HI221" s="878">
        <f t="shared" si="1395"/>
        <v>0</v>
      </c>
      <c r="HJ221" s="878">
        <f t="shared" si="1396"/>
        <v>0</v>
      </c>
      <c r="HK221" s="878">
        <f t="shared" si="1397"/>
        <v>2005598.82</v>
      </c>
      <c r="HL221" s="878">
        <f t="shared" si="1398"/>
        <v>2531003.09</v>
      </c>
      <c r="HM221" s="879"/>
      <c r="HN221" s="1153">
        <f t="shared" si="1412"/>
        <v>22313839.480000004</v>
      </c>
      <c r="HO221" s="924">
        <f t="shared" si="1412"/>
        <v>15270112.420000002</v>
      </c>
      <c r="HP221" s="924">
        <f t="shared" si="1412"/>
        <v>0</v>
      </c>
      <c r="HQ221" s="924">
        <f t="shared" si="1412"/>
        <v>0</v>
      </c>
      <c r="HR221" s="924">
        <f t="shared" si="1412"/>
        <v>22313839.480000004</v>
      </c>
      <c r="HS221" s="924">
        <f t="shared" si="1412"/>
        <v>15270112.420000002</v>
      </c>
      <c r="HT221" s="1478"/>
      <c r="HU221" s="883"/>
    </row>
    <row r="222" spans="1:229" s="102" customFormat="1" ht="30" customHeight="1" thickBot="1" x14ac:dyDescent="0.25">
      <c r="A222" s="3679"/>
      <c r="B222" s="3696"/>
      <c r="C222" s="928" t="s">
        <v>361</v>
      </c>
      <c r="D222" s="929" t="s">
        <v>180</v>
      </c>
      <c r="E222" s="930"/>
      <c r="F222" s="635"/>
      <c r="G222" s="931"/>
      <c r="H222" s="932"/>
      <c r="I222" s="635"/>
      <c r="J222" s="635"/>
      <c r="K222" s="932"/>
      <c r="L222" s="635"/>
      <c r="M222" s="635"/>
      <c r="N222" s="933"/>
      <c r="O222" s="930"/>
      <c r="P222" s="931"/>
      <c r="Q222" s="931"/>
      <c r="R222" s="931"/>
      <c r="S222" s="934"/>
      <c r="T222" s="935"/>
      <c r="U222" s="936" t="e">
        <f>-AI222</f>
        <v>#REF!</v>
      </c>
      <c r="V222" s="808" t="s">
        <v>335</v>
      </c>
      <c r="W222" s="937" t="s">
        <v>335</v>
      </c>
      <c r="X222" s="938" t="s">
        <v>335</v>
      </c>
      <c r="Y222" s="938" t="s">
        <v>335</v>
      </c>
      <c r="Z222" s="938" t="s">
        <v>335</v>
      </c>
      <c r="AA222" s="938" t="s">
        <v>335</v>
      </c>
      <c r="AB222" s="938" t="s">
        <v>335</v>
      </c>
      <c r="AC222" s="939"/>
      <c r="AD222" s="940">
        <v>3065267.9</v>
      </c>
      <c r="AE222" s="936" t="e">
        <f>4672960.52+SUM(#REF!)+SUM(#REF!)</f>
        <v>#REF!</v>
      </c>
      <c r="AF222" s="936">
        <v>0</v>
      </c>
      <c r="AG222" s="936">
        <v>0</v>
      </c>
      <c r="AH222" s="941">
        <f t="shared" si="1399"/>
        <v>3065267.9</v>
      </c>
      <c r="AI222" s="936" t="e">
        <f t="shared" si="1399"/>
        <v>#REF!</v>
      </c>
      <c r="AJ222" s="942"/>
      <c r="AK222" s="943"/>
      <c r="AL222" s="944"/>
      <c r="AM222" s="945"/>
      <c r="AN222" s="946" t="s">
        <v>335</v>
      </c>
      <c r="AO222" s="947" t="s">
        <v>335</v>
      </c>
      <c r="AP222" s="947" t="s">
        <v>335</v>
      </c>
      <c r="AQ222" s="947" t="s">
        <v>335</v>
      </c>
      <c r="AR222" s="947" t="s">
        <v>335</v>
      </c>
      <c r="AS222" s="947" t="s">
        <v>335</v>
      </c>
      <c r="AT222" s="948" t="s">
        <v>335</v>
      </c>
      <c r="AU222" s="949">
        <v>302958.63</v>
      </c>
      <c r="AV222" s="945" t="e">
        <f>861257.61+#REF!+#REF!</f>
        <v>#REF!</v>
      </c>
      <c r="AW222" s="945">
        <v>0</v>
      </c>
      <c r="AX222" s="945"/>
      <c r="AY222" s="945">
        <f t="shared" si="1400"/>
        <v>302958.63</v>
      </c>
      <c r="AZ222" s="950" t="e">
        <f t="shared" si="1400"/>
        <v>#REF!</v>
      </c>
      <c r="BA222" s="951" t="e">
        <f t="shared" si="1332"/>
        <v>#REF!</v>
      </c>
      <c r="BB222" s="808" t="s">
        <v>335</v>
      </c>
      <c r="BC222" s="937" t="s">
        <v>335</v>
      </c>
      <c r="BD222" s="938" t="s">
        <v>335</v>
      </c>
      <c r="BE222" s="938" t="s">
        <v>335</v>
      </c>
      <c r="BF222" s="938" t="s">
        <v>335</v>
      </c>
      <c r="BG222" s="938" t="s">
        <v>335</v>
      </c>
      <c r="BH222" s="938" t="s">
        <v>335</v>
      </c>
      <c r="BI222" s="952"/>
      <c r="BJ222" s="951">
        <f t="shared" si="1401"/>
        <v>3368226.53</v>
      </c>
      <c r="BK222" s="953" t="e">
        <f t="shared" si="1401"/>
        <v>#REF!</v>
      </c>
      <c r="BL222" s="953">
        <f t="shared" si="1402"/>
        <v>0</v>
      </c>
      <c r="BM222" s="953">
        <f t="shared" si="1402"/>
        <v>0</v>
      </c>
      <c r="BN222" s="953">
        <f t="shared" si="1402"/>
        <v>3368226.53</v>
      </c>
      <c r="BO222" s="953" t="e">
        <f t="shared" si="1402"/>
        <v>#REF!</v>
      </c>
      <c r="BP222" s="954"/>
      <c r="BQ222" s="955"/>
      <c r="BR222" s="944"/>
      <c r="BS222" s="945"/>
      <c r="BT222" s="946" t="s">
        <v>335</v>
      </c>
      <c r="BU222" s="947" t="s">
        <v>335</v>
      </c>
      <c r="BV222" s="947" t="s">
        <v>335</v>
      </c>
      <c r="BW222" s="947" t="s">
        <v>335</v>
      </c>
      <c r="BX222" s="947" t="s">
        <v>335</v>
      </c>
      <c r="BY222" s="947" t="s">
        <v>335</v>
      </c>
      <c r="BZ222" s="948" t="s">
        <v>335</v>
      </c>
      <c r="CA222" s="949">
        <v>302958.63</v>
      </c>
      <c r="CB222" s="945" t="e">
        <f>#REF!+#REF!+601624.72</f>
        <v>#REF!</v>
      </c>
      <c r="CC222" s="945"/>
      <c r="CD222" s="945"/>
      <c r="CE222" s="945">
        <f t="shared" si="1403"/>
        <v>302958.63</v>
      </c>
      <c r="CF222" s="950" t="e">
        <f t="shared" si="1403"/>
        <v>#REF!</v>
      </c>
      <c r="CG222" s="951" t="e">
        <f t="shared" si="1339"/>
        <v>#REF!</v>
      </c>
      <c r="CH222" s="808" t="s">
        <v>335</v>
      </c>
      <c r="CI222" s="937" t="s">
        <v>335</v>
      </c>
      <c r="CJ222" s="938" t="s">
        <v>335</v>
      </c>
      <c r="CK222" s="938" t="s">
        <v>335</v>
      </c>
      <c r="CL222" s="938" t="s">
        <v>335</v>
      </c>
      <c r="CM222" s="938" t="s">
        <v>335</v>
      </c>
      <c r="CN222" s="938" t="s">
        <v>335</v>
      </c>
      <c r="CO222" s="952"/>
      <c r="CP222" s="1269">
        <f t="shared" si="1404"/>
        <v>3671185.1599999997</v>
      </c>
      <c r="CQ222" s="1270" t="e">
        <f t="shared" si="1404"/>
        <v>#REF!</v>
      </c>
      <c r="CR222" s="1270">
        <f t="shared" si="1404"/>
        <v>0</v>
      </c>
      <c r="CS222" s="1270">
        <f t="shared" si="1404"/>
        <v>0</v>
      </c>
      <c r="CT222" s="1270">
        <f t="shared" si="1404"/>
        <v>3671185.1599999997</v>
      </c>
      <c r="CU222" s="1270" t="e">
        <f t="shared" si="1404"/>
        <v>#REF!</v>
      </c>
      <c r="CV222" s="954"/>
      <c r="CW222" s="955"/>
      <c r="CX222" s="944"/>
      <c r="CY222" s="945"/>
      <c r="CZ222" s="946" t="s">
        <v>335</v>
      </c>
      <c r="DA222" s="947" t="s">
        <v>335</v>
      </c>
      <c r="DB222" s="947" t="s">
        <v>335</v>
      </c>
      <c r="DC222" s="947" t="s">
        <v>335</v>
      </c>
      <c r="DD222" s="947" t="s">
        <v>335</v>
      </c>
      <c r="DE222" s="947" t="s">
        <v>335</v>
      </c>
      <c r="DF222" s="948" t="s">
        <v>335</v>
      </c>
      <c r="DG222" s="949">
        <v>302958.63</v>
      </c>
      <c r="DH222" s="945" t="e">
        <f>#REF!+#REF!+1052436.38</f>
        <v>#REF!</v>
      </c>
      <c r="DI222" s="945"/>
      <c r="DJ222" s="945"/>
      <c r="DK222" s="945">
        <f t="shared" si="1405"/>
        <v>302958.63</v>
      </c>
      <c r="DL222" s="950" t="e">
        <f t="shared" si="1405"/>
        <v>#REF!</v>
      </c>
      <c r="DM222" s="951" t="e">
        <f t="shared" si="1341"/>
        <v>#REF!</v>
      </c>
      <c r="DN222" s="808" t="s">
        <v>335</v>
      </c>
      <c r="DO222" s="937" t="s">
        <v>335</v>
      </c>
      <c r="DP222" s="938" t="s">
        <v>335</v>
      </c>
      <c r="DQ222" s="938" t="s">
        <v>335</v>
      </c>
      <c r="DR222" s="938" t="s">
        <v>335</v>
      </c>
      <c r="DS222" s="938" t="s">
        <v>335</v>
      </c>
      <c r="DT222" s="938" t="s">
        <v>335</v>
      </c>
      <c r="DU222" s="952"/>
      <c r="DV222" s="1269">
        <f t="shared" si="1406"/>
        <v>3974143.7899999996</v>
      </c>
      <c r="DW222" s="1270" t="e">
        <f t="shared" si="1406"/>
        <v>#REF!</v>
      </c>
      <c r="DX222" s="1270">
        <f t="shared" si="1406"/>
        <v>0</v>
      </c>
      <c r="DY222" s="1270">
        <f t="shared" si="1406"/>
        <v>0</v>
      </c>
      <c r="DZ222" s="1270">
        <f t="shared" si="1406"/>
        <v>3974143.7899999996</v>
      </c>
      <c r="EA222" s="1270" t="e">
        <f t="shared" si="1406"/>
        <v>#REF!</v>
      </c>
      <c r="EB222" s="954"/>
      <c r="EC222" s="955"/>
      <c r="ED222" s="944"/>
      <c r="EE222" s="945"/>
      <c r="EF222" s="946" t="s">
        <v>335</v>
      </c>
      <c r="EG222" s="947" t="s">
        <v>335</v>
      </c>
      <c r="EH222" s="947" t="s">
        <v>335</v>
      </c>
      <c r="EI222" s="947" t="s">
        <v>335</v>
      </c>
      <c r="EJ222" s="947" t="s">
        <v>335</v>
      </c>
      <c r="EK222" s="947" t="s">
        <v>335</v>
      </c>
      <c r="EL222" s="948" t="s">
        <v>335</v>
      </c>
      <c r="EM222" s="949">
        <v>302958.63</v>
      </c>
      <c r="EN222" s="945" t="e">
        <f>628610.95+#REF!+#REF!</f>
        <v>#REF!</v>
      </c>
      <c r="EO222" s="945"/>
      <c r="EP222" s="945"/>
      <c r="EQ222" s="945">
        <f t="shared" si="1407"/>
        <v>302958.63</v>
      </c>
      <c r="ER222" s="950" t="e">
        <f t="shared" si="1407"/>
        <v>#REF!</v>
      </c>
      <c r="ES222" s="1501" t="e">
        <f t="shared" si="1352"/>
        <v>#REF!</v>
      </c>
      <c r="ET222" s="808" t="s">
        <v>335</v>
      </c>
      <c r="EU222" s="981" t="s">
        <v>335</v>
      </c>
      <c r="EV222" s="982" t="s">
        <v>335</v>
      </c>
      <c r="EW222" s="982" t="s">
        <v>335</v>
      </c>
      <c r="EX222" s="982" t="s">
        <v>335</v>
      </c>
      <c r="EY222" s="982" t="s">
        <v>335</v>
      </c>
      <c r="EZ222" s="982" t="s">
        <v>335</v>
      </c>
      <c r="FA222" s="952"/>
      <c r="FB222" s="1156">
        <f>DV222+EM222</f>
        <v>4277102.42</v>
      </c>
      <c r="FC222" s="953" t="e">
        <f t="shared" si="1408"/>
        <v>#REF!</v>
      </c>
      <c r="FD222" s="953">
        <f t="shared" si="1408"/>
        <v>0</v>
      </c>
      <c r="FE222" s="953">
        <f t="shared" si="1408"/>
        <v>0</v>
      </c>
      <c r="FF222" s="953">
        <f t="shared" si="1408"/>
        <v>4277102.42</v>
      </c>
      <c r="FG222" s="953" t="e">
        <f t="shared" si="1408"/>
        <v>#REF!</v>
      </c>
      <c r="FH222" s="1479"/>
      <c r="FI222" s="955"/>
      <c r="FJ222" s="944"/>
      <c r="FK222" s="945"/>
      <c r="FL222" s="946" t="s">
        <v>335</v>
      </c>
      <c r="FM222" s="947" t="s">
        <v>335</v>
      </c>
      <c r="FN222" s="947" t="s">
        <v>335</v>
      </c>
      <c r="FO222" s="947" t="s">
        <v>335</v>
      </c>
      <c r="FP222" s="947" t="s">
        <v>335</v>
      </c>
      <c r="FQ222" s="947" t="s">
        <v>335</v>
      </c>
      <c r="FR222" s="948" t="s">
        <v>335</v>
      </c>
      <c r="FS222" s="949">
        <v>302958.63</v>
      </c>
      <c r="FT222" s="945" t="e">
        <f>#REF!+#REF!+1196713.99</f>
        <v>#REF!</v>
      </c>
      <c r="FU222" s="945"/>
      <c r="FV222" s="945"/>
      <c r="FW222" s="945">
        <f t="shared" si="1409"/>
        <v>302958.63</v>
      </c>
      <c r="FX222" s="950" t="e">
        <f t="shared" si="1409"/>
        <v>#REF!</v>
      </c>
      <c r="FY222" s="1501" t="e">
        <f t="shared" si="1354"/>
        <v>#REF!</v>
      </c>
      <c r="FZ222" s="808" t="s">
        <v>335</v>
      </c>
      <c r="GA222" s="981" t="s">
        <v>335</v>
      </c>
      <c r="GB222" s="982" t="s">
        <v>335</v>
      </c>
      <c r="GC222" s="982" t="s">
        <v>335</v>
      </c>
      <c r="GD222" s="982" t="s">
        <v>335</v>
      </c>
      <c r="GE222" s="982" t="s">
        <v>335</v>
      </c>
      <c r="GF222" s="982" t="s">
        <v>335</v>
      </c>
      <c r="GG222" s="952"/>
      <c r="GH222" s="1156">
        <f t="shared" si="1410"/>
        <v>4580061.05</v>
      </c>
      <c r="GI222" s="953" t="e">
        <f t="shared" si="1410"/>
        <v>#REF!</v>
      </c>
      <c r="GJ222" s="953">
        <f t="shared" si="1410"/>
        <v>0</v>
      </c>
      <c r="GK222" s="953">
        <f t="shared" si="1410"/>
        <v>0</v>
      </c>
      <c r="GL222" s="953">
        <f t="shared" si="1410"/>
        <v>4580061.05</v>
      </c>
      <c r="GM222" s="953" t="e">
        <f t="shared" si="1410"/>
        <v>#REF!</v>
      </c>
      <c r="GN222" s="1479"/>
      <c r="GO222" s="955"/>
      <c r="GP222" s="944"/>
      <c r="GQ222" s="945"/>
      <c r="GR222" s="946" t="s">
        <v>335</v>
      </c>
      <c r="GS222" s="947" t="s">
        <v>335</v>
      </c>
      <c r="GT222" s="947" t="s">
        <v>335</v>
      </c>
      <c r="GU222" s="947" t="s">
        <v>335</v>
      </c>
      <c r="GV222" s="947" t="s">
        <v>335</v>
      </c>
      <c r="GW222" s="947" t="s">
        <v>335</v>
      </c>
      <c r="GX222" s="948" t="s">
        <v>335</v>
      </c>
      <c r="GY222" s="949">
        <v>302958.67</v>
      </c>
      <c r="GZ222" s="945" t="e">
        <f>853257.18+#REF!+#REF!</f>
        <v>#REF!</v>
      </c>
      <c r="HA222" s="945"/>
      <c r="HB222" s="945"/>
      <c r="HC222" s="945">
        <f t="shared" si="1411"/>
        <v>302958.67</v>
      </c>
      <c r="HD222" s="950" t="e">
        <f t="shared" si="1411"/>
        <v>#REF!</v>
      </c>
      <c r="HE222" s="1704" t="e">
        <f t="shared" si="1356"/>
        <v>#REF!</v>
      </c>
      <c r="HF222" s="808" t="s">
        <v>335</v>
      </c>
      <c r="HG222" s="981" t="s">
        <v>335</v>
      </c>
      <c r="HH222" s="982" t="s">
        <v>335</v>
      </c>
      <c r="HI222" s="982" t="s">
        <v>335</v>
      </c>
      <c r="HJ222" s="982" t="s">
        <v>335</v>
      </c>
      <c r="HK222" s="982" t="s">
        <v>335</v>
      </c>
      <c r="HL222" s="982" t="s">
        <v>335</v>
      </c>
      <c r="HM222" s="952"/>
      <c r="HN222" s="1156">
        <f t="shared" si="1412"/>
        <v>4883019.72</v>
      </c>
      <c r="HO222" s="953" t="e">
        <f t="shared" si="1412"/>
        <v>#REF!</v>
      </c>
      <c r="HP222" s="953">
        <f t="shared" si="1412"/>
        <v>0</v>
      </c>
      <c r="HQ222" s="953">
        <f t="shared" si="1412"/>
        <v>0</v>
      </c>
      <c r="HR222" s="953">
        <f t="shared" si="1412"/>
        <v>4883019.72</v>
      </c>
      <c r="HS222" s="953" t="e">
        <f t="shared" si="1412"/>
        <v>#REF!</v>
      </c>
      <c r="HT222" s="1479"/>
      <c r="HU222" s="955"/>
    </row>
    <row r="223" spans="1:229" ht="13.5" thickBot="1" x14ac:dyDescent="0.25">
      <c r="A223" s="105"/>
      <c r="B223" s="105"/>
      <c r="C223" s="105"/>
      <c r="D223" s="760"/>
      <c r="E223" s="105"/>
      <c r="F223" s="312"/>
      <c r="G223" s="105"/>
      <c r="H223" s="404"/>
      <c r="I223" s="312"/>
      <c r="J223" s="312"/>
      <c r="K223" s="404"/>
      <c r="L223" s="312"/>
      <c r="M223" s="312"/>
      <c r="N223" s="760"/>
      <c r="O223" s="105"/>
      <c r="P223" s="105"/>
      <c r="Q223" s="105"/>
      <c r="R223" s="105"/>
      <c r="S223" s="105"/>
      <c r="T223" s="405"/>
      <c r="U223" s="956"/>
      <c r="V223" s="956"/>
      <c r="W223" s="957"/>
      <c r="X223" s="957"/>
      <c r="Y223" s="957"/>
      <c r="Z223" s="957"/>
      <c r="AA223" s="957"/>
      <c r="AB223" s="957"/>
      <c r="AC223" s="958"/>
      <c r="AD223" s="956"/>
      <c r="AE223" s="956"/>
      <c r="AF223" s="956"/>
      <c r="AG223" s="956"/>
      <c r="AH223" s="956"/>
      <c r="AI223" s="956"/>
      <c r="AJ223" s="959"/>
      <c r="AK223" s="960"/>
      <c r="AL223" s="780"/>
      <c r="AM223" s="956"/>
      <c r="AN223" s="956"/>
      <c r="AO223" s="764"/>
      <c r="AP223" s="764"/>
      <c r="AQ223" s="764"/>
      <c r="AR223" s="764"/>
      <c r="AS223" s="764"/>
      <c r="AT223" s="764"/>
      <c r="AU223" s="764"/>
      <c r="AV223" s="764"/>
      <c r="AW223" s="312"/>
      <c r="AX223" s="764"/>
      <c r="AY223" s="764"/>
      <c r="AZ223" s="822"/>
      <c r="BA223" s="312"/>
      <c r="BB223" s="764"/>
      <c r="BC223" s="312"/>
      <c r="BD223" s="312"/>
      <c r="BE223" s="312"/>
      <c r="BF223" s="312"/>
      <c r="BG223" s="312"/>
      <c r="BH223" s="312"/>
      <c r="BI223" s="406"/>
      <c r="BJ223" s="312"/>
      <c r="BK223" s="312"/>
      <c r="BL223" s="312"/>
      <c r="BM223" s="312"/>
      <c r="BN223" s="312"/>
      <c r="BO223" s="312"/>
      <c r="BP223" s="406"/>
      <c r="BQ223" s="407"/>
      <c r="BR223" s="780"/>
      <c r="BS223" s="956"/>
      <c r="BT223" s="956"/>
      <c r="BU223" s="764"/>
      <c r="BV223" s="764"/>
      <c r="BW223" s="764"/>
      <c r="BX223" s="764"/>
      <c r="BY223" s="764"/>
      <c r="BZ223" s="764"/>
      <c r="CA223" s="764"/>
      <c r="CB223" s="764"/>
      <c r="CC223" s="312"/>
      <c r="CD223" s="764"/>
      <c r="CE223" s="764"/>
      <c r="CF223" s="822"/>
      <c r="CG223" s="312"/>
      <c r="CH223" s="764"/>
      <c r="CI223" s="312"/>
      <c r="CJ223" s="312"/>
      <c r="CK223" s="312"/>
      <c r="CL223" s="312"/>
      <c r="CM223" s="312"/>
      <c r="CN223" s="312"/>
      <c r="CO223" s="406"/>
      <c r="CP223" s="764"/>
      <c r="CQ223" s="764"/>
      <c r="CR223" s="764"/>
      <c r="CS223" s="764"/>
      <c r="CT223" s="764"/>
      <c r="CU223" s="764"/>
      <c r="CV223" s="406"/>
      <c r="CW223" s="407"/>
      <c r="CX223" s="780"/>
      <c r="CY223" s="956"/>
      <c r="CZ223" s="956"/>
      <c r="DA223" s="764"/>
      <c r="DB223" s="764"/>
      <c r="DC223" s="764"/>
      <c r="DD223" s="764"/>
      <c r="DE223" s="764"/>
      <c r="DF223" s="764"/>
      <c r="DG223" s="764"/>
      <c r="DH223" s="764"/>
      <c r="DI223" s="312"/>
      <c r="DJ223" s="764"/>
      <c r="DK223" s="764"/>
      <c r="DL223" s="822"/>
      <c r="DM223" s="312"/>
      <c r="DN223" s="764"/>
      <c r="DO223" s="312"/>
      <c r="DP223" s="312"/>
      <c r="DQ223" s="312"/>
      <c r="DR223" s="312"/>
      <c r="DS223" s="312"/>
      <c r="DT223" s="312"/>
      <c r="DU223" s="406"/>
      <c r="DV223" s="764"/>
      <c r="DW223" s="764" t="e">
        <f>DW224+DW222</f>
        <v>#REF!</v>
      </c>
      <c r="DX223" s="764"/>
      <c r="DY223" s="764"/>
      <c r="DZ223" s="764"/>
      <c r="EA223" s="764"/>
      <c r="EB223" s="406"/>
      <c r="EC223" s="407"/>
      <c r="ED223" s="780"/>
      <c r="EE223" s="956"/>
      <c r="EF223" s="956"/>
      <c r="EG223" s="764"/>
      <c r="EH223" s="764"/>
      <c r="EI223" s="764"/>
      <c r="EJ223" s="764"/>
      <c r="EK223" s="764"/>
      <c r="EL223" s="764"/>
      <c r="EM223" s="764"/>
      <c r="EN223" s="764"/>
      <c r="EO223" s="312"/>
      <c r="EP223" s="764"/>
      <c r="EQ223" s="764"/>
      <c r="ER223" s="822"/>
      <c r="ES223" s="312"/>
      <c r="ET223" s="764"/>
      <c r="EU223" s="312"/>
      <c r="EV223" s="312"/>
      <c r="EW223" s="312"/>
      <c r="EX223" s="312"/>
      <c r="EY223" s="312"/>
      <c r="EZ223" s="312"/>
      <c r="FA223" s="406"/>
      <c r="FB223" s="780"/>
      <c r="FC223" s="780" t="e">
        <f>FC224+FC222</f>
        <v>#REF!</v>
      </c>
      <c r="FD223" s="780"/>
      <c r="FE223" s="780"/>
      <c r="FF223" s="780"/>
      <c r="FG223" s="780"/>
      <c r="FH223" s="406"/>
      <c r="FI223" s="407"/>
      <c r="FJ223" s="780"/>
      <c r="FK223" s="956"/>
      <c r="FL223" s="956"/>
      <c r="FM223" s="764"/>
      <c r="FN223" s="764"/>
      <c r="FO223" s="764"/>
      <c r="FP223" s="764"/>
      <c r="FQ223" s="764"/>
      <c r="FR223" s="764"/>
      <c r="FS223" s="764"/>
      <c r="FT223" s="764"/>
      <c r="FU223" s="312"/>
      <c r="FV223" s="764"/>
      <c r="FW223" s="764"/>
      <c r="FX223" s="822"/>
      <c r="FY223" s="312"/>
      <c r="FZ223" s="764"/>
      <c r="GA223" s="312"/>
      <c r="GB223" s="312"/>
      <c r="GC223" s="312"/>
      <c r="GD223" s="312"/>
      <c r="GE223" s="312"/>
      <c r="GF223" s="312"/>
      <c r="GG223" s="406"/>
      <c r="GH223" s="780"/>
      <c r="GI223" s="780"/>
      <c r="GJ223" s="780"/>
      <c r="GK223" s="780"/>
      <c r="GL223" s="780"/>
      <c r="GM223" s="780"/>
      <c r="GN223" s="406"/>
      <c r="GO223" s="407"/>
      <c r="GP223" s="780"/>
      <c r="GQ223" s="956"/>
      <c r="GR223" s="956"/>
      <c r="GS223" s="764"/>
      <c r="GT223" s="764"/>
      <c r="GU223" s="764"/>
      <c r="GV223" s="764"/>
      <c r="GW223" s="764"/>
      <c r="GX223" s="764"/>
      <c r="GY223" s="764"/>
      <c r="GZ223" s="764"/>
      <c r="HA223" s="312"/>
      <c r="HB223" s="764"/>
      <c r="HC223" s="764"/>
      <c r="HD223" s="822"/>
      <c r="HE223" s="1700"/>
      <c r="HF223" s="764"/>
      <c r="HG223" s="312"/>
      <c r="HH223" s="312"/>
      <c r="HI223" s="312"/>
      <c r="HJ223" s="312"/>
      <c r="HK223" s="312"/>
      <c r="HL223" s="312"/>
      <c r="HM223" s="406"/>
      <c r="HN223" s="780"/>
      <c r="HO223" s="780"/>
      <c r="HP223" s="780"/>
      <c r="HQ223" s="780"/>
      <c r="HR223" s="780"/>
      <c r="HS223" s="780"/>
      <c r="HT223" s="406"/>
      <c r="HU223" s="407"/>
    </row>
    <row r="224" spans="1:229" x14ac:dyDescent="0.2">
      <c r="A224" s="3669" t="s">
        <v>362</v>
      </c>
      <c r="B224" s="3681"/>
      <c r="C224" s="624" t="s">
        <v>169</v>
      </c>
      <c r="D224" s="797" t="s">
        <v>181</v>
      </c>
      <c r="E224" s="798"/>
      <c r="F224" s="656"/>
      <c r="G224" s="961"/>
      <c r="H224" s="799"/>
      <c r="I224" s="656"/>
      <c r="J224" s="656"/>
      <c r="K224" s="799"/>
      <c r="L224" s="656"/>
      <c r="M224" s="656"/>
      <c r="N224" s="767"/>
      <c r="O224" s="798"/>
      <c r="P224" s="798"/>
      <c r="Q224" s="961"/>
      <c r="R224" s="961"/>
      <c r="S224" s="962"/>
      <c r="T224" s="963"/>
      <c r="U224" s="964">
        <f>-AI224</f>
        <v>-857929.72</v>
      </c>
      <c r="V224" s="965"/>
      <c r="W224" s="966" t="s">
        <v>335</v>
      </c>
      <c r="X224" s="967" t="s">
        <v>335</v>
      </c>
      <c r="Y224" s="967" t="s">
        <v>335</v>
      </c>
      <c r="Z224" s="967" t="s">
        <v>335</v>
      </c>
      <c r="AA224" s="967" t="s">
        <v>335</v>
      </c>
      <c r="AB224" s="967" t="s">
        <v>335</v>
      </c>
      <c r="AC224" s="968"/>
      <c r="AD224" s="547">
        <v>1005391.9515810001</v>
      </c>
      <c r="AE224" s="547">
        <v>857929.72</v>
      </c>
      <c r="AF224" s="547">
        <v>0</v>
      </c>
      <c r="AG224" s="547">
        <v>0</v>
      </c>
      <c r="AH224" s="969">
        <f>AD224+AF224</f>
        <v>1005391.9515810001</v>
      </c>
      <c r="AI224" s="964">
        <f>AE224+AG224</f>
        <v>857929.72</v>
      </c>
      <c r="AJ224" s="970"/>
      <c r="AK224" s="921"/>
      <c r="AL224" s="496"/>
      <c r="AM224" s="971"/>
      <c r="AN224" s="972" t="s">
        <v>335</v>
      </c>
      <c r="AO224" s="973" t="s">
        <v>335</v>
      </c>
      <c r="AP224" s="974" t="s">
        <v>335</v>
      </c>
      <c r="AQ224" s="974" t="s">
        <v>335</v>
      </c>
      <c r="AR224" s="974" t="s">
        <v>335</v>
      </c>
      <c r="AS224" s="974" t="s">
        <v>335</v>
      </c>
      <c r="AT224" s="975" t="s">
        <v>335</v>
      </c>
      <c r="AU224" s="742">
        <v>181221.8</v>
      </c>
      <c r="AV224" s="496">
        <f>162005.38</f>
        <v>162005.38</v>
      </c>
      <c r="AW224" s="88">
        <v>0</v>
      </c>
      <c r="AX224" s="88"/>
      <c r="AY224" s="88">
        <f>AU224+AW224</f>
        <v>181221.8</v>
      </c>
      <c r="AZ224" s="503">
        <f>AV224+AX224</f>
        <v>162005.38</v>
      </c>
      <c r="BA224" s="504">
        <f>U224+AM224</f>
        <v>-857929.72</v>
      </c>
      <c r="BB224" s="976" t="s">
        <v>335</v>
      </c>
      <c r="BC224" s="966" t="s">
        <v>335</v>
      </c>
      <c r="BD224" s="967" t="s">
        <v>335</v>
      </c>
      <c r="BE224" s="967" t="s">
        <v>335</v>
      </c>
      <c r="BF224" s="967" t="s">
        <v>335</v>
      </c>
      <c r="BG224" s="967" t="s">
        <v>335</v>
      </c>
      <c r="BH224" s="967" t="s">
        <v>335</v>
      </c>
      <c r="BI224" s="492"/>
      <c r="BJ224" s="504">
        <f t="shared" ref="BJ224:BK226" si="1413">AD224+AU224</f>
        <v>1186613.7515810002</v>
      </c>
      <c r="BK224" s="508">
        <f t="shared" si="1413"/>
        <v>1019935.1</v>
      </c>
      <c r="BL224" s="508">
        <f t="shared" ref="BL224:BO226" si="1414">AF224+AW224</f>
        <v>0</v>
      </c>
      <c r="BM224" s="508">
        <f t="shared" si="1414"/>
        <v>0</v>
      </c>
      <c r="BN224" s="508">
        <f t="shared" si="1414"/>
        <v>1186613.7515810002</v>
      </c>
      <c r="BO224" s="508">
        <f t="shared" si="1414"/>
        <v>1019935.1</v>
      </c>
      <c r="BP224" s="769"/>
      <c r="BQ224" s="510"/>
      <c r="BR224" s="496"/>
      <c r="BS224" s="971"/>
      <c r="BT224" s="972" t="s">
        <v>335</v>
      </c>
      <c r="BU224" s="973" t="s">
        <v>335</v>
      </c>
      <c r="BV224" s="974" t="s">
        <v>335</v>
      </c>
      <c r="BW224" s="974" t="s">
        <v>335</v>
      </c>
      <c r="BX224" s="974" t="s">
        <v>335</v>
      </c>
      <c r="BY224" s="974" t="s">
        <v>335</v>
      </c>
      <c r="BZ224" s="975" t="s">
        <v>335</v>
      </c>
      <c r="CA224" s="742">
        <v>181221.8</v>
      </c>
      <c r="CB224" s="496">
        <v>168615.73</v>
      </c>
      <c r="CC224" s="88"/>
      <c r="CD224" s="88"/>
      <c r="CE224" s="88">
        <f>CA224+CC224</f>
        <v>181221.8</v>
      </c>
      <c r="CF224" s="503">
        <f>CB224+CD224</f>
        <v>168615.73</v>
      </c>
      <c r="CG224" s="504">
        <f>BA224+BS224</f>
        <v>-857929.72</v>
      </c>
      <c r="CH224" s="976" t="s">
        <v>335</v>
      </c>
      <c r="CI224" s="966" t="s">
        <v>335</v>
      </c>
      <c r="CJ224" s="967" t="s">
        <v>335</v>
      </c>
      <c r="CK224" s="967" t="s">
        <v>335</v>
      </c>
      <c r="CL224" s="967" t="s">
        <v>335</v>
      </c>
      <c r="CM224" s="967" t="s">
        <v>335</v>
      </c>
      <c r="CN224" s="967" t="s">
        <v>335</v>
      </c>
      <c r="CO224" s="492"/>
      <c r="CP224" s="1148">
        <f t="shared" ref="CP224:CU225" si="1415">BJ224+CA224</f>
        <v>1367835.5515810002</v>
      </c>
      <c r="CQ224" s="1268">
        <f t="shared" si="1415"/>
        <v>1188550.83</v>
      </c>
      <c r="CR224" s="1268">
        <f t="shared" si="1415"/>
        <v>0</v>
      </c>
      <c r="CS224" s="1268">
        <f t="shared" si="1415"/>
        <v>0</v>
      </c>
      <c r="CT224" s="1268">
        <f t="shared" si="1415"/>
        <v>1367835.5515810002</v>
      </c>
      <c r="CU224" s="1268">
        <f t="shared" si="1415"/>
        <v>1188550.83</v>
      </c>
      <c r="CV224" s="769"/>
      <c r="CW224" s="510"/>
      <c r="CX224" s="496"/>
      <c r="CY224" s="971"/>
      <c r="CZ224" s="972" t="s">
        <v>335</v>
      </c>
      <c r="DA224" s="973" t="s">
        <v>335</v>
      </c>
      <c r="DB224" s="974" t="s">
        <v>335</v>
      </c>
      <c r="DC224" s="974" t="s">
        <v>335</v>
      </c>
      <c r="DD224" s="974" t="s">
        <v>335</v>
      </c>
      <c r="DE224" s="974" t="s">
        <v>335</v>
      </c>
      <c r="DF224" s="975" t="s">
        <v>335</v>
      </c>
      <c r="DG224" s="742">
        <v>181221.8</v>
      </c>
      <c r="DH224" s="496">
        <f>150299.27</f>
        <v>150299.26999999999</v>
      </c>
      <c r="DI224" s="88"/>
      <c r="DJ224" s="88"/>
      <c r="DK224" s="88">
        <f>DG224+DI224</f>
        <v>181221.8</v>
      </c>
      <c r="DL224" s="503">
        <f>DH224+DJ224</f>
        <v>150299.26999999999</v>
      </c>
      <c r="DM224" s="504">
        <f>CG224+CY224</f>
        <v>-857929.72</v>
      </c>
      <c r="DN224" s="976" t="s">
        <v>335</v>
      </c>
      <c r="DO224" s="966" t="s">
        <v>335</v>
      </c>
      <c r="DP224" s="967" t="s">
        <v>335</v>
      </c>
      <c r="DQ224" s="967" t="s">
        <v>335</v>
      </c>
      <c r="DR224" s="967" t="s">
        <v>335</v>
      </c>
      <c r="DS224" s="967" t="s">
        <v>335</v>
      </c>
      <c r="DT224" s="967" t="s">
        <v>335</v>
      </c>
      <c r="DU224" s="492"/>
      <c r="DV224" s="1148">
        <f t="shared" ref="DV224:EA225" si="1416">CP224+DG224</f>
        <v>1549057.3515810003</v>
      </c>
      <c r="DW224" s="1268">
        <f t="shared" si="1416"/>
        <v>1338850.1000000001</v>
      </c>
      <c r="DX224" s="1268">
        <f t="shared" si="1416"/>
        <v>0</v>
      </c>
      <c r="DY224" s="1268">
        <f t="shared" si="1416"/>
        <v>0</v>
      </c>
      <c r="DZ224" s="1268">
        <f t="shared" si="1416"/>
        <v>1549057.3515810003</v>
      </c>
      <c r="EA224" s="1268">
        <f t="shared" si="1416"/>
        <v>1338850.1000000001</v>
      </c>
      <c r="EB224" s="769"/>
      <c r="EC224" s="510"/>
      <c r="ED224" s="496"/>
      <c r="EE224" s="971"/>
      <c r="EF224" s="972" t="s">
        <v>335</v>
      </c>
      <c r="EG224" s="973" t="s">
        <v>335</v>
      </c>
      <c r="EH224" s="974" t="s">
        <v>335</v>
      </c>
      <c r="EI224" s="974" t="s">
        <v>335</v>
      </c>
      <c r="EJ224" s="974" t="s">
        <v>335</v>
      </c>
      <c r="EK224" s="974" t="s">
        <v>335</v>
      </c>
      <c r="EL224" s="975" t="s">
        <v>335</v>
      </c>
      <c r="EM224" s="742">
        <v>181221.8</v>
      </c>
      <c r="EN224" s="496">
        <f>150893.43</f>
        <v>150893.43</v>
      </c>
      <c r="EO224" s="88"/>
      <c r="EP224" s="88"/>
      <c r="EQ224" s="88">
        <f>EM224+EO224</f>
        <v>181221.8</v>
      </c>
      <c r="ER224" s="503">
        <f>EN224+EP224</f>
        <v>150893.43</v>
      </c>
      <c r="ES224" s="1136">
        <f>DM224+EE224</f>
        <v>-857929.72</v>
      </c>
      <c r="ET224" s="976" t="s">
        <v>335</v>
      </c>
      <c r="EU224" s="966" t="s">
        <v>335</v>
      </c>
      <c r="EV224" s="967" t="s">
        <v>335</v>
      </c>
      <c r="EW224" s="967" t="s">
        <v>335</v>
      </c>
      <c r="EX224" s="967" t="s">
        <v>335</v>
      </c>
      <c r="EY224" s="967" t="s">
        <v>335</v>
      </c>
      <c r="EZ224" s="967" t="s">
        <v>335</v>
      </c>
      <c r="FA224" s="492"/>
      <c r="FB224" s="1160">
        <f>DV224+EM224</f>
        <v>1730279.1515810003</v>
      </c>
      <c r="FC224" s="1069">
        <f t="shared" ref="FC224:FG225" si="1417">DW224+EN224</f>
        <v>1489743.53</v>
      </c>
      <c r="FD224" s="1069">
        <f t="shared" si="1417"/>
        <v>0</v>
      </c>
      <c r="FE224" s="1069">
        <f t="shared" si="1417"/>
        <v>0</v>
      </c>
      <c r="FF224" s="1069">
        <f t="shared" si="1417"/>
        <v>1730279.1515810003</v>
      </c>
      <c r="FG224" s="1069">
        <f t="shared" si="1417"/>
        <v>1489743.53</v>
      </c>
      <c r="FH224" s="509"/>
      <c r="FI224" s="510"/>
      <c r="FJ224" s="496"/>
      <c r="FK224" s="971"/>
      <c r="FL224" s="972" t="s">
        <v>335</v>
      </c>
      <c r="FM224" s="973" t="s">
        <v>335</v>
      </c>
      <c r="FN224" s="974" t="s">
        <v>335</v>
      </c>
      <c r="FO224" s="974" t="s">
        <v>335</v>
      </c>
      <c r="FP224" s="974" t="s">
        <v>335</v>
      </c>
      <c r="FQ224" s="974" t="s">
        <v>335</v>
      </c>
      <c r="FR224" s="975" t="s">
        <v>335</v>
      </c>
      <c r="FS224" s="742">
        <v>181221.8</v>
      </c>
      <c r="FT224" s="496">
        <f>144094.99</f>
        <v>144094.99</v>
      </c>
      <c r="FU224" s="88"/>
      <c r="FV224" s="88"/>
      <c r="FW224" s="88">
        <f>FS224+FU224</f>
        <v>181221.8</v>
      </c>
      <c r="FX224" s="503">
        <f>FT224+FV224</f>
        <v>144094.99</v>
      </c>
      <c r="FY224" s="1546" t="s">
        <v>335</v>
      </c>
      <c r="FZ224" s="1544" t="s">
        <v>335</v>
      </c>
      <c r="GA224" s="966" t="s">
        <v>335</v>
      </c>
      <c r="GB224" s="967" t="s">
        <v>335</v>
      </c>
      <c r="GC224" s="967" t="s">
        <v>335</v>
      </c>
      <c r="GD224" s="967" t="s">
        <v>335</v>
      </c>
      <c r="GE224" s="967" t="s">
        <v>335</v>
      </c>
      <c r="GF224" s="967" t="s">
        <v>335</v>
      </c>
      <c r="GG224" s="492"/>
      <c r="GH224" s="1160">
        <f t="shared" ref="GH224:GM225" si="1418">FB224+FS224</f>
        <v>1911500.9515810004</v>
      </c>
      <c r="GI224" s="1069">
        <f t="shared" si="1418"/>
        <v>1633838.52</v>
      </c>
      <c r="GJ224" s="1069">
        <f t="shared" si="1418"/>
        <v>0</v>
      </c>
      <c r="GK224" s="1069">
        <f t="shared" si="1418"/>
        <v>0</v>
      </c>
      <c r="GL224" s="1069">
        <f t="shared" si="1418"/>
        <v>1911500.9515810004</v>
      </c>
      <c r="GM224" s="1069">
        <f t="shared" si="1418"/>
        <v>1633838.52</v>
      </c>
      <c r="GN224" s="509"/>
      <c r="GO224" s="510"/>
      <c r="GP224" s="496"/>
      <c r="GQ224" s="971"/>
      <c r="GR224" s="972" t="s">
        <v>335</v>
      </c>
      <c r="GS224" s="973" t="s">
        <v>335</v>
      </c>
      <c r="GT224" s="974" t="s">
        <v>335</v>
      </c>
      <c r="GU224" s="974" t="s">
        <v>335</v>
      </c>
      <c r="GV224" s="974" t="s">
        <v>335</v>
      </c>
      <c r="GW224" s="974" t="s">
        <v>335</v>
      </c>
      <c r="GX224" s="975" t="s">
        <v>335</v>
      </c>
      <c r="GY224" s="742">
        <v>181221.79</v>
      </c>
      <c r="GZ224" s="496">
        <v>161370.82999999999</v>
      </c>
      <c r="HA224" s="88"/>
      <c r="HB224" s="88"/>
      <c r="HC224" s="88">
        <f>GY224+HA224</f>
        <v>181221.79</v>
      </c>
      <c r="HD224" s="503">
        <f>GZ224+HB224</f>
        <v>161370.82999999999</v>
      </c>
      <c r="HE224" s="1705" t="s">
        <v>335</v>
      </c>
      <c r="HF224" s="1544" t="s">
        <v>335</v>
      </c>
      <c r="HG224" s="966" t="s">
        <v>335</v>
      </c>
      <c r="HH224" s="967" t="s">
        <v>335</v>
      </c>
      <c r="HI224" s="967" t="s">
        <v>335</v>
      </c>
      <c r="HJ224" s="967" t="s">
        <v>335</v>
      </c>
      <c r="HK224" s="967" t="s">
        <v>335</v>
      </c>
      <c r="HL224" s="967" t="s">
        <v>335</v>
      </c>
      <c r="HM224" s="492"/>
      <c r="HN224" s="1160">
        <f t="shared" ref="HN224:HS225" si="1419">GH224+GY224</f>
        <v>2092722.7415810004</v>
      </c>
      <c r="HO224" s="1069">
        <f t="shared" si="1419"/>
        <v>1795209.35</v>
      </c>
      <c r="HP224" s="1069">
        <f t="shared" si="1419"/>
        <v>0</v>
      </c>
      <c r="HQ224" s="1069">
        <f t="shared" si="1419"/>
        <v>0</v>
      </c>
      <c r="HR224" s="1069">
        <f t="shared" si="1419"/>
        <v>2092722.7415810004</v>
      </c>
      <c r="HS224" s="1069">
        <f t="shared" si="1419"/>
        <v>1795209.35</v>
      </c>
      <c r="HT224" s="509"/>
      <c r="HU224" s="510"/>
    </row>
    <row r="225" spans="1:229" ht="13.5" thickBot="1" x14ac:dyDescent="0.25">
      <c r="A225" s="3671"/>
      <c r="B225" s="3678"/>
      <c r="C225" s="593" t="s">
        <v>170</v>
      </c>
      <c r="D225" s="770" t="s">
        <v>168</v>
      </c>
      <c r="E225" s="718"/>
      <c r="F225" s="630"/>
      <c r="G225" s="771"/>
      <c r="H225" s="632"/>
      <c r="I225" s="630"/>
      <c r="J225" s="630"/>
      <c r="K225" s="632"/>
      <c r="L225" s="630"/>
      <c r="M225" s="630"/>
      <c r="N225" s="770"/>
      <c r="O225" s="718"/>
      <c r="P225" s="718"/>
      <c r="Q225" s="771"/>
      <c r="R225" s="771"/>
      <c r="S225" s="977"/>
      <c r="T225" s="978"/>
      <c r="U225" s="979">
        <f>-AI225</f>
        <v>-409389.23000000004</v>
      </c>
      <c r="V225" s="980"/>
      <c r="W225" s="981" t="s">
        <v>335</v>
      </c>
      <c r="X225" s="982" t="s">
        <v>335</v>
      </c>
      <c r="Y225" s="982" t="s">
        <v>335</v>
      </c>
      <c r="Z225" s="982" t="s">
        <v>335</v>
      </c>
      <c r="AA225" s="982" t="s">
        <v>335</v>
      </c>
      <c r="AB225" s="982" t="s">
        <v>335</v>
      </c>
      <c r="AC225" s="983"/>
      <c r="AD225" s="547">
        <v>231126.71999999997</v>
      </c>
      <c r="AE225" s="547">
        <v>409389.23000000004</v>
      </c>
      <c r="AF225" s="547">
        <v>0</v>
      </c>
      <c r="AG225" s="547">
        <v>0</v>
      </c>
      <c r="AH225" s="984">
        <f>AD225+AF225</f>
        <v>231126.71999999997</v>
      </c>
      <c r="AI225" s="979">
        <f>AE225+AG225</f>
        <v>409389.23000000004</v>
      </c>
      <c r="AJ225" s="985"/>
      <c r="AK225" s="921"/>
      <c r="AL225" s="606"/>
      <c r="AM225" s="986"/>
      <c r="AN225" s="946" t="s">
        <v>335</v>
      </c>
      <c r="AO225" s="987" t="s">
        <v>335</v>
      </c>
      <c r="AP225" s="987" t="s">
        <v>335</v>
      </c>
      <c r="AQ225" s="987" t="s">
        <v>335</v>
      </c>
      <c r="AR225" s="987" t="s">
        <v>335</v>
      </c>
      <c r="AS225" s="987" t="s">
        <v>335</v>
      </c>
      <c r="AT225" s="988" t="s">
        <v>335</v>
      </c>
      <c r="AU225" s="691">
        <v>44812.21</v>
      </c>
      <c r="AV225" s="607">
        <f>40197.87</f>
        <v>40197.870000000003</v>
      </c>
      <c r="AW225" s="607">
        <v>0</v>
      </c>
      <c r="AX225" s="607"/>
      <c r="AY225" s="502">
        <f>AU225+AW225</f>
        <v>44812.21</v>
      </c>
      <c r="AZ225" s="660">
        <f>AV225+AX225</f>
        <v>40197.870000000003</v>
      </c>
      <c r="BA225" s="609">
        <f>U225+AM225</f>
        <v>-409389.23000000004</v>
      </c>
      <c r="BB225" s="989" t="s">
        <v>335</v>
      </c>
      <c r="BC225" s="981" t="s">
        <v>335</v>
      </c>
      <c r="BD225" s="982" t="s">
        <v>335</v>
      </c>
      <c r="BE225" s="982" t="s">
        <v>335</v>
      </c>
      <c r="BF225" s="982" t="s">
        <v>335</v>
      </c>
      <c r="BG225" s="982" t="s">
        <v>335</v>
      </c>
      <c r="BH225" s="982" t="s">
        <v>335</v>
      </c>
      <c r="BI225" s="600"/>
      <c r="BJ225" s="609">
        <f t="shared" si="1413"/>
        <v>275938.93</v>
      </c>
      <c r="BK225" s="613">
        <f t="shared" si="1413"/>
        <v>449587.10000000003</v>
      </c>
      <c r="BL225" s="613">
        <f t="shared" si="1414"/>
        <v>0</v>
      </c>
      <c r="BM225" s="613">
        <f t="shared" si="1414"/>
        <v>0</v>
      </c>
      <c r="BN225" s="613">
        <f t="shared" si="1414"/>
        <v>275938.93</v>
      </c>
      <c r="BO225" s="613">
        <f t="shared" si="1414"/>
        <v>449587.10000000003</v>
      </c>
      <c r="BP225" s="772"/>
      <c r="BQ225" s="615"/>
      <c r="BR225" s="606"/>
      <c r="BS225" s="986"/>
      <c r="BT225" s="946" t="s">
        <v>335</v>
      </c>
      <c r="BU225" s="987" t="s">
        <v>335</v>
      </c>
      <c r="BV225" s="987" t="s">
        <v>335</v>
      </c>
      <c r="BW225" s="987" t="s">
        <v>335</v>
      </c>
      <c r="BX225" s="987" t="s">
        <v>335</v>
      </c>
      <c r="BY225" s="987" t="s">
        <v>335</v>
      </c>
      <c r="BZ225" s="988" t="s">
        <v>335</v>
      </c>
      <c r="CA225" s="691">
        <v>44812.21</v>
      </c>
      <c r="CB225" s="607">
        <v>39567.21</v>
      </c>
      <c r="CC225" s="607"/>
      <c r="CD225" s="607"/>
      <c r="CE225" s="502">
        <f>CA225+CC225</f>
        <v>44812.21</v>
      </c>
      <c r="CF225" s="660">
        <f>CB225+CD225</f>
        <v>39567.21</v>
      </c>
      <c r="CG225" s="609">
        <f>BA225+BS225</f>
        <v>-409389.23000000004</v>
      </c>
      <c r="CH225" s="989" t="s">
        <v>335</v>
      </c>
      <c r="CI225" s="981" t="s">
        <v>335</v>
      </c>
      <c r="CJ225" s="982" t="s">
        <v>335</v>
      </c>
      <c r="CK225" s="982" t="s">
        <v>335</v>
      </c>
      <c r="CL225" s="982" t="s">
        <v>335</v>
      </c>
      <c r="CM225" s="982" t="s">
        <v>335</v>
      </c>
      <c r="CN225" s="982" t="s">
        <v>335</v>
      </c>
      <c r="CO225" s="600"/>
      <c r="CP225" s="1153">
        <f t="shared" si="1415"/>
        <v>320751.14</v>
      </c>
      <c r="CQ225" s="924">
        <f t="shared" si="1415"/>
        <v>489154.31000000006</v>
      </c>
      <c r="CR225" s="924">
        <f t="shared" si="1415"/>
        <v>0</v>
      </c>
      <c r="CS225" s="924">
        <f t="shared" si="1415"/>
        <v>0</v>
      </c>
      <c r="CT225" s="924">
        <f t="shared" si="1415"/>
        <v>320751.14</v>
      </c>
      <c r="CU225" s="924">
        <f t="shared" si="1415"/>
        <v>489154.31000000006</v>
      </c>
      <c r="CV225" s="772"/>
      <c r="CW225" s="615"/>
      <c r="CX225" s="606"/>
      <c r="CY225" s="986"/>
      <c r="CZ225" s="946" t="s">
        <v>335</v>
      </c>
      <c r="DA225" s="987" t="s">
        <v>335</v>
      </c>
      <c r="DB225" s="987" t="s">
        <v>335</v>
      </c>
      <c r="DC225" s="987" t="s">
        <v>335</v>
      </c>
      <c r="DD225" s="987" t="s">
        <v>335</v>
      </c>
      <c r="DE225" s="987" t="s">
        <v>335</v>
      </c>
      <c r="DF225" s="988" t="s">
        <v>335</v>
      </c>
      <c r="DG225" s="691">
        <v>44812.21</v>
      </c>
      <c r="DH225" s="607">
        <f>90437.9+1907.82+36354.32</f>
        <v>128700.04000000001</v>
      </c>
      <c r="DI225" s="607"/>
      <c r="DJ225" s="607"/>
      <c r="DK225" s="502">
        <f>DG225+DI225</f>
        <v>44812.21</v>
      </c>
      <c r="DL225" s="660">
        <f>DH225+DJ225</f>
        <v>128700.04000000001</v>
      </c>
      <c r="DM225" s="609">
        <f>CG225+CY225</f>
        <v>-409389.23000000004</v>
      </c>
      <c r="DN225" s="989" t="s">
        <v>335</v>
      </c>
      <c r="DO225" s="981" t="s">
        <v>335</v>
      </c>
      <c r="DP225" s="982" t="s">
        <v>335</v>
      </c>
      <c r="DQ225" s="982" t="s">
        <v>335</v>
      </c>
      <c r="DR225" s="982" t="s">
        <v>335</v>
      </c>
      <c r="DS225" s="982" t="s">
        <v>335</v>
      </c>
      <c r="DT225" s="982" t="s">
        <v>335</v>
      </c>
      <c r="DU225" s="600"/>
      <c r="DV225" s="1153">
        <f t="shared" si="1416"/>
        <v>365563.35000000003</v>
      </c>
      <c r="DW225" s="924">
        <f t="shared" si="1416"/>
        <v>617854.35000000009</v>
      </c>
      <c r="DX225" s="924">
        <f t="shared" si="1416"/>
        <v>0</v>
      </c>
      <c r="DY225" s="924">
        <f t="shared" si="1416"/>
        <v>0</v>
      </c>
      <c r="DZ225" s="924">
        <f t="shared" si="1416"/>
        <v>365563.35000000003</v>
      </c>
      <c r="EA225" s="924">
        <f t="shared" si="1416"/>
        <v>617854.35000000009</v>
      </c>
      <c r="EB225" s="772"/>
      <c r="EC225" s="615"/>
      <c r="ED225" s="606"/>
      <c r="EE225" s="986"/>
      <c r="EF225" s="946" t="s">
        <v>335</v>
      </c>
      <c r="EG225" s="987" t="s">
        <v>335</v>
      </c>
      <c r="EH225" s="987" t="s">
        <v>335</v>
      </c>
      <c r="EI225" s="987" t="s">
        <v>335</v>
      </c>
      <c r="EJ225" s="987" t="s">
        <v>335</v>
      </c>
      <c r="EK225" s="987" t="s">
        <v>335</v>
      </c>
      <c r="EL225" s="988" t="s">
        <v>335</v>
      </c>
      <c r="EM225" s="691">
        <v>44812.21</v>
      </c>
      <c r="EN225" s="607">
        <f>152.33+29319.72</f>
        <v>29472.050000000003</v>
      </c>
      <c r="EO225" s="607"/>
      <c r="EP225" s="607"/>
      <c r="EQ225" s="502">
        <f>EM225+EO225</f>
        <v>44812.21</v>
      </c>
      <c r="ER225" s="660">
        <f>EN225+EP225</f>
        <v>29472.050000000003</v>
      </c>
      <c r="ES225" s="1141">
        <f>DM225+EE225</f>
        <v>-409389.23000000004</v>
      </c>
      <c r="ET225" s="989" t="s">
        <v>335</v>
      </c>
      <c r="EU225" s="981" t="s">
        <v>335</v>
      </c>
      <c r="EV225" s="982" t="s">
        <v>335</v>
      </c>
      <c r="EW225" s="982" t="s">
        <v>335</v>
      </c>
      <c r="EX225" s="982" t="s">
        <v>335</v>
      </c>
      <c r="EY225" s="982" t="s">
        <v>335</v>
      </c>
      <c r="EZ225" s="982" t="s">
        <v>335</v>
      </c>
      <c r="FA225" s="600"/>
      <c r="FB225" s="1156">
        <f>DV225+EM225</f>
        <v>410375.56000000006</v>
      </c>
      <c r="FC225" s="953">
        <f t="shared" si="1417"/>
        <v>647326.40000000014</v>
      </c>
      <c r="FD225" s="953">
        <f t="shared" si="1417"/>
        <v>0</v>
      </c>
      <c r="FE225" s="953">
        <f t="shared" si="1417"/>
        <v>0</v>
      </c>
      <c r="FF225" s="953">
        <f t="shared" si="1417"/>
        <v>410375.56000000006</v>
      </c>
      <c r="FG225" s="953">
        <f t="shared" si="1417"/>
        <v>647326.40000000014</v>
      </c>
      <c r="FH225" s="614"/>
      <c r="FI225" s="615"/>
      <c r="FJ225" s="606"/>
      <c r="FK225" s="986"/>
      <c r="FL225" s="946" t="s">
        <v>335</v>
      </c>
      <c r="FM225" s="987" t="s">
        <v>335</v>
      </c>
      <c r="FN225" s="987" t="s">
        <v>335</v>
      </c>
      <c r="FO225" s="987" t="s">
        <v>335</v>
      </c>
      <c r="FP225" s="987" t="s">
        <v>335</v>
      </c>
      <c r="FQ225" s="987" t="s">
        <v>335</v>
      </c>
      <c r="FR225" s="988" t="s">
        <v>335</v>
      </c>
      <c r="FS225" s="691">
        <v>44812.21</v>
      </c>
      <c r="FT225" s="607">
        <f>27818.06</f>
        <v>27818.06</v>
      </c>
      <c r="FU225" s="607"/>
      <c r="FV225" s="607"/>
      <c r="FW225" s="502">
        <f>FS225+FU225</f>
        <v>44812.21</v>
      </c>
      <c r="FX225" s="660">
        <f>FT225+FV225</f>
        <v>27818.06</v>
      </c>
      <c r="FY225" s="1547" t="s">
        <v>335</v>
      </c>
      <c r="FZ225" s="1545" t="s">
        <v>335</v>
      </c>
      <c r="GA225" s="981" t="s">
        <v>335</v>
      </c>
      <c r="GB225" s="982" t="s">
        <v>335</v>
      </c>
      <c r="GC225" s="982" t="s">
        <v>335</v>
      </c>
      <c r="GD225" s="982" t="s">
        <v>335</v>
      </c>
      <c r="GE225" s="982" t="s">
        <v>335</v>
      </c>
      <c r="GF225" s="982" t="s">
        <v>335</v>
      </c>
      <c r="GG225" s="600"/>
      <c r="GH225" s="1156">
        <f t="shared" si="1418"/>
        <v>455187.77000000008</v>
      </c>
      <c r="GI225" s="953">
        <f t="shared" si="1418"/>
        <v>675144.4600000002</v>
      </c>
      <c r="GJ225" s="953">
        <f t="shared" si="1418"/>
        <v>0</v>
      </c>
      <c r="GK225" s="953">
        <f t="shared" si="1418"/>
        <v>0</v>
      </c>
      <c r="GL225" s="953">
        <f t="shared" si="1418"/>
        <v>455187.77000000008</v>
      </c>
      <c r="GM225" s="953">
        <f t="shared" si="1418"/>
        <v>675144.4600000002</v>
      </c>
      <c r="GN225" s="614"/>
      <c r="GO225" s="615"/>
      <c r="GP225" s="606"/>
      <c r="GQ225" s="986"/>
      <c r="GR225" s="946" t="s">
        <v>335</v>
      </c>
      <c r="GS225" s="987" t="s">
        <v>335</v>
      </c>
      <c r="GT225" s="987" t="s">
        <v>335</v>
      </c>
      <c r="GU225" s="987" t="s">
        <v>335</v>
      </c>
      <c r="GV225" s="987" t="s">
        <v>335</v>
      </c>
      <c r="GW225" s="987" t="s">
        <v>335</v>
      </c>
      <c r="GX225" s="988" t="s">
        <v>335</v>
      </c>
      <c r="GY225" s="691">
        <v>44812.23</v>
      </c>
      <c r="GZ225" s="607">
        <v>101277.96</v>
      </c>
      <c r="HA225" s="607"/>
      <c r="HB225" s="607"/>
      <c r="HC225" s="502">
        <f>GY225+HA225</f>
        <v>44812.23</v>
      </c>
      <c r="HD225" s="660">
        <f>GZ225+HB225</f>
        <v>101277.96</v>
      </c>
      <c r="HE225" s="1706" t="s">
        <v>335</v>
      </c>
      <c r="HF225" s="1545" t="s">
        <v>335</v>
      </c>
      <c r="HG225" s="981" t="s">
        <v>335</v>
      </c>
      <c r="HH225" s="982" t="s">
        <v>335</v>
      </c>
      <c r="HI225" s="982" t="s">
        <v>335</v>
      </c>
      <c r="HJ225" s="982" t="s">
        <v>335</v>
      </c>
      <c r="HK225" s="982" t="s">
        <v>335</v>
      </c>
      <c r="HL225" s="982" t="s">
        <v>335</v>
      </c>
      <c r="HM225" s="600"/>
      <c r="HN225" s="1156">
        <f t="shared" si="1419"/>
        <v>500000.00000000006</v>
      </c>
      <c r="HO225" s="953">
        <f t="shared" si="1419"/>
        <v>776422.42000000016</v>
      </c>
      <c r="HP225" s="953">
        <f t="shared" si="1419"/>
        <v>0</v>
      </c>
      <c r="HQ225" s="953">
        <f t="shared" si="1419"/>
        <v>0</v>
      </c>
      <c r="HR225" s="953">
        <f t="shared" si="1419"/>
        <v>500000.00000000006</v>
      </c>
      <c r="HS225" s="953">
        <f t="shared" si="1419"/>
        <v>776422.42000000016</v>
      </c>
      <c r="HT225" s="614"/>
      <c r="HU225" s="615"/>
    </row>
    <row r="226" spans="1:229" s="101" customFormat="1" ht="30.75" customHeight="1" thickBot="1" x14ac:dyDescent="0.25">
      <c r="A226" s="3679"/>
      <c r="B226" s="3680"/>
      <c r="C226" s="755" t="s">
        <v>363</v>
      </c>
      <c r="D226" s="781" t="s">
        <v>364</v>
      </c>
      <c r="E226" s="740"/>
      <c r="F226" s="189"/>
      <c r="G226" s="740"/>
      <c r="H226" s="699"/>
      <c r="I226" s="189"/>
      <c r="J226" s="189"/>
      <c r="K226" s="699"/>
      <c r="L226" s="189"/>
      <c r="M226" s="189"/>
      <c r="N226" s="990"/>
      <c r="O226" s="740"/>
      <c r="P226" s="693"/>
      <c r="Q226" s="693"/>
      <c r="R226" s="693"/>
      <c r="S226" s="693"/>
      <c r="T226" s="620"/>
      <c r="U226" s="622">
        <f>SUM(U224:U225)</f>
        <v>-1267318.95</v>
      </c>
      <c r="V226" s="991" t="s">
        <v>335</v>
      </c>
      <c r="W226" s="992" t="s">
        <v>335</v>
      </c>
      <c r="X226" s="992" t="s">
        <v>335</v>
      </c>
      <c r="Y226" s="992" t="s">
        <v>335</v>
      </c>
      <c r="Z226" s="992" t="s">
        <v>335</v>
      </c>
      <c r="AA226" s="992" t="s">
        <v>335</v>
      </c>
      <c r="AB226" s="992" t="s">
        <v>335</v>
      </c>
      <c r="AC226" s="992"/>
      <c r="AD226" s="622">
        <f t="shared" ref="AD226:AI226" si="1420">SUM(AD224:AD225)</f>
        <v>1236518.6715810001</v>
      </c>
      <c r="AE226" s="622">
        <f t="shared" si="1420"/>
        <v>1267318.95</v>
      </c>
      <c r="AF226" s="622">
        <f t="shared" si="1420"/>
        <v>0</v>
      </c>
      <c r="AG226" s="622">
        <f t="shared" si="1420"/>
        <v>0</v>
      </c>
      <c r="AH226" s="622">
        <f t="shared" si="1420"/>
        <v>1236518.6715810001</v>
      </c>
      <c r="AI226" s="622">
        <f t="shared" si="1420"/>
        <v>1267318.95</v>
      </c>
      <c r="AJ226" s="621"/>
      <c r="AK226" s="623"/>
      <c r="AL226" s="619">
        <f>SUM(AL224:AL225)</f>
        <v>0</v>
      </c>
      <c r="AM226" s="622">
        <f>SUM(AM224:AM225)</f>
        <v>0</v>
      </c>
      <c r="AN226" s="991" t="s">
        <v>335</v>
      </c>
      <c r="AO226" s="98" t="s">
        <v>335</v>
      </c>
      <c r="AP226" s="98" t="s">
        <v>335</v>
      </c>
      <c r="AQ226" s="98" t="s">
        <v>335</v>
      </c>
      <c r="AR226" s="98" t="s">
        <v>335</v>
      </c>
      <c r="AS226" s="98" t="s">
        <v>335</v>
      </c>
      <c r="AT226" s="98" t="s">
        <v>335</v>
      </c>
      <c r="AU226" s="619">
        <f t="shared" ref="AU226:AZ226" si="1421">SUM(AU224:AU225)</f>
        <v>226034.00999999998</v>
      </c>
      <c r="AV226" s="619">
        <f t="shared" si="1421"/>
        <v>202203.25</v>
      </c>
      <c r="AW226" s="619">
        <f t="shared" si="1421"/>
        <v>0</v>
      </c>
      <c r="AX226" s="619">
        <f t="shared" si="1421"/>
        <v>0</v>
      </c>
      <c r="AY226" s="619">
        <f t="shared" si="1421"/>
        <v>226034.00999999998</v>
      </c>
      <c r="AZ226" s="620">
        <f t="shared" si="1421"/>
        <v>202203.25</v>
      </c>
      <c r="BA226" s="619">
        <f>U226+AM226</f>
        <v>-1267318.95</v>
      </c>
      <c r="BB226" s="991" t="s">
        <v>335</v>
      </c>
      <c r="BC226" s="992" t="s">
        <v>335</v>
      </c>
      <c r="BD226" s="992" t="s">
        <v>335</v>
      </c>
      <c r="BE226" s="992" t="s">
        <v>335</v>
      </c>
      <c r="BF226" s="992" t="s">
        <v>335</v>
      </c>
      <c r="BG226" s="992" t="s">
        <v>335</v>
      </c>
      <c r="BH226" s="992" t="s">
        <v>335</v>
      </c>
      <c r="BI226" s="782"/>
      <c r="BJ226" s="619">
        <f t="shared" si="1413"/>
        <v>1462552.6815810001</v>
      </c>
      <c r="BK226" s="619">
        <f t="shared" si="1413"/>
        <v>1469522.2</v>
      </c>
      <c r="BL226" s="619">
        <f t="shared" si="1414"/>
        <v>0</v>
      </c>
      <c r="BM226" s="619">
        <f t="shared" si="1414"/>
        <v>0</v>
      </c>
      <c r="BN226" s="619">
        <f t="shared" si="1414"/>
        <v>1462552.6815810001</v>
      </c>
      <c r="BO226" s="619">
        <f t="shared" si="1414"/>
        <v>1469522.2</v>
      </c>
      <c r="BP226" s="782"/>
      <c r="BQ226" s="819"/>
      <c r="BR226" s="619">
        <f>SUM(BR224:BR225)</f>
        <v>0</v>
      </c>
      <c r="BS226" s="622">
        <f>SUM(BS224:BS225)</f>
        <v>0</v>
      </c>
      <c r="BT226" s="991" t="s">
        <v>335</v>
      </c>
      <c r="BU226" s="98" t="s">
        <v>335</v>
      </c>
      <c r="BV226" s="98" t="s">
        <v>335</v>
      </c>
      <c r="BW226" s="98" t="s">
        <v>335</v>
      </c>
      <c r="BX226" s="98" t="s">
        <v>335</v>
      </c>
      <c r="BY226" s="98" t="s">
        <v>335</v>
      </c>
      <c r="BZ226" s="98" t="s">
        <v>335</v>
      </c>
      <c r="CA226" s="619">
        <f t="shared" ref="CA226:CF226" si="1422">SUM(CA224:CA225)</f>
        <v>226034.00999999998</v>
      </c>
      <c r="CB226" s="619">
        <f t="shared" si="1422"/>
        <v>208182.94</v>
      </c>
      <c r="CC226" s="619">
        <f t="shared" si="1422"/>
        <v>0</v>
      </c>
      <c r="CD226" s="619">
        <f t="shared" si="1422"/>
        <v>0</v>
      </c>
      <c r="CE226" s="619">
        <f t="shared" si="1422"/>
        <v>226034.00999999998</v>
      </c>
      <c r="CF226" s="620">
        <f t="shared" si="1422"/>
        <v>208182.94</v>
      </c>
      <c r="CG226" s="619">
        <f>BA226+BS226</f>
        <v>-1267318.95</v>
      </c>
      <c r="CH226" s="991" t="s">
        <v>335</v>
      </c>
      <c r="CI226" s="992" t="s">
        <v>335</v>
      </c>
      <c r="CJ226" s="992" t="s">
        <v>335</v>
      </c>
      <c r="CK226" s="992" t="s">
        <v>335</v>
      </c>
      <c r="CL226" s="992" t="s">
        <v>335</v>
      </c>
      <c r="CM226" s="992" t="s">
        <v>335</v>
      </c>
      <c r="CN226" s="992" t="s">
        <v>335</v>
      </c>
      <c r="CO226" s="782"/>
      <c r="CP226" s="619">
        <f t="shared" ref="CP226:CU226" si="1423">SUM(CP224:CP225)</f>
        <v>1688586.6915810001</v>
      </c>
      <c r="CQ226" s="619">
        <f t="shared" si="1423"/>
        <v>1677705.1400000001</v>
      </c>
      <c r="CR226" s="619">
        <f t="shared" si="1423"/>
        <v>0</v>
      </c>
      <c r="CS226" s="619">
        <f t="shared" si="1423"/>
        <v>0</v>
      </c>
      <c r="CT226" s="619">
        <f t="shared" si="1423"/>
        <v>1688586.6915810001</v>
      </c>
      <c r="CU226" s="619">
        <f t="shared" si="1423"/>
        <v>1677705.1400000001</v>
      </c>
      <c r="CV226" s="782"/>
      <c r="CW226" s="819"/>
      <c r="CX226" s="619">
        <f>SUM(CX224:CX225)</f>
        <v>0</v>
      </c>
      <c r="CY226" s="622">
        <f>SUM(CY224:CY225)</f>
        <v>0</v>
      </c>
      <c r="CZ226" s="991" t="s">
        <v>335</v>
      </c>
      <c r="DA226" s="98" t="s">
        <v>335</v>
      </c>
      <c r="DB226" s="98" t="s">
        <v>335</v>
      </c>
      <c r="DC226" s="98" t="s">
        <v>335</v>
      </c>
      <c r="DD226" s="98" t="s">
        <v>335</v>
      </c>
      <c r="DE226" s="98" t="s">
        <v>335</v>
      </c>
      <c r="DF226" s="98" t="s">
        <v>335</v>
      </c>
      <c r="DG226" s="619">
        <f t="shared" ref="DG226:DL226" si="1424">SUM(DG224:DG225)</f>
        <v>226034.00999999998</v>
      </c>
      <c r="DH226" s="619">
        <f t="shared" si="1424"/>
        <v>278999.31</v>
      </c>
      <c r="DI226" s="619">
        <f t="shared" si="1424"/>
        <v>0</v>
      </c>
      <c r="DJ226" s="619">
        <f t="shared" si="1424"/>
        <v>0</v>
      </c>
      <c r="DK226" s="619">
        <f t="shared" si="1424"/>
        <v>226034.00999999998</v>
      </c>
      <c r="DL226" s="620">
        <f t="shared" si="1424"/>
        <v>278999.31</v>
      </c>
      <c r="DM226" s="619">
        <f>CG226+CY226</f>
        <v>-1267318.95</v>
      </c>
      <c r="DN226" s="991" t="s">
        <v>335</v>
      </c>
      <c r="DO226" s="992" t="s">
        <v>335</v>
      </c>
      <c r="DP226" s="992" t="s">
        <v>335</v>
      </c>
      <c r="DQ226" s="992" t="s">
        <v>335</v>
      </c>
      <c r="DR226" s="992" t="s">
        <v>335</v>
      </c>
      <c r="DS226" s="992" t="s">
        <v>335</v>
      </c>
      <c r="DT226" s="992" t="s">
        <v>335</v>
      </c>
      <c r="DU226" s="782"/>
      <c r="DV226" s="619">
        <f t="shared" ref="DV226:EA226" si="1425">SUM(DV224:DV225)</f>
        <v>1914620.7015810004</v>
      </c>
      <c r="DW226" s="619">
        <f t="shared" si="1425"/>
        <v>1956704.4500000002</v>
      </c>
      <c r="DX226" s="619">
        <f t="shared" si="1425"/>
        <v>0</v>
      </c>
      <c r="DY226" s="619">
        <f t="shared" si="1425"/>
        <v>0</v>
      </c>
      <c r="DZ226" s="619">
        <f t="shared" si="1425"/>
        <v>1914620.7015810004</v>
      </c>
      <c r="EA226" s="619">
        <f t="shared" si="1425"/>
        <v>1956704.4500000002</v>
      </c>
      <c r="EB226" s="782"/>
      <c r="EC226" s="819"/>
      <c r="ED226" s="619">
        <f>SUM(ED224:ED225)</f>
        <v>0</v>
      </c>
      <c r="EE226" s="622">
        <f>SUM(EE224:EE225)</f>
        <v>0</v>
      </c>
      <c r="EF226" s="991" t="s">
        <v>335</v>
      </c>
      <c r="EG226" s="98" t="s">
        <v>335</v>
      </c>
      <c r="EH226" s="98" t="s">
        <v>335</v>
      </c>
      <c r="EI226" s="98" t="s">
        <v>335</v>
      </c>
      <c r="EJ226" s="98" t="s">
        <v>335</v>
      </c>
      <c r="EK226" s="98" t="s">
        <v>335</v>
      </c>
      <c r="EL226" s="98" t="s">
        <v>335</v>
      </c>
      <c r="EM226" s="619">
        <f t="shared" ref="EM226:ER226" si="1426">SUM(EM224:EM225)</f>
        <v>226034.00999999998</v>
      </c>
      <c r="EN226" s="619">
        <f t="shared" si="1426"/>
        <v>180365.47999999998</v>
      </c>
      <c r="EO226" s="619">
        <f t="shared" si="1426"/>
        <v>0</v>
      </c>
      <c r="EP226" s="619">
        <f t="shared" si="1426"/>
        <v>0</v>
      </c>
      <c r="EQ226" s="619">
        <f t="shared" si="1426"/>
        <v>226034.00999999998</v>
      </c>
      <c r="ER226" s="620">
        <f t="shared" si="1426"/>
        <v>180365.47999999998</v>
      </c>
      <c r="ES226" s="619">
        <f>DM226+EE226</f>
        <v>-1267318.95</v>
      </c>
      <c r="ET226" s="991" t="s">
        <v>335</v>
      </c>
      <c r="EU226" s="992" t="s">
        <v>335</v>
      </c>
      <c r="EV226" s="992" t="s">
        <v>335</v>
      </c>
      <c r="EW226" s="992" t="s">
        <v>335</v>
      </c>
      <c r="EX226" s="992" t="s">
        <v>335</v>
      </c>
      <c r="EY226" s="992" t="s">
        <v>335</v>
      </c>
      <c r="EZ226" s="992" t="s">
        <v>335</v>
      </c>
      <c r="FA226" s="782"/>
      <c r="FB226" s="619">
        <f t="shared" ref="FB226:FG226" si="1427">SUM(FB224:FB225)</f>
        <v>2140654.7115810001</v>
      </c>
      <c r="FC226" s="619">
        <f t="shared" si="1427"/>
        <v>2137069.9300000002</v>
      </c>
      <c r="FD226" s="619">
        <f t="shared" si="1427"/>
        <v>0</v>
      </c>
      <c r="FE226" s="619">
        <f t="shared" si="1427"/>
        <v>0</v>
      </c>
      <c r="FF226" s="619">
        <f t="shared" si="1427"/>
        <v>2140654.7115810001</v>
      </c>
      <c r="FG226" s="619">
        <f t="shared" si="1427"/>
        <v>2137069.9300000002</v>
      </c>
      <c r="FH226" s="782"/>
      <c r="FI226" s="819"/>
      <c r="FJ226" s="619">
        <f>SUM(FJ224:FJ225)</f>
        <v>0</v>
      </c>
      <c r="FK226" s="622">
        <f>SUM(FK224:FK225)</f>
        <v>0</v>
      </c>
      <c r="FL226" s="991" t="s">
        <v>335</v>
      </c>
      <c r="FM226" s="98" t="s">
        <v>335</v>
      </c>
      <c r="FN226" s="98" t="s">
        <v>335</v>
      </c>
      <c r="FO226" s="98" t="s">
        <v>335</v>
      </c>
      <c r="FP226" s="98" t="s">
        <v>335</v>
      </c>
      <c r="FQ226" s="98" t="s">
        <v>335</v>
      </c>
      <c r="FR226" s="98" t="s">
        <v>335</v>
      </c>
      <c r="FS226" s="619">
        <f t="shared" ref="FS226:FX226" si="1428">SUM(FS224:FS225)</f>
        <v>226034.00999999998</v>
      </c>
      <c r="FT226" s="1614">
        <f t="shared" si="1428"/>
        <v>171913.05</v>
      </c>
      <c r="FU226" s="619">
        <f t="shared" si="1428"/>
        <v>0</v>
      </c>
      <c r="FV226" s="619">
        <f t="shared" si="1428"/>
        <v>0</v>
      </c>
      <c r="FW226" s="619">
        <f t="shared" si="1428"/>
        <v>226034.00999999998</v>
      </c>
      <c r="FX226" s="620">
        <f t="shared" si="1428"/>
        <v>171913.05</v>
      </c>
      <c r="FY226" s="98" t="s">
        <v>335</v>
      </c>
      <c r="FZ226" s="991" t="s">
        <v>335</v>
      </c>
      <c r="GA226" s="992" t="s">
        <v>335</v>
      </c>
      <c r="GB226" s="992" t="s">
        <v>335</v>
      </c>
      <c r="GC226" s="992" t="s">
        <v>335</v>
      </c>
      <c r="GD226" s="992" t="s">
        <v>335</v>
      </c>
      <c r="GE226" s="992" t="s">
        <v>335</v>
      </c>
      <c r="GF226" s="992" t="s">
        <v>335</v>
      </c>
      <c r="GG226" s="782"/>
      <c r="GH226" s="619">
        <f t="shared" ref="GH226:GM226" si="1429">SUM(GH224:GH225)</f>
        <v>2366688.7215810004</v>
      </c>
      <c r="GI226" s="619">
        <f t="shared" si="1429"/>
        <v>2308982.9800000004</v>
      </c>
      <c r="GJ226" s="619">
        <f t="shared" si="1429"/>
        <v>0</v>
      </c>
      <c r="GK226" s="619">
        <f t="shared" si="1429"/>
        <v>0</v>
      </c>
      <c r="GL226" s="619">
        <f t="shared" si="1429"/>
        <v>2366688.7215810004</v>
      </c>
      <c r="GM226" s="619">
        <f t="shared" si="1429"/>
        <v>2308982.9800000004</v>
      </c>
      <c r="GN226" s="782"/>
      <c r="GO226" s="819"/>
      <c r="GP226" s="991" t="s">
        <v>335</v>
      </c>
      <c r="GQ226" s="991" t="s">
        <v>335</v>
      </c>
      <c r="GR226" s="991" t="s">
        <v>335</v>
      </c>
      <c r="GS226" s="98" t="s">
        <v>335</v>
      </c>
      <c r="GT226" s="98" t="s">
        <v>335</v>
      </c>
      <c r="GU226" s="98" t="s">
        <v>335</v>
      </c>
      <c r="GV226" s="98" t="s">
        <v>335</v>
      </c>
      <c r="GW226" s="98" t="s">
        <v>335</v>
      </c>
      <c r="GX226" s="98" t="s">
        <v>335</v>
      </c>
      <c r="GY226" s="619">
        <f t="shared" ref="GY226:HD226" si="1430">SUM(GY224:GY225)</f>
        <v>226034.02000000002</v>
      </c>
      <c r="GZ226" s="622">
        <f t="shared" si="1430"/>
        <v>262648.78999999998</v>
      </c>
      <c r="HA226" s="619">
        <f t="shared" si="1430"/>
        <v>0</v>
      </c>
      <c r="HB226" s="619">
        <f t="shared" si="1430"/>
        <v>0</v>
      </c>
      <c r="HC226" s="619">
        <f t="shared" si="1430"/>
        <v>226034.02000000002</v>
      </c>
      <c r="HD226" s="620">
        <f t="shared" si="1430"/>
        <v>262648.78999999998</v>
      </c>
      <c r="HE226" s="1707" t="s">
        <v>335</v>
      </c>
      <c r="HF226" s="991" t="s">
        <v>335</v>
      </c>
      <c r="HG226" s="992" t="s">
        <v>335</v>
      </c>
      <c r="HH226" s="992" t="s">
        <v>335</v>
      </c>
      <c r="HI226" s="992" t="s">
        <v>335</v>
      </c>
      <c r="HJ226" s="992" t="s">
        <v>335</v>
      </c>
      <c r="HK226" s="992" t="s">
        <v>335</v>
      </c>
      <c r="HL226" s="992" t="s">
        <v>335</v>
      </c>
      <c r="HM226" s="782"/>
      <c r="HN226" s="619">
        <f t="shared" ref="HN226:HS226" si="1431">SUM(HN224:HN225)</f>
        <v>2592722.7415810004</v>
      </c>
      <c r="HO226" s="619">
        <f t="shared" si="1431"/>
        <v>2571631.7700000005</v>
      </c>
      <c r="HP226" s="619">
        <f t="shared" si="1431"/>
        <v>0</v>
      </c>
      <c r="HQ226" s="619">
        <f t="shared" si="1431"/>
        <v>0</v>
      </c>
      <c r="HR226" s="619">
        <f t="shared" si="1431"/>
        <v>2592722.7415810004</v>
      </c>
      <c r="HS226" s="619">
        <f t="shared" si="1431"/>
        <v>2571631.7700000005</v>
      </c>
      <c r="HT226" s="782"/>
      <c r="HU226" s="819"/>
    </row>
    <row r="227" spans="1:229" ht="13.5" thickBot="1" x14ac:dyDescent="0.25">
      <c r="A227" s="993"/>
      <c r="B227" s="993"/>
      <c r="C227" s="994"/>
      <c r="D227" s="995"/>
      <c r="E227" s="105"/>
      <c r="F227" s="312"/>
      <c r="G227" s="105"/>
      <c r="H227" s="404"/>
      <c r="I227" s="312"/>
      <c r="J227" s="312"/>
      <c r="K227" s="404"/>
      <c r="L227" s="312"/>
      <c r="M227" s="312"/>
      <c r="N227" s="760"/>
      <c r="O227" s="105"/>
      <c r="P227" s="996"/>
      <c r="Q227" s="105"/>
      <c r="R227" s="105"/>
      <c r="S227" s="105"/>
      <c r="T227" s="405"/>
      <c r="U227" s="997"/>
      <c r="V227" s="997"/>
      <c r="W227" s="997"/>
      <c r="X227" s="997"/>
      <c r="Y227" s="997"/>
      <c r="Z227" s="997"/>
      <c r="AA227" s="761"/>
      <c r="AB227" s="761"/>
      <c r="AC227" s="958"/>
      <c r="AD227" s="997"/>
      <c r="AE227" s="997"/>
      <c r="AF227" s="997"/>
      <c r="AG227" s="997"/>
      <c r="AH227" s="761"/>
      <c r="AI227" s="761"/>
      <c r="AJ227" s="998"/>
      <c r="AK227" s="999"/>
      <c r="AL227" s="312"/>
      <c r="AM227" s="997"/>
      <c r="AN227" s="997"/>
      <c r="AO227" s="312"/>
      <c r="AP227" s="312"/>
      <c r="AQ227" s="312"/>
      <c r="AR227" s="312"/>
      <c r="AS227" s="764"/>
      <c r="AT227" s="764"/>
      <c r="AU227" s="312"/>
      <c r="AV227" s="312"/>
      <c r="AW227" s="312"/>
      <c r="AX227" s="312"/>
      <c r="AY227" s="312"/>
      <c r="AZ227" s="405"/>
      <c r="BA227" s="312"/>
      <c r="BB227" s="312"/>
      <c r="BC227" s="312"/>
      <c r="BD227" s="312"/>
      <c r="BE227" s="312"/>
      <c r="BF227" s="312"/>
      <c r="BG227" s="312"/>
      <c r="BH227" s="312"/>
      <c r="BI227" s="406"/>
      <c r="BJ227" s="312"/>
      <c r="BK227" s="312"/>
      <c r="BL227" s="312"/>
      <c r="BM227" s="312"/>
      <c r="BN227" s="312"/>
      <c r="BO227" s="312"/>
      <c r="BP227" s="406"/>
      <c r="BQ227" s="407"/>
      <c r="BR227" s="312"/>
      <c r="BS227" s="997"/>
      <c r="BT227" s="997"/>
      <c r="BU227" s="312"/>
      <c r="BV227" s="312"/>
      <c r="BW227" s="312"/>
      <c r="BX227" s="312"/>
      <c r="BY227" s="764"/>
      <c r="BZ227" s="764"/>
      <c r="CA227" s="312"/>
      <c r="CB227" s="312"/>
      <c r="CC227" s="312"/>
      <c r="CD227" s="312"/>
      <c r="CE227" s="312"/>
      <c r="CF227" s="405"/>
      <c r="CG227" s="312"/>
      <c r="CH227" s="312"/>
      <c r="CI227" s="764"/>
      <c r="CJ227" s="764"/>
      <c r="CK227" s="764"/>
      <c r="CL227" s="764"/>
      <c r="CM227" s="764"/>
      <c r="CN227" s="764"/>
      <c r="CO227" s="406"/>
      <c r="CP227" s="312"/>
      <c r="CQ227" s="312"/>
      <c r="CR227" s="312"/>
      <c r="CS227" s="312"/>
      <c r="CT227" s="312"/>
      <c r="CU227" s="312"/>
      <c r="CV227" s="406"/>
      <c r="CW227" s="407"/>
      <c r="CX227" s="312"/>
      <c r="CY227" s="997"/>
      <c r="CZ227" s="997"/>
      <c r="DA227" s="312"/>
      <c r="DB227" s="312"/>
      <c r="DC227" s="312"/>
      <c r="DD227" s="312"/>
      <c r="DE227" s="764"/>
      <c r="DF227" s="764"/>
      <c r="DG227" s="312"/>
      <c r="DH227" s="312"/>
      <c r="DI227" s="312"/>
      <c r="DJ227" s="312"/>
      <c r="DK227" s="312"/>
      <c r="DL227" s="405"/>
      <c r="DM227" s="312"/>
      <c r="DN227" s="312"/>
      <c r="DO227" s="764"/>
      <c r="DP227" s="764"/>
      <c r="DQ227" s="764"/>
      <c r="DR227" s="764"/>
      <c r="DS227" s="764"/>
      <c r="DT227" s="764"/>
      <c r="DU227" s="406"/>
      <c r="DV227" s="312"/>
      <c r="DW227" s="312"/>
      <c r="DX227" s="312"/>
      <c r="DY227" s="312"/>
      <c r="DZ227" s="312"/>
      <c r="EA227" s="312"/>
      <c r="EB227" s="406"/>
      <c r="EC227" s="407"/>
      <c r="ED227" s="312"/>
      <c r="EE227" s="997"/>
      <c r="EF227" s="997"/>
      <c r="EG227" s="312"/>
      <c r="EH227" s="312"/>
      <c r="EI227" s="312"/>
      <c r="EJ227" s="312"/>
      <c r="EK227" s="764"/>
      <c r="EL227" s="764"/>
      <c r="EM227" s="312"/>
      <c r="EN227" s="312"/>
      <c r="EO227" s="312"/>
      <c r="EP227" s="312"/>
      <c r="EQ227" s="312"/>
      <c r="ER227" s="405"/>
      <c r="ES227" s="312"/>
      <c r="ET227" s="312"/>
      <c r="EU227" s="764"/>
      <c r="EV227" s="764"/>
      <c r="EW227" s="764"/>
      <c r="EX227" s="764"/>
      <c r="EY227" s="764"/>
      <c r="EZ227" s="764"/>
      <c r="FA227" s="406"/>
      <c r="FB227" s="312"/>
      <c r="FC227" s="312"/>
      <c r="FD227" s="312"/>
      <c r="FE227" s="312"/>
      <c r="FF227" s="312"/>
      <c r="FG227" s="312"/>
      <c r="FH227" s="406"/>
      <c r="FI227" s="407"/>
      <c r="FJ227" s="312"/>
      <c r="FK227" s="997"/>
      <c r="FL227" s="997"/>
      <c r="FM227" s="312"/>
      <c r="FN227" s="312"/>
      <c r="FO227" s="312"/>
      <c r="FP227" s="312"/>
      <c r="FQ227" s="764"/>
      <c r="FR227" s="764"/>
      <c r="FS227" s="312"/>
      <c r="FT227" s="312"/>
      <c r="FU227" s="312"/>
      <c r="FV227" s="312"/>
      <c r="FW227" s="312"/>
      <c r="FX227" s="405"/>
      <c r="FY227" s="312"/>
      <c r="FZ227" s="312"/>
      <c r="GA227" s="764"/>
      <c r="GB227" s="764"/>
      <c r="GC227" s="764"/>
      <c r="GD227" s="764"/>
      <c r="GE227" s="764"/>
      <c r="GF227" s="764"/>
      <c r="GG227" s="406"/>
      <c r="GH227" s="312"/>
      <c r="GI227" s="312"/>
      <c r="GJ227" s="312"/>
      <c r="GK227" s="312"/>
      <c r="GL227" s="312"/>
      <c r="GM227" s="312"/>
      <c r="GN227" s="406"/>
      <c r="GO227" s="407"/>
      <c r="GP227" s="312"/>
      <c r="GQ227" s="997"/>
      <c r="GR227" s="997"/>
      <c r="GS227" s="312"/>
      <c r="GT227" s="312"/>
      <c r="GU227" s="312"/>
      <c r="GV227" s="312"/>
      <c r="GW227" s="764"/>
      <c r="GX227" s="764"/>
      <c r="GY227" s="312"/>
      <c r="GZ227" s="312"/>
      <c r="HA227" s="312"/>
      <c r="HB227" s="312"/>
      <c r="HC227" s="312"/>
      <c r="HD227" s="405"/>
      <c r="HE227" s="1700"/>
      <c r="HF227" s="312"/>
      <c r="HG227" s="764"/>
      <c r="HH227" s="764"/>
      <c r="HI227" s="764"/>
      <c r="HJ227" s="764"/>
      <c r="HK227" s="764"/>
      <c r="HL227" s="764"/>
      <c r="HM227" s="406"/>
      <c r="HN227" s="312"/>
      <c r="HO227" s="312"/>
      <c r="HP227" s="312"/>
      <c r="HQ227" s="312"/>
      <c r="HR227" s="312"/>
      <c r="HS227" s="312"/>
      <c r="HT227" s="406"/>
      <c r="HU227" s="407"/>
    </row>
    <row r="228" spans="1:229" s="102" customFormat="1" ht="23.25" customHeight="1" thickBot="1" x14ac:dyDescent="0.25">
      <c r="A228" s="3682" t="s">
        <v>365</v>
      </c>
      <c r="B228" s="3683"/>
      <c r="C228" s="1000" t="s">
        <v>171</v>
      </c>
      <c r="D228" s="1001" t="s">
        <v>184</v>
      </c>
      <c r="E228" s="1002"/>
      <c r="F228" s="784"/>
      <c r="G228" s="1003"/>
      <c r="H228" s="1004"/>
      <c r="I228" s="784"/>
      <c r="J228" s="784"/>
      <c r="K228" s="1004"/>
      <c r="L228" s="784"/>
      <c r="M228" s="784"/>
      <c r="N228" s="783"/>
      <c r="O228" s="1005"/>
      <c r="P228" s="1003"/>
      <c r="Q228" s="1003"/>
      <c r="R228" s="1003"/>
      <c r="S228" s="1006"/>
      <c r="T228" s="1007"/>
      <c r="U228" s="785" t="s">
        <v>335</v>
      </c>
      <c r="V228" s="786" t="s">
        <v>335</v>
      </c>
      <c r="W228" s="1008">
        <v>512718.88</v>
      </c>
      <c r="X228" s="1009" t="e">
        <f>#REF!+#REF!</f>
        <v>#REF!</v>
      </c>
      <c r="Y228" s="1009">
        <v>0</v>
      </c>
      <c r="Z228" s="1009">
        <v>0</v>
      </c>
      <c r="AA228" s="1010">
        <f>W228+Y228</f>
        <v>512718.88</v>
      </c>
      <c r="AB228" s="1009" t="e">
        <f>X228+Z228</f>
        <v>#REF!</v>
      </c>
      <c r="AC228" s="1011"/>
      <c r="AD228" s="1012">
        <v>1460841.32</v>
      </c>
      <c r="AE228" s="1012" t="e">
        <f>#REF!</f>
        <v>#REF!</v>
      </c>
      <c r="AF228" s="1012">
        <v>0</v>
      </c>
      <c r="AG228" s="1012">
        <v>0</v>
      </c>
      <c r="AH228" s="984">
        <f>AD228+AF228</f>
        <v>1460841.32</v>
      </c>
      <c r="AI228" s="979" t="e">
        <f>AE228+AG228</f>
        <v>#REF!</v>
      </c>
      <c r="AJ228" s="1013"/>
      <c r="AK228" s="1014"/>
      <c r="AL228" s="1015" t="s">
        <v>335</v>
      </c>
      <c r="AM228" s="1015" t="s">
        <v>335</v>
      </c>
      <c r="AN228" s="1016" t="s">
        <v>335</v>
      </c>
      <c r="AO228" s="1017">
        <v>128179.72</v>
      </c>
      <c r="AP228" s="790" t="e">
        <f>#REF!</f>
        <v>#REF!</v>
      </c>
      <c r="AQ228" s="790"/>
      <c r="AR228" s="790"/>
      <c r="AS228" s="846">
        <f>AO228+AQ228</f>
        <v>128179.72</v>
      </c>
      <c r="AT228" s="1018" t="e">
        <f>AP228+AR228</f>
        <v>#REF!</v>
      </c>
      <c r="AU228" s="1019">
        <v>365210.33</v>
      </c>
      <c r="AV228" s="792" t="e">
        <f>#REF!</f>
        <v>#REF!</v>
      </c>
      <c r="AW228" s="792">
        <v>0</v>
      </c>
      <c r="AX228" s="792"/>
      <c r="AY228" s="792">
        <f>AU228+AW228</f>
        <v>365210.33</v>
      </c>
      <c r="AZ228" s="793" t="e">
        <f>AV228+AX228</f>
        <v>#REF!</v>
      </c>
      <c r="BA228" s="785" t="s">
        <v>335</v>
      </c>
      <c r="BB228" s="1020" t="s">
        <v>335</v>
      </c>
      <c r="BC228" s="1008">
        <f t="shared" ref="BC228:BH228" si="1432">W228+AO228</f>
        <v>640898.6</v>
      </c>
      <c r="BD228" s="1010" t="e">
        <f t="shared" si="1432"/>
        <v>#REF!</v>
      </c>
      <c r="BE228" s="1010">
        <f t="shared" si="1432"/>
        <v>0</v>
      </c>
      <c r="BF228" s="1010">
        <f t="shared" si="1432"/>
        <v>0</v>
      </c>
      <c r="BG228" s="1010">
        <f t="shared" si="1432"/>
        <v>640898.6</v>
      </c>
      <c r="BH228" s="1010" t="e">
        <f t="shared" si="1432"/>
        <v>#REF!</v>
      </c>
      <c r="BI228" s="1011"/>
      <c r="BJ228" s="1021">
        <f t="shared" ref="BJ228:BO228" si="1433">AD228+AU228</f>
        <v>1826051.6500000001</v>
      </c>
      <c r="BK228" s="1022" t="e">
        <f t="shared" si="1433"/>
        <v>#REF!</v>
      </c>
      <c r="BL228" s="1022">
        <f t="shared" si="1433"/>
        <v>0</v>
      </c>
      <c r="BM228" s="1022">
        <f t="shared" si="1433"/>
        <v>0</v>
      </c>
      <c r="BN228" s="1022">
        <f t="shared" si="1433"/>
        <v>1826051.6500000001</v>
      </c>
      <c r="BO228" s="1022" t="e">
        <f t="shared" si="1433"/>
        <v>#REF!</v>
      </c>
      <c r="BP228" s="1023"/>
      <c r="BQ228" s="1024"/>
      <c r="BR228" s="1015" t="s">
        <v>335</v>
      </c>
      <c r="BS228" s="1015" t="s">
        <v>335</v>
      </c>
      <c r="BT228" s="1016" t="s">
        <v>335</v>
      </c>
      <c r="BU228" s="1017">
        <v>128179.72</v>
      </c>
      <c r="BV228" s="790">
        <v>0</v>
      </c>
      <c r="BW228" s="790"/>
      <c r="BX228" s="790"/>
      <c r="BY228" s="846">
        <f>BU228+BW228</f>
        <v>128179.72</v>
      </c>
      <c r="BZ228" s="1018">
        <f>BV228+BX228</f>
        <v>0</v>
      </c>
      <c r="CA228" s="1019">
        <v>365210.33</v>
      </c>
      <c r="CB228" s="792">
        <v>0</v>
      </c>
      <c r="CC228" s="792"/>
      <c r="CD228" s="792"/>
      <c r="CE228" s="792">
        <f>CA228+CC228</f>
        <v>365210.33</v>
      </c>
      <c r="CF228" s="793">
        <f>CB228+CD228</f>
        <v>0</v>
      </c>
      <c r="CG228" s="785" t="s">
        <v>335</v>
      </c>
      <c r="CH228" s="1020" t="s">
        <v>335</v>
      </c>
      <c r="CI228" s="1008">
        <f t="shared" ref="CI228:CN228" si="1434">BC228+BU228</f>
        <v>769078.32</v>
      </c>
      <c r="CJ228" s="1010" t="e">
        <f t="shared" si="1434"/>
        <v>#REF!</v>
      </c>
      <c r="CK228" s="1010">
        <f t="shared" si="1434"/>
        <v>0</v>
      </c>
      <c r="CL228" s="1010">
        <f t="shared" si="1434"/>
        <v>0</v>
      </c>
      <c r="CM228" s="1010">
        <f t="shared" si="1434"/>
        <v>769078.32</v>
      </c>
      <c r="CN228" s="1010" t="e">
        <f t="shared" si="1434"/>
        <v>#REF!</v>
      </c>
      <c r="CO228" s="1011"/>
      <c r="CP228" s="1159">
        <f t="shared" ref="CP228:CU228" si="1435">BJ228+CA228</f>
        <v>2191261.98</v>
      </c>
      <c r="CQ228" s="1022" t="e">
        <f t="shared" si="1435"/>
        <v>#REF!</v>
      </c>
      <c r="CR228" s="1022">
        <f t="shared" si="1435"/>
        <v>0</v>
      </c>
      <c r="CS228" s="1022">
        <f t="shared" si="1435"/>
        <v>0</v>
      </c>
      <c r="CT228" s="1022">
        <f t="shared" si="1435"/>
        <v>2191261.98</v>
      </c>
      <c r="CU228" s="1022" t="e">
        <f t="shared" si="1435"/>
        <v>#REF!</v>
      </c>
      <c r="CV228" s="1049"/>
      <c r="CW228" s="1024"/>
      <c r="CX228" s="1015" t="s">
        <v>335</v>
      </c>
      <c r="CY228" s="1015" t="s">
        <v>335</v>
      </c>
      <c r="CZ228" s="1016" t="s">
        <v>335</v>
      </c>
      <c r="DA228" s="1017">
        <v>128179.72</v>
      </c>
      <c r="DB228" s="790" t="e">
        <f>#REF!</f>
        <v>#REF!</v>
      </c>
      <c r="DC228" s="790"/>
      <c r="DD228" s="790"/>
      <c r="DE228" s="846">
        <f>DA228+DC228</f>
        <v>128179.72</v>
      </c>
      <c r="DF228" s="1018" t="e">
        <f>DB228+DD228</f>
        <v>#REF!</v>
      </c>
      <c r="DG228" s="1019">
        <v>365210.33</v>
      </c>
      <c r="DH228" s="792"/>
      <c r="DI228" s="792"/>
      <c r="DJ228" s="792"/>
      <c r="DK228" s="792">
        <f>DG228+DI228</f>
        <v>365210.33</v>
      </c>
      <c r="DL228" s="793">
        <f>DH228+DJ228</f>
        <v>0</v>
      </c>
      <c r="DM228" s="785" t="s">
        <v>335</v>
      </c>
      <c r="DN228" s="1020" t="s">
        <v>335</v>
      </c>
      <c r="DO228" s="1008">
        <f t="shared" ref="DO228:DT228" si="1436">CI228+DA228</f>
        <v>897258.03999999992</v>
      </c>
      <c r="DP228" s="1010" t="e">
        <f t="shared" si="1436"/>
        <v>#REF!</v>
      </c>
      <c r="DQ228" s="1010">
        <f t="shared" si="1436"/>
        <v>0</v>
      </c>
      <c r="DR228" s="1010">
        <f t="shared" si="1436"/>
        <v>0</v>
      </c>
      <c r="DS228" s="1010">
        <f t="shared" si="1436"/>
        <v>897258.03999999992</v>
      </c>
      <c r="DT228" s="1010" t="e">
        <f t="shared" si="1436"/>
        <v>#REF!</v>
      </c>
      <c r="DU228" s="1011"/>
      <c r="DV228" s="1159">
        <f t="shared" ref="DV228:EA228" si="1437">CP228+DG228</f>
        <v>2556472.31</v>
      </c>
      <c r="DW228" s="1022" t="e">
        <f t="shared" si="1437"/>
        <v>#REF!</v>
      </c>
      <c r="DX228" s="1022">
        <f t="shared" si="1437"/>
        <v>0</v>
      </c>
      <c r="DY228" s="1022">
        <f t="shared" si="1437"/>
        <v>0</v>
      </c>
      <c r="DZ228" s="1022">
        <f t="shared" si="1437"/>
        <v>2556472.31</v>
      </c>
      <c r="EA228" s="1022" t="e">
        <f t="shared" si="1437"/>
        <v>#REF!</v>
      </c>
      <c r="EB228" s="1049"/>
      <c r="EC228" s="1024"/>
      <c r="ED228" s="1015" t="s">
        <v>335</v>
      </c>
      <c r="EE228" s="1015" t="s">
        <v>335</v>
      </c>
      <c r="EF228" s="1016" t="s">
        <v>335</v>
      </c>
      <c r="EG228" s="1017">
        <v>128179.72</v>
      </c>
      <c r="EH228" s="790" t="e">
        <f>#REF!</f>
        <v>#REF!</v>
      </c>
      <c r="EI228" s="790"/>
      <c r="EJ228" s="790"/>
      <c r="EK228" s="846">
        <f>EG228+EI228</f>
        <v>128179.72</v>
      </c>
      <c r="EL228" s="1018" t="e">
        <f>EH228+EJ228</f>
        <v>#REF!</v>
      </c>
      <c r="EM228" s="1019">
        <v>365210.33</v>
      </c>
      <c r="EN228" s="792"/>
      <c r="EO228" s="792"/>
      <c r="EP228" s="792"/>
      <c r="EQ228" s="792">
        <f>EM228+EO228</f>
        <v>365210.33</v>
      </c>
      <c r="ER228" s="793">
        <f>EN228+EP228</f>
        <v>0</v>
      </c>
      <c r="ES228" s="785" t="s">
        <v>335</v>
      </c>
      <c r="ET228" s="1020" t="s">
        <v>335</v>
      </c>
      <c r="EU228" s="1008">
        <f t="shared" ref="EU228:EZ228" si="1438">EG228+DO228</f>
        <v>1025437.7599999999</v>
      </c>
      <c r="EV228" s="1010" t="e">
        <f t="shared" si="1438"/>
        <v>#REF!</v>
      </c>
      <c r="EW228" s="1010">
        <f t="shared" si="1438"/>
        <v>0</v>
      </c>
      <c r="EX228" s="1010">
        <f t="shared" si="1438"/>
        <v>0</v>
      </c>
      <c r="EY228" s="1010">
        <f t="shared" si="1438"/>
        <v>1025437.7599999999</v>
      </c>
      <c r="EZ228" s="1010" t="e">
        <f t="shared" si="1438"/>
        <v>#REF!</v>
      </c>
      <c r="FA228" s="1011"/>
      <c r="FB228" s="1159">
        <f t="shared" ref="FB228:FG228" si="1439">DV228+EM228</f>
        <v>2921682.64</v>
      </c>
      <c r="FC228" s="1022" t="e">
        <f t="shared" si="1439"/>
        <v>#REF!</v>
      </c>
      <c r="FD228" s="1022">
        <f t="shared" si="1439"/>
        <v>0</v>
      </c>
      <c r="FE228" s="1022">
        <f t="shared" si="1439"/>
        <v>0</v>
      </c>
      <c r="FF228" s="1022">
        <f t="shared" si="1439"/>
        <v>2921682.64</v>
      </c>
      <c r="FG228" s="1022" t="e">
        <f t="shared" si="1439"/>
        <v>#REF!</v>
      </c>
      <c r="FH228" s="1049"/>
      <c r="FI228" s="1024"/>
      <c r="FJ228" s="1015" t="s">
        <v>335</v>
      </c>
      <c r="FK228" s="1015" t="s">
        <v>335</v>
      </c>
      <c r="FL228" s="1016" t="s">
        <v>335</v>
      </c>
      <c r="FM228" s="1017">
        <v>128179.72</v>
      </c>
      <c r="FN228" s="790" t="e">
        <f>#REF!</f>
        <v>#REF!</v>
      </c>
      <c r="FO228" s="790"/>
      <c r="FP228" s="790"/>
      <c r="FQ228" s="846">
        <f>FM228+FO228</f>
        <v>128179.72</v>
      </c>
      <c r="FR228" s="1018" t="e">
        <f>FN228+FP228</f>
        <v>#REF!</v>
      </c>
      <c r="FS228" s="1019">
        <v>365210.33</v>
      </c>
      <c r="FT228" s="792"/>
      <c r="FU228" s="792"/>
      <c r="FV228" s="792"/>
      <c r="FW228" s="792">
        <f>FS228+FU228</f>
        <v>365210.33</v>
      </c>
      <c r="FX228" s="793">
        <f>FT228+FV228</f>
        <v>0</v>
      </c>
      <c r="FY228" s="785" t="s">
        <v>335</v>
      </c>
      <c r="FZ228" s="1020" t="s">
        <v>335</v>
      </c>
      <c r="GA228" s="1008">
        <f t="shared" ref="GA228:GF228" si="1440">FM228+EU228</f>
        <v>1153617.48</v>
      </c>
      <c r="GB228" s="1010" t="e">
        <f t="shared" si="1440"/>
        <v>#REF!</v>
      </c>
      <c r="GC228" s="1010">
        <f t="shared" si="1440"/>
        <v>0</v>
      </c>
      <c r="GD228" s="1010">
        <f t="shared" si="1440"/>
        <v>0</v>
      </c>
      <c r="GE228" s="1010">
        <f t="shared" si="1440"/>
        <v>1153617.48</v>
      </c>
      <c r="GF228" s="1010" t="e">
        <f t="shared" si="1440"/>
        <v>#REF!</v>
      </c>
      <c r="GG228" s="1011"/>
      <c r="GH228" s="1159">
        <f t="shared" ref="GH228:GM228" si="1441">FB228+FS228</f>
        <v>3286892.97</v>
      </c>
      <c r="GI228" s="1022" t="e">
        <f t="shared" si="1441"/>
        <v>#REF!</v>
      </c>
      <c r="GJ228" s="1022">
        <f t="shared" si="1441"/>
        <v>0</v>
      </c>
      <c r="GK228" s="1022">
        <f t="shared" si="1441"/>
        <v>0</v>
      </c>
      <c r="GL228" s="1022">
        <f t="shared" si="1441"/>
        <v>3286892.97</v>
      </c>
      <c r="GM228" s="1022" t="e">
        <f t="shared" si="1441"/>
        <v>#REF!</v>
      </c>
      <c r="GN228" s="1049"/>
      <c r="GO228" s="1024"/>
      <c r="GP228" s="1015" t="s">
        <v>335</v>
      </c>
      <c r="GQ228" s="1015" t="s">
        <v>335</v>
      </c>
      <c r="GR228" s="1016" t="s">
        <v>335</v>
      </c>
      <c r="GS228" s="1017">
        <v>128179.72</v>
      </c>
      <c r="GT228" s="790" t="e">
        <f>#REF!</f>
        <v>#REF!</v>
      </c>
      <c r="GU228" s="790"/>
      <c r="GV228" s="790"/>
      <c r="GW228" s="846">
        <f>GS228+GU228</f>
        <v>128179.72</v>
      </c>
      <c r="GX228" s="1018" t="e">
        <f>GT228+GV228</f>
        <v>#REF!</v>
      </c>
      <c r="GY228" s="1019">
        <f>365210.33+10174.46</f>
        <v>375384.79000000004</v>
      </c>
      <c r="GZ228" s="792"/>
      <c r="HA228" s="792"/>
      <c r="HB228" s="792"/>
      <c r="HC228" s="792">
        <f>GY228+HA228</f>
        <v>375384.79000000004</v>
      </c>
      <c r="HD228" s="793">
        <f>GZ228+HB228</f>
        <v>0</v>
      </c>
      <c r="HE228" s="1708" t="s">
        <v>335</v>
      </c>
      <c r="HF228" s="1020" t="s">
        <v>335</v>
      </c>
      <c r="HG228" s="1008">
        <f t="shared" ref="HG228:HL228" si="1442">GS228+GA228</f>
        <v>1281797.2</v>
      </c>
      <c r="HH228" s="1010" t="e">
        <f t="shared" si="1442"/>
        <v>#REF!</v>
      </c>
      <c r="HI228" s="1010">
        <f t="shared" si="1442"/>
        <v>0</v>
      </c>
      <c r="HJ228" s="1010">
        <f t="shared" si="1442"/>
        <v>0</v>
      </c>
      <c r="HK228" s="1010">
        <f t="shared" si="1442"/>
        <v>1281797.2</v>
      </c>
      <c r="HL228" s="1010" t="e">
        <f t="shared" si="1442"/>
        <v>#REF!</v>
      </c>
      <c r="HM228" s="1011"/>
      <c r="HN228" s="1159">
        <f t="shared" ref="HN228:HS228" si="1443">GH228+GY228</f>
        <v>3662277.7600000002</v>
      </c>
      <c r="HO228" s="1022" t="e">
        <f t="shared" si="1443"/>
        <v>#REF!</v>
      </c>
      <c r="HP228" s="1022">
        <f t="shared" si="1443"/>
        <v>0</v>
      </c>
      <c r="HQ228" s="1022">
        <f t="shared" si="1443"/>
        <v>0</v>
      </c>
      <c r="HR228" s="1022">
        <f t="shared" si="1443"/>
        <v>3662277.7600000002</v>
      </c>
      <c r="HS228" s="1022" t="e">
        <f t="shared" si="1443"/>
        <v>#REF!</v>
      </c>
      <c r="HT228" s="1049"/>
      <c r="HU228" s="1024"/>
    </row>
    <row r="229" spans="1:229" ht="13.5" thickBot="1" x14ac:dyDescent="0.25">
      <c r="A229" s="105"/>
      <c r="B229" s="815"/>
      <c r="C229" s="105"/>
      <c r="D229" s="820"/>
      <c r="E229" s="105"/>
      <c r="F229" s="312"/>
      <c r="G229" s="105"/>
      <c r="H229" s="404"/>
      <c r="I229" s="312"/>
      <c r="J229" s="312"/>
      <c r="K229" s="404"/>
      <c r="L229" s="312"/>
      <c r="M229" s="312"/>
      <c r="N229" s="760"/>
      <c r="O229" s="105"/>
      <c r="P229" s="815"/>
      <c r="Q229" s="105"/>
      <c r="R229" s="105"/>
      <c r="S229" s="105"/>
      <c r="T229" s="405"/>
      <c r="U229" s="957"/>
      <c r="V229" s="957"/>
      <c r="W229" s="956"/>
      <c r="X229" s="956"/>
      <c r="Y229" s="956"/>
      <c r="Z229" s="956"/>
      <c r="AA229" s="956"/>
      <c r="AB229" s="956"/>
      <c r="AC229" s="762"/>
      <c r="AD229" s="956"/>
      <c r="AE229" s="956"/>
      <c r="AF229" s="956"/>
      <c r="AG229" s="956"/>
      <c r="AH229" s="956"/>
      <c r="AI229" s="956"/>
      <c r="AJ229" s="959"/>
      <c r="AK229" s="960"/>
      <c r="AL229" s="312"/>
      <c r="AM229" s="957"/>
      <c r="AN229" s="957"/>
      <c r="AO229" s="312"/>
      <c r="AP229" s="312"/>
      <c r="AQ229" s="312"/>
      <c r="AR229" s="312"/>
      <c r="AS229" s="764"/>
      <c r="AT229" s="764"/>
      <c r="AU229" s="312"/>
      <c r="AV229" s="312"/>
      <c r="AW229" s="312"/>
      <c r="AX229" s="312"/>
      <c r="AY229" s="312"/>
      <c r="AZ229" s="405"/>
      <c r="BA229" s="957"/>
      <c r="BB229" s="957"/>
      <c r="BC229" s="312"/>
      <c r="BD229" s="312"/>
      <c r="BE229" s="312"/>
      <c r="BF229" s="312"/>
      <c r="BG229" s="312"/>
      <c r="BH229" s="312"/>
      <c r="BI229" s="406"/>
      <c r="BJ229" s="312"/>
      <c r="BK229" s="312"/>
      <c r="BL229" s="312"/>
      <c r="BM229" s="312"/>
      <c r="BN229" s="312"/>
      <c r="BO229" s="312"/>
      <c r="BP229" s="406"/>
      <c r="BQ229" s="407"/>
      <c r="BR229" s="312"/>
      <c r="BS229" s="957"/>
      <c r="BT229" s="957"/>
      <c r="BU229" s="312"/>
      <c r="BV229" s="312"/>
      <c r="BW229" s="312"/>
      <c r="BX229" s="312"/>
      <c r="BY229" s="764"/>
      <c r="BZ229" s="764"/>
      <c r="CA229" s="312"/>
      <c r="CB229" s="312"/>
      <c r="CC229" s="312"/>
      <c r="CD229" s="312"/>
      <c r="CE229" s="312"/>
      <c r="CF229" s="405"/>
      <c r="CG229" s="957"/>
      <c r="CH229" s="957"/>
      <c r="CI229" s="764"/>
      <c r="CJ229" s="764"/>
      <c r="CK229" s="764"/>
      <c r="CL229" s="764"/>
      <c r="CM229" s="764"/>
      <c r="CN229" s="764"/>
      <c r="CO229" s="406"/>
      <c r="CP229" s="312"/>
      <c r="CQ229" s="312"/>
      <c r="CR229" s="312"/>
      <c r="CS229" s="312"/>
      <c r="CT229" s="312"/>
      <c r="CU229" s="312"/>
      <c r="CV229" s="406"/>
      <c r="CW229" s="407"/>
      <c r="CX229" s="312"/>
      <c r="CY229" s="957"/>
      <c r="CZ229" s="957"/>
      <c r="DA229" s="312"/>
      <c r="DB229" s="312"/>
      <c r="DC229" s="312"/>
      <c r="DD229" s="312"/>
      <c r="DE229" s="764"/>
      <c r="DF229" s="764"/>
      <c r="DG229" s="312"/>
      <c r="DH229" s="312"/>
      <c r="DI229" s="312"/>
      <c r="DJ229" s="312"/>
      <c r="DK229" s="312"/>
      <c r="DL229" s="405"/>
      <c r="DM229" s="957"/>
      <c r="DN229" s="957"/>
      <c r="DO229" s="764"/>
      <c r="DP229" s="764"/>
      <c r="DQ229" s="764"/>
      <c r="DR229" s="764"/>
      <c r="DS229" s="764"/>
      <c r="DT229" s="764"/>
      <c r="DU229" s="406"/>
      <c r="DV229" s="312"/>
      <c r="DW229" s="312"/>
      <c r="DX229" s="312"/>
      <c r="DY229" s="312"/>
      <c r="DZ229" s="312"/>
      <c r="EA229" s="312"/>
      <c r="EB229" s="406"/>
      <c r="EC229" s="407"/>
      <c r="ED229" s="312"/>
      <c r="EE229" s="957"/>
      <c r="EF229" s="957"/>
      <c r="EG229" s="312"/>
      <c r="EH229" s="312"/>
      <c r="EI229" s="312"/>
      <c r="EJ229" s="312"/>
      <c r="EK229" s="764"/>
      <c r="EL229" s="764"/>
      <c r="EM229" s="312"/>
      <c r="EN229" s="312"/>
      <c r="EO229" s="312"/>
      <c r="EP229" s="312"/>
      <c r="EQ229" s="312"/>
      <c r="ER229" s="405"/>
      <c r="ES229" s="957"/>
      <c r="ET229" s="957"/>
      <c r="EU229" s="764"/>
      <c r="EV229" s="764"/>
      <c r="EW229" s="764"/>
      <c r="EX229" s="764"/>
      <c r="EY229" s="764"/>
      <c r="EZ229" s="764"/>
      <c r="FA229" s="406"/>
      <c r="FB229" s="312"/>
      <c r="FC229" s="312"/>
      <c r="FD229" s="312"/>
      <c r="FE229" s="312"/>
      <c r="FF229" s="312"/>
      <c r="FG229" s="312"/>
      <c r="FH229" s="406"/>
      <c r="FI229" s="407"/>
      <c r="FJ229" s="312"/>
      <c r="FK229" s="957"/>
      <c r="FL229" s="957"/>
      <c r="FM229" s="312"/>
      <c r="FN229" s="312"/>
      <c r="FO229" s="312"/>
      <c r="FP229" s="312"/>
      <c r="FQ229" s="764"/>
      <c r="FR229" s="764"/>
      <c r="FS229" s="312"/>
      <c r="FT229" s="312"/>
      <c r="FU229" s="312"/>
      <c r="FV229" s="312"/>
      <c r="FW229" s="312"/>
      <c r="FX229" s="405"/>
      <c r="FY229" s="957"/>
      <c r="FZ229" s="957"/>
      <c r="GA229" s="764"/>
      <c r="GB229" s="764"/>
      <c r="GC229" s="764"/>
      <c r="GD229" s="764"/>
      <c r="GE229" s="764"/>
      <c r="GF229" s="764"/>
      <c r="GG229" s="406"/>
      <c r="GH229" s="312"/>
      <c r="GI229" s="312"/>
      <c r="GJ229" s="312"/>
      <c r="GK229" s="312"/>
      <c r="GL229" s="312"/>
      <c r="GM229" s="312"/>
      <c r="GN229" s="406"/>
      <c r="GO229" s="407"/>
      <c r="GP229" s="312"/>
      <c r="GQ229" s="957"/>
      <c r="GR229" s="957"/>
      <c r="GS229" s="312"/>
      <c r="GT229" s="312"/>
      <c r="GU229" s="312"/>
      <c r="GV229" s="312"/>
      <c r="GW229" s="764"/>
      <c r="GX229" s="764"/>
      <c r="GY229" s="312"/>
      <c r="GZ229" s="312"/>
      <c r="HA229" s="312"/>
      <c r="HB229" s="312"/>
      <c r="HC229" s="312"/>
      <c r="HD229" s="405"/>
      <c r="HE229" s="1709"/>
      <c r="HF229" s="957"/>
      <c r="HG229" s="764"/>
      <c r="HH229" s="764"/>
      <c r="HI229" s="764"/>
      <c r="HJ229" s="764"/>
      <c r="HK229" s="764"/>
      <c r="HL229" s="764"/>
      <c r="HM229" s="406"/>
      <c r="HN229" s="312"/>
      <c r="HO229" s="312"/>
      <c r="HP229" s="312"/>
      <c r="HQ229" s="312"/>
      <c r="HR229" s="312"/>
      <c r="HS229" s="312"/>
      <c r="HT229" s="406"/>
      <c r="HU229" s="407"/>
    </row>
    <row r="230" spans="1:229" s="102" customFormat="1" ht="18" customHeight="1" thickBot="1" x14ac:dyDescent="0.25">
      <c r="A230" s="3684" t="s">
        <v>366</v>
      </c>
      <c r="B230" s="3685"/>
      <c r="C230" s="1025" t="s">
        <v>177</v>
      </c>
      <c r="D230" s="1026" t="s">
        <v>378</v>
      </c>
      <c r="E230" s="1027"/>
      <c r="F230" s="1028"/>
      <c r="G230" s="829"/>
      <c r="H230" s="1029"/>
      <c r="I230" s="1028"/>
      <c r="J230" s="1028"/>
      <c r="K230" s="1029"/>
      <c r="L230" s="1028"/>
      <c r="M230" s="1028"/>
      <c r="N230" s="1030"/>
      <c r="O230" s="1027"/>
      <c r="P230" s="829"/>
      <c r="Q230" s="829"/>
      <c r="R230" s="1003"/>
      <c r="S230" s="1031"/>
      <c r="T230" s="1032"/>
      <c r="U230" s="785" t="s">
        <v>335</v>
      </c>
      <c r="V230" s="786" t="s">
        <v>335</v>
      </c>
      <c r="W230" s="834">
        <v>1776326.08</v>
      </c>
      <c r="X230" s="835">
        <v>4174381.6900000004</v>
      </c>
      <c r="Y230" s="835">
        <v>0</v>
      </c>
      <c r="Z230" s="835">
        <v>0</v>
      </c>
      <c r="AA230" s="868">
        <f>W230+Y230</f>
        <v>1776326.08</v>
      </c>
      <c r="AB230" s="867">
        <f>X230+Z230</f>
        <v>4174381.6900000004</v>
      </c>
      <c r="AC230" s="837"/>
      <c r="AD230" s="964">
        <v>5741867.5500000007</v>
      </c>
      <c r="AE230" s="964">
        <v>3349584.4000000004</v>
      </c>
      <c r="AF230" s="964">
        <v>0</v>
      </c>
      <c r="AG230" s="964">
        <v>0</v>
      </c>
      <c r="AH230" s="941">
        <f>AD230+AF230</f>
        <v>5741867.5500000007</v>
      </c>
      <c r="AI230" s="936">
        <f>AE230+AG230</f>
        <v>3349584.4000000004</v>
      </c>
      <c r="AJ230" s="1013"/>
      <c r="AK230" s="1033"/>
      <c r="AL230" s="1015" t="s">
        <v>335</v>
      </c>
      <c r="AM230" s="1034" t="s">
        <v>335</v>
      </c>
      <c r="AN230" s="1016" t="s">
        <v>335</v>
      </c>
      <c r="AO230" s="1017">
        <v>4616937.9000000004</v>
      </c>
      <c r="AP230" s="790">
        <f>826684.38+304247.38</f>
        <v>1130931.76</v>
      </c>
      <c r="AQ230" s="790"/>
      <c r="AR230" s="790"/>
      <c r="AS230" s="1035">
        <f>AO230+AQ230</f>
        <v>4616937.9000000004</v>
      </c>
      <c r="AT230" s="1036">
        <f>AP230+AR230</f>
        <v>1130931.76</v>
      </c>
      <c r="AU230" s="1019">
        <v>1109655.27</v>
      </c>
      <c r="AV230" s="792">
        <v>304247.38</v>
      </c>
      <c r="AW230" s="792">
        <v>0</v>
      </c>
      <c r="AX230" s="792"/>
      <c r="AY230" s="792">
        <f>AU230+AW230</f>
        <v>1109655.27</v>
      </c>
      <c r="AZ230" s="793">
        <f>AV230+AX230</f>
        <v>304247.38</v>
      </c>
      <c r="BA230" s="785" t="s">
        <v>335</v>
      </c>
      <c r="BB230" s="1020" t="s">
        <v>335</v>
      </c>
      <c r="BC230" s="1008">
        <f t="shared" ref="BC230:BF231" si="1444">W230+AO230</f>
        <v>6393263.9800000004</v>
      </c>
      <c r="BD230" s="1010">
        <f t="shared" si="1444"/>
        <v>5305313.45</v>
      </c>
      <c r="BE230" s="1010">
        <f t="shared" si="1444"/>
        <v>0</v>
      </c>
      <c r="BF230" s="1010">
        <f t="shared" si="1444"/>
        <v>0</v>
      </c>
      <c r="BG230" s="1010">
        <f>AA230+AS230</f>
        <v>6393263.9800000004</v>
      </c>
      <c r="BH230" s="1010">
        <f>AB230+AT230</f>
        <v>5305313.45</v>
      </c>
      <c r="BI230" s="1011"/>
      <c r="BJ230" s="1021">
        <f>AD230+AU230</f>
        <v>6851522.8200000003</v>
      </c>
      <c r="BK230" s="1022">
        <f>AE230+AV230</f>
        <v>3653831.7800000003</v>
      </c>
      <c r="BL230" s="1022">
        <f t="shared" ref="BL230:BO231" si="1445">AF230+AW230</f>
        <v>0</v>
      </c>
      <c r="BM230" s="1022">
        <f t="shared" si="1445"/>
        <v>0</v>
      </c>
      <c r="BN230" s="1022">
        <f t="shared" si="1445"/>
        <v>6851522.8200000003</v>
      </c>
      <c r="BO230" s="1022">
        <f t="shared" si="1445"/>
        <v>3653831.7800000003</v>
      </c>
      <c r="BP230" s="1023"/>
      <c r="BQ230" s="1024"/>
      <c r="BR230" s="1015" t="s">
        <v>335</v>
      </c>
      <c r="BS230" s="1034" t="s">
        <v>335</v>
      </c>
      <c r="BT230" s="1016" t="s">
        <v>335</v>
      </c>
      <c r="BU230" s="1017">
        <v>4642759.78</v>
      </c>
      <c r="BV230" s="790">
        <v>160537.09</v>
      </c>
      <c r="BW230" s="790"/>
      <c r="BX230" s="790"/>
      <c r="BY230" s="1035">
        <f>BU230+BW230</f>
        <v>4642759.78</v>
      </c>
      <c r="BZ230" s="1036">
        <f>BV230+BX230</f>
        <v>160537.09</v>
      </c>
      <c r="CA230" s="1019">
        <v>986433.41</v>
      </c>
      <c r="CB230" s="792">
        <v>160537.09</v>
      </c>
      <c r="CC230" s="792"/>
      <c r="CD230" s="792"/>
      <c r="CE230" s="792">
        <f>CA230+CC230</f>
        <v>986433.41</v>
      </c>
      <c r="CF230" s="793">
        <f>CB230+CD230</f>
        <v>160537.09</v>
      </c>
      <c r="CG230" s="785" t="s">
        <v>335</v>
      </c>
      <c r="CH230" s="1020" t="s">
        <v>335</v>
      </c>
      <c r="CI230" s="1008">
        <f t="shared" ref="CI230:CN230" si="1446">BC230+BU230</f>
        <v>11036023.760000002</v>
      </c>
      <c r="CJ230" s="1010">
        <f t="shared" si="1446"/>
        <v>5465850.54</v>
      </c>
      <c r="CK230" s="1010">
        <f t="shared" si="1446"/>
        <v>0</v>
      </c>
      <c r="CL230" s="1010">
        <f t="shared" si="1446"/>
        <v>0</v>
      </c>
      <c r="CM230" s="1010">
        <f t="shared" si="1446"/>
        <v>11036023.760000002</v>
      </c>
      <c r="CN230" s="1010">
        <f t="shared" si="1446"/>
        <v>5465850.54</v>
      </c>
      <c r="CO230" s="1011"/>
      <c r="CP230" s="1159">
        <f t="shared" ref="CP230:CU230" si="1447">BJ230+CA230</f>
        <v>7837956.2300000004</v>
      </c>
      <c r="CQ230" s="1022">
        <f t="shared" si="1447"/>
        <v>3814368.87</v>
      </c>
      <c r="CR230" s="1022">
        <f t="shared" si="1447"/>
        <v>0</v>
      </c>
      <c r="CS230" s="1022">
        <f t="shared" si="1447"/>
        <v>0</v>
      </c>
      <c r="CT230" s="1022">
        <f t="shared" si="1447"/>
        <v>7837956.2300000004</v>
      </c>
      <c r="CU230" s="1022">
        <f t="shared" si="1447"/>
        <v>3814368.87</v>
      </c>
      <c r="CV230" s="1049"/>
      <c r="CW230" s="1024"/>
      <c r="CX230" s="1015" t="s">
        <v>335</v>
      </c>
      <c r="CY230" s="1034" t="s">
        <v>335</v>
      </c>
      <c r="CZ230" s="1016" t="s">
        <v>335</v>
      </c>
      <c r="DA230" s="1017">
        <v>3286632.34</v>
      </c>
      <c r="DB230" s="790">
        <v>194251.96</v>
      </c>
      <c r="DC230" s="790"/>
      <c r="DD230" s="790"/>
      <c r="DE230" s="1035">
        <f>DA230+DC230</f>
        <v>3286632.34</v>
      </c>
      <c r="DF230" s="1036">
        <f>DB230+DD230</f>
        <v>194251.96</v>
      </c>
      <c r="DG230" s="1019">
        <v>1414324.48</v>
      </c>
      <c r="DH230" s="792">
        <v>194251.96</v>
      </c>
      <c r="DI230" s="792"/>
      <c r="DJ230" s="792"/>
      <c r="DK230" s="792">
        <f>DG230+DI230</f>
        <v>1414324.48</v>
      </c>
      <c r="DL230" s="793">
        <f>DH230+DJ230</f>
        <v>194251.96</v>
      </c>
      <c r="DM230" s="785" t="s">
        <v>335</v>
      </c>
      <c r="DN230" s="1020" t="s">
        <v>335</v>
      </c>
      <c r="DO230" s="1008">
        <f t="shared" ref="DO230:DT230" si="1448">CI230+DA230</f>
        <v>14322656.100000001</v>
      </c>
      <c r="DP230" s="1010">
        <f t="shared" si="1448"/>
        <v>5660102.5</v>
      </c>
      <c r="DQ230" s="1010">
        <f t="shared" si="1448"/>
        <v>0</v>
      </c>
      <c r="DR230" s="1010">
        <f t="shared" si="1448"/>
        <v>0</v>
      </c>
      <c r="DS230" s="1010">
        <f t="shared" si="1448"/>
        <v>14322656.100000001</v>
      </c>
      <c r="DT230" s="1010">
        <f t="shared" si="1448"/>
        <v>5660102.5</v>
      </c>
      <c r="DU230" s="1011"/>
      <c r="DV230" s="1159">
        <f t="shared" ref="DV230:EA231" si="1449">CP230+DG230</f>
        <v>9252280.7100000009</v>
      </c>
      <c r="DW230" s="1022">
        <f t="shared" si="1449"/>
        <v>4008620.83</v>
      </c>
      <c r="DX230" s="1022">
        <f t="shared" si="1449"/>
        <v>0</v>
      </c>
      <c r="DY230" s="1022">
        <f t="shared" si="1449"/>
        <v>0</v>
      </c>
      <c r="DZ230" s="1022">
        <f t="shared" si="1449"/>
        <v>9252280.7100000009</v>
      </c>
      <c r="EA230" s="1022">
        <f t="shared" si="1449"/>
        <v>4008620.83</v>
      </c>
      <c r="EB230" s="1049"/>
      <c r="EC230" s="1024"/>
      <c r="ED230" s="1015" t="s">
        <v>335</v>
      </c>
      <c r="EE230" s="1034" t="s">
        <v>335</v>
      </c>
      <c r="EF230" s="1016" t="s">
        <v>335</v>
      </c>
      <c r="EG230" s="1017">
        <v>4682673.21</v>
      </c>
      <c r="EH230" s="790">
        <v>162589.04</v>
      </c>
      <c r="EI230" s="790"/>
      <c r="EJ230" s="790"/>
      <c r="EK230" s="1035">
        <f>EG230+EI230</f>
        <v>4682673.21</v>
      </c>
      <c r="EL230" s="1036">
        <f>EH230+EJ230</f>
        <v>162589.04</v>
      </c>
      <c r="EM230" s="1019">
        <v>1437479.23</v>
      </c>
      <c r="EN230" s="792">
        <f>1998645.69+162589.04</f>
        <v>2161234.73</v>
      </c>
      <c r="EO230" s="792"/>
      <c r="EP230" s="792"/>
      <c r="EQ230" s="792">
        <f>EM230+EO230</f>
        <v>1437479.23</v>
      </c>
      <c r="ER230" s="793">
        <f>EN230+EP230</f>
        <v>2161234.73</v>
      </c>
      <c r="ES230" s="785" t="s">
        <v>335</v>
      </c>
      <c r="ET230" s="1020" t="s">
        <v>335</v>
      </c>
      <c r="EU230" s="1008">
        <f t="shared" ref="EU230:EZ230" si="1450">EG230+DO230</f>
        <v>19005329.310000002</v>
      </c>
      <c r="EV230" s="1010">
        <f t="shared" si="1450"/>
        <v>5822691.54</v>
      </c>
      <c r="EW230" s="1010">
        <f t="shared" si="1450"/>
        <v>0</v>
      </c>
      <c r="EX230" s="1010">
        <f t="shared" si="1450"/>
        <v>0</v>
      </c>
      <c r="EY230" s="1010">
        <f t="shared" si="1450"/>
        <v>19005329.310000002</v>
      </c>
      <c r="EZ230" s="1010">
        <f t="shared" si="1450"/>
        <v>5822691.54</v>
      </c>
      <c r="FA230" s="1011"/>
      <c r="FB230" s="1159">
        <f t="shared" ref="FB230:FG231" si="1451">DV230+EM230</f>
        <v>10689759.940000001</v>
      </c>
      <c r="FC230" s="1022">
        <f t="shared" si="1451"/>
        <v>6169855.5600000005</v>
      </c>
      <c r="FD230" s="1022">
        <f t="shared" si="1451"/>
        <v>0</v>
      </c>
      <c r="FE230" s="1022">
        <f t="shared" si="1451"/>
        <v>0</v>
      </c>
      <c r="FF230" s="1022">
        <f t="shared" si="1451"/>
        <v>10689759.940000001</v>
      </c>
      <c r="FG230" s="1022">
        <f t="shared" si="1451"/>
        <v>6169855.5600000005</v>
      </c>
      <c r="FH230" s="1049"/>
      <c r="FI230" s="1024"/>
      <c r="FJ230" s="1015" t="s">
        <v>335</v>
      </c>
      <c r="FK230" s="1034" t="s">
        <v>335</v>
      </c>
      <c r="FL230" s="1016" t="s">
        <v>335</v>
      </c>
      <c r="FM230" s="1017">
        <v>5864721.9199999999</v>
      </c>
      <c r="FN230" s="790">
        <v>29851.99</v>
      </c>
      <c r="FO230" s="790"/>
      <c r="FP230" s="790"/>
      <c r="FQ230" s="1035">
        <f>FM230+FO230</f>
        <v>5864721.9199999999</v>
      </c>
      <c r="FR230" s="1036">
        <f>FN230+FP230</f>
        <v>29851.99</v>
      </c>
      <c r="FS230" s="1019">
        <v>1646345.49</v>
      </c>
      <c r="FT230" s="1615">
        <f>556431.13+29851.99</f>
        <v>586283.12</v>
      </c>
      <c r="FU230" s="792"/>
      <c r="FV230" s="792"/>
      <c r="FW230" s="792">
        <f>FS230+FU230</f>
        <v>1646345.49</v>
      </c>
      <c r="FX230" s="793">
        <f>FT230+FV230</f>
        <v>586283.12</v>
      </c>
      <c r="FY230" s="785" t="s">
        <v>335</v>
      </c>
      <c r="FZ230" s="1020" t="s">
        <v>335</v>
      </c>
      <c r="GA230" s="1008">
        <f t="shared" ref="GA230:GF230" si="1452">FM230+EU230</f>
        <v>24870051.230000004</v>
      </c>
      <c r="GB230" s="1010">
        <f t="shared" si="1452"/>
        <v>5852543.5300000003</v>
      </c>
      <c r="GC230" s="1010">
        <f t="shared" si="1452"/>
        <v>0</v>
      </c>
      <c r="GD230" s="1010">
        <f t="shared" si="1452"/>
        <v>0</v>
      </c>
      <c r="GE230" s="1010">
        <f t="shared" si="1452"/>
        <v>24870051.230000004</v>
      </c>
      <c r="GF230" s="1010">
        <f t="shared" si="1452"/>
        <v>5852543.5300000003</v>
      </c>
      <c r="GG230" s="1011"/>
      <c r="GH230" s="1159">
        <f t="shared" ref="GH230:GM231" si="1453">FB230+FS230</f>
        <v>12336105.430000002</v>
      </c>
      <c r="GI230" s="1022">
        <f t="shared" si="1453"/>
        <v>6756138.6800000006</v>
      </c>
      <c r="GJ230" s="1022">
        <f t="shared" si="1453"/>
        <v>0</v>
      </c>
      <c r="GK230" s="1022">
        <f t="shared" si="1453"/>
        <v>0</v>
      </c>
      <c r="GL230" s="1022">
        <f t="shared" si="1453"/>
        <v>12336105.430000002</v>
      </c>
      <c r="GM230" s="1022">
        <f t="shared" si="1453"/>
        <v>6756138.6800000006</v>
      </c>
      <c r="GN230" s="1049"/>
      <c r="GO230" s="1024"/>
      <c r="GP230" s="1015" t="s">
        <v>335</v>
      </c>
      <c r="GQ230" s="1034" t="s">
        <v>335</v>
      </c>
      <c r="GR230" s="1016" t="s">
        <v>335</v>
      </c>
      <c r="GS230" s="1017"/>
      <c r="GT230" s="790">
        <v>145861.44</v>
      </c>
      <c r="GU230" s="790"/>
      <c r="GV230" s="790"/>
      <c r="GW230" s="1035">
        <f>GS230+GU230</f>
        <v>0</v>
      </c>
      <c r="GX230" s="1036">
        <f>GT230+GV230</f>
        <v>145861.44</v>
      </c>
      <c r="GY230" s="1019">
        <f>1432203.44-836025.29</f>
        <v>596178.14999999991</v>
      </c>
      <c r="GZ230" s="1621">
        <f>7758.26+116052.5+145861.44</f>
        <v>269672.2</v>
      </c>
      <c r="HA230" s="792"/>
      <c r="HB230" s="792"/>
      <c r="HC230" s="792">
        <f>GY230+HA230</f>
        <v>596178.14999999991</v>
      </c>
      <c r="HD230" s="793">
        <f>GZ230+HB230</f>
        <v>269672.2</v>
      </c>
      <c r="HE230" s="1708" t="s">
        <v>335</v>
      </c>
      <c r="HF230" s="1020" t="s">
        <v>335</v>
      </c>
      <c r="HG230" s="1008">
        <f t="shared" ref="HG230:HL230" si="1454">GS230+GA230</f>
        <v>24870051.230000004</v>
      </c>
      <c r="HH230" s="1010">
        <f t="shared" si="1454"/>
        <v>5998404.9700000007</v>
      </c>
      <c r="HI230" s="1010">
        <f t="shared" si="1454"/>
        <v>0</v>
      </c>
      <c r="HJ230" s="1010">
        <f t="shared" si="1454"/>
        <v>0</v>
      </c>
      <c r="HK230" s="1010">
        <f t="shared" si="1454"/>
        <v>24870051.230000004</v>
      </c>
      <c r="HL230" s="1010">
        <f t="shared" si="1454"/>
        <v>5998404.9700000007</v>
      </c>
      <c r="HM230" s="1011"/>
      <c r="HN230" s="1159">
        <f t="shared" ref="HN230:HS231" si="1455">GH230+GY230</f>
        <v>12932283.580000002</v>
      </c>
      <c r="HO230" s="1022">
        <f t="shared" si="1455"/>
        <v>7025810.8800000008</v>
      </c>
      <c r="HP230" s="1022">
        <f t="shared" si="1455"/>
        <v>0</v>
      </c>
      <c r="HQ230" s="1022">
        <f t="shared" si="1455"/>
        <v>0</v>
      </c>
      <c r="HR230" s="1022">
        <f t="shared" si="1455"/>
        <v>12932283.580000002</v>
      </c>
      <c r="HS230" s="1022">
        <f t="shared" si="1455"/>
        <v>7025810.8800000008</v>
      </c>
      <c r="HT230" s="1049"/>
      <c r="HU230" s="1024"/>
    </row>
    <row r="231" spans="1:229" s="101" customFormat="1" ht="18" hidden="1" customHeight="1" thickBot="1" x14ac:dyDescent="0.25">
      <c r="A231" s="3686"/>
      <c r="B231" s="3687"/>
      <c r="C231" s="98" t="s">
        <v>177</v>
      </c>
      <c r="D231" s="1037" t="s">
        <v>379</v>
      </c>
      <c r="E231" s="693"/>
      <c r="F231" s="619"/>
      <c r="G231" s="693"/>
      <c r="H231" s="618"/>
      <c r="I231" s="619"/>
      <c r="J231" s="619"/>
      <c r="K231" s="618"/>
      <c r="L231" s="619"/>
      <c r="M231" s="619"/>
      <c r="N231" s="724"/>
      <c r="O231" s="693"/>
      <c r="P231" s="693"/>
      <c r="Q231" s="693"/>
      <c r="R231" s="693"/>
      <c r="S231" s="693"/>
      <c r="T231" s="620"/>
      <c r="U231" s="992" t="s">
        <v>335</v>
      </c>
      <c r="V231" s="992" t="s">
        <v>335</v>
      </c>
      <c r="W231" s="619">
        <v>106959.35000000003</v>
      </c>
      <c r="X231" s="619">
        <v>408051.51000000013</v>
      </c>
      <c r="Y231" s="619">
        <v>0</v>
      </c>
      <c r="Z231" s="619">
        <v>28063400.49999994</v>
      </c>
      <c r="AA231" s="619">
        <v>0</v>
      </c>
      <c r="AB231" s="619">
        <v>28471452.10999994</v>
      </c>
      <c r="AC231" s="619"/>
      <c r="AD231" s="619">
        <v>3137865.2300000004</v>
      </c>
      <c r="AE231" s="619">
        <v>0</v>
      </c>
      <c r="AF231" s="619">
        <v>0</v>
      </c>
      <c r="AG231" s="619">
        <v>106959.35000000003</v>
      </c>
      <c r="AH231" s="619">
        <v>3244824.58</v>
      </c>
      <c r="AI231" s="619">
        <v>0</v>
      </c>
      <c r="AJ231" s="649"/>
      <c r="AK231" s="623"/>
      <c r="AL231" s="992" t="s">
        <v>335</v>
      </c>
      <c r="AM231" s="992" t="s">
        <v>335</v>
      </c>
      <c r="AN231" s="992" t="s">
        <v>335</v>
      </c>
      <c r="AO231" s="619">
        <f>IF(AO230&gt;AU230,AO230-AU230,0)</f>
        <v>3507282.6300000004</v>
      </c>
      <c r="AP231" s="619">
        <f>IF(AP230&gt;AV230,AP230-AV230,0)-0.1</f>
        <v>826684.28</v>
      </c>
      <c r="AQ231" s="619">
        <f>IF(AQ230&gt;AW230,AQ230-AW230,0)</f>
        <v>0</v>
      </c>
      <c r="AR231" s="619">
        <f>IF(AR230&gt;AX230,AR230-AX230,0)</f>
        <v>0</v>
      </c>
      <c r="AS231" s="619">
        <f>IF(AS230&gt;AY230,AS230-AY230,0)</f>
        <v>3507282.6300000004</v>
      </c>
      <c r="AT231" s="619">
        <f>IF(AT230&gt;AZ230,AT230-AZ230,0)</f>
        <v>826684.38</v>
      </c>
      <c r="AU231" s="619">
        <f t="shared" ref="AU231:AZ231" si="1456">IF(AO230&gt;AU230,0,AU230-AO230)</f>
        <v>0</v>
      </c>
      <c r="AV231" s="619">
        <f t="shared" si="1456"/>
        <v>0</v>
      </c>
      <c r="AW231" s="619">
        <f t="shared" si="1456"/>
        <v>0</v>
      </c>
      <c r="AX231" s="619">
        <f t="shared" si="1456"/>
        <v>0</v>
      </c>
      <c r="AY231" s="619">
        <f t="shared" si="1456"/>
        <v>0</v>
      </c>
      <c r="AZ231" s="620">
        <f t="shared" si="1456"/>
        <v>0</v>
      </c>
      <c r="BA231" s="992" t="s">
        <v>335</v>
      </c>
      <c r="BB231" s="992" t="s">
        <v>335</v>
      </c>
      <c r="BC231" s="312">
        <f t="shared" si="1444"/>
        <v>3614241.9800000004</v>
      </c>
      <c r="BD231" s="312">
        <f t="shared" si="1444"/>
        <v>1234735.79</v>
      </c>
      <c r="BE231" s="312">
        <f t="shared" si="1444"/>
        <v>0</v>
      </c>
      <c r="BF231" s="312">
        <f t="shared" si="1444"/>
        <v>28063400.49999994</v>
      </c>
      <c r="BG231" s="312">
        <f>AA231+AS231</f>
        <v>3507282.6300000004</v>
      </c>
      <c r="BH231" s="312">
        <f>AB231+AT231</f>
        <v>29298136.489999939</v>
      </c>
      <c r="BI231" s="406"/>
      <c r="BJ231" s="312">
        <f>AD231+AU231</f>
        <v>3137865.2300000004</v>
      </c>
      <c r="BK231" s="312">
        <f>AE231+AV231</f>
        <v>0</v>
      </c>
      <c r="BL231" s="312">
        <f t="shared" si="1445"/>
        <v>0</v>
      </c>
      <c r="BM231" s="312">
        <f t="shared" si="1445"/>
        <v>106959.35000000003</v>
      </c>
      <c r="BN231" s="312">
        <f t="shared" si="1445"/>
        <v>3244824.58</v>
      </c>
      <c r="BO231" s="312">
        <f t="shared" si="1445"/>
        <v>0</v>
      </c>
      <c r="BP231" s="406"/>
      <c r="BQ231" s="407"/>
      <c r="BR231" s="992" t="s">
        <v>335</v>
      </c>
      <c r="BS231" s="992" t="s">
        <v>335</v>
      </c>
      <c r="BT231" s="992" t="s">
        <v>335</v>
      </c>
      <c r="BU231" s="619">
        <f>IF(BU230&gt;CA230,BU230-CA230,0)</f>
        <v>3656326.37</v>
      </c>
      <c r="BV231" s="619">
        <f>IF(BV230&gt;CB230,BV230-CB230,0)-0.1</f>
        <v>-0.1</v>
      </c>
      <c r="BW231" s="619">
        <f>IF(BW230&gt;CC230,BW230-CC230,0)</f>
        <v>0</v>
      </c>
      <c r="BX231" s="619">
        <f>IF(BX230&gt;CD230,BX230-CD230,0)</f>
        <v>0</v>
      </c>
      <c r="BY231" s="619">
        <f>IF(BY230&gt;CE230,BY230-CE230,0)</f>
        <v>3656326.37</v>
      </c>
      <c r="BZ231" s="619">
        <f>IF(BZ230&gt;CF230,BZ230-CF230,0)</f>
        <v>0</v>
      </c>
      <c r="CA231" s="619">
        <f t="shared" ref="CA231:CF231" si="1457">IF(BU230&gt;CA230,0,CA230-BU230)</f>
        <v>0</v>
      </c>
      <c r="CB231" s="619">
        <f t="shared" si="1457"/>
        <v>0</v>
      </c>
      <c r="CC231" s="619">
        <f t="shared" si="1457"/>
        <v>0</v>
      </c>
      <c r="CD231" s="619">
        <f t="shared" si="1457"/>
        <v>0</v>
      </c>
      <c r="CE231" s="619">
        <f t="shared" si="1457"/>
        <v>0</v>
      </c>
      <c r="CF231" s="620">
        <f t="shared" si="1457"/>
        <v>0</v>
      </c>
      <c r="CG231" s="992" t="s">
        <v>335</v>
      </c>
      <c r="CH231" s="992" t="s">
        <v>335</v>
      </c>
      <c r="CI231" s="312"/>
      <c r="CJ231" s="312"/>
      <c r="CK231" s="312"/>
      <c r="CL231" s="312"/>
      <c r="CM231" s="312"/>
      <c r="CN231" s="312"/>
      <c r="CO231" s="406"/>
      <c r="CP231" s="312">
        <f t="shared" ref="CP231:CU231" si="1458">BJ231+CA231</f>
        <v>3137865.2300000004</v>
      </c>
      <c r="CQ231" s="312">
        <f t="shared" si="1458"/>
        <v>0</v>
      </c>
      <c r="CR231" s="312">
        <f t="shared" si="1458"/>
        <v>0</v>
      </c>
      <c r="CS231" s="312">
        <f t="shared" si="1458"/>
        <v>106959.35000000003</v>
      </c>
      <c r="CT231" s="312">
        <f t="shared" si="1458"/>
        <v>3244824.58</v>
      </c>
      <c r="CU231" s="312">
        <f t="shared" si="1458"/>
        <v>0</v>
      </c>
      <c r="CV231" s="406"/>
      <c r="CW231" s="407"/>
      <c r="CX231" s="992" t="s">
        <v>335</v>
      </c>
      <c r="CY231" s="992" t="s">
        <v>335</v>
      </c>
      <c r="CZ231" s="992" t="s">
        <v>335</v>
      </c>
      <c r="DA231" s="619">
        <f>IF(DA230&gt;DG230,DA230-DG230,0)</f>
        <v>1872307.8599999999</v>
      </c>
      <c r="DB231" s="619">
        <f>IF(DB230&gt;DH230,DB230-DH230,0)-0.1</f>
        <v>-0.1</v>
      </c>
      <c r="DC231" s="619">
        <f>IF(DC230&gt;DI230,DC230-DI230,0)</f>
        <v>0</v>
      </c>
      <c r="DD231" s="619">
        <f>IF(DD230&gt;DJ230,DD230-DJ230,0)</f>
        <v>0</v>
      </c>
      <c r="DE231" s="619">
        <f>IF(DE230&gt;DK230,DE230-DK230,0)</f>
        <v>1872307.8599999999</v>
      </c>
      <c r="DF231" s="619">
        <f>IF(DF230&gt;DL230,DF230-DL230,0)</f>
        <v>0</v>
      </c>
      <c r="DG231" s="619">
        <f t="shared" ref="DG231:DL231" si="1459">IF(DA230&gt;DG230,0,DG230-DA230)</f>
        <v>0</v>
      </c>
      <c r="DH231" s="619">
        <f t="shared" si="1459"/>
        <v>0</v>
      </c>
      <c r="DI231" s="619">
        <f t="shared" si="1459"/>
        <v>0</v>
      </c>
      <c r="DJ231" s="619">
        <f t="shared" si="1459"/>
        <v>0</v>
      </c>
      <c r="DK231" s="619">
        <f t="shared" si="1459"/>
        <v>0</v>
      </c>
      <c r="DL231" s="620">
        <f t="shared" si="1459"/>
        <v>0</v>
      </c>
      <c r="DM231" s="992" t="s">
        <v>335</v>
      </c>
      <c r="DN231" s="992" t="s">
        <v>335</v>
      </c>
      <c r="DO231" s="312"/>
      <c r="DP231" s="312"/>
      <c r="DQ231" s="312"/>
      <c r="DR231" s="312"/>
      <c r="DS231" s="312"/>
      <c r="DT231" s="312"/>
      <c r="DU231" s="406"/>
      <c r="DV231" s="312">
        <f t="shared" si="1449"/>
        <v>3137865.2300000004</v>
      </c>
      <c r="DW231" s="312">
        <f t="shared" si="1449"/>
        <v>0</v>
      </c>
      <c r="DX231" s="312">
        <f t="shared" si="1449"/>
        <v>0</v>
      </c>
      <c r="DY231" s="312">
        <f t="shared" si="1449"/>
        <v>106959.35000000003</v>
      </c>
      <c r="DZ231" s="312">
        <f t="shared" si="1449"/>
        <v>3244824.58</v>
      </c>
      <c r="EA231" s="312">
        <f t="shared" si="1449"/>
        <v>0</v>
      </c>
      <c r="EB231" s="406"/>
      <c r="EC231" s="407"/>
      <c r="ED231" s="992" t="s">
        <v>335</v>
      </c>
      <c r="EE231" s="992" t="s">
        <v>335</v>
      </c>
      <c r="EF231" s="992" t="s">
        <v>335</v>
      </c>
      <c r="EG231" s="619">
        <f>IF(EG230&gt;EM230,EG230-EM230,0)</f>
        <v>3245193.98</v>
      </c>
      <c r="EH231" s="619">
        <f>IF(EH230&gt;EN230,EH230-EN230,0)-0.1</f>
        <v>-0.1</v>
      </c>
      <c r="EI231" s="619">
        <f>IF(EI230&gt;EO230,EI230-EO230,0)</f>
        <v>0</v>
      </c>
      <c r="EJ231" s="619">
        <f>IF(EJ230&gt;EP230,EJ230-EP230,0)</f>
        <v>0</v>
      </c>
      <c r="EK231" s="619">
        <f>IF(EK230&gt;EQ230,EK230-EQ230,0)</f>
        <v>3245193.98</v>
      </c>
      <c r="EL231" s="619">
        <f>IF(EL230&gt;ER230,EL230-ER230,0)</f>
        <v>0</v>
      </c>
      <c r="EM231" s="619">
        <f t="shared" ref="EM231:ER231" si="1460">IF(EG230&gt;EM230,0,EM230-EG230)</f>
        <v>0</v>
      </c>
      <c r="EN231" s="619">
        <f t="shared" si="1460"/>
        <v>1998645.69</v>
      </c>
      <c r="EO231" s="619">
        <f t="shared" si="1460"/>
        <v>0</v>
      </c>
      <c r="EP231" s="619">
        <f t="shared" si="1460"/>
        <v>0</v>
      </c>
      <c r="EQ231" s="619">
        <f t="shared" si="1460"/>
        <v>0</v>
      </c>
      <c r="ER231" s="620">
        <f t="shared" si="1460"/>
        <v>1998645.69</v>
      </c>
      <c r="ES231" s="992" t="s">
        <v>335</v>
      </c>
      <c r="ET231" s="992" t="s">
        <v>335</v>
      </c>
      <c r="EU231" s="312"/>
      <c r="EV231" s="312"/>
      <c r="EW231" s="312"/>
      <c r="EX231" s="312"/>
      <c r="EY231" s="312"/>
      <c r="EZ231" s="312"/>
      <c r="FA231" s="406"/>
      <c r="FB231" s="312">
        <f t="shared" si="1451"/>
        <v>3137865.2300000004</v>
      </c>
      <c r="FC231" s="312">
        <f t="shared" si="1451"/>
        <v>1998645.69</v>
      </c>
      <c r="FD231" s="312">
        <f t="shared" si="1451"/>
        <v>0</v>
      </c>
      <c r="FE231" s="312">
        <f t="shared" si="1451"/>
        <v>106959.35000000003</v>
      </c>
      <c r="FF231" s="312">
        <f t="shared" si="1451"/>
        <v>3244824.58</v>
      </c>
      <c r="FG231" s="312">
        <f t="shared" si="1451"/>
        <v>1998645.69</v>
      </c>
      <c r="FH231" s="406"/>
      <c r="FI231" s="407"/>
      <c r="FJ231" s="992" t="s">
        <v>335</v>
      </c>
      <c r="FK231" s="992" t="s">
        <v>335</v>
      </c>
      <c r="FL231" s="992" t="s">
        <v>335</v>
      </c>
      <c r="FM231" s="619">
        <f>IF(FM230&gt;FS230,FM230-FS230,0)</f>
        <v>4218376.43</v>
      </c>
      <c r="FN231" s="619">
        <f>IF(FN230&gt;FT230,FN230-FT230,0)-0.1</f>
        <v>-0.1</v>
      </c>
      <c r="FO231" s="619">
        <f>IF(FO230&gt;FU230,FO230-FU230,0)</f>
        <v>0</v>
      </c>
      <c r="FP231" s="619">
        <f>IF(FP230&gt;FV230,FP230-FV230,0)</f>
        <v>0</v>
      </c>
      <c r="FQ231" s="619">
        <f>IF(FQ230&gt;FW230,FQ230-FW230,0)</f>
        <v>4218376.43</v>
      </c>
      <c r="FR231" s="619">
        <f>IF(FR230&gt;FX230,FR230-FX230,0)</f>
        <v>0</v>
      </c>
      <c r="FS231" s="619">
        <f t="shared" ref="FS231:FX231" si="1461">IF(FM230&gt;FS230,0,FS230-FM230)</f>
        <v>0</v>
      </c>
      <c r="FT231" s="619">
        <f t="shared" si="1461"/>
        <v>556431.13</v>
      </c>
      <c r="FU231" s="619">
        <f t="shared" si="1461"/>
        <v>0</v>
      </c>
      <c r="FV231" s="619">
        <f t="shared" si="1461"/>
        <v>0</v>
      </c>
      <c r="FW231" s="619">
        <f t="shared" si="1461"/>
        <v>0</v>
      </c>
      <c r="FX231" s="620">
        <f t="shared" si="1461"/>
        <v>556431.13</v>
      </c>
      <c r="FY231" s="992" t="s">
        <v>335</v>
      </c>
      <c r="FZ231" s="992" t="s">
        <v>335</v>
      </c>
      <c r="GA231" s="312"/>
      <c r="GB231" s="312"/>
      <c r="GC231" s="312"/>
      <c r="GD231" s="312"/>
      <c r="GE231" s="312"/>
      <c r="GF231" s="312"/>
      <c r="GG231" s="406"/>
      <c r="GH231" s="312">
        <f t="shared" si="1453"/>
        <v>3137865.2300000004</v>
      </c>
      <c r="GI231" s="312">
        <f t="shared" si="1453"/>
        <v>2555076.8199999998</v>
      </c>
      <c r="GJ231" s="312">
        <f t="shared" si="1453"/>
        <v>0</v>
      </c>
      <c r="GK231" s="312">
        <f t="shared" si="1453"/>
        <v>106959.35000000003</v>
      </c>
      <c r="GL231" s="312">
        <f t="shared" si="1453"/>
        <v>3244824.58</v>
      </c>
      <c r="GM231" s="312">
        <f t="shared" si="1453"/>
        <v>2555076.8199999998</v>
      </c>
      <c r="GN231" s="406"/>
      <c r="GO231" s="407"/>
      <c r="GP231" s="992" t="s">
        <v>335</v>
      </c>
      <c r="GQ231" s="992" t="s">
        <v>335</v>
      </c>
      <c r="GR231" s="992" t="s">
        <v>335</v>
      </c>
      <c r="GS231" s="619"/>
      <c r="GT231" s="619"/>
      <c r="GU231" s="619">
        <f>IF(GU230&gt;HA230,GU230-HA230,0)</f>
        <v>0</v>
      </c>
      <c r="GV231" s="619">
        <f>IF(GV230&gt;HB230,GV230-HB230,0)</f>
        <v>0</v>
      </c>
      <c r="GW231" s="619">
        <f>IF(GW230&gt;HC230,GW230-HC230,0)</f>
        <v>0</v>
      </c>
      <c r="GX231" s="619">
        <f>IF(GX230&gt;HD230,GX230-HD230,0)</f>
        <v>0</v>
      </c>
      <c r="GY231" s="619">
        <f t="shared" ref="GY231:HD231" si="1462">IF(GS230&gt;GY230,0,GY230-GS230)</f>
        <v>596178.14999999991</v>
      </c>
      <c r="GZ231" s="619">
        <f t="shared" si="1462"/>
        <v>123810.76000000001</v>
      </c>
      <c r="HA231" s="619">
        <f t="shared" si="1462"/>
        <v>0</v>
      </c>
      <c r="HB231" s="619">
        <f t="shared" si="1462"/>
        <v>0</v>
      </c>
      <c r="HC231" s="619">
        <f t="shared" si="1462"/>
        <v>596178.14999999991</v>
      </c>
      <c r="HD231" s="620">
        <f t="shared" si="1462"/>
        <v>123810.76000000001</v>
      </c>
      <c r="HE231" s="1710" t="s">
        <v>335</v>
      </c>
      <c r="HF231" s="992" t="s">
        <v>335</v>
      </c>
      <c r="HG231" s="312"/>
      <c r="HH231" s="312"/>
      <c r="HI231" s="312"/>
      <c r="HJ231" s="312"/>
      <c r="HK231" s="312"/>
      <c r="HL231" s="312"/>
      <c r="HM231" s="406"/>
      <c r="HN231" s="312">
        <f t="shared" si="1455"/>
        <v>3734043.3800000004</v>
      </c>
      <c r="HO231" s="312">
        <f t="shared" si="1455"/>
        <v>2678887.58</v>
      </c>
      <c r="HP231" s="312">
        <f t="shared" si="1455"/>
        <v>0</v>
      </c>
      <c r="HQ231" s="312">
        <f t="shared" si="1455"/>
        <v>106959.35000000003</v>
      </c>
      <c r="HR231" s="312">
        <f t="shared" si="1455"/>
        <v>3841002.73</v>
      </c>
      <c r="HS231" s="312">
        <f t="shared" si="1455"/>
        <v>2678887.58</v>
      </c>
      <c r="HT231" s="406"/>
      <c r="HU231" s="407"/>
    </row>
    <row r="232" spans="1:229" ht="13.5" thickBot="1" x14ac:dyDescent="0.25">
      <c r="A232" s="1038"/>
      <c r="B232" s="1038"/>
      <c r="C232" s="1038"/>
      <c r="D232" s="1039"/>
      <c r="E232" s="996"/>
      <c r="F232" s="764"/>
      <c r="G232" s="996"/>
      <c r="H232" s="1040"/>
      <c r="I232" s="764"/>
      <c r="J232" s="764"/>
      <c r="K232" s="1040"/>
      <c r="L232" s="764"/>
      <c r="M232" s="764"/>
      <c r="N232" s="1041"/>
      <c r="O232" s="996"/>
      <c r="P232" s="996"/>
      <c r="Q232" s="996"/>
      <c r="R232" s="996"/>
      <c r="S232" s="996"/>
      <c r="T232" s="822"/>
      <c r="U232" s="761"/>
      <c r="V232" s="761"/>
      <c r="W232" s="761"/>
      <c r="X232" s="761"/>
      <c r="Y232" s="761"/>
      <c r="Z232" s="761"/>
      <c r="AA232" s="761"/>
      <c r="AB232" s="761"/>
      <c r="AC232" s="762"/>
      <c r="AD232" s="761"/>
      <c r="AE232" s="761"/>
      <c r="AF232" s="761"/>
      <c r="AG232" s="761"/>
      <c r="AH232" s="761"/>
      <c r="AI232" s="761"/>
      <c r="AJ232" s="762"/>
      <c r="AK232" s="763"/>
      <c r="AL232" s="764"/>
      <c r="AM232" s="761"/>
      <c r="AN232" s="761"/>
      <c r="AO232" s="764"/>
      <c r="AP232" s="764"/>
      <c r="AQ232" s="764"/>
      <c r="AR232" s="764"/>
      <c r="AS232" s="764"/>
      <c r="AT232" s="764"/>
      <c r="AU232" s="764"/>
      <c r="AV232" s="764"/>
      <c r="AW232" s="764"/>
      <c r="AX232" s="764"/>
      <c r="AY232" s="764"/>
      <c r="AZ232" s="822"/>
      <c r="BA232" s="761"/>
      <c r="BB232" s="761"/>
      <c r="BC232" s="312"/>
      <c r="BD232" s="312"/>
      <c r="BE232" s="312"/>
      <c r="BF232" s="312"/>
      <c r="BG232" s="312"/>
      <c r="BH232" s="312"/>
      <c r="BI232" s="406"/>
      <c r="BJ232" s="312"/>
      <c r="BK232" s="312"/>
      <c r="BL232" s="312"/>
      <c r="BM232" s="312"/>
      <c r="BN232" s="312"/>
      <c r="BO232" s="312"/>
      <c r="BP232" s="406"/>
      <c r="BQ232" s="407"/>
      <c r="BR232" s="764"/>
      <c r="BS232" s="761"/>
      <c r="BT232" s="761"/>
      <c r="BU232" s="764"/>
      <c r="BV232" s="764"/>
      <c r="BW232" s="764"/>
      <c r="BX232" s="764"/>
      <c r="BY232" s="764"/>
      <c r="BZ232" s="764"/>
      <c r="CA232" s="764"/>
      <c r="CB232" s="764"/>
      <c r="CC232" s="764"/>
      <c r="CD232" s="764"/>
      <c r="CE232" s="764"/>
      <c r="CF232" s="822"/>
      <c r="CG232" s="761"/>
      <c r="CH232" s="761"/>
      <c r="CI232" s="780"/>
      <c r="CJ232" s="780"/>
      <c r="CK232" s="780"/>
      <c r="CL232" s="780"/>
      <c r="CM232" s="780"/>
      <c r="CN232" s="780"/>
      <c r="CO232" s="406"/>
      <c r="CP232" s="312"/>
      <c r="CQ232" s="312"/>
      <c r="CR232" s="312"/>
      <c r="CS232" s="312"/>
      <c r="CT232" s="312"/>
      <c r="CU232" s="312"/>
      <c r="CV232" s="406"/>
      <c r="CW232" s="407"/>
      <c r="CX232" s="764"/>
      <c r="CY232" s="761"/>
      <c r="CZ232" s="761"/>
      <c r="DA232" s="764"/>
      <c r="DB232" s="764"/>
      <c r="DC232" s="764"/>
      <c r="DD232" s="764"/>
      <c r="DE232" s="764"/>
      <c r="DF232" s="764"/>
      <c r="DG232" s="764"/>
      <c r="DH232" s="764"/>
      <c r="DI232" s="764"/>
      <c r="DJ232" s="764"/>
      <c r="DK232" s="764"/>
      <c r="DL232" s="822"/>
      <c r="DM232" s="761"/>
      <c r="DN232" s="761"/>
      <c r="DO232" s="780"/>
      <c r="DP232" s="780"/>
      <c r="DQ232" s="780"/>
      <c r="DR232" s="780"/>
      <c r="DS232" s="780"/>
      <c r="DT232" s="780"/>
      <c r="DU232" s="406"/>
      <c r="DV232" s="312"/>
      <c r="DW232" s="312"/>
      <c r="DX232" s="312"/>
      <c r="DY232" s="312"/>
      <c r="DZ232" s="312"/>
      <c r="EA232" s="312"/>
      <c r="EB232" s="406"/>
      <c r="EC232" s="407"/>
      <c r="ED232" s="764"/>
      <c r="EE232" s="761"/>
      <c r="EF232" s="761"/>
      <c r="EG232" s="764"/>
      <c r="EH232" s="764"/>
      <c r="EI232" s="764"/>
      <c r="EJ232" s="764"/>
      <c r="EK232" s="764"/>
      <c r="EL232" s="764"/>
      <c r="EM232" s="764"/>
      <c r="EN232" s="764"/>
      <c r="EO232" s="764"/>
      <c r="EP232" s="764"/>
      <c r="EQ232" s="764"/>
      <c r="ER232" s="822"/>
      <c r="ES232" s="761"/>
      <c r="ET232" s="761"/>
      <c r="EU232" s="780"/>
      <c r="EV232" s="780"/>
      <c r="EW232" s="780"/>
      <c r="EX232" s="780"/>
      <c r="EY232" s="780"/>
      <c r="EZ232" s="780"/>
      <c r="FA232" s="406"/>
      <c r="FB232" s="312"/>
      <c r="FC232" s="312"/>
      <c r="FD232" s="312"/>
      <c r="FE232" s="312"/>
      <c r="FF232" s="312"/>
      <c r="FG232" s="312"/>
      <c r="FH232" s="406"/>
      <c r="FI232" s="407"/>
      <c r="FJ232" s="764"/>
      <c r="FK232" s="761"/>
      <c r="FL232" s="761"/>
      <c r="FM232" s="764"/>
      <c r="FN232" s="764"/>
      <c r="FO232" s="764"/>
      <c r="FP232" s="764"/>
      <c r="FQ232" s="764"/>
      <c r="FR232" s="764"/>
      <c r="FS232" s="764"/>
      <c r="FT232" s="764"/>
      <c r="FU232" s="764"/>
      <c r="FV232" s="764"/>
      <c r="FW232" s="764"/>
      <c r="FX232" s="822"/>
      <c r="FY232" s="761"/>
      <c r="FZ232" s="761"/>
      <c r="GA232" s="780"/>
      <c r="GB232" s="780"/>
      <c r="GC232" s="780"/>
      <c r="GD232" s="780"/>
      <c r="GE232" s="780"/>
      <c r="GF232" s="780"/>
      <c r="GG232" s="406"/>
      <c r="GH232" s="312"/>
      <c r="GI232" s="312"/>
      <c r="GJ232" s="312"/>
      <c r="GK232" s="312"/>
      <c r="GL232" s="312"/>
      <c r="GM232" s="312"/>
      <c r="GN232" s="406"/>
      <c r="GO232" s="407"/>
      <c r="GP232" s="764"/>
      <c r="GQ232" s="761"/>
      <c r="GR232" s="761"/>
      <c r="GS232" s="764"/>
      <c r="GT232" s="764"/>
      <c r="GU232" s="764"/>
      <c r="GV232" s="764"/>
      <c r="GW232" s="764"/>
      <c r="GX232" s="764"/>
      <c r="GY232" s="764"/>
      <c r="GZ232" s="764"/>
      <c r="HA232" s="764"/>
      <c r="HB232" s="764"/>
      <c r="HC232" s="764"/>
      <c r="HD232" s="822"/>
      <c r="HE232" s="1711"/>
      <c r="HF232" s="761"/>
      <c r="HG232" s="780"/>
      <c r="HH232" s="780"/>
      <c r="HI232" s="780"/>
      <c r="HJ232" s="780"/>
      <c r="HK232" s="780"/>
      <c r="HL232" s="780"/>
      <c r="HM232" s="406"/>
      <c r="HN232" s="312"/>
      <c r="HO232" s="312"/>
      <c r="HP232" s="312"/>
      <c r="HQ232" s="312"/>
      <c r="HR232" s="312"/>
      <c r="HS232" s="312"/>
      <c r="HT232" s="406"/>
      <c r="HU232" s="407"/>
    </row>
    <row r="233" spans="1:229" s="102" customFormat="1" ht="17.25" customHeight="1" thickBot="1" x14ac:dyDescent="0.25">
      <c r="A233" s="3688" t="s">
        <v>367</v>
      </c>
      <c r="B233" s="3689"/>
      <c r="C233" s="1042"/>
      <c r="D233" s="1043" t="s">
        <v>175</v>
      </c>
      <c r="E233" s="1002"/>
      <c r="F233" s="784"/>
      <c r="G233" s="1003"/>
      <c r="H233" s="1004"/>
      <c r="I233" s="784"/>
      <c r="J233" s="784"/>
      <c r="K233" s="1004"/>
      <c r="L233" s="784"/>
      <c r="M233" s="784"/>
      <c r="N233" s="783"/>
      <c r="O233" s="1002"/>
      <c r="P233" s="1003"/>
      <c r="Q233" s="1003"/>
      <c r="R233" s="1003"/>
      <c r="S233" s="1005"/>
      <c r="T233" s="1007"/>
      <c r="U233" s="785" t="s">
        <v>335</v>
      </c>
      <c r="V233" s="786" t="s">
        <v>335</v>
      </c>
      <c r="W233" s="1008">
        <v>7551237.04</v>
      </c>
      <c r="X233" s="1009">
        <v>7551237.04</v>
      </c>
      <c r="Y233" s="1009">
        <v>0</v>
      </c>
      <c r="Z233" s="1009">
        <v>0</v>
      </c>
      <c r="AA233" s="1010">
        <f>W233+Y233</f>
        <v>7551237.04</v>
      </c>
      <c r="AB233" s="1009">
        <f>X233+Z233</f>
        <v>7551237.04</v>
      </c>
      <c r="AC233" s="1011"/>
      <c r="AD233" s="1044" t="s">
        <v>335</v>
      </c>
      <c r="AE233" s="785" t="s">
        <v>335</v>
      </c>
      <c r="AF233" s="785" t="s">
        <v>335</v>
      </c>
      <c r="AG233" s="785" t="s">
        <v>335</v>
      </c>
      <c r="AH233" s="785" t="s">
        <v>335</v>
      </c>
      <c r="AI233" s="785" t="s">
        <v>335</v>
      </c>
      <c r="AJ233" s="1045"/>
      <c r="AK233" s="787"/>
      <c r="AL233" s="1015" t="s">
        <v>335</v>
      </c>
      <c r="AM233" s="1015" t="s">
        <v>335</v>
      </c>
      <c r="AN233" s="1016" t="s">
        <v>335</v>
      </c>
      <c r="AO233" s="1017">
        <v>555799.97</v>
      </c>
      <c r="AP233" s="790">
        <f>993254.52+226560.45+1527561.47</f>
        <v>2747376.44</v>
      </c>
      <c r="AQ233" s="790"/>
      <c r="AR233" s="790"/>
      <c r="AS233" s="790">
        <f>AO233+AQ233</f>
        <v>555799.97</v>
      </c>
      <c r="AT233" s="791">
        <f>AP233+AR233</f>
        <v>2747376.44</v>
      </c>
      <c r="AU233" s="1046" t="s">
        <v>335</v>
      </c>
      <c r="AV233" s="1034" t="s">
        <v>335</v>
      </c>
      <c r="AW233" s="1034" t="s">
        <v>335</v>
      </c>
      <c r="AX233" s="1034" t="s">
        <v>335</v>
      </c>
      <c r="AY233" s="1034" t="s">
        <v>335</v>
      </c>
      <c r="AZ233" s="1047" t="s">
        <v>335</v>
      </c>
      <c r="BA233" s="785" t="s">
        <v>335</v>
      </c>
      <c r="BB233" s="1020" t="s">
        <v>335</v>
      </c>
      <c r="BC233" s="794">
        <f t="shared" ref="BC233:BH233" si="1463">W233+AO233</f>
        <v>8107037.0099999998</v>
      </c>
      <c r="BD233" s="795">
        <f t="shared" si="1463"/>
        <v>10298613.48</v>
      </c>
      <c r="BE233" s="795">
        <f t="shared" si="1463"/>
        <v>0</v>
      </c>
      <c r="BF233" s="795">
        <f t="shared" si="1463"/>
        <v>0</v>
      </c>
      <c r="BG233" s="795">
        <f t="shared" si="1463"/>
        <v>8107037.0099999998</v>
      </c>
      <c r="BH233" s="795">
        <f t="shared" si="1463"/>
        <v>10298613.48</v>
      </c>
      <c r="BI233" s="796"/>
      <c r="BJ233" s="94" t="s">
        <v>335</v>
      </c>
      <c r="BK233" s="1048" t="s">
        <v>335</v>
      </c>
      <c r="BL233" s="1048" t="s">
        <v>335</v>
      </c>
      <c r="BM233" s="1048" t="s">
        <v>335</v>
      </c>
      <c r="BN233" s="1048" t="s">
        <v>335</v>
      </c>
      <c r="BO233" s="1048" t="s">
        <v>335</v>
      </c>
      <c r="BP233" s="1049"/>
      <c r="BQ233" s="1024"/>
      <c r="BR233" s="1015" t="s">
        <v>335</v>
      </c>
      <c r="BS233" s="1015" t="s">
        <v>335</v>
      </c>
      <c r="BT233" s="1016" t="s">
        <v>335</v>
      </c>
      <c r="BU233" s="1017"/>
      <c r="BV233" s="790">
        <f>2271923.09</f>
        <v>2271923.09</v>
      </c>
      <c r="BW233" s="790"/>
      <c r="BX233" s="790"/>
      <c r="BY233" s="790">
        <f>BU233+BW233</f>
        <v>0</v>
      </c>
      <c r="BZ233" s="791">
        <f>BV233+BX233</f>
        <v>2271923.09</v>
      </c>
      <c r="CA233" s="1046" t="s">
        <v>335</v>
      </c>
      <c r="CB233" s="1034" t="s">
        <v>335</v>
      </c>
      <c r="CC233" s="1034" t="s">
        <v>335</v>
      </c>
      <c r="CD233" s="1034" t="s">
        <v>335</v>
      </c>
      <c r="CE233" s="1034" t="s">
        <v>335</v>
      </c>
      <c r="CF233" s="1047" t="s">
        <v>335</v>
      </c>
      <c r="CG233" s="785" t="s">
        <v>335</v>
      </c>
      <c r="CH233" s="1020" t="s">
        <v>335</v>
      </c>
      <c r="CI233" s="1266">
        <f t="shared" ref="CI233:CN233" si="1464">BC233+BU233</f>
        <v>8107037.0099999998</v>
      </c>
      <c r="CJ233" s="1267">
        <f t="shared" si="1464"/>
        <v>12570536.57</v>
      </c>
      <c r="CK233" s="1267">
        <f t="shared" si="1464"/>
        <v>0</v>
      </c>
      <c r="CL233" s="1267">
        <f t="shared" si="1464"/>
        <v>0</v>
      </c>
      <c r="CM233" s="1267">
        <f t="shared" si="1464"/>
        <v>8107037.0099999998</v>
      </c>
      <c r="CN233" s="1267">
        <f t="shared" si="1464"/>
        <v>12570536.57</v>
      </c>
      <c r="CO233" s="796"/>
      <c r="CP233" s="94" t="s">
        <v>335</v>
      </c>
      <c r="CQ233" s="1048" t="s">
        <v>335</v>
      </c>
      <c r="CR233" s="1048" t="s">
        <v>335</v>
      </c>
      <c r="CS233" s="1048" t="s">
        <v>335</v>
      </c>
      <c r="CT233" s="1048" t="s">
        <v>335</v>
      </c>
      <c r="CU233" s="1048" t="s">
        <v>335</v>
      </c>
      <c r="CV233" s="1049"/>
      <c r="CW233" s="1024"/>
      <c r="CX233" s="1015" t="s">
        <v>335</v>
      </c>
      <c r="CY233" s="1015" t="s">
        <v>335</v>
      </c>
      <c r="CZ233" s="1016" t="s">
        <v>335</v>
      </c>
      <c r="DA233" s="1017"/>
      <c r="DB233" s="790"/>
      <c r="DC233" s="790"/>
      <c r="DD233" s="790"/>
      <c r="DE233" s="790">
        <f>DA233+DC233</f>
        <v>0</v>
      </c>
      <c r="DF233" s="791">
        <f>DB233+DD233</f>
        <v>0</v>
      </c>
      <c r="DG233" s="1046" t="s">
        <v>335</v>
      </c>
      <c r="DH233" s="1034" t="s">
        <v>335</v>
      </c>
      <c r="DI233" s="1034" t="s">
        <v>335</v>
      </c>
      <c r="DJ233" s="1034" t="s">
        <v>335</v>
      </c>
      <c r="DK233" s="1034" t="s">
        <v>335</v>
      </c>
      <c r="DL233" s="1047" t="s">
        <v>335</v>
      </c>
      <c r="DM233" s="785" t="s">
        <v>335</v>
      </c>
      <c r="DN233" s="1020" t="s">
        <v>335</v>
      </c>
      <c r="DO233" s="1266">
        <f t="shared" ref="DO233:DT233" si="1465">CI233+DA233</f>
        <v>8107037.0099999998</v>
      </c>
      <c r="DP233" s="1267">
        <f t="shared" si="1465"/>
        <v>12570536.57</v>
      </c>
      <c r="DQ233" s="1267">
        <f t="shared" si="1465"/>
        <v>0</v>
      </c>
      <c r="DR233" s="1267">
        <f t="shared" si="1465"/>
        <v>0</v>
      </c>
      <c r="DS233" s="1267">
        <f t="shared" si="1465"/>
        <v>8107037.0099999998</v>
      </c>
      <c r="DT233" s="1267">
        <f t="shared" si="1465"/>
        <v>12570536.57</v>
      </c>
      <c r="DU233" s="796"/>
      <c r="DV233" s="94" t="s">
        <v>335</v>
      </c>
      <c r="DW233" s="1048" t="s">
        <v>335</v>
      </c>
      <c r="DX233" s="1048" t="s">
        <v>335</v>
      </c>
      <c r="DY233" s="1048" t="s">
        <v>335</v>
      </c>
      <c r="DZ233" s="1048" t="s">
        <v>335</v>
      </c>
      <c r="EA233" s="1048" t="s">
        <v>335</v>
      </c>
      <c r="EB233" s="1049"/>
      <c r="EC233" s="1024"/>
      <c r="ED233" s="1015" t="s">
        <v>335</v>
      </c>
      <c r="EE233" s="1015" t="s">
        <v>335</v>
      </c>
      <c r="EF233" s="1016" t="s">
        <v>335</v>
      </c>
      <c r="EG233" s="1017">
        <v>555799.97</v>
      </c>
      <c r="EH233" s="790">
        <v>1818694.55</v>
      </c>
      <c r="EI233" s="790"/>
      <c r="EJ233" s="790"/>
      <c r="EK233" s="790">
        <f>EG233+EI233</f>
        <v>555799.97</v>
      </c>
      <c r="EL233" s="791">
        <f>EH233+EJ233</f>
        <v>1818694.55</v>
      </c>
      <c r="EM233" s="1046" t="s">
        <v>335</v>
      </c>
      <c r="EN233" s="1034" t="s">
        <v>335</v>
      </c>
      <c r="EO233" s="1034" t="s">
        <v>335</v>
      </c>
      <c r="EP233" s="1034" t="s">
        <v>335</v>
      </c>
      <c r="EQ233" s="1034" t="s">
        <v>335</v>
      </c>
      <c r="ER233" s="1047" t="s">
        <v>335</v>
      </c>
      <c r="ES233" s="785" t="s">
        <v>335</v>
      </c>
      <c r="ET233" s="1020" t="s">
        <v>335</v>
      </c>
      <c r="EU233" s="1008">
        <f t="shared" ref="EU233:EZ233" si="1466">EG233+DO233</f>
        <v>8662836.9800000004</v>
      </c>
      <c r="EV233" s="1010">
        <f t="shared" si="1466"/>
        <v>14389231.120000001</v>
      </c>
      <c r="EW233" s="1010">
        <f t="shared" si="1466"/>
        <v>0</v>
      </c>
      <c r="EX233" s="1010">
        <f t="shared" si="1466"/>
        <v>0</v>
      </c>
      <c r="EY233" s="1010">
        <f t="shared" si="1466"/>
        <v>8662836.9800000004</v>
      </c>
      <c r="EZ233" s="1010">
        <f t="shared" si="1466"/>
        <v>14389231.120000001</v>
      </c>
      <c r="FA233" s="796"/>
      <c r="FB233" s="94" t="s">
        <v>335</v>
      </c>
      <c r="FC233" s="1048" t="s">
        <v>335</v>
      </c>
      <c r="FD233" s="1048" t="s">
        <v>335</v>
      </c>
      <c r="FE233" s="1048" t="s">
        <v>335</v>
      </c>
      <c r="FF233" s="1048" t="s">
        <v>335</v>
      </c>
      <c r="FG233" s="1048" t="s">
        <v>335</v>
      </c>
      <c r="FH233" s="1049"/>
      <c r="FI233" s="1024"/>
      <c r="FJ233" s="1015" t="s">
        <v>335</v>
      </c>
      <c r="FK233" s="1015" t="s">
        <v>335</v>
      </c>
      <c r="FL233" s="1016" t="s">
        <v>335</v>
      </c>
      <c r="FM233" s="1017"/>
      <c r="FN233" s="790">
        <v>66626.66</v>
      </c>
      <c r="FO233" s="790"/>
      <c r="FP233" s="790"/>
      <c r="FQ233" s="790">
        <f>FM233+FO233</f>
        <v>0</v>
      </c>
      <c r="FR233" s="791">
        <f>FN233+FP233</f>
        <v>66626.66</v>
      </c>
      <c r="FS233" s="1046" t="s">
        <v>335</v>
      </c>
      <c r="FT233" s="1034" t="s">
        <v>335</v>
      </c>
      <c r="FU233" s="1034" t="s">
        <v>335</v>
      </c>
      <c r="FV233" s="1034" t="s">
        <v>335</v>
      </c>
      <c r="FW233" s="1034" t="s">
        <v>335</v>
      </c>
      <c r="FX233" s="1047" t="s">
        <v>335</v>
      </c>
      <c r="FY233" s="785" t="s">
        <v>335</v>
      </c>
      <c r="FZ233" s="1020" t="s">
        <v>335</v>
      </c>
      <c r="GA233" s="1008">
        <f t="shared" ref="GA233:GF233" si="1467">FM233+EU233</f>
        <v>8662836.9800000004</v>
      </c>
      <c r="GB233" s="1010">
        <f t="shared" si="1467"/>
        <v>14455857.780000001</v>
      </c>
      <c r="GC233" s="1010">
        <f t="shared" si="1467"/>
        <v>0</v>
      </c>
      <c r="GD233" s="1010">
        <f t="shared" si="1467"/>
        <v>0</v>
      </c>
      <c r="GE233" s="1010">
        <f t="shared" si="1467"/>
        <v>8662836.9800000004</v>
      </c>
      <c r="GF233" s="1010">
        <f t="shared" si="1467"/>
        <v>14455857.780000001</v>
      </c>
      <c r="GG233" s="796"/>
      <c r="GH233" s="94" t="s">
        <v>335</v>
      </c>
      <c r="GI233" s="1048" t="s">
        <v>335</v>
      </c>
      <c r="GJ233" s="1048" t="s">
        <v>335</v>
      </c>
      <c r="GK233" s="1048" t="s">
        <v>335</v>
      </c>
      <c r="GL233" s="1048" t="s">
        <v>335</v>
      </c>
      <c r="GM233" s="1048" t="s">
        <v>335</v>
      </c>
      <c r="GN233" s="1049"/>
      <c r="GO233" s="1024"/>
      <c r="GP233" s="1015" t="s">
        <v>335</v>
      </c>
      <c r="GQ233" s="1015" t="s">
        <v>335</v>
      </c>
      <c r="GR233" s="1016" t="s">
        <v>335</v>
      </c>
      <c r="GS233" s="1017"/>
      <c r="GT233" s="790">
        <f>81390.28</f>
        <v>81390.28</v>
      </c>
      <c r="GU233" s="790"/>
      <c r="GV233" s="790"/>
      <c r="GW233" s="790">
        <f>GS233+GU233</f>
        <v>0</v>
      </c>
      <c r="GX233" s="791">
        <f>GT233+GV233</f>
        <v>81390.28</v>
      </c>
      <c r="GY233" s="1046" t="s">
        <v>335</v>
      </c>
      <c r="GZ233" s="1034" t="s">
        <v>335</v>
      </c>
      <c r="HA233" s="1034" t="s">
        <v>335</v>
      </c>
      <c r="HB233" s="1034" t="s">
        <v>335</v>
      </c>
      <c r="HC233" s="1034" t="s">
        <v>335</v>
      </c>
      <c r="HD233" s="1047" t="s">
        <v>335</v>
      </c>
      <c r="HE233" s="1708" t="s">
        <v>335</v>
      </c>
      <c r="HF233" s="1020" t="s">
        <v>335</v>
      </c>
      <c r="HG233" s="1008">
        <f t="shared" ref="HG233:HL233" si="1468">GS233+GA233</f>
        <v>8662836.9800000004</v>
      </c>
      <c r="HH233" s="1010">
        <f t="shared" si="1468"/>
        <v>14537248.060000001</v>
      </c>
      <c r="HI233" s="1010">
        <f t="shared" si="1468"/>
        <v>0</v>
      </c>
      <c r="HJ233" s="1010">
        <f t="shared" si="1468"/>
        <v>0</v>
      </c>
      <c r="HK233" s="1010">
        <f t="shared" si="1468"/>
        <v>8662836.9800000004</v>
      </c>
      <c r="HL233" s="1010">
        <f t="shared" si="1468"/>
        <v>14537248.060000001</v>
      </c>
      <c r="HM233" s="796"/>
      <c r="HN233" s="94" t="s">
        <v>335</v>
      </c>
      <c r="HO233" s="1048" t="s">
        <v>335</v>
      </c>
      <c r="HP233" s="1048" t="s">
        <v>335</v>
      </c>
      <c r="HQ233" s="1048" t="s">
        <v>335</v>
      </c>
      <c r="HR233" s="1048" t="s">
        <v>335</v>
      </c>
      <c r="HS233" s="1048" t="s">
        <v>335</v>
      </c>
      <c r="HT233" s="1049"/>
      <c r="HU233" s="1024"/>
    </row>
    <row r="234" spans="1:229" ht="13.5" thickBot="1" x14ac:dyDescent="0.25">
      <c r="A234" s="1038"/>
      <c r="B234" s="1038"/>
      <c r="C234" s="1050"/>
      <c r="D234" s="1051"/>
      <c r="E234" s="105"/>
      <c r="F234" s="312"/>
      <c r="G234" s="105"/>
      <c r="H234" s="404"/>
      <c r="I234" s="312"/>
      <c r="J234" s="312"/>
      <c r="K234" s="404"/>
      <c r="L234" s="312"/>
      <c r="M234" s="312"/>
      <c r="N234" s="760"/>
      <c r="O234" s="105"/>
      <c r="P234" s="105"/>
      <c r="Q234" s="105"/>
      <c r="R234" s="105"/>
      <c r="S234" s="105"/>
      <c r="T234" s="405"/>
      <c r="U234" s="957"/>
      <c r="V234" s="957"/>
      <c r="W234" s="957"/>
      <c r="X234" s="957"/>
      <c r="Y234" s="957"/>
      <c r="Z234" s="957"/>
      <c r="AA234" s="957"/>
      <c r="AB234" s="957"/>
      <c r="AC234" s="958"/>
      <c r="AD234" s="957"/>
      <c r="AE234" s="957"/>
      <c r="AF234" s="957"/>
      <c r="AG234" s="957"/>
      <c r="AH234" s="761"/>
      <c r="AI234" s="761"/>
      <c r="AJ234" s="958"/>
      <c r="AK234" s="1052"/>
      <c r="AL234" s="312"/>
      <c r="AM234" s="957"/>
      <c r="AN234" s="957"/>
      <c r="AO234" s="312"/>
      <c r="AP234" s="312"/>
      <c r="AQ234" s="312"/>
      <c r="AR234" s="312"/>
      <c r="AS234" s="312"/>
      <c r="AT234" s="312"/>
      <c r="AU234" s="312"/>
      <c r="AV234" s="312"/>
      <c r="AW234" s="312"/>
      <c r="AX234" s="312"/>
      <c r="AY234" s="312"/>
      <c r="AZ234" s="405"/>
      <c r="BA234" s="957"/>
      <c r="BB234" s="957"/>
      <c r="BC234" s="312"/>
      <c r="BD234" s="312"/>
      <c r="BE234" s="312"/>
      <c r="BF234" s="312"/>
      <c r="BG234" s="312"/>
      <c r="BH234" s="312"/>
      <c r="BI234" s="406"/>
      <c r="BJ234" s="312"/>
      <c r="BK234" s="312"/>
      <c r="BL234" s="312"/>
      <c r="BM234" s="312"/>
      <c r="BN234" s="312"/>
      <c r="BO234" s="312"/>
      <c r="BP234" s="406"/>
      <c r="BQ234" s="407"/>
      <c r="BR234" s="312"/>
      <c r="BS234" s="957"/>
      <c r="BT234" s="957"/>
      <c r="BU234" s="312"/>
      <c r="BV234" s="312"/>
      <c r="BW234" s="312"/>
      <c r="BX234" s="312"/>
      <c r="BY234" s="312"/>
      <c r="BZ234" s="312"/>
      <c r="CA234" s="312"/>
      <c r="CB234" s="312"/>
      <c r="CC234" s="312"/>
      <c r="CD234" s="312"/>
      <c r="CE234" s="312"/>
      <c r="CF234" s="405"/>
      <c r="CG234" s="957"/>
      <c r="CH234" s="957"/>
      <c r="CI234" s="312"/>
      <c r="CJ234" s="312"/>
      <c r="CK234" s="312"/>
      <c r="CL234" s="312"/>
      <c r="CM234" s="312"/>
      <c r="CN234" s="312"/>
      <c r="CO234" s="406"/>
      <c r="CP234" s="312"/>
      <c r="CQ234" s="312"/>
      <c r="CR234" s="312"/>
      <c r="CS234" s="312"/>
      <c r="CT234" s="312"/>
      <c r="CU234" s="312"/>
      <c r="CV234" s="406"/>
      <c r="CW234" s="407"/>
      <c r="CX234" s="312"/>
      <c r="CY234" s="957"/>
      <c r="CZ234" s="957"/>
      <c r="DA234" s="312"/>
      <c r="DB234" s="312"/>
      <c r="DC234" s="312"/>
      <c r="DD234" s="312"/>
      <c r="DE234" s="312"/>
      <c r="DF234" s="312"/>
      <c r="DG234" s="312"/>
      <c r="DH234" s="312"/>
      <c r="DI234" s="312"/>
      <c r="DJ234" s="312"/>
      <c r="DK234" s="312"/>
      <c r="DL234" s="405"/>
      <c r="DM234" s="957"/>
      <c r="DN234" s="957"/>
      <c r="DO234" s="312"/>
      <c r="DP234" s="312"/>
      <c r="DQ234" s="312"/>
      <c r="DR234" s="312"/>
      <c r="DS234" s="312"/>
      <c r="DT234" s="312"/>
      <c r="DU234" s="406"/>
      <c r="DV234" s="312"/>
      <c r="DW234" s="312"/>
      <c r="DX234" s="312"/>
      <c r="DY234" s="312"/>
      <c r="DZ234" s="312"/>
      <c r="EA234" s="312"/>
      <c r="EB234" s="406"/>
      <c r="EC234" s="407"/>
      <c r="ED234" s="312"/>
      <c r="EE234" s="957"/>
      <c r="EF234" s="957"/>
      <c r="EG234" s="312"/>
      <c r="EH234" s="312"/>
      <c r="EI234" s="312"/>
      <c r="EJ234" s="312"/>
      <c r="EK234" s="312"/>
      <c r="EL234" s="312"/>
      <c r="EM234" s="312"/>
      <c r="EN234" s="312"/>
      <c r="EO234" s="312"/>
      <c r="EP234" s="312"/>
      <c r="EQ234" s="312"/>
      <c r="ER234" s="405"/>
      <c r="ES234" s="957"/>
      <c r="ET234" s="957"/>
      <c r="EU234" s="312"/>
      <c r="EV234" s="312"/>
      <c r="EW234" s="312"/>
      <c r="EX234" s="312"/>
      <c r="EY234" s="312"/>
      <c r="EZ234" s="312"/>
      <c r="FA234" s="406"/>
      <c r="FB234" s="312"/>
      <c r="FC234" s="312"/>
      <c r="FD234" s="312"/>
      <c r="FE234" s="312"/>
      <c r="FF234" s="312"/>
      <c r="FG234" s="312"/>
      <c r="FH234" s="406"/>
      <c r="FI234" s="407"/>
      <c r="FJ234" s="312"/>
      <c r="FK234" s="957"/>
      <c r="FL234" s="957"/>
      <c r="FM234" s="312"/>
      <c r="FN234" s="312"/>
      <c r="FO234" s="312"/>
      <c r="FP234" s="312"/>
      <c r="FQ234" s="312"/>
      <c r="FR234" s="312"/>
      <c r="FS234" s="312"/>
      <c r="FT234" s="312"/>
      <c r="FU234" s="312"/>
      <c r="FV234" s="312"/>
      <c r="FW234" s="312"/>
      <c r="FX234" s="405"/>
      <c r="FY234" s="957"/>
      <c r="FZ234" s="957"/>
      <c r="GA234" s="312"/>
      <c r="GB234" s="312"/>
      <c r="GC234" s="312"/>
      <c r="GD234" s="312"/>
      <c r="GE234" s="312"/>
      <c r="GF234" s="312"/>
      <c r="GG234" s="406"/>
      <c r="GH234" s="312"/>
      <c r="GI234" s="312"/>
      <c r="GJ234" s="312"/>
      <c r="GK234" s="312"/>
      <c r="GL234" s="312"/>
      <c r="GM234" s="312"/>
      <c r="GN234" s="406"/>
      <c r="GO234" s="407"/>
      <c r="GP234" s="312"/>
      <c r="GQ234" s="957"/>
      <c r="GR234" s="957"/>
      <c r="GS234" s="312"/>
      <c r="GT234" s="312"/>
      <c r="GU234" s="312"/>
      <c r="GV234" s="312"/>
      <c r="GW234" s="312"/>
      <c r="GX234" s="312"/>
      <c r="GY234" s="312"/>
      <c r="GZ234" s="312"/>
      <c r="HA234" s="312"/>
      <c r="HB234" s="312"/>
      <c r="HC234" s="312"/>
      <c r="HD234" s="405"/>
      <c r="HE234" s="1709"/>
      <c r="HF234" s="957"/>
      <c r="HG234" s="312"/>
      <c r="HH234" s="312"/>
      <c r="HI234" s="312"/>
      <c r="HJ234" s="312"/>
      <c r="HK234" s="312"/>
      <c r="HL234" s="312"/>
      <c r="HM234" s="406"/>
      <c r="HN234" s="312"/>
      <c r="HO234" s="312"/>
      <c r="HP234" s="312"/>
      <c r="HQ234" s="312"/>
      <c r="HR234" s="312"/>
      <c r="HS234" s="312"/>
      <c r="HT234" s="406"/>
      <c r="HU234" s="407"/>
    </row>
    <row r="235" spans="1:229" s="102" customFormat="1" ht="25.5" customHeight="1" x14ac:dyDescent="0.2">
      <c r="A235" s="3690" t="s">
        <v>415</v>
      </c>
      <c r="B235" s="3691"/>
      <c r="C235" s="1053" t="s">
        <v>182</v>
      </c>
      <c r="D235" s="1054" t="s">
        <v>224</v>
      </c>
      <c r="E235" s="1027"/>
      <c r="F235" s="1028"/>
      <c r="G235" s="829"/>
      <c r="H235" s="1029"/>
      <c r="I235" s="1028"/>
      <c r="J235" s="1028"/>
      <c r="K235" s="1029"/>
      <c r="L235" s="1028"/>
      <c r="M235" s="1028"/>
      <c r="N235" s="1030"/>
      <c r="O235" s="1027"/>
      <c r="P235" s="829"/>
      <c r="Q235" s="829"/>
      <c r="R235" s="829"/>
      <c r="S235" s="1055"/>
      <c r="T235" s="1056"/>
      <c r="U235" s="1057" t="s">
        <v>335</v>
      </c>
      <c r="V235" s="976" t="s">
        <v>335</v>
      </c>
      <c r="W235" s="835">
        <v>236635.31</v>
      </c>
      <c r="X235" s="835" t="e">
        <f>#REF!+#REF!+#REF!+#REF!+#REF!+#REF!</f>
        <v>#REF!</v>
      </c>
      <c r="Y235" s="835">
        <v>0</v>
      </c>
      <c r="Z235" s="835">
        <v>0</v>
      </c>
      <c r="AA235" s="1058">
        <f>W235+Y235</f>
        <v>236635.31</v>
      </c>
      <c r="AB235" s="1059" t="e">
        <f>X235+Z235</f>
        <v>#REF!</v>
      </c>
      <c r="AC235" s="837"/>
      <c r="AD235" s="964">
        <v>230098</v>
      </c>
      <c r="AE235" s="964" t="e">
        <f>#REF!+#REF!+#REF!+#REF!+#REF!+#REF!</f>
        <v>#REF!</v>
      </c>
      <c r="AF235" s="964">
        <v>0</v>
      </c>
      <c r="AG235" s="964">
        <v>0</v>
      </c>
      <c r="AH235" s="919">
        <f>AD235+AF235</f>
        <v>230098</v>
      </c>
      <c r="AI235" s="832" t="e">
        <f>AE235+AG235</f>
        <v>#REF!</v>
      </c>
      <c r="AJ235" s="970"/>
      <c r="AK235" s="1033"/>
      <c r="AL235" s="1060" t="s">
        <v>335</v>
      </c>
      <c r="AM235" s="1061" t="s">
        <v>335</v>
      </c>
      <c r="AN235" s="1062" t="s">
        <v>335</v>
      </c>
      <c r="AO235" s="1063">
        <v>10000</v>
      </c>
      <c r="AP235" s="1035">
        <f>23.1+22.46+144+26469.89+12425.78+65.75+31.5+18+0.7+180+30.4+18+3.5+278.65</f>
        <v>39711.730000000003</v>
      </c>
      <c r="AQ235" s="1035"/>
      <c r="AR235" s="1035"/>
      <c r="AS235" s="1035">
        <f>AO235+AQ235</f>
        <v>10000</v>
      </c>
      <c r="AT235" s="1064">
        <f>AP235+AR235</f>
        <v>39711.730000000003</v>
      </c>
      <c r="AU235" s="1065">
        <v>10000</v>
      </c>
      <c r="AV235" s="1066">
        <f>144+18.3+18.3+50.3+50</f>
        <v>280.90000000000003</v>
      </c>
      <c r="AW235" s="1066">
        <v>0</v>
      </c>
      <c r="AX235" s="1066"/>
      <c r="AY235" s="1066">
        <f>AU235+AW235</f>
        <v>10000</v>
      </c>
      <c r="AZ235" s="1067">
        <f>AV235+AX235</f>
        <v>280.90000000000003</v>
      </c>
      <c r="BA235" s="1057" t="s">
        <v>335</v>
      </c>
      <c r="BB235" s="1068" t="s">
        <v>335</v>
      </c>
      <c r="BC235" s="834">
        <f t="shared" ref="BC235:BF236" si="1469">W235+AO235</f>
        <v>246635.31</v>
      </c>
      <c r="BD235" s="836" t="e">
        <f t="shared" si="1469"/>
        <v>#REF!</v>
      </c>
      <c r="BE235" s="836">
        <f t="shared" si="1469"/>
        <v>0</v>
      </c>
      <c r="BF235" s="836">
        <f t="shared" si="1469"/>
        <v>0</v>
      </c>
      <c r="BG235" s="836">
        <f>AA235+AS235</f>
        <v>246635.31</v>
      </c>
      <c r="BH235" s="836" t="e">
        <f>AB235+AT235</f>
        <v>#REF!</v>
      </c>
      <c r="BI235" s="837"/>
      <c r="BJ235" s="851">
        <f>AD235+AU235</f>
        <v>240098</v>
      </c>
      <c r="BK235" s="1069" t="e">
        <f>AE235+AV235</f>
        <v>#REF!</v>
      </c>
      <c r="BL235" s="1069">
        <f t="shared" ref="BL235:BO236" si="1470">AF235+AW235</f>
        <v>0</v>
      </c>
      <c r="BM235" s="1069">
        <f t="shared" si="1470"/>
        <v>0</v>
      </c>
      <c r="BN235" s="1069">
        <f t="shared" si="1470"/>
        <v>240098</v>
      </c>
      <c r="BO235" s="1069" t="e">
        <f t="shared" si="1470"/>
        <v>#REF!</v>
      </c>
      <c r="BP235" s="854"/>
      <c r="BQ235" s="855"/>
      <c r="BR235" s="1060" t="s">
        <v>335</v>
      </c>
      <c r="BS235" s="1061" t="s">
        <v>335</v>
      </c>
      <c r="BT235" s="1062" t="s">
        <v>335</v>
      </c>
      <c r="BU235" s="1063">
        <v>10000</v>
      </c>
      <c r="BV235" s="1035" t="e">
        <f>#REF!</f>
        <v>#REF!</v>
      </c>
      <c r="BW235" s="1035"/>
      <c r="BX235" s="1035"/>
      <c r="BY235" s="1035">
        <f>BU235+BW235</f>
        <v>10000</v>
      </c>
      <c r="BZ235" s="1064" t="e">
        <f>BV235+BX235</f>
        <v>#REF!</v>
      </c>
      <c r="CA235" s="1065">
        <v>10000</v>
      </c>
      <c r="CB235" s="1066" t="e">
        <f>#REF!</f>
        <v>#REF!</v>
      </c>
      <c r="CC235" s="1066"/>
      <c r="CD235" s="1066"/>
      <c r="CE235" s="1066">
        <f>CA235+CC235</f>
        <v>10000</v>
      </c>
      <c r="CF235" s="1067" t="e">
        <f>CB235+CD235</f>
        <v>#REF!</v>
      </c>
      <c r="CG235" s="1057" t="s">
        <v>335</v>
      </c>
      <c r="CH235" s="1068" t="s">
        <v>335</v>
      </c>
      <c r="CI235" s="834">
        <f t="shared" ref="CI235:CN236" si="1471">BC235+BU235</f>
        <v>256635.31</v>
      </c>
      <c r="CJ235" s="836" t="e">
        <f t="shared" si="1471"/>
        <v>#REF!</v>
      </c>
      <c r="CK235" s="836">
        <f t="shared" si="1471"/>
        <v>0</v>
      </c>
      <c r="CL235" s="836">
        <f t="shared" si="1471"/>
        <v>0</v>
      </c>
      <c r="CM235" s="836">
        <f t="shared" si="1471"/>
        <v>256635.31</v>
      </c>
      <c r="CN235" s="836" t="e">
        <f t="shared" si="1471"/>
        <v>#REF!</v>
      </c>
      <c r="CO235" s="837"/>
      <c r="CP235" s="1160">
        <f t="shared" ref="CP235:CU236" si="1472">BJ235+CA235</f>
        <v>250098</v>
      </c>
      <c r="CQ235" s="1069" t="e">
        <f t="shared" si="1472"/>
        <v>#REF!</v>
      </c>
      <c r="CR235" s="1069">
        <f t="shared" si="1472"/>
        <v>0</v>
      </c>
      <c r="CS235" s="1069">
        <f t="shared" si="1472"/>
        <v>0</v>
      </c>
      <c r="CT235" s="1069">
        <f t="shared" si="1472"/>
        <v>250098</v>
      </c>
      <c r="CU235" s="1069" t="e">
        <f t="shared" si="1472"/>
        <v>#REF!</v>
      </c>
      <c r="CV235" s="1161"/>
      <c r="CW235" s="855"/>
      <c r="CX235" s="1060" t="s">
        <v>335</v>
      </c>
      <c r="CY235" s="1061" t="s">
        <v>335</v>
      </c>
      <c r="CZ235" s="1062" t="s">
        <v>335</v>
      </c>
      <c r="DA235" s="1063">
        <v>10000</v>
      </c>
      <c r="DB235" s="1035" t="e">
        <f>#REF!</f>
        <v>#REF!</v>
      </c>
      <c r="DC235" s="1035"/>
      <c r="DD235" s="1035"/>
      <c r="DE235" s="1035">
        <f>DA235+DC235</f>
        <v>10000</v>
      </c>
      <c r="DF235" s="1064" t="e">
        <f>DB235+DD235</f>
        <v>#REF!</v>
      </c>
      <c r="DG235" s="1065">
        <v>10000</v>
      </c>
      <c r="DH235" s="1066" t="e">
        <f>#REF!</f>
        <v>#REF!</v>
      </c>
      <c r="DI235" s="1066"/>
      <c r="DJ235" s="1066"/>
      <c r="DK235" s="1066">
        <f>DG235+DI235</f>
        <v>10000</v>
      </c>
      <c r="DL235" s="1067" t="e">
        <f>DH235+DJ235</f>
        <v>#REF!</v>
      </c>
      <c r="DM235" s="1057" t="s">
        <v>335</v>
      </c>
      <c r="DN235" s="1068" t="s">
        <v>335</v>
      </c>
      <c r="DO235" s="834">
        <f t="shared" ref="DO235:DT236" si="1473">CI235+DA235</f>
        <v>266635.31</v>
      </c>
      <c r="DP235" s="836" t="e">
        <f t="shared" si="1473"/>
        <v>#REF!</v>
      </c>
      <c r="DQ235" s="836">
        <f t="shared" si="1473"/>
        <v>0</v>
      </c>
      <c r="DR235" s="836">
        <f t="shared" si="1473"/>
        <v>0</v>
      </c>
      <c r="DS235" s="836">
        <f t="shared" si="1473"/>
        <v>266635.31</v>
      </c>
      <c r="DT235" s="836" t="e">
        <f t="shared" si="1473"/>
        <v>#REF!</v>
      </c>
      <c r="DU235" s="837"/>
      <c r="DV235" s="1160">
        <f t="shared" ref="DV235:EA236" si="1474">CP235+DG235</f>
        <v>260098</v>
      </c>
      <c r="DW235" s="1069" t="e">
        <f t="shared" si="1474"/>
        <v>#REF!</v>
      </c>
      <c r="DX235" s="1069">
        <f t="shared" si="1474"/>
        <v>0</v>
      </c>
      <c r="DY235" s="1069">
        <f t="shared" si="1474"/>
        <v>0</v>
      </c>
      <c r="DZ235" s="1069">
        <f t="shared" si="1474"/>
        <v>260098</v>
      </c>
      <c r="EA235" s="1069" t="e">
        <f t="shared" si="1474"/>
        <v>#REF!</v>
      </c>
      <c r="EB235" s="1161"/>
      <c r="EC235" s="855"/>
      <c r="ED235" s="1060" t="s">
        <v>335</v>
      </c>
      <c r="EE235" s="1061" t="s">
        <v>335</v>
      </c>
      <c r="EF235" s="1062" t="s">
        <v>335</v>
      </c>
      <c r="EG235" s="1063">
        <v>10000</v>
      </c>
      <c r="EH235" s="1035" t="e">
        <f>#REF!</f>
        <v>#REF!</v>
      </c>
      <c r="EI235" s="1035"/>
      <c r="EJ235" s="1035"/>
      <c r="EK235" s="1035">
        <f>EG235+EI235</f>
        <v>10000</v>
      </c>
      <c r="EL235" s="1064" t="e">
        <f>EH235+EJ235</f>
        <v>#REF!</v>
      </c>
      <c r="EM235" s="1065">
        <v>10000</v>
      </c>
      <c r="EN235" s="1066" t="e">
        <f>#REF!</f>
        <v>#REF!</v>
      </c>
      <c r="EO235" s="1066"/>
      <c r="EP235" s="1066"/>
      <c r="EQ235" s="1066">
        <f>EM235+EO235</f>
        <v>10000</v>
      </c>
      <c r="ER235" s="1067" t="e">
        <f>EN235+EP235</f>
        <v>#REF!</v>
      </c>
      <c r="ES235" s="1057" t="s">
        <v>335</v>
      </c>
      <c r="ET235" s="1068" t="s">
        <v>335</v>
      </c>
      <c r="EU235" s="834">
        <f>EG235+DO235</f>
        <v>276635.31</v>
      </c>
      <c r="EV235" s="836" t="e">
        <f t="shared" ref="EV235:EZ236" si="1475">EH235+DP235</f>
        <v>#REF!</v>
      </c>
      <c r="EW235" s="836">
        <f t="shared" si="1475"/>
        <v>0</v>
      </c>
      <c r="EX235" s="836">
        <f t="shared" si="1475"/>
        <v>0</v>
      </c>
      <c r="EY235" s="836">
        <f t="shared" si="1475"/>
        <v>276635.31</v>
      </c>
      <c r="EZ235" s="836" t="e">
        <f t="shared" si="1475"/>
        <v>#REF!</v>
      </c>
      <c r="FA235" s="837"/>
      <c r="FB235" s="1160">
        <f>DV235+EM235</f>
        <v>270098</v>
      </c>
      <c r="FC235" s="1069" t="e">
        <f t="shared" ref="FC235:FG236" si="1476">DW235+EN235</f>
        <v>#REF!</v>
      </c>
      <c r="FD235" s="1069">
        <f t="shared" si="1476"/>
        <v>0</v>
      </c>
      <c r="FE235" s="1069">
        <f t="shared" si="1476"/>
        <v>0</v>
      </c>
      <c r="FF235" s="1069">
        <f t="shared" si="1476"/>
        <v>270098</v>
      </c>
      <c r="FG235" s="1069" t="e">
        <f t="shared" si="1476"/>
        <v>#REF!</v>
      </c>
      <c r="FH235" s="1161"/>
      <c r="FI235" s="855"/>
      <c r="FJ235" s="1060" t="s">
        <v>335</v>
      </c>
      <c r="FK235" s="1061" t="s">
        <v>335</v>
      </c>
      <c r="FL235" s="1062" t="s">
        <v>335</v>
      </c>
      <c r="FM235" s="1063">
        <v>10000</v>
      </c>
      <c r="FN235" s="1035" t="e">
        <f>#REF!</f>
        <v>#REF!</v>
      </c>
      <c r="FO235" s="1035"/>
      <c r="FP235" s="1035"/>
      <c r="FQ235" s="1035">
        <f>FM235+FO235</f>
        <v>10000</v>
      </c>
      <c r="FR235" s="1064" t="e">
        <f>FN235+FP235</f>
        <v>#REF!</v>
      </c>
      <c r="FS235" s="1065"/>
      <c r="FT235" s="1066" t="e">
        <f>#REF!</f>
        <v>#REF!</v>
      </c>
      <c r="FU235" s="1066"/>
      <c r="FV235" s="1066"/>
      <c r="FW235" s="1066">
        <f>FS235+FU235</f>
        <v>0</v>
      </c>
      <c r="FX235" s="1067" t="e">
        <f>FT235+FV235</f>
        <v>#REF!</v>
      </c>
      <c r="FY235" s="1057" t="s">
        <v>335</v>
      </c>
      <c r="FZ235" s="1068" t="s">
        <v>335</v>
      </c>
      <c r="GA235" s="834">
        <f t="shared" ref="GA235:GF236" si="1477">FM235+EU235</f>
        <v>286635.31</v>
      </c>
      <c r="GB235" s="836" t="e">
        <f t="shared" si="1477"/>
        <v>#REF!</v>
      </c>
      <c r="GC235" s="836">
        <f t="shared" si="1477"/>
        <v>0</v>
      </c>
      <c r="GD235" s="836">
        <f t="shared" si="1477"/>
        <v>0</v>
      </c>
      <c r="GE235" s="836">
        <f t="shared" si="1477"/>
        <v>286635.31</v>
      </c>
      <c r="GF235" s="836" t="e">
        <f t="shared" si="1477"/>
        <v>#REF!</v>
      </c>
      <c r="GG235" s="837"/>
      <c r="GH235" s="1160">
        <f t="shared" ref="GH235:GM236" si="1478">FB235+FS235</f>
        <v>270098</v>
      </c>
      <c r="GI235" s="1069" t="e">
        <f t="shared" si="1478"/>
        <v>#REF!</v>
      </c>
      <c r="GJ235" s="1069">
        <f t="shared" si="1478"/>
        <v>0</v>
      </c>
      <c r="GK235" s="1069">
        <f t="shared" si="1478"/>
        <v>0</v>
      </c>
      <c r="GL235" s="1069">
        <f t="shared" si="1478"/>
        <v>270098</v>
      </c>
      <c r="GM235" s="1069" t="e">
        <f t="shared" si="1478"/>
        <v>#REF!</v>
      </c>
      <c r="GN235" s="1161"/>
      <c r="GO235" s="855"/>
      <c r="GP235" s="1060" t="s">
        <v>335</v>
      </c>
      <c r="GQ235" s="1061" t="s">
        <v>335</v>
      </c>
      <c r="GR235" s="1062" t="s">
        <v>335</v>
      </c>
      <c r="GS235" s="1063">
        <v>10000</v>
      </c>
      <c r="GT235" s="1035" t="e">
        <f>#REF!</f>
        <v>#REF!</v>
      </c>
      <c r="GU235" s="1035"/>
      <c r="GV235" s="1035"/>
      <c r="GW235" s="1035">
        <f>GS235+GU235</f>
        <v>10000</v>
      </c>
      <c r="GX235" s="1064" t="e">
        <f>GT235+GV235</f>
        <v>#REF!</v>
      </c>
      <c r="GY235" s="1065"/>
      <c r="GZ235" s="1066" t="e">
        <f>#REF!</f>
        <v>#REF!</v>
      </c>
      <c r="HA235" s="1066"/>
      <c r="HB235" s="1066"/>
      <c r="HC235" s="1066">
        <f>GY235+HA235</f>
        <v>0</v>
      </c>
      <c r="HD235" s="1067" t="e">
        <f>GZ235+HB235</f>
        <v>#REF!</v>
      </c>
      <c r="HE235" s="1712" t="s">
        <v>335</v>
      </c>
      <c r="HF235" s="1068" t="s">
        <v>335</v>
      </c>
      <c r="HG235" s="834">
        <f t="shared" ref="HG235:HL236" si="1479">GS235+GA235</f>
        <v>296635.31</v>
      </c>
      <c r="HH235" s="836" t="e">
        <f t="shared" si="1479"/>
        <v>#REF!</v>
      </c>
      <c r="HI235" s="836">
        <f t="shared" si="1479"/>
        <v>0</v>
      </c>
      <c r="HJ235" s="836">
        <f t="shared" si="1479"/>
        <v>0</v>
      </c>
      <c r="HK235" s="836">
        <f t="shared" si="1479"/>
        <v>296635.31</v>
      </c>
      <c r="HL235" s="836" t="e">
        <f t="shared" si="1479"/>
        <v>#REF!</v>
      </c>
      <c r="HM235" s="837"/>
      <c r="HN235" s="1160">
        <f t="shared" ref="HN235:HS236" si="1480">GH235+GY235</f>
        <v>270098</v>
      </c>
      <c r="HO235" s="1069" t="e">
        <f t="shared" si="1480"/>
        <v>#REF!</v>
      </c>
      <c r="HP235" s="1069">
        <f t="shared" si="1480"/>
        <v>0</v>
      </c>
      <c r="HQ235" s="1069">
        <f t="shared" si="1480"/>
        <v>0</v>
      </c>
      <c r="HR235" s="1069">
        <f t="shared" si="1480"/>
        <v>270098</v>
      </c>
      <c r="HS235" s="1069" t="e">
        <f t="shared" si="1480"/>
        <v>#REF!</v>
      </c>
      <c r="HT235" s="1161"/>
      <c r="HU235" s="855"/>
    </row>
    <row r="236" spans="1:229" s="102" customFormat="1" ht="27" customHeight="1" thickBot="1" x14ac:dyDescent="0.25">
      <c r="A236" s="3692"/>
      <c r="B236" s="3693"/>
      <c r="C236" s="1070" t="s">
        <v>183</v>
      </c>
      <c r="D236" s="1071" t="s">
        <v>373</v>
      </c>
      <c r="E236" s="930"/>
      <c r="F236" s="635"/>
      <c r="G236" s="931"/>
      <c r="H236" s="932"/>
      <c r="I236" s="635"/>
      <c r="J236" s="635"/>
      <c r="K236" s="932"/>
      <c r="L236" s="635"/>
      <c r="M236" s="635"/>
      <c r="N236" s="933"/>
      <c r="O236" s="930"/>
      <c r="P236" s="931"/>
      <c r="Q236" s="931"/>
      <c r="R236" s="931"/>
      <c r="S236" s="1072"/>
      <c r="T236" s="935"/>
      <c r="U236" s="807" t="s">
        <v>335</v>
      </c>
      <c r="V236" s="808" t="s">
        <v>335</v>
      </c>
      <c r="W236" s="1073">
        <v>26474327</v>
      </c>
      <c r="X236" s="1073">
        <v>18173292.969999999</v>
      </c>
      <c r="Y236" s="1073">
        <v>0</v>
      </c>
      <c r="Z236" s="1073">
        <v>0</v>
      </c>
      <c r="AA236" s="1074">
        <f>W236+Y236</f>
        <v>26474327</v>
      </c>
      <c r="AB236" s="1075">
        <f>X236+Z236</f>
        <v>18173292.969999999</v>
      </c>
      <c r="AC236" s="939"/>
      <c r="AD236" s="979">
        <v>26474327</v>
      </c>
      <c r="AE236" s="979">
        <v>18173292.969999999</v>
      </c>
      <c r="AF236" s="979">
        <v>0</v>
      </c>
      <c r="AG236" s="979">
        <v>0</v>
      </c>
      <c r="AH236" s="984">
        <f>AD236+AF236</f>
        <v>26474327</v>
      </c>
      <c r="AI236" s="979">
        <f>AE236+AG236</f>
        <v>18173292.969999999</v>
      </c>
      <c r="AJ236" s="1076"/>
      <c r="AK236" s="1077"/>
      <c r="AL236" s="1078" t="s">
        <v>335</v>
      </c>
      <c r="AM236" s="1079" t="s">
        <v>335</v>
      </c>
      <c r="AN236" s="946" t="s">
        <v>335</v>
      </c>
      <c r="AO236" s="1080">
        <v>3750000</v>
      </c>
      <c r="AP236" s="1081">
        <f>460</f>
        <v>460</v>
      </c>
      <c r="AQ236" s="1081"/>
      <c r="AR236" s="1081"/>
      <c r="AS236" s="1081">
        <f>AO236+AQ236</f>
        <v>3750000</v>
      </c>
      <c r="AT236" s="1082">
        <f>AP236+AR236</f>
        <v>460</v>
      </c>
      <c r="AU236" s="949">
        <v>3750000</v>
      </c>
      <c r="AV236" s="945">
        <v>460</v>
      </c>
      <c r="AW236" s="945">
        <v>0</v>
      </c>
      <c r="AX236" s="945"/>
      <c r="AY236" s="945">
        <f>AU236+AW236</f>
        <v>3750000</v>
      </c>
      <c r="AZ236" s="950">
        <f>AV236+AX236</f>
        <v>460</v>
      </c>
      <c r="BA236" s="807" t="s">
        <v>335</v>
      </c>
      <c r="BB236" s="980" t="s">
        <v>335</v>
      </c>
      <c r="BC236" s="1083">
        <f t="shared" si="1469"/>
        <v>30224327</v>
      </c>
      <c r="BD236" s="1084">
        <f t="shared" si="1469"/>
        <v>18173752.969999999</v>
      </c>
      <c r="BE236" s="1084">
        <f t="shared" si="1469"/>
        <v>0</v>
      </c>
      <c r="BF236" s="1084">
        <f t="shared" si="1469"/>
        <v>0</v>
      </c>
      <c r="BG236" s="1084">
        <f>AA236+AS236</f>
        <v>30224327</v>
      </c>
      <c r="BH236" s="1084">
        <f>AB236+AT236</f>
        <v>18173752.969999999</v>
      </c>
      <c r="BI236" s="952"/>
      <c r="BJ236" s="951">
        <f>AD236+AU236</f>
        <v>30224327</v>
      </c>
      <c r="BK236" s="953">
        <f>AE236+AV236</f>
        <v>18173752.969999999</v>
      </c>
      <c r="BL236" s="953">
        <f t="shared" si="1470"/>
        <v>0</v>
      </c>
      <c r="BM236" s="953">
        <f t="shared" si="1470"/>
        <v>0</v>
      </c>
      <c r="BN236" s="953">
        <f t="shared" si="1470"/>
        <v>30224327</v>
      </c>
      <c r="BO236" s="953">
        <f t="shared" si="1470"/>
        <v>18173752.969999999</v>
      </c>
      <c r="BP236" s="954"/>
      <c r="BQ236" s="955"/>
      <c r="BR236" s="1078" t="s">
        <v>335</v>
      </c>
      <c r="BS236" s="1079" t="s">
        <v>335</v>
      </c>
      <c r="BT236" s="946" t="s">
        <v>335</v>
      </c>
      <c r="BU236" s="1080">
        <f>3750000*3</f>
        <v>11250000</v>
      </c>
      <c r="BV236" s="1081">
        <f>6000000+5223364.33+2242402.81</f>
        <v>13465767.140000001</v>
      </c>
      <c r="BW236" s="1081"/>
      <c r="BX236" s="1081"/>
      <c r="BY236" s="1081">
        <f>BU236+BW236</f>
        <v>11250000</v>
      </c>
      <c r="BZ236" s="1082">
        <f>BV236+BX236</f>
        <v>13465767.140000001</v>
      </c>
      <c r="CA236" s="949">
        <f>3750000*3</f>
        <v>11250000</v>
      </c>
      <c r="CB236" s="945">
        <f>6000000+5223364.33+2242402.81</f>
        <v>13465767.140000001</v>
      </c>
      <c r="CC236" s="945"/>
      <c r="CD236" s="945"/>
      <c r="CE236" s="945">
        <f>CA236+CC236</f>
        <v>11250000</v>
      </c>
      <c r="CF236" s="950">
        <f>CB236+CD236</f>
        <v>13465767.140000001</v>
      </c>
      <c r="CG236" s="807" t="s">
        <v>335</v>
      </c>
      <c r="CH236" s="980" t="s">
        <v>335</v>
      </c>
      <c r="CI236" s="1266">
        <f t="shared" si="1471"/>
        <v>41474327</v>
      </c>
      <c r="CJ236" s="1267">
        <f t="shared" si="1471"/>
        <v>31639520.109999999</v>
      </c>
      <c r="CK236" s="1267">
        <f t="shared" si="1471"/>
        <v>0</v>
      </c>
      <c r="CL236" s="1267">
        <f t="shared" si="1471"/>
        <v>0</v>
      </c>
      <c r="CM236" s="1267">
        <f t="shared" si="1471"/>
        <v>41474327</v>
      </c>
      <c r="CN236" s="1267">
        <f t="shared" si="1471"/>
        <v>31639520.109999999</v>
      </c>
      <c r="CO236" s="952"/>
      <c r="CP236" s="1269">
        <f t="shared" si="1472"/>
        <v>41474327</v>
      </c>
      <c r="CQ236" s="1270">
        <f t="shared" si="1472"/>
        <v>31639520.109999999</v>
      </c>
      <c r="CR236" s="1270">
        <f t="shared" si="1472"/>
        <v>0</v>
      </c>
      <c r="CS236" s="1270">
        <f t="shared" si="1472"/>
        <v>0</v>
      </c>
      <c r="CT236" s="1270">
        <f t="shared" si="1472"/>
        <v>41474327</v>
      </c>
      <c r="CU236" s="1270">
        <f t="shared" si="1472"/>
        <v>31639520.109999999</v>
      </c>
      <c r="CV236" s="1162"/>
      <c r="CW236" s="955"/>
      <c r="CX236" s="1078" t="s">
        <v>335</v>
      </c>
      <c r="CY236" s="1079" t="s">
        <v>335</v>
      </c>
      <c r="CZ236" s="946" t="s">
        <v>335</v>
      </c>
      <c r="DA236" s="1080">
        <v>2000000</v>
      </c>
      <c r="DB236" s="1081">
        <f>12012+64944+181898.64</f>
        <v>258854.64</v>
      </c>
      <c r="DC236" s="1081"/>
      <c r="DD236" s="1081"/>
      <c r="DE236" s="1081">
        <f>DA236+DC236</f>
        <v>2000000</v>
      </c>
      <c r="DF236" s="1082">
        <f>DB236+DD236</f>
        <v>258854.64</v>
      </c>
      <c r="DG236" s="949">
        <v>2000000</v>
      </c>
      <c r="DH236" s="945">
        <f>12012+64944+181898.64</f>
        <v>258854.64</v>
      </c>
      <c r="DI236" s="945"/>
      <c r="DJ236" s="945"/>
      <c r="DK236" s="945">
        <f>DG236+DI236</f>
        <v>2000000</v>
      </c>
      <c r="DL236" s="950">
        <f>DH236+DJ236</f>
        <v>258854.64</v>
      </c>
      <c r="DM236" s="807" t="s">
        <v>335</v>
      </c>
      <c r="DN236" s="980" t="s">
        <v>335</v>
      </c>
      <c r="DO236" s="1266">
        <f t="shared" si="1473"/>
        <v>43474327</v>
      </c>
      <c r="DP236" s="1267">
        <f t="shared" si="1473"/>
        <v>31898374.75</v>
      </c>
      <c r="DQ236" s="1267">
        <f t="shared" si="1473"/>
        <v>0</v>
      </c>
      <c r="DR236" s="1267">
        <f t="shared" si="1473"/>
        <v>0</v>
      </c>
      <c r="DS236" s="1267">
        <f t="shared" si="1473"/>
        <v>43474327</v>
      </c>
      <c r="DT236" s="1267">
        <f t="shared" si="1473"/>
        <v>31898374.75</v>
      </c>
      <c r="DU236" s="952"/>
      <c r="DV236" s="1269">
        <f t="shared" si="1474"/>
        <v>43474327</v>
      </c>
      <c r="DW236" s="1270">
        <f t="shared" si="1474"/>
        <v>31898374.75</v>
      </c>
      <c r="DX236" s="1270">
        <f t="shared" si="1474"/>
        <v>0</v>
      </c>
      <c r="DY236" s="1270">
        <f t="shared" si="1474"/>
        <v>0</v>
      </c>
      <c r="DZ236" s="1270">
        <f t="shared" si="1474"/>
        <v>43474327</v>
      </c>
      <c r="EA236" s="1270">
        <f t="shared" si="1474"/>
        <v>31898374.75</v>
      </c>
      <c r="EB236" s="1162"/>
      <c r="EC236" s="955"/>
      <c r="ED236" s="1078" t="s">
        <v>335</v>
      </c>
      <c r="EE236" s="1079" t="s">
        <v>335</v>
      </c>
      <c r="EF236" s="946" t="s">
        <v>335</v>
      </c>
      <c r="EG236" s="1080">
        <v>2000000</v>
      </c>
      <c r="EH236" s="1081">
        <v>180.13</v>
      </c>
      <c r="EI236" s="1081"/>
      <c r="EJ236" s="1081"/>
      <c r="EK236" s="1081">
        <f>EG236+EI236</f>
        <v>2000000</v>
      </c>
      <c r="EL236" s="1082">
        <f>EH236+EJ236</f>
        <v>180.13</v>
      </c>
      <c r="EM236" s="949">
        <v>2000000</v>
      </c>
      <c r="EN236" s="945">
        <v>180.13</v>
      </c>
      <c r="EO236" s="945"/>
      <c r="EP236" s="945"/>
      <c r="EQ236" s="945">
        <f>EM236+EO236</f>
        <v>2000000</v>
      </c>
      <c r="ER236" s="950">
        <f>EN236+EP236</f>
        <v>180.13</v>
      </c>
      <c r="ES236" s="807" t="s">
        <v>335</v>
      </c>
      <c r="ET236" s="980" t="s">
        <v>335</v>
      </c>
      <c r="EU236" s="1083">
        <f>EG236+DO236</f>
        <v>45474327</v>
      </c>
      <c r="EV236" s="1084">
        <f t="shared" si="1475"/>
        <v>31898554.879999999</v>
      </c>
      <c r="EW236" s="1084">
        <f t="shared" si="1475"/>
        <v>0</v>
      </c>
      <c r="EX236" s="1084">
        <f t="shared" si="1475"/>
        <v>0</v>
      </c>
      <c r="EY236" s="1084">
        <f t="shared" si="1475"/>
        <v>45474327</v>
      </c>
      <c r="EZ236" s="1084">
        <f t="shared" si="1475"/>
        <v>31898554.879999999</v>
      </c>
      <c r="FA236" s="952"/>
      <c r="FB236" s="1156">
        <f>DV236+EM236</f>
        <v>45474327</v>
      </c>
      <c r="FC236" s="953">
        <f t="shared" si="1476"/>
        <v>31898554.879999999</v>
      </c>
      <c r="FD236" s="953">
        <f t="shared" si="1476"/>
        <v>0</v>
      </c>
      <c r="FE236" s="953">
        <f t="shared" si="1476"/>
        <v>0</v>
      </c>
      <c r="FF236" s="953">
        <f t="shared" si="1476"/>
        <v>45474327</v>
      </c>
      <c r="FG236" s="953">
        <f t="shared" si="1476"/>
        <v>31898554.879999999</v>
      </c>
      <c r="FH236" s="1162"/>
      <c r="FI236" s="955"/>
      <c r="FJ236" s="1078" t="s">
        <v>335</v>
      </c>
      <c r="FK236" s="1079" t="s">
        <v>335</v>
      </c>
      <c r="FL236" s="946" t="s">
        <v>335</v>
      </c>
      <c r="FM236" s="1080">
        <v>1500000</v>
      </c>
      <c r="FN236" s="1081">
        <f>148242.72+89600.7+97416+192081.19+49206.15</f>
        <v>576546.76</v>
      </c>
      <c r="FO236" s="1081"/>
      <c r="FP236" s="1081"/>
      <c r="FQ236" s="1081">
        <f>FM236+FO236</f>
        <v>1500000</v>
      </c>
      <c r="FR236" s="1082">
        <f>FN236+FP236</f>
        <v>576546.76</v>
      </c>
      <c r="FS236" s="949"/>
      <c r="FT236" s="945">
        <f>148242.72+89600.7+49206.15+192081.19+97416</f>
        <v>576546.76</v>
      </c>
      <c r="FU236" s="945"/>
      <c r="FV236" s="945"/>
      <c r="FW236" s="945">
        <f>FS236+FU236</f>
        <v>0</v>
      </c>
      <c r="FX236" s="950">
        <f>FT236+FV236</f>
        <v>576546.76</v>
      </c>
      <c r="FY236" s="807" t="s">
        <v>335</v>
      </c>
      <c r="FZ236" s="980" t="s">
        <v>335</v>
      </c>
      <c r="GA236" s="1083">
        <f t="shared" si="1477"/>
        <v>46974327</v>
      </c>
      <c r="GB236" s="1084">
        <f t="shared" si="1477"/>
        <v>32475101.640000001</v>
      </c>
      <c r="GC236" s="1084">
        <f t="shared" si="1477"/>
        <v>0</v>
      </c>
      <c r="GD236" s="1084">
        <f t="shared" si="1477"/>
        <v>0</v>
      </c>
      <c r="GE236" s="1084">
        <f t="shared" si="1477"/>
        <v>46974327</v>
      </c>
      <c r="GF236" s="1084">
        <f t="shared" si="1477"/>
        <v>32475101.640000001</v>
      </c>
      <c r="GG236" s="952"/>
      <c r="GH236" s="1156">
        <f t="shared" si="1478"/>
        <v>45474327</v>
      </c>
      <c r="GI236" s="953">
        <f t="shared" si="1478"/>
        <v>32475101.640000001</v>
      </c>
      <c r="GJ236" s="953">
        <f t="shared" si="1478"/>
        <v>0</v>
      </c>
      <c r="GK236" s="953">
        <f t="shared" si="1478"/>
        <v>0</v>
      </c>
      <c r="GL236" s="953">
        <f t="shared" si="1478"/>
        <v>45474327</v>
      </c>
      <c r="GM236" s="953">
        <f t="shared" si="1478"/>
        <v>32475101.640000001</v>
      </c>
      <c r="GN236" s="1162"/>
      <c r="GO236" s="955"/>
      <c r="GP236" s="1078" t="s">
        <v>335</v>
      </c>
      <c r="GQ236" s="1079" t="s">
        <v>335</v>
      </c>
      <c r="GR236" s="946" t="s">
        <v>335</v>
      </c>
      <c r="GS236" s="1080">
        <v>2000000</v>
      </c>
      <c r="GT236" s="1081">
        <f>600000+102424.61+105416.92+32046.35</f>
        <v>839887.88</v>
      </c>
      <c r="GU236" s="1081"/>
      <c r="GV236" s="1081"/>
      <c r="GW236" s="1081">
        <f>GS236+GU236</f>
        <v>2000000</v>
      </c>
      <c r="GX236" s="1082">
        <f>GT236+GV236</f>
        <v>839887.88</v>
      </c>
      <c r="GY236" s="949"/>
      <c r="GZ236" s="945">
        <f>GT236</f>
        <v>839887.88</v>
      </c>
      <c r="HA236" s="945"/>
      <c r="HB236" s="945"/>
      <c r="HC236" s="945">
        <f>GY236+HA236</f>
        <v>0</v>
      </c>
      <c r="HD236" s="950">
        <f>GZ236+HB236</f>
        <v>839887.88</v>
      </c>
      <c r="HE236" s="1713" t="s">
        <v>335</v>
      </c>
      <c r="HF236" s="980" t="s">
        <v>335</v>
      </c>
      <c r="HG236" s="1083">
        <f t="shared" si="1479"/>
        <v>48974327</v>
      </c>
      <c r="HH236" s="1084">
        <f t="shared" si="1479"/>
        <v>33314989.52</v>
      </c>
      <c r="HI236" s="1084">
        <f t="shared" si="1479"/>
        <v>0</v>
      </c>
      <c r="HJ236" s="1084">
        <f t="shared" si="1479"/>
        <v>0</v>
      </c>
      <c r="HK236" s="1084">
        <f t="shared" si="1479"/>
        <v>48974327</v>
      </c>
      <c r="HL236" s="1084">
        <f t="shared" si="1479"/>
        <v>33314989.52</v>
      </c>
      <c r="HM236" s="952"/>
      <c r="HN236" s="1156">
        <f t="shared" si="1480"/>
        <v>45474327</v>
      </c>
      <c r="HO236" s="953">
        <f t="shared" si="1480"/>
        <v>33314989.52</v>
      </c>
      <c r="HP236" s="953">
        <f t="shared" si="1480"/>
        <v>0</v>
      </c>
      <c r="HQ236" s="953">
        <f t="shared" si="1480"/>
        <v>0</v>
      </c>
      <c r="HR236" s="953">
        <f t="shared" si="1480"/>
        <v>45474327</v>
      </c>
      <c r="HS236" s="953">
        <f t="shared" si="1480"/>
        <v>33314989.52</v>
      </c>
      <c r="HT236" s="1162"/>
      <c r="HU236" s="955"/>
    </row>
    <row r="237" spans="1:229" ht="13.5" thickBot="1" x14ac:dyDescent="0.25">
      <c r="A237" s="1085"/>
      <c r="B237" s="1085"/>
      <c r="C237" s="300"/>
      <c r="D237" s="1086"/>
      <c r="E237" s="105"/>
      <c r="F237" s="312"/>
      <c r="G237" s="105"/>
      <c r="H237" s="404"/>
      <c r="I237" s="312"/>
      <c r="J237" s="312"/>
      <c r="K237" s="404"/>
      <c r="L237" s="312"/>
      <c r="M237" s="312"/>
      <c r="N237" s="760"/>
      <c r="O237" s="105"/>
      <c r="P237" s="105"/>
      <c r="Q237" s="105"/>
      <c r="R237" s="105"/>
      <c r="S237" s="105"/>
      <c r="T237" s="405"/>
      <c r="U237" s="957"/>
      <c r="V237" s="957"/>
      <c r="W237" s="956"/>
      <c r="X237" s="956"/>
      <c r="Y237" s="956"/>
      <c r="Z237" s="956"/>
      <c r="AA237" s="956"/>
      <c r="AB237" s="956"/>
      <c r="AC237" s="762"/>
      <c r="AD237" s="956"/>
      <c r="AE237" s="956"/>
      <c r="AF237" s="956"/>
      <c r="AG237" s="956"/>
      <c r="AH237" s="956"/>
      <c r="AI237" s="956"/>
      <c r="AJ237" s="959"/>
      <c r="AK237" s="960"/>
      <c r="AL237" s="780"/>
      <c r="AM237" s="956"/>
      <c r="AN237" s="956"/>
      <c r="AO237" s="312"/>
      <c r="AP237" s="312"/>
      <c r="AQ237" s="312"/>
      <c r="AR237" s="312"/>
      <c r="AS237" s="780"/>
      <c r="AT237" s="780"/>
      <c r="AU237" s="312"/>
      <c r="AV237" s="312"/>
      <c r="AW237" s="312"/>
      <c r="AX237" s="312"/>
      <c r="AY237" s="312"/>
      <c r="AZ237" s="405"/>
      <c r="BA237" s="312"/>
      <c r="BB237" s="312"/>
      <c r="BC237" s="312"/>
      <c r="BD237" s="312"/>
      <c r="BE237" s="312"/>
      <c r="BF237" s="312"/>
      <c r="BG237" s="312"/>
      <c r="BH237" s="312"/>
      <c r="BI237" s="406"/>
      <c r="BJ237" s="312"/>
      <c r="BK237" s="312"/>
      <c r="BL237" s="312"/>
      <c r="BM237" s="312"/>
      <c r="BN237" s="312"/>
      <c r="BO237" s="312"/>
      <c r="BP237" s="406"/>
      <c r="BQ237" s="407"/>
      <c r="BR237" s="780"/>
      <c r="BS237" s="956"/>
      <c r="BT237" s="956"/>
      <c r="BU237" s="312"/>
      <c r="BV237" s="312"/>
      <c r="BW237" s="312"/>
      <c r="BX237" s="312"/>
      <c r="BY237" s="780"/>
      <c r="BZ237" s="780"/>
      <c r="CA237" s="312"/>
      <c r="CB237" s="312"/>
      <c r="CC237" s="312"/>
      <c r="CD237" s="312"/>
      <c r="CE237" s="312"/>
      <c r="CF237" s="405"/>
      <c r="CG237" s="312"/>
      <c r="CH237" s="312"/>
      <c r="CI237" s="764"/>
      <c r="CJ237" s="764"/>
      <c r="CK237" s="764"/>
      <c r="CL237" s="764"/>
      <c r="CM237" s="764"/>
      <c r="CN237" s="764"/>
      <c r="CO237" s="406"/>
      <c r="CP237" s="312"/>
      <c r="CQ237" s="312"/>
      <c r="CR237" s="312"/>
      <c r="CS237" s="312"/>
      <c r="CT237" s="312"/>
      <c r="CU237" s="312"/>
      <c r="CV237" s="406"/>
      <c r="CW237" s="407"/>
      <c r="CX237" s="780"/>
      <c r="CY237" s="956"/>
      <c r="CZ237" s="956"/>
      <c r="DA237" s="312"/>
      <c r="DB237" s="312"/>
      <c r="DC237" s="312"/>
      <c r="DD237" s="312"/>
      <c r="DE237" s="780"/>
      <c r="DF237" s="780"/>
      <c r="DG237" s="312"/>
      <c r="DH237" s="312"/>
      <c r="DI237" s="312"/>
      <c r="DJ237" s="312"/>
      <c r="DK237" s="312"/>
      <c r="DL237" s="405"/>
      <c r="DM237" s="312"/>
      <c r="DN237" s="312"/>
      <c r="DO237" s="764"/>
      <c r="DP237" s="764"/>
      <c r="DQ237" s="764"/>
      <c r="DR237" s="764"/>
      <c r="DS237" s="764"/>
      <c r="DT237" s="764"/>
      <c r="DU237" s="406"/>
      <c r="DV237" s="312"/>
      <c r="DW237" s="312"/>
      <c r="DX237" s="312"/>
      <c r="DY237" s="312"/>
      <c r="DZ237" s="312"/>
      <c r="EA237" s="312"/>
      <c r="EB237" s="406"/>
      <c r="EC237" s="407"/>
      <c r="ED237" s="780"/>
      <c r="EE237" s="956"/>
      <c r="EF237" s="956"/>
      <c r="EG237" s="312"/>
      <c r="EH237" s="312"/>
      <c r="EI237" s="312"/>
      <c r="EJ237" s="312"/>
      <c r="EK237" s="780"/>
      <c r="EL237" s="780"/>
      <c r="EM237" s="312"/>
      <c r="EN237" s="312"/>
      <c r="EO237" s="312"/>
      <c r="EP237" s="312"/>
      <c r="EQ237" s="312"/>
      <c r="ER237" s="405"/>
      <c r="ES237" s="312"/>
      <c r="ET237" s="312"/>
      <c r="EU237" s="764"/>
      <c r="EV237" s="764"/>
      <c r="EW237" s="764"/>
      <c r="EX237" s="764"/>
      <c r="EY237" s="764"/>
      <c r="EZ237" s="764"/>
      <c r="FA237" s="406"/>
      <c r="FB237" s="312"/>
      <c r="FC237" s="312"/>
      <c r="FD237" s="312"/>
      <c r="FE237" s="312"/>
      <c r="FF237" s="312"/>
      <c r="FG237" s="312"/>
      <c r="FH237" s="406"/>
      <c r="FI237" s="407"/>
      <c r="FJ237" s="780"/>
      <c r="FK237" s="956"/>
      <c r="FL237" s="956"/>
      <c r="FM237" s="312"/>
      <c r="FN237" s="312"/>
      <c r="FO237" s="312"/>
      <c r="FP237" s="312"/>
      <c r="FQ237" s="780"/>
      <c r="FR237" s="780"/>
      <c r="FS237" s="312"/>
      <c r="FT237" s="312"/>
      <c r="FU237" s="312"/>
      <c r="FV237" s="312"/>
      <c r="FW237" s="312"/>
      <c r="FX237" s="405"/>
      <c r="FY237" s="312"/>
      <c r="FZ237" s="312"/>
      <c r="GA237" s="764"/>
      <c r="GB237" s="764"/>
      <c r="GC237" s="764"/>
      <c r="GD237" s="764"/>
      <c r="GE237" s="764"/>
      <c r="GF237" s="764"/>
      <c r="GG237" s="406"/>
      <c r="GH237" s="312"/>
      <c r="GI237" s="312"/>
      <c r="GJ237" s="312"/>
      <c r="GK237" s="312"/>
      <c r="GL237" s="312"/>
      <c r="GM237" s="312"/>
      <c r="GN237" s="406"/>
      <c r="GO237" s="407"/>
      <c r="GP237" s="780"/>
      <c r="GQ237" s="956"/>
      <c r="GR237" s="956"/>
      <c r="GS237" s="312"/>
      <c r="GT237" s="312"/>
      <c r="GU237" s="312"/>
      <c r="GV237" s="312"/>
      <c r="GW237" s="780"/>
      <c r="GX237" s="780"/>
      <c r="GY237" s="312"/>
      <c r="GZ237" s="312"/>
      <c r="HA237" s="312"/>
      <c r="HB237" s="312"/>
      <c r="HC237" s="312"/>
      <c r="HD237" s="405"/>
      <c r="HE237" s="1700"/>
      <c r="HF237" s="312"/>
      <c r="HG237" s="764"/>
      <c r="HH237" s="764"/>
      <c r="HI237" s="764"/>
      <c r="HJ237" s="764"/>
      <c r="HK237" s="764"/>
      <c r="HL237" s="764"/>
      <c r="HM237" s="406"/>
      <c r="HN237" s="312"/>
      <c r="HO237" s="312"/>
      <c r="HP237" s="312"/>
      <c r="HQ237" s="312"/>
      <c r="HR237" s="312"/>
      <c r="HS237" s="312"/>
      <c r="HT237" s="406"/>
      <c r="HU237" s="407"/>
    </row>
    <row r="238" spans="1:229" s="102" customFormat="1" ht="26.25" customHeight="1" x14ac:dyDescent="0.2">
      <c r="A238" s="3700" t="s">
        <v>368</v>
      </c>
      <c r="B238" s="3701"/>
      <c r="C238" s="823" t="s">
        <v>369</v>
      </c>
      <c r="D238" s="824" t="s">
        <v>178</v>
      </c>
      <c r="E238" s="1027"/>
      <c r="F238" s="1028"/>
      <c r="G238" s="829"/>
      <c r="H238" s="1029"/>
      <c r="I238" s="1028"/>
      <c r="J238" s="1028"/>
      <c r="K238" s="1029"/>
      <c r="L238" s="1028"/>
      <c r="M238" s="1028"/>
      <c r="N238" s="1030"/>
      <c r="O238" s="1027"/>
      <c r="P238" s="829"/>
      <c r="Q238" s="829"/>
      <c r="R238" s="829"/>
      <c r="S238" s="1031"/>
      <c r="T238" s="1056">
        <v>22491254.43</v>
      </c>
      <c r="U238" s="1057" t="s">
        <v>335</v>
      </c>
      <c r="V238" s="976" t="s">
        <v>335</v>
      </c>
      <c r="W238" s="549">
        <v>2391964.04</v>
      </c>
      <c r="X238" s="549">
        <v>0</v>
      </c>
      <c r="Y238" s="549">
        <v>0</v>
      </c>
      <c r="Z238" s="549">
        <v>0</v>
      </c>
      <c r="AA238" s="1087">
        <f t="shared" ref="AA238:AB240" si="1481">W238+Y238</f>
        <v>2391964.04</v>
      </c>
      <c r="AB238" s="1088">
        <f t="shared" si="1481"/>
        <v>0</v>
      </c>
      <c r="AC238" s="626"/>
      <c r="AD238" s="547">
        <v>0</v>
      </c>
      <c r="AE238" s="547">
        <v>0</v>
      </c>
      <c r="AF238" s="547">
        <v>0</v>
      </c>
      <c r="AG238" s="547">
        <v>0</v>
      </c>
      <c r="AH238" s="1089">
        <f t="shared" ref="AH238:AI240" si="1482">AD238+AF238</f>
        <v>0</v>
      </c>
      <c r="AI238" s="1090">
        <f t="shared" si="1482"/>
        <v>0</v>
      </c>
      <c r="AJ238" s="550"/>
      <c r="AK238" s="551"/>
      <c r="AL238" s="1091" t="s">
        <v>335</v>
      </c>
      <c r="AM238" s="1061" t="s">
        <v>335</v>
      </c>
      <c r="AN238" s="1092" t="s">
        <v>335</v>
      </c>
      <c r="AO238" s="1063">
        <v>0</v>
      </c>
      <c r="AP238" s="1035"/>
      <c r="AQ238" s="1035"/>
      <c r="AR238" s="1035"/>
      <c r="AS238" s="846">
        <f t="shared" ref="AS238:AT240" si="1483">AO238+AQ238</f>
        <v>0</v>
      </c>
      <c r="AT238" s="1018">
        <f t="shared" si="1483"/>
        <v>0</v>
      </c>
      <c r="AU238" s="971">
        <v>0</v>
      </c>
      <c r="AV238" s="1066"/>
      <c r="AW238" s="1066">
        <v>0</v>
      </c>
      <c r="AX238" s="1066"/>
      <c r="AY238" s="1066">
        <f t="shared" ref="AY238:AZ240" si="1484">AU238+AW238</f>
        <v>0</v>
      </c>
      <c r="AZ238" s="1067">
        <f t="shared" si="1484"/>
        <v>0</v>
      </c>
      <c r="BA238" s="1057" t="s">
        <v>335</v>
      </c>
      <c r="BB238" s="976" t="s">
        <v>335</v>
      </c>
      <c r="BC238" s="490">
        <f t="shared" ref="BC238:BH241" si="1485">W238+AO238</f>
        <v>2391964.04</v>
      </c>
      <c r="BD238" s="506">
        <f t="shared" si="1485"/>
        <v>0</v>
      </c>
      <c r="BE238" s="506">
        <f t="shared" si="1485"/>
        <v>0</v>
      </c>
      <c r="BF238" s="506">
        <f t="shared" si="1485"/>
        <v>0</v>
      </c>
      <c r="BG238" s="506">
        <f t="shared" si="1485"/>
        <v>2391964.04</v>
      </c>
      <c r="BH238" s="506">
        <f t="shared" si="1485"/>
        <v>0</v>
      </c>
      <c r="BI238" s="492"/>
      <c r="BJ238" s="504">
        <f t="shared" ref="BJ238:BO241" si="1486">AD238+AU238</f>
        <v>0</v>
      </c>
      <c r="BK238" s="508">
        <f t="shared" si="1486"/>
        <v>0</v>
      </c>
      <c r="BL238" s="508">
        <f t="shared" si="1486"/>
        <v>0</v>
      </c>
      <c r="BM238" s="508">
        <f t="shared" si="1486"/>
        <v>0</v>
      </c>
      <c r="BN238" s="508">
        <f t="shared" si="1486"/>
        <v>0</v>
      </c>
      <c r="BO238" s="508">
        <f t="shared" si="1486"/>
        <v>0</v>
      </c>
      <c r="BP238" s="769"/>
      <c r="BQ238" s="510"/>
      <c r="BR238" s="1091" t="s">
        <v>335</v>
      </c>
      <c r="BS238" s="1061" t="s">
        <v>335</v>
      </c>
      <c r="BT238" s="1092" t="s">
        <v>335</v>
      </c>
      <c r="BU238" s="1063"/>
      <c r="BV238" s="1035">
        <v>2391964.04</v>
      </c>
      <c r="BW238" s="1035"/>
      <c r="BX238" s="1035"/>
      <c r="BY238" s="846">
        <f t="shared" ref="BY238:BZ240" si="1487">BU238+BW238</f>
        <v>0</v>
      </c>
      <c r="BZ238" s="1018">
        <f t="shared" si="1487"/>
        <v>2391964.04</v>
      </c>
      <c r="CA238" s="971"/>
      <c r="CB238" s="1066"/>
      <c r="CC238" s="1066"/>
      <c r="CD238" s="1066"/>
      <c r="CE238" s="1066">
        <f t="shared" ref="CE238:CF240" si="1488">CA238+CC238</f>
        <v>0</v>
      </c>
      <c r="CF238" s="1067">
        <f t="shared" si="1488"/>
        <v>0</v>
      </c>
      <c r="CG238" s="1057" t="s">
        <v>335</v>
      </c>
      <c r="CH238" s="976" t="s">
        <v>335</v>
      </c>
      <c r="CI238" s="866">
        <f t="shared" ref="CI238:CN240" si="1489">BC238+BU238</f>
        <v>2391964.04</v>
      </c>
      <c r="CJ238" s="868">
        <f t="shared" si="1489"/>
        <v>2391964.04</v>
      </c>
      <c r="CK238" s="868">
        <f t="shared" si="1489"/>
        <v>0</v>
      </c>
      <c r="CL238" s="868">
        <f t="shared" si="1489"/>
        <v>0</v>
      </c>
      <c r="CM238" s="868">
        <f t="shared" si="1489"/>
        <v>2391964.04</v>
      </c>
      <c r="CN238" s="868">
        <f t="shared" si="1489"/>
        <v>2391964.04</v>
      </c>
      <c r="CO238" s="1137"/>
      <c r="CP238" s="1160">
        <f t="shared" ref="CP238:CU240" si="1490">BJ238+CA238</f>
        <v>0</v>
      </c>
      <c r="CQ238" s="1069">
        <f t="shared" si="1490"/>
        <v>0</v>
      </c>
      <c r="CR238" s="1069">
        <f t="shared" si="1490"/>
        <v>0</v>
      </c>
      <c r="CS238" s="1069">
        <f t="shared" si="1490"/>
        <v>0</v>
      </c>
      <c r="CT238" s="1069">
        <f t="shared" si="1490"/>
        <v>0</v>
      </c>
      <c r="CU238" s="1069">
        <f t="shared" si="1490"/>
        <v>0</v>
      </c>
      <c r="CV238" s="509"/>
      <c r="CW238" s="1271"/>
      <c r="CX238" s="1091" t="s">
        <v>335</v>
      </c>
      <c r="CY238" s="1061" t="s">
        <v>335</v>
      </c>
      <c r="CZ238" s="1092" t="s">
        <v>335</v>
      </c>
      <c r="DA238" s="1063"/>
      <c r="DB238" s="1035"/>
      <c r="DC238" s="1035"/>
      <c r="DD238" s="1035"/>
      <c r="DE238" s="846">
        <f t="shared" ref="DE238:DF240" si="1491">DA238+DC238</f>
        <v>0</v>
      </c>
      <c r="DF238" s="1018">
        <f t="shared" si="1491"/>
        <v>0</v>
      </c>
      <c r="DG238" s="971"/>
      <c r="DH238" s="1066"/>
      <c r="DI238" s="1066"/>
      <c r="DJ238" s="1066"/>
      <c r="DK238" s="1066">
        <f t="shared" ref="DK238:DL240" si="1492">DG238+DI238</f>
        <v>0</v>
      </c>
      <c r="DL238" s="1067">
        <f t="shared" si="1492"/>
        <v>0</v>
      </c>
      <c r="DM238" s="1057" t="s">
        <v>335</v>
      </c>
      <c r="DN238" s="976" t="s">
        <v>335</v>
      </c>
      <c r="DO238" s="866">
        <f t="shared" ref="DO238:DT240" si="1493">CI238+DA238</f>
        <v>2391964.04</v>
      </c>
      <c r="DP238" s="868">
        <f t="shared" si="1493"/>
        <v>2391964.04</v>
      </c>
      <c r="DQ238" s="868">
        <f t="shared" si="1493"/>
        <v>0</v>
      </c>
      <c r="DR238" s="868">
        <f t="shared" si="1493"/>
        <v>0</v>
      </c>
      <c r="DS238" s="868">
        <f t="shared" si="1493"/>
        <v>2391964.04</v>
      </c>
      <c r="DT238" s="868">
        <f t="shared" si="1493"/>
        <v>2391964.04</v>
      </c>
      <c r="DU238" s="1137"/>
      <c r="DV238" s="1160">
        <f t="shared" ref="DV238:EA240" si="1494">CP238+DG238</f>
        <v>0</v>
      </c>
      <c r="DW238" s="1069">
        <f t="shared" si="1494"/>
        <v>0</v>
      </c>
      <c r="DX238" s="1069">
        <f t="shared" si="1494"/>
        <v>0</v>
      </c>
      <c r="DY238" s="1069">
        <f t="shared" si="1494"/>
        <v>0</v>
      </c>
      <c r="DZ238" s="1069">
        <f t="shared" si="1494"/>
        <v>0</v>
      </c>
      <c r="EA238" s="1069">
        <f t="shared" si="1494"/>
        <v>0</v>
      </c>
      <c r="EB238" s="509"/>
      <c r="EC238" s="1271"/>
      <c r="ED238" s="1091" t="s">
        <v>335</v>
      </c>
      <c r="EE238" s="1061" t="s">
        <v>335</v>
      </c>
      <c r="EF238" s="1092" t="s">
        <v>335</v>
      </c>
      <c r="EG238" s="1063">
        <v>0</v>
      </c>
      <c r="EH238" s="1035"/>
      <c r="EI238" s="1035"/>
      <c r="EJ238" s="1035"/>
      <c r="EK238" s="846">
        <f t="shared" ref="EK238:EL240" si="1495">EG238+EI238</f>
        <v>0</v>
      </c>
      <c r="EL238" s="1018">
        <f t="shared" si="1495"/>
        <v>0</v>
      </c>
      <c r="EM238" s="971">
        <v>0</v>
      </c>
      <c r="EN238" s="1066">
        <v>0</v>
      </c>
      <c r="EO238" s="1066"/>
      <c r="EP238" s="1066"/>
      <c r="EQ238" s="1066">
        <f t="shared" ref="EQ238:ER240" si="1496">EM238+EO238</f>
        <v>0</v>
      </c>
      <c r="ER238" s="1067">
        <f t="shared" si="1496"/>
        <v>0</v>
      </c>
      <c r="ES238" s="1057" t="s">
        <v>335</v>
      </c>
      <c r="ET238" s="976" t="s">
        <v>335</v>
      </c>
      <c r="EU238" s="834">
        <f>EG238+DO238</f>
        <v>2391964.04</v>
      </c>
      <c r="EV238" s="836">
        <f t="shared" ref="EV238:EZ240" si="1497">EH238+DP238</f>
        <v>2391964.04</v>
      </c>
      <c r="EW238" s="836">
        <f t="shared" si="1497"/>
        <v>0</v>
      </c>
      <c r="EX238" s="836">
        <f t="shared" si="1497"/>
        <v>0</v>
      </c>
      <c r="EY238" s="836">
        <f t="shared" si="1497"/>
        <v>2391964.04</v>
      </c>
      <c r="EZ238" s="836">
        <f t="shared" si="1497"/>
        <v>2391964.04</v>
      </c>
      <c r="FA238" s="492"/>
      <c r="FB238" s="1160">
        <f>DV238+EM238</f>
        <v>0</v>
      </c>
      <c r="FC238" s="1069">
        <f t="shared" ref="FC238:FG240" si="1498">DW238+EN238</f>
        <v>0</v>
      </c>
      <c r="FD238" s="1069">
        <f t="shared" si="1498"/>
        <v>0</v>
      </c>
      <c r="FE238" s="1069">
        <f t="shared" si="1498"/>
        <v>0</v>
      </c>
      <c r="FF238" s="1069">
        <f t="shared" si="1498"/>
        <v>0</v>
      </c>
      <c r="FG238" s="1069">
        <f t="shared" si="1498"/>
        <v>0</v>
      </c>
      <c r="FH238" s="509"/>
      <c r="FI238" s="1271"/>
      <c r="FJ238" s="1091" t="s">
        <v>335</v>
      </c>
      <c r="FK238" s="1061" t="s">
        <v>335</v>
      </c>
      <c r="FL238" s="1092" t="s">
        <v>335</v>
      </c>
      <c r="FM238" s="1063"/>
      <c r="FN238" s="1035"/>
      <c r="FO238" s="1035"/>
      <c r="FP238" s="1035"/>
      <c r="FQ238" s="846">
        <f t="shared" ref="FQ238:FR240" si="1499">FM238+FO238</f>
        <v>0</v>
      </c>
      <c r="FR238" s="1018">
        <f t="shared" si="1499"/>
        <v>0</v>
      </c>
      <c r="FS238" s="971"/>
      <c r="FT238" s="1066"/>
      <c r="FU238" s="1066"/>
      <c r="FV238" s="1066"/>
      <c r="FW238" s="1066">
        <f t="shared" ref="FW238:FX240" si="1500">FS238+FU238</f>
        <v>0</v>
      </c>
      <c r="FX238" s="1067">
        <f t="shared" si="1500"/>
        <v>0</v>
      </c>
      <c r="FY238" s="1057" t="s">
        <v>335</v>
      </c>
      <c r="FZ238" s="976" t="s">
        <v>335</v>
      </c>
      <c r="GA238" s="834">
        <f t="shared" ref="GA238:GF240" si="1501">FM238+EU238</f>
        <v>2391964.04</v>
      </c>
      <c r="GB238" s="836">
        <f t="shared" si="1501"/>
        <v>2391964.04</v>
      </c>
      <c r="GC238" s="836">
        <f t="shared" si="1501"/>
        <v>0</v>
      </c>
      <c r="GD238" s="836">
        <f t="shared" si="1501"/>
        <v>0</v>
      </c>
      <c r="GE238" s="836">
        <f t="shared" si="1501"/>
        <v>2391964.04</v>
      </c>
      <c r="GF238" s="836">
        <f t="shared" si="1501"/>
        <v>2391964.04</v>
      </c>
      <c r="GG238" s="492"/>
      <c r="GH238" s="1160">
        <f t="shared" ref="GH238:GM240" si="1502">FB238+FS238</f>
        <v>0</v>
      </c>
      <c r="GI238" s="1069">
        <f t="shared" si="1502"/>
        <v>0</v>
      </c>
      <c r="GJ238" s="1069">
        <f t="shared" si="1502"/>
        <v>0</v>
      </c>
      <c r="GK238" s="1069">
        <f t="shared" si="1502"/>
        <v>0</v>
      </c>
      <c r="GL238" s="1069">
        <f t="shared" si="1502"/>
        <v>0</v>
      </c>
      <c r="GM238" s="1069">
        <f t="shared" si="1502"/>
        <v>0</v>
      </c>
      <c r="GN238" s="509"/>
      <c r="GO238" s="1271"/>
      <c r="GP238" s="1091" t="s">
        <v>335</v>
      </c>
      <c r="GQ238" s="1061" t="s">
        <v>335</v>
      </c>
      <c r="GR238" s="1092" t="s">
        <v>335</v>
      </c>
      <c r="GS238" s="1063"/>
      <c r="GT238" s="1035"/>
      <c r="GU238" s="1035"/>
      <c r="GV238" s="1035"/>
      <c r="GW238" s="846">
        <f t="shared" ref="GW238:GX240" si="1503">GS238+GU238</f>
        <v>0</v>
      </c>
      <c r="GX238" s="1018">
        <f t="shared" si="1503"/>
        <v>0</v>
      </c>
      <c r="GY238" s="971"/>
      <c r="GZ238" s="1066">
        <v>0</v>
      </c>
      <c r="HA238" s="1066"/>
      <c r="HB238" s="1066"/>
      <c r="HC238" s="1066">
        <f t="shared" ref="HC238:HD240" si="1504">GY238+HA238</f>
        <v>0</v>
      </c>
      <c r="HD238" s="1067">
        <f t="shared" si="1504"/>
        <v>0</v>
      </c>
      <c r="HE238" s="1712" t="s">
        <v>335</v>
      </c>
      <c r="HF238" s="976" t="s">
        <v>335</v>
      </c>
      <c r="HG238" s="834">
        <f t="shared" ref="HG238:HL240" si="1505">GS238+GA238</f>
        <v>2391964.04</v>
      </c>
      <c r="HH238" s="836">
        <f t="shared" si="1505"/>
        <v>2391964.04</v>
      </c>
      <c r="HI238" s="836">
        <f t="shared" si="1505"/>
        <v>0</v>
      </c>
      <c r="HJ238" s="836">
        <f t="shared" si="1505"/>
        <v>0</v>
      </c>
      <c r="HK238" s="836">
        <f t="shared" si="1505"/>
        <v>2391964.04</v>
      </c>
      <c r="HL238" s="836">
        <f t="shared" si="1505"/>
        <v>2391964.04</v>
      </c>
      <c r="HM238" s="492"/>
      <c r="HN238" s="1160">
        <f t="shared" ref="HN238:HS240" si="1506">GH238+GY238</f>
        <v>0</v>
      </c>
      <c r="HO238" s="1069">
        <f t="shared" si="1506"/>
        <v>0</v>
      </c>
      <c r="HP238" s="1069">
        <f t="shared" si="1506"/>
        <v>0</v>
      </c>
      <c r="HQ238" s="1069">
        <f t="shared" si="1506"/>
        <v>0</v>
      </c>
      <c r="HR238" s="1069">
        <f t="shared" si="1506"/>
        <v>0</v>
      </c>
      <c r="HS238" s="1069">
        <f t="shared" si="1506"/>
        <v>0</v>
      </c>
      <c r="HT238" s="509"/>
      <c r="HU238" s="1271"/>
    </row>
    <row r="239" spans="1:229" s="102" customFormat="1" ht="26.25" customHeight="1" x14ac:dyDescent="0.2">
      <c r="A239" s="3702"/>
      <c r="B239" s="3703"/>
      <c r="C239" s="1093" t="s">
        <v>370</v>
      </c>
      <c r="D239" s="1094" t="s">
        <v>404</v>
      </c>
      <c r="E239" s="1095"/>
      <c r="F239" s="1096"/>
      <c r="G239" s="1097"/>
      <c r="H239" s="1098"/>
      <c r="I239" s="1096"/>
      <c r="J239" s="1096"/>
      <c r="K239" s="1098"/>
      <c r="L239" s="1096"/>
      <c r="M239" s="1096"/>
      <c r="N239" s="1099"/>
      <c r="O239" s="1095"/>
      <c r="P239" s="1097"/>
      <c r="Q239" s="1097"/>
      <c r="R239" s="1097"/>
      <c r="S239" s="1100"/>
      <c r="T239" s="1101">
        <v>7192589.0099999998</v>
      </c>
      <c r="U239" s="1102" t="s">
        <v>335</v>
      </c>
      <c r="V239" s="865" t="s">
        <v>335</v>
      </c>
      <c r="W239" s="549">
        <v>899073.63</v>
      </c>
      <c r="X239" s="549">
        <v>0</v>
      </c>
      <c r="Y239" s="549">
        <v>0</v>
      </c>
      <c r="Z239" s="549">
        <v>0</v>
      </c>
      <c r="AA239" s="1103">
        <f t="shared" si="1481"/>
        <v>899073.63</v>
      </c>
      <c r="AB239" s="1104">
        <f t="shared" si="1481"/>
        <v>0</v>
      </c>
      <c r="AC239" s="626"/>
      <c r="AD239" s="547">
        <v>0</v>
      </c>
      <c r="AE239" s="547">
        <v>0</v>
      </c>
      <c r="AF239" s="547">
        <v>0</v>
      </c>
      <c r="AG239" s="547">
        <v>0</v>
      </c>
      <c r="AH239" s="1089">
        <f t="shared" si="1482"/>
        <v>0</v>
      </c>
      <c r="AI239" s="1090">
        <f t="shared" si="1482"/>
        <v>0</v>
      </c>
      <c r="AJ239" s="550"/>
      <c r="AK239" s="551"/>
      <c r="AL239" s="1105" t="s">
        <v>335</v>
      </c>
      <c r="AM239" s="1106" t="s">
        <v>335</v>
      </c>
      <c r="AN239" s="1107" t="s">
        <v>335</v>
      </c>
      <c r="AO239" s="1108">
        <v>899073.63</v>
      </c>
      <c r="AP239" s="1109"/>
      <c r="AQ239" s="1109"/>
      <c r="AR239" s="1109"/>
      <c r="AS239" s="846">
        <f t="shared" si="1483"/>
        <v>899073.63</v>
      </c>
      <c r="AT239" s="1018">
        <f t="shared" si="1483"/>
        <v>0</v>
      </c>
      <c r="AU239" s="1110">
        <v>0</v>
      </c>
      <c r="AV239" s="1111"/>
      <c r="AW239" s="1111">
        <v>0</v>
      </c>
      <c r="AX239" s="1111"/>
      <c r="AY239" s="843">
        <f t="shared" si="1484"/>
        <v>0</v>
      </c>
      <c r="AZ239" s="1112">
        <f t="shared" si="1484"/>
        <v>0</v>
      </c>
      <c r="BA239" s="1102" t="s">
        <v>335</v>
      </c>
      <c r="BB239" s="865" t="s">
        <v>335</v>
      </c>
      <c r="BC239" s="523">
        <f t="shared" si="1485"/>
        <v>1798147.26</v>
      </c>
      <c r="BD239" s="525">
        <f t="shared" si="1485"/>
        <v>0</v>
      </c>
      <c r="BE239" s="525">
        <f t="shared" si="1485"/>
        <v>0</v>
      </c>
      <c r="BF239" s="525">
        <f t="shared" si="1485"/>
        <v>0</v>
      </c>
      <c r="BG239" s="525">
        <f t="shared" si="1485"/>
        <v>1798147.26</v>
      </c>
      <c r="BH239" s="525">
        <f t="shared" si="1485"/>
        <v>0</v>
      </c>
      <c r="BI239" s="526"/>
      <c r="BJ239" s="535">
        <f t="shared" si="1486"/>
        <v>0</v>
      </c>
      <c r="BK239" s="538">
        <f t="shared" si="1486"/>
        <v>0</v>
      </c>
      <c r="BL239" s="538">
        <f t="shared" si="1486"/>
        <v>0</v>
      </c>
      <c r="BM239" s="538">
        <f t="shared" si="1486"/>
        <v>0</v>
      </c>
      <c r="BN239" s="538">
        <f t="shared" si="1486"/>
        <v>0</v>
      </c>
      <c r="BO239" s="538">
        <f t="shared" si="1486"/>
        <v>0</v>
      </c>
      <c r="BP239" s="779"/>
      <c r="BQ239" s="540"/>
      <c r="BR239" s="1105" t="s">
        <v>335</v>
      </c>
      <c r="BS239" s="1106" t="s">
        <v>335</v>
      </c>
      <c r="BT239" s="1107" t="s">
        <v>335</v>
      </c>
      <c r="BU239" s="1108">
        <v>899073.63</v>
      </c>
      <c r="BV239" s="1109"/>
      <c r="BW239" s="1109"/>
      <c r="BX239" s="1109"/>
      <c r="BY239" s="846">
        <f t="shared" si="1487"/>
        <v>899073.63</v>
      </c>
      <c r="BZ239" s="1018">
        <f t="shared" si="1487"/>
        <v>0</v>
      </c>
      <c r="CA239" s="1110"/>
      <c r="CB239" s="1111"/>
      <c r="CC239" s="1111"/>
      <c r="CD239" s="1111"/>
      <c r="CE239" s="843">
        <f t="shared" si="1488"/>
        <v>0</v>
      </c>
      <c r="CF239" s="1112">
        <f t="shared" si="1488"/>
        <v>0</v>
      </c>
      <c r="CG239" s="1102" t="s">
        <v>335</v>
      </c>
      <c r="CH239" s="865" t="s">
        <v>335</v>
      </c>
      <c r="CI239" s="1154">
        <f t="shared" si="1489"/>
        <v>2697220.89</v>
      </c>
      <c r="CJ239" s="878">
        <f t="shared" si="1489"/>
        <v>0</v>
      </c>
      <c r="CK239" s="878">
        <f t="shared" si="1489"/>
        <v>0</v>
      </c>
      <c r="CL239" s="878">
        <f t="shared" si="1489"/>
        <v>0</v>
      </c>
      <c r="CM239" s="878">
        <f t="shared" si="1489"/>
        <v>2697220.89</v>
      </c>
      <c r="CN239" s="878">
        <f t="shared" si="1489"/>
        <v>0</v>
      </c>
      <c r="CO239" s="1139"/>
      <c r="CP239" s="1153">
        <f t="shared" si="1490"/>
        <v>0</v>
      </c>
      <c r="CQ239" s="924">
        <f t="shared" si="1490"/>
        <v>0</v>
      </c>
      <c r="CR239" s="924">
        <f t="shared" si="1490"/>
        <v>0</v>
      </c>
      <c r="CS239" s="924">
        <f t="shared" si="1490"/>
        <v>0</v>
      </c>
      <c r="CT239" s="924">
        <f t="shared" si="1490"/>
        <v>0</v>
      </c>
      <c r="CU239" s="924">
        <f t="shared" si="1490"/>
        <v>0</v>
      </c>
      <c r="CV239" s="539"/>
      <c r="CW239" s="1272"/>
      <c r="CX239" s="1105" t="s">
        <v>335</v>
      </c>
      <c r="CY239" s="1106" t="s">
        <v>335</v>
      </c>
      <c r="CZ239" s="1107" t="s">
        <v>335</v>
      </c>
      <c r="DA239" s="1108">
        <v>899073.63</v>
      </c>
      <c r="DB239" s="1109"/>
      <c r="DC239" s="1109"/>
      <c r="DD239" s="1109"/>
      <c r="DE239" s="846">
        <f t="shared" si="1491"/>
        <v>899073.63</v>
      </c>
      <c r="DF239" s="1018">
        <f t="shared" si="1491"/>
        <v>0</v>
      </c>
      <c r="DG239" s="1110"/>
      <c r="DH239" s="1111"/>
      <c r="DI239" s="1111"/>
      <c r="DJ239" s="1111"/>
      <c r="DK239" s="843">
        <f t="shared" si="1492"/>
        <v>0</v>
      </c>
      <c r="DL239" s="1112">
        <f t="shared" si="1492"/>
        <v>0</v>
      </c>
      <c r="DM239" s="1102" t="s">
        <v>335</v>
      </c>
      <c r="DN239" s="865" t="s">
        <v>335</v>
      </c>
      <c r="DO239" s="1154">
        <f t="shared" si="1493"/>
        <v>3596294.52</v>
      </c>
      <c r="DP239" s="878">
        <f t="shared" si="1493"/>
        <v>0</v>
      </c>
      <c r="DQ239" s="878">
        <f t="shared" si="1493"/>
        <v>0</v>
      </c>
      <c r="DR239" s="878">
        <f t="shared" si="1493"/>
        <v>0</v>
      </c>
      <c r="DS239" s="878">
        <f t="shared" si="1493"/>
        <v>3596294.52</v>
      </c>
      <c r="DT239" s="878">
        <f t="shared" si="1493"/>
        <v>0</v>
      </c>
      <c r="DU239" s="1139"/>
      <c r="DV239" s="1153">
        <f t="shared" si="1494"/>
        <v>0</v>
      </c>
      <c r="DW239" s="924">
        <f t="shared" si="1494"/>
        <v>0</v>
      </c>
      <c r="DX239" s="924">
        <f t="shared" si="1494"/>
        <v>0</v>
      </c>
      <c r="DY239" s="924">
        <f t="shared" si="1494"/>
        <v>0</v>
      </c>
      <c r="DZ239" s="924">
        <f t="shared" si="1494"/>
        <v>0</v>
      </c>
      <c r="EA239" s="924">
        <f t="shared" si="1494"/>
        <v>0</v>
      </c>
      <c r="EB239" s="539"/>
      <c r="EC239" s="1272"/>
      <c r="ED239" s="1105" t="s">
        <v>335</v>
      </c>
      <c r="EE239" s="1106" t="s">
        <v>335</v>
      </c>
      <c r="EF239" s="1107" t="s">
        <v>335</v>
      </c>
      <c r="EG239" s="1108">
        <v>899073.63</v>
      </c>
      <c r="EH239" s="1109"/>
      <c r="EI239" s="1109"/>
      <c r="EJ239" s="1109"/>
      <c r="EK239" s="846">
        <f t="shared" si="1495"/>
        <v>899073.63</v>
      </c>
      <c r="EL239" s="1018">
        <f t="shared" si="1495"/>
        <v>0</v>
      </c>
      <c r="EM239" s="1110">
        <v>0</v>
      </c>
      <c r="EN239" s="1111">
        <v>0</v>
      </c>
      <c r="EO239" s="1111"/>
      <c r="EP239" s="1111"/>
      <c r="EQ239" s="843">
        <f t="shared" si="1496"/>
        <v>0</v>
      </c>
      <c r="ER239" s="1112">
        <f t="shared" si="1496"/>
        <v>0</v>
      </c>
      <c r="ES239" s="1102" t="s">
        <v>335</v>
      </c>
      <c r="ET239" s="865" t="s">
        <v>335</v>
      </c>
      <c r="EU239" s="1154">
        <f>EG239+DO239</f>
        <v>4495368.1500000004</v>
      </c>
      <c r="EV239" s="878">
        <f t="shared" si="1497"/>
        <v>0</v>
      </c>
      <c r="EW239" s="878">
        <f t="shared" si="1497"/>
        <v>0</v>
      </c>
      <c r="EX239" s="878">
        <f t="shared" si="1497"/>
        <v>0</v>
      </c>
      <c r="EY239" s="878">
        <f t="shared" si="1497"/>
        <v>4495368.1500000004</v>
      </c>
      <c r="EZ239" s="878">
        <f t="shared" si="1497"/>
        <v>0</v>
      </c>
      <c r="FA239" s="526"/>
      <c r="FB239" s="1153">
        <f>DV239+EM239</f>
        <v>0</v>
      </c>
      <c r="FC239" s="924">
        <f t="shared" si="1498"/>
        <v>0</v>
      </c>
      <c r="FD239" s="924">
        <f t="shared" si="1498"/>
        <v>0</v>
      </c>
      <c r="FE239" s="924">
        <f t="shared" si="1498"/>
        <v>0</v>
      </c>
      <c r="FF239" s="924">
        <f t="shared" si="1498"/>
        <v>0</v>
      </c>
      <c r="FG239" s="924">
        <f t="shared" si="1498"/>
        <v>0</v>
      </c>
      <c r="FH239" s="539"/>
      <c r="FI239" s="1272"/>
      <c r="FJ239" s="1105" t="s">
        <v>335</v>
      </c>
      <c r="FK239" s="1106" t="s">
        <v>335</v>
      </c>
      <c r="FL239" s="1107" t="s">
        <v>335</v>
      </c>
      <c r="FM239" s="1108">
        <f>899073.63*2</f>
        <v>1798147.26</v>
      </c>
      <c r="FN239" s="1109"/>
      <c r="FO239" s="1109"/>
      <c r="FP239" s="1109"/>
      <c r="FQ239" s="846">
        <f t="shared" si="1499"/>
        <v>1798147.26</v>
      </c>
      <c r="FR239" s="1018">
        <f t="shared" si="1499"/>
        <v>0</v>
      </c>
      <c r="FS239" s="1110"/>
      <c r="FT239" s="1111"/>
      <c r="FU239" s="1111"/>
      <c r="FV239" s="1111"/>
      <c r="FW239" s="843">
        <f t="shared" si="1500"/>
        <v>0</v>
      </c>
      <c r="FX239" s="1112">
        <f t="shared" si="1500"/>
        <v>0</v>
      </c>
      <c r="FY239" s="1102" t="s">
        <v>335</v>
      </c>
      <c r="FZ239" s="865" t="s">
        <v>335</v>
      </c>
      <c r="GA239" s="1154">
        <f t="shared" si="1501"/>
        <v>6293515.4100000001</v>
      </c>
      <c r="GB239" s="878">
        <f t="shared" si="1501"/>
        <v>0</v>
      </c>
      <c r="GC239" s="878">
        <f t="shared" si="1501"/>
        <v>0</v>
      </c>
      <c r="GD239" s="878">
        <f t="shared" si="1501"/>
        <v>0</v>
      </c>
      <c r="GE239" s="878">
        <f t="shared" si="1501"/>
        <v>6293515.4100000001</v>
      </c>
      <c r="GF239" s="878">
        <f t="shared" si="1501"/>
        <v>0</v>
      </c>
      <c r="GG239" s="526"/>
      <c r="GH239" s="1153">
        <f t="shared" si="1502"/>
        <v>0</v>
      </c>
      <c r="GI239" s="924">
        <f t="shared" si="1502"/>
        <v>0</v>
      </c>
      <c r="GJ239" s="924">
        <f t="shared" si="1502"/>
        <v>0</v>
      </c>
      <c r="GK239" s="924">
        <f t="shared" si="1502"/>
        <v>0</v>
      </c>
      <c r="GL239" s="924">
        <f t="shared" si="1502"/>
        <v>0</v>
      </c>
      <c r="GM239" s="924">
        <f t="shared" si="1502"/>
        <v>0</v>
      </c>
      <c r="GN239" s="539"/>
      <c r="GO239" s="1272"/>
      <c r="GP239" s="1105" t="s">
        <v>335</v>
      </c>
      <c r="GQ239" s="1106" t="s">
        <v>335</v>
      </c>
      <c r="GR239" s="1107" t="s">
        <v>335</v>
      </c>
      <c r="GS239" s="1108">
        <v>899073.6</v>
      </c>
      <c r="GT239" s="1109"/>
      <c r="GU239" s="1109"/>
      <c r="GV239" s="1109"/>
      <c r="GW239" s="846">
        <f t="shared" si="1503"/>
        <v>899073.6</v>
      </c>
      <c r="GX239" s="1018">
        <f t="shared" si="1503"/>
        <v>0</v>
      </c>
      <c r="GY239" s="1110"/>
      <c r="GZ239" s="1111">
        <v>0</v>
      </c>
      <c r="HA239" s="1111"/>
      <c r="HB239" s="1111"/>
      <c r="HC239" s="843">
        <f t="shared" si="1504"/>
        <v>0</v>
      </c>
      <c r="HD239" s="1112">
        <f t="shared" si="1504"/>
        <v>0</v>
      </c>
      <c r="HE239" s="1714" t="s">
        <v>335</v>
      </c>
      <c r="HF239" s="865" t="s">
        <v>335</v>
      </c>
      <c r="HG239" s="1154">
        <f t="shared" si="1505"/>
        <v>7192589.0099999998</v>
      </c>
      <c r="HH239" s="878">
        <f t="shared" si="1505"/>
        <v>0</v>
      </c>
      <c r="HI239" s="878">
        <f t="shared" si="1505"/>
        <v>0</v>
      </c>
      <c r="HJ239" s="878">
        <f t="shared" si="1505"/>
        <v>0</v>
      </c>
      <c r="HK239" s="878">
        <f t="shared" si="1505"/>
        <v>7192589.0099999998</v>
      </c>
      <c r="HL239" s="878">
        <f t="shared" si="1505"/>
        <v>0</v>
      </c>
      <c r="HM239" s="526"/>
      <c r="HN239" s="1153">
        <f t="shared" si="1506"/>
        <v>0</v>
      </c>
      <c r="HO239" s="924">
        <f t="shared" si="1506"/>
        <v>0</v>
      </c>
      <c r="HP239" s="924">
        <f t="shared" si="1506"/>
        <v>0</v>
      </c>
      <c r="HQ239" s="924">
        <f t="shared" si="1506"/>
        <v>0</v>
      </c>
      <c r="HR239" s="924">
        <f t="shared" si="1506"/>
        <v>0</v>
      </c>
      <c r="HS239" s="924">
        <f t="shared" si="1506"/>
        <v>0</v>
      </c>
      <c r="HT239" s="539"/>
      <c r="HU239" s="1272"/>
    </row>
    <row r="240" spans="1:229" s="102" customFormat="1" ht="27" customHeight="1" thickBot="1" x14ac:dyDescent="0.25">
      <c r="A240" s="3704"/>
      <c r="B240" s="3703"/>
      <c r="C240" s="1113" t="s">
        <v>402</v>
      </c>
      <c r="D240" s="929" t="s">
        <v>179</v>
      </c>
      <c r="E240" s="930"/>
      <c r="F240" s="635"/>
      <c r="G240" s="931"/>
      <c r="H240" s="932"/>
      <c r="I240" s="635"/>
      <c r="J240" s="635"/>
      <c r="K240" s="932"/>
      <c r="L240" s="635"/>
      <c r="M240" s="635"/>
      <c r="N240" s="933"/>
      <c r="O240" s="930"/>
      <c r="P240" s="931"/>
      <c r="Q240" s="931"/>
      <c r="R240" s="931"/>
      <c r="S240" s="934"/>
      <c r="T240" s="935">
        <v>42744159.630000003</v>
      </c>
      <c r="U240" s="807" t="s">
        <v>335</v>
      </c>
      <c r="V240" s="808" t="s">
        <v>335</v>
      </c>
      <c r="W240" s="611">
        <v>12729286.43</v>
      </c>
      <c r="X240" s="599">
        <v>0</v>
      </c>
      <c r="Y240" s="599">
        <v>0</v>
      </c>
      <c r="Z240" s="599">
        <v>0</v>
      </c>
      <c r="AA240" s="1114">
        <f t="shared" si="1481"/>
        <v>12729286.43</v>
      </c>
      <c r="AB240" s="1115">
        <f t="shared" si="1481"/>
        <v>0</v>
      </c>
      <c r="AC240" s="626"/>
      <c r="AD240" s="547">
        <v>1805598.82</v>
      </c>
      <c r="AE240" s="547">
        <v>1615926.82</v>
      </c>
      <c r="AF240" s="547">
        <v>0</v>
      </c>
      <c r="AG240" s="547">
        <v>0</v>
      </c>
      <c r="AH240" s="1089">
        <f t="shared" si="1482"/>
        <v>1805598.82</v>
      </c>
      <c r="AI240" s="1090">
        <f t="shared" si="1482"/>
        <v>1615926.82</v>
      </c>
      <c r="AJ240" s="550"/>
      <c r="AK240" s="551"/>
      <c r="AL240" s="1116" t="s">
        <v>335</v>
      </c>
      <c r="AM240" s="1117" t="s">
        <v>335</v>
      </c>
      <c r="AN240" s="1118" t="s">
        <v>335</v>
      </c>
      <c r="AO240" s="1119">
        <v>0</v>
      </c>
      <c r="AP240" s="1120"/>
      <c r="AQ240" s="1120"/>
      <c r="AR240" s="1120"/>
      <c r="AS240" s="846">
        <f t="shared" si="1483"/>
        <v>0</v>
      </c>
      <c r="AT240" s="1018">
        <f t="shared" si="1483"/>
        <v>0</v>
      </c>
      <c r="AU240" s="1121">
        <v>0</v>
      </c>
      <c r="AV240" s="1122"/>
      <c r="AW240" s="1122">
        <v>0</v>
      </c>
      <c r="AX240" s="1122"/>
      <c r="AY240" s="843">
        <f t="shared" si="1484"/>
        <v>0</v>
      </c>
      <c r="AZ240" s="1112">
        <f t="shared" si="1484"/>
        <v>0</v>
      </c>
      <c r="BA240" s="807" t="s">
        <v>335</v>
      </c>
      <c r="BB240" s="808" t="s">
        <v>335</v>
      </c>
      <c r="BC240" s="611">
        <f t="shared" si="1485"/>
        <v>12729286.43</v>
      </c>
      <c r="BD240" s="598">
        <f t="shared" si="1485"/>
        <v>0</v>
      </c>
      <c r="BE240" s="598">
        <f t="shared" si="1485"/>
        <v>0</v>
      </c>
      <c r="BF240" s="598">
        <f t="shared" si="1485"/>
        <v>0</v>
      </c>
      <c r="BG240" s="598">
        <f t="shared" si="1485"/>
        <v>12729286.43</v>
      </c>
      <c r="BH240" s="598">
        <f t="shared" si="1485"/>
        <v>0</v>
      </c>
      <c r="BI240" s="600"/>
      <c r="BJ240" s="609">
        <f t="shared" si="1486"/>
        <v>1805598.82</v>
      </c>
      <c r="BK240" s="613">
        <f t="shared" si="1486"/>
        <v>1615926.82</v>
      </c>
      <c r="BL240" s="613">
        <f t="shared" si="1486"/>
        <v>0</v>
      </c>
      <c r="BM240" s="613">
        <f t="shared" si="1486"/>
        <v>0</v>
      </c>
      <c r="BN240" s="613">
        <f t="shared" si="1486"/>
        <v>1805598.82</v>
      </c>
      <c r="BO240" s="613">
        <f t="shared" si="1486"/>
        <v>1615926.82</v>
      </c>
      <c r="BP240" s="772"/>
      <c r="BQ240" s="615"/>
      <c r="BR240" s="1116" t="s">
        <v>335</v>
      </c>
      <c r="BS240" s="1117" t="s">
        <v>335</v>
      </c>
      <c r="BT240" s="1118" t="s">
        <v>335</v>
      </c>
      <c r="BU240" s="1119"/>
      <c r="BV240" s="1120">
        <v>1122668.1499999999</v>
      </c>
      <c r="BW240" s="1120"/>
      <c r="BX240" s="1120"/>
      <c r="BY240" s="846">
        <f t="shared" si="1487"/>
        <v>0</v>
      </c>
      <c r="BZ240" s="1018">
        <f t="shared" si="1487"/>
        <v>1122668.1499999999</v>
      </c>
      <c r="CA240" s="1121">
        <v>200000</v>
      </c>
      <c r="CB240" s="1122">
        <f>46727.12+174673.36+525255.76</f>
        <v>746656.24</v>
      </c>
      <c r="CC240" s="1122"/>
      <c r="CD240" s="1122"/>
      <c r="CE240" s="843">
        <f t="shared" si="1488"/>
        <v>200000</v>
      </c>
      <c r="CF240" s="1112">
        <f t="shared" si="1488"/>
        <v>746656.24</v>
      </c>
      <c r="CG240" s="807" t="s">
        <v>335</v>
      </c>
      <c r="CH240" s="808" t="s">
        <v>335</v>
      </c>
      <c r="CI240" s="1266">
        <f t="shared" si="1489"/>
        <v>12729286.43</v>
      </c>
      <c r="CJ240" s="1267">
        <f t="shared" si="1489"/>
        <v>1122668.1499999999</v>
      </c>
      <c r="CK240" s="1267">
        <f t="shared" si="1489"/>
        <v>0</v>
      </c>
      <c r="CL240" s="1267">
        <f t="shared" si="1489"/>
        <v>0</v>
      </c>
      <c r="CM240" s="1267">
        <f t="shared" si="1489"/>
        <v>12729286.43</v>
      </c>
      <c r="CN240" s="1267">
        <f t="shared" si="1489"/>
        <v>1122668.1499999999</v>
      </c>
      <c r="CO240" s="1142"/>
      <c r="CP240" s="1156">
        <f t="shared" si="1490"/>
        <v>2005598.82</v>
      </c>
      <c r="CQ240" s="953">
        <f t="shared" si="1490"/>
        <v>2362583.06</v>
      </c>
      <c r="CR240" s="953">
        <f t="shared" si="1490"/>
        <v>0</v>
      </c>
      <c r="CS240" s="953">
        <f t="shared" si="1490"/>
        <v>0</v>
      </c>
      <c r="CT240" s="953">
        <f t="shared" si="1490"/>
        <v>2005598.82</v>
      </c>
      <c r="CU240" s="953">
        <f t="shared" si="1490"/>
        <v>2362583.06</v>
      </c>
      <c r="CV240" s="614"/>
      <c r="CW240" s="1143"/>
      <c r="CX240" s="1116" t="s">
        <v>335</v>
      </c>
      <c r="CY240" s="1117" t="s">
        <v>335</v>
      </c>
      <c r="CZ240" s="1118" t="s">
        <v>335</v>
      </c>
      <c r="DA240" s="1119">
        <v>0</v>
      </c>
      <c r="DB240" s="1120">
        <v>3550058.41</v>
      </c>
      <c r="DC240" s="1120"/>
      <c r="DD240" s="1120"/>
      <c r="DE240" s="846">
        <f t="shared" si="1491"/>
        <v>0</v>
      </c>
      <c r="DF240" s="1018">
        <f t="shared" si="1491"/>
        <v>3550058.41</v>
      </c>
      <c r="DG240" s="1121"/>
      <c r="DH240" s="1122"/>
      <c r="DI240" s="1122"/>
      <c r="DJ240" s="1122"/>
      <c r="DK240" s="843">
        <f t="shared" si="1492"/>
        <v>0</v>
      </c>
      <c r="DL240" s="1112">
        <f t="shared" si="1492"/>
        <v>0</v>
      </c>
      <c r="DM240" s="807" t="s">
        <v>335</v>
      </c>
      <c r="DN240" s="808" t="s">
        <v>335</v>
      </c>
      <c r="DO240" s="1266">
        <f t="shared" si="1493"/>
        <v>12729286.43</v>
      </c>
      <c r="DP240" s="1267">
        <f t="shared" si="1493"/>
        <v>4672726.5600000005</v>
      </c>
      <c r="DQ240" s="1267">
        <f t="shared" si="1493"/>
        <v>0</v>
      </c>
      <c r="DR240" s="1267">
        <f t="shared" si="1493"/>
        <v>0</v>
      </c>
      <c r="DS240" s="1267">
        <f t="shared" si="1493"/>
        <v>12729286.43</v>
      </c>
      <c r="DT240" s="1267">
        <f t="shared" si="1493"/>
        <v>4672726.5600000005</v>
      </c>
      <c r="DU240" s="1142"/>
      <c r="DV240" s="1156">
        <f t="shared" si="1494"/>
        <v>2005598.82</v>
      </c>
      <c r="DW240" s="953">
        <f t="shared" si="1494"/>
        <v>2362583.06</v>
      </c>
      <c r="DX240" s="953">
        <f t="shared" si="1494"/>
        <v>0</v>
      </c>
      <c r="DY240" s="953">
        <f t="shared" si="1494"/>
        <v>0</v>
      </c>
      <c r="DZ240" s="953">
        <f t="shared" si="1494"/>
        <v>2005598.82</v>
      </c>
      <c r="EA240" s="953">
        <f t="shared" si="1494"/>
        <v>2362583.06</v>
      </c>
      <c r="EB240" s="614"/>
      <c r="EC240" s="1143"/>
      <c r="ED240" s="1116" t="s">
        <v>335</v>
      </c>
      <c r="EE240" s="1117" t="s">
        <v>335</v>
      </c>
      <c r="EF240" s="1118" t="s">
        <v>335</v>
      </c>
      <c r="EG240" s="1119">
        <v>0</v>
      </c>
      <c r="EH240" s="1120">
        <v>3585529.89</v>
      </c>
      <c r="EI240" s="1120"/>
      <c r="EJ240" s="1120"/>
      <c r="EK240" s="846">
        <f t="shared" si="1495"/>
        <v>0</v>
      </c>
      <c r="EL240" s="1018">
        <f t="shared" si="1495"/>
        <v>3585529.89</v>
      </c>
      <c r="EM240" s="1121">
        <v>200000</v>
      </c>
      <c r="EN240" s="1122">
        <v>0</v>
      </c>
      <c r="EO240" s="1122"/>
      <c r="EP240" s="1122"/>
      <c r="EQ240" s="843">
        <f t="shared" si="1496"/>
        <v>200000</v>
      </c>
      <c r="ER240" s="1112">
        <f t="shared" si="1496"/>
        <v>0</v>
      </c>
      <c r="ES240" s="807" t="s">
        <v>335</v>
      </c>
      <c r="ET240" s="808" t="s">
        <v>335</v>
      </c>
      <c r="EU240" s="1083">
        <f>EG240+DO240</f>
        <v>12729286.43</v>
      </c>
      <c r="EV240" s="1084">
        <f t="shared" si="1497"/>
        <v>8258256.4500000011</v>
      </c>
      <c r="EW240" s="1084">
        <f t="shared" si="1497"/>
        <v>0</v>
      </c>
      <c r="EX240" s="1084">
        <f t="shared" si="1497"/>
        <v>0</v>
      </c>
      <c r="EY240" s="1084">
        <f t="shared" si="1497"/>
        <v>12729286.43</v>
      </c>
      <c r="EZ240" s="1084">
        <f t="shared" si="1497"/>
        <v>8258256.4500000011</v>
      </c>
      <c r="FA240" s="600"/>
      <c r="FB240" s="1156">
        <f>DV240+EM240</f>
        <v>2205598.8200000003</v>
      </c>
      <c r="FC240" s="953">
        <f t="shared" si="1498"/>
        <v>2362583.06</v>
      </c>
      <c r="FD240" s="953">
        <f t="shared" si="1498"/>
        <v>0</v>
      </c>
      <c r="FE240" s="953">
        <f t="shared" si="1498"/>
        <v>0</v>
      </c>
      <c r="FF240" s="953">
        <f t="shared" si="1498"/>
        <v>2205598.8200000003</v>
      </c>
      <c r="FG240" s="953">
        <f t="shared" si="1498"/>
        <v>2362583.06</v>
      </c>
      <c r="FH240" s="614"/>
      <c r="FI240" s="1143"/>
      <c r="FJ240" s="1116" t="s">
        <v>335</v>
      </c>
      <c r="FK240" s="1117" t="s">
        <v>335</v>
      </c>
      <c r="FL240" s="1118" t="s">
        <v>335</v>
      </c>
      <c r="FM240" s="1119"/>
      <c r="FN240" s="1120">
        <v>4619891.93</v>
      </c>
      <c r="FO240" s="1120"/>
      <c r="FP240" s="1120"/>
      <c r="FQ240" s="846">
        <f t="shared" si="1499"/>
        <v>0</v>
      </c>
      <c r="FR240" s="1018">
        <f t="shared" si="1499"/>
        <v>4619891.93</v>
      </c>
      <c r="FS240" s="1121">
        <v>154646</v>
      </c>
      <c r="FT240" s="1122">
        <v>168420.03</v>
      </c>
      <c r="FU240" s="1122"/>
      <c r="FV240" s="1122"/>
      <c r="FW240" s="843">
        <f t="shared" si="1500"/>
        <v>154646</v>
      </c>
      <c r="FX240" s="1112">
        <f t="shared" si="1500"/>
        <v>168420.03</v>
      </c>
      <c r="FY240" s="807" t="s">
        <v>335</v>
      </c>
      <c r="FZ240" s="808" t="s">
        <v>335</v>
      </c>
      <c r="GA240" s="1083">
        <f t="shared" si="1501"/>
        <v>12729286.43</v>
      </c>
      <c r="GB240" s="1084">
        <f t="shared" si="1501"/>
        <v>12878148.380000001</v>
      </c>
      <c r="GC240" s="1084">
        <f t="shared" si="1501"/>
        <v>0</v>
      </c>
      <c r="GD240" s="1084">
        <f t="shared" si="1501"/>
        <v>0</v>
      </c>
      <c r="GE240" s="1084">
        <f t="shared" si="1501"/>
        <v>12729286.43</v>
      </c>
      <c r="GF240" s="1084">
        <f t="shared" si="1501"/>
        <v>12878148.380000001</v>
      </c>
      <c r="GG240" s="600"/>
      <c r="GH240" s="1156">
        <f t="shared" si="1502"/>
        <v>2360244.8200000003</v>
      </c>
      <c r="GI240" s="953">
        <f t="shared" si="1502"/>
        <v>2531003.09</v>
      </c>
      <c r="GJ240" s="953">
        <f t="shared" si="1502"/>
        <v>0</v>
      </c>
      <c r="GK240" s="953">
        <f t="shared" si="1502"/>
        <v>0</v>
      </c>
      <c r="GL240" s="953">
        <f t="shared" si="1502"/>
        <v>2360244.8200000003</v>
      </c>
      <c r="GM240" s="953">
        <f t="shared" si="1502"/>
        <v>2531003.09</v>
      </c>
      <c r="GN240" s="614"/>
      <c r="GO240" s="1143"/>
      <c r="GP240" s="1116" t="s">
        <v>335</v>
      </c>
      <c r="GQ240" s="1117" t="s">
        <v>335</v>
      </c>
      <c r="GR240" s="1118" t="s">
        <v>335</v>
      </c>
      <c r="GS240" s="1119"/>
      <c r="GT240" s="1120"/>
      <c r="GU240" s="1120"/>
      <c r="GV240" s="1120"/>
      <c r="GW240" s="846">
        <f t="shared" si="1503"/>
        <v>0</v>
      </c>
      <c r="GX240" s="1018">
        <f t="shared" si="1503"/>
        <v>0</v>
      </c>
      <c r="GY240" s="1121"/>
      <c r="GZ240" s="1122">
        <v>0</v>
      </c>
      <c r="HA240" s="1122"/>
      <c r="HB240" s="1122"/>
      <c r="HC240" s="843">
        <f t="shared" si="1504"/>
        <v>0</v>
      </c>
      <c r="HD240" s="1112">
        <f t="shared" si="1504"/>
        <v>0</v>
      </c>
      <c r="HE240" s="1713" t="s">
        <v>335</v>
      </c>
      <c r="HF240" s="808" t="s">
        <v>335</v>
      </c>
      <c r="HG240" s="1083">
        <f t="shared" si="1505"/>
        <v>12729286.43</v>
      </c>
      <c r="HH240" s="1084">
        <f t="shared" si="1505"/>
        <v>12878148.380000001</v>
      </c>
      <c r="HI240" s="1084">
        <f t="shared" si="1505"/>
        <v>0</v>
      </c>
      <c r="HJ240" s="1084">
        <f t="shared" si="1505"/>
        <v>0</v>
      </c>
      <c r="HK240" s="1084">
        <f t="shared" si="1505"/>
        <v>12729286.43</v>
      </c>
      <c r="HL240" s="1084">
        <f t="shared" si="1505"/>
        <v>12878148.380000001</v>
      </c>
      <c r="HM240" s="600"/>
      <c r="HN240" s="1156">
        <f t="shared" si="1506"/>
        <v>2360244.8200000003</v>
      </c>
      <c r="HO240" s="953">
        <f t="shared" si="1506"/>
        <v>2531003.09</v>
      </c>
      <c r="HP240" s="953">
        <f t="shared" si="1506"/>
        <v>0</v>
      </c>
      <c r="HQ240" s="953">
        <f t="shared" si="1506"/>
        <v>0</v>
      </c>
      <c r="HR240" s="953">
        <f t="shared" si="1506"/>
        <v>2360244.8200000003</v>
      </c>
      <c r="HS240" s="953">
        <f t="shared" si="1506"/>
        <v>2531003.09</v>
      </c>
      <c r="HT240" s="614"/>
      <c r="HU240" s="1143"/>
    </row>
    <row r="241" spans="1:229" s="101" customFormat="1" ht="26.25" customHeight="1" thickBot="1" x14ac:dyDescent="0.25">
      <c r="A241" s="3705"/>
      <c r="B241" s="3706"/>
      <c r="C241" s="1123" t="s">
        <v>377</v>
      </c>
      <c r="D241" s="1124" t="s">
        <v>403</v>
      </c>
      <c r="E241" s="740"/>
      <c r="F241" s="189"/>
      <c r="G241" s="740"/>
      <c r="H241" s="699"/>
      <c r="I241" s="189"/>
      <c r="J241" s="189"/>
      <c r="K241" s="699"/>
      <c r="L241" s="189"/>
      <c r="M241" s="189"/>
      <c r="N241" s="990"/>
      <c r="O241" s="740"/>
      <c r="P241" s="740"/>
      <c r="Q241" s="740"/>
      <c r="R241" s="740"/>
      <c r="S241" s="740"/>
      <c r="T241" s="620"/>
      <c r="U241" s="646">
        <f>SUM(U238:U240)</f>
        <v>0</v>
      </c>
      <c r="V241" s="646">
        <f>SUM(V238:V240)</f>
        <v>0</v>
      </c>
      <c r="W241" s="646">
        <f t="shared" ref="W241:AB241" si="1507">SUM(W238:W240)</f>
        <v>16020324.1</v>
      </c>
      <c r="X241" s="646">
        <f t="shared" si="1507"/>
        <v>0</v>
      </c>
      <c r="Y241" s="646">
        <f t="shared" si="1507"/>
        <v>0</v>
      </c>
      <c r="Z241" s="646">
        <f t="shared" si="1507"/>
        <v>0</v>
      </c>
      <c r="AA241" s="646">
        <f t="shared" si="1507"/>
        <v>16020324.1</v>
      </c>
      <c r="AB241" s="646">
        <f t="shared" si="1507"/>
        <v>0</v>
      </c>
      <c r="AC241" s="621"/>
      <c r="AD241" s="622">
        <f t="shared" ref="AD241:AI241" si="1508">SUM(AD238:AD240)</f>
        <v>1805598.82</v>
      </c>
      <c r="AE241" s="622">
        <f t="shared" si="1508"/>
        <v>1615926.82</v>
      </c>
      <c r="AF241" s="622">
        <f t="shared" si="1508"/>
        <v>0</v>
      </c>
      <c r="AG241" s="622">
        <f t="shared" si="1508"/>
        <v>0</v>
      </c>
      <c r="AH241" s="622">
        <f t="shared" si="1508"/>
        <v>1805598.82</v>
      </c>
      <c r="AI241" s="622">
        <f t="shared" si="1508"/>
        <v>1615926.82</v>
      </c>
      <c r="AJ241" s="621"/>
      <c r="AK241" s="623"/>
      <c r="AL241" s="619">
        <f>SUM(AL238:AL240)</f>
        <v>0</v>
      </c>
      <c r="AM241" s="622">
        <f t="shared" ref="AM241:AZ241" si="1509">SUM(AM238:AM240)</f>
        <v>0</v>
      </c>
      <c r="AN241" s="622">
        <f t="shared" si="1509"/>
        <v>0</v>
      </c>
      <c r="AO241" s="619">
        <f t="shared" si="1509"/>
        <v>899073.63</v>
      </c>
      <c r="AP241" s="619">
        <f t="shared" si="1509"/>
        <v>0</v>
      </c>
      <c r="AQ241" s="619">
        <f t="shared" si="1509"/>
        <v>0</v>
      </c>
      <c r="AR241" s="619">
        <f t="shared" si="1509"/>
        <v>0</v>
      </c>
      <c r="AS241" s="619">
        <f t="shared" si="1509"/>
        <v>899073.63</v>
      </c>
      <c r="AT241" s="619">
        <f t="shared" si="1509"/>
        <v>0</v>
      </c>
      <c r="AU241" s="619">
        <f t="shared" si="1509"/>
        <v>0</v>
      </c>
      <c r="AV241" s="619">
        <f t="shared" si="1509"/>
        <v>0</v>
      </c>
      <c r="AW241" s="619">
        <f t="shared" si="1509"/>
        <v>0</v>
      </c>
      <c r="AX241" s="619">
        <f t="shared" si="1509"/>
        <v>0</v>
      </c>
      <c r="AY241" s="619">
        <f t="shared" si="1509"/>
        <v>0</v>
      </c>
      <c r="AZ241" s="620">
        <f t="shared" si="1509"/>
        <v>0</v>
      </c>
      <c r="BA241" s="619">
        <f>U241+AM241</f>
        <v>0</v>
      </c>
      <c r="BB241" s="619">
        <f>V241+AN241</f>
        <v>0</v>
      </c>
      <c r="BC241" s="619">
        <f t="shared" si="1485"/>
        <v>16919397.73</v>
      </c>
      <c r="BD241" s="619">
        <f t="shared" si="1485"/>
        <v>0</v>
      </c>
      <c r="BE241" s="619">
        <f t="shared" si="1485"/>
        <v>0</v>
      </c>
      <c r="BF241" s="619">
        <f t="shared" si="1485"/>
        <v>0</v>
      </c>
      <c r="BG241" s="619">
        <f t="shared" si="1485"/>
        <v>16919397.73</v>
      </c>
      <c r="BH241" s="619">
        <f t="shared" si="1485"/>
        <v>0</v>
      </c>
      <c r="BI241" s="782"/>
      <c r="BJ241" s="619">
        <f t="shared" si="1486"/>
        <v>1805598.82</v>
      </c>
      <c r="BK241" s="619">
        <f t="shared" si="1486"/>
        <v>1615926.82</v>
      </c>
      <c r="BL241" s="619">
        <f t="shared" si="1486"/>
        <v>0</v>
      </c>
      <c r="BM241" s="619">
        <f t="shared" si="1486"/>
        <v>0</v>
      </c>
      <c r="BN241" s="619">
        <f t="shared" si="1486"/>
        <v>1805598.82</v>
      </c>
      <c r="BO241" s="619">
        <f t="shared" si="1486"/>
        <v>1615926.82</v>
      </c>
      <c r="BP241" s="782"/>
      <c r="BQ241" s="819"/>
      <c r="BR241" s="619">
        <f>SUM(BR238:BR240)</f>
        <v>0</v>
      </c>
      <c r="BS241" s="622">
        <f t="shared" ref="BS241:CF241" si="1510">SUM(BS238:BS240)</f>
        <v>0</v>
      </c>
      <c r="BT241" s="622">
        <f t="shared" si="1510"/>
        <v>0</v>
      </c>
      <c r="BU241" s="619">
        <f t="shared" si="1510"/>
        <v>899073.63</v>
      </c>
      <c r="BV241" s="619">
        <f t="shared" si="1510"/>
        <v>3514632.19</v>
      </c>
      <c r="BW241" s="619">
        <f t="shared" si="1510"/>
        <v>0</v>
      </c>
      <c r="BX241" s="619">
        <f t="shared" si="1510"/>
        <v>0</v>
      </c>
      <c r="BY241" s="619">
        <f t="shared" si="1510"/>
        <v>899073.63</v>
      </c>
      <c r="BZ241" s="619">
        <f t="shared" si="1510"/>
        <v>3514632.19</v>
      </c>
      <c r="CA241" s="619">
        <f t="shared" si="1510"/>
        <v>200000</v>
      </c>
      <c r="CB241" s="619">
        <f t="shared" si="1510"/>
        <v>746656.24</v>
      </c>
      <c r="CC241" s="619">
        <f t="shared" si="1510"/>
        <v>0</v>
      </c>
      <c r="CD241" s="619">
        <f t="shared" si="1510"/>
        <v>0</v>
      </c>
      <c r="CE241" s="619">
        <f t="shared" si="1510"/>
        <v>200000</v>
      </c>
      <c r="CF241" s="620">
        <f t="shared" si="1510"/>
        <v>746656.24</v>
      </c>
      <c r="CG241" s="619">
        <f>BA241+BS241</f>
        <v>0</v>
      </c>
      <c r="CH241" s="619">
        <f>BB241+BT241</f>
        <v>0</v>
      </c>
      <c r="CI241" s="619">
        <f t="shared" ref="CI241:CN241" si="1511">SUM(CI238:CI240)</f>
        <v>17818471.359999999</v>
      </c>
      <c r="CJ241" s="619">
        <f t="shared" si="1511"/>
        <v>3514632.19</v>
      </c>
      <c r="CK241" s="619">
        <f t="shared" si="1511"/>
        <v>0</v>
      </c>
      <c r="CL241" s="619">
        <f t="shared" si="1511"/>
        <v>0</v>
      </c>
      <c r="CM241" s="619">
        <f t="shared" si="1511"/>
        <v>17818471.359999999</v>
      </c>
      <c r="CN241" s="619">
        <f t="shared" si="1511"/>
        <v>3514632.19</v>
      </c>
      <c r="CO241" s="782"/>
      <c r="CP241" s="189">
        <f t="shared" ref="CP241:CU241" si="1512">SUM(CP238:CP240)</f>
        <v>2005598.82</v>
      </c>
      <c r="CQ241" s="189">
        <f t="shared" si="1512"/>
        <v>2362583.06</v>
      </c>
      <c r="CR241" s="189">
        <f t="shared" si="1512"/>
        <v>0</v>
      </c>
      <c r="CS241" s="189">
        <f t="shared" si="1512"/>
        <v>0</v>
      </c>
      <c r="CT241" s="189">
        <f t="shared" si="1512"/>
        <v>2005598.82</v>
      </c>
      <c r="CU241" s="189">
        <f t="shared" si="1512"/>
        <v>2362583.06</v>
      </c>
      <c r="CV241" s="1273"/>
      <c r="CW241" s="819"/>
      <c r="CX241" s="619">
        <f>SUM(CX238:CX240)</f>
        <v>0</v>
      </c>
      <c r="CY241" s="622">
        <f t="shared" ref="CY241:DL241" si="1513">SUM(CY238:CY240)</f>
        <v>0</v>
      </c>
      <c r="CZ241" s="622">
        <f t="shared" si="1513"/>
        <v>0</v>
      </c>
      <c r="DA241" s="619">
        <f t="shared" si="1513"/>
        <v>899073.63</v>
      </c>
      <c r="DB241" s="619">
        <f t="shared" si="1513"/>
        <v>3550058.41</v>
      </c>
      <c r="DC241" s="619">
        <f t="shared" si="1513"/>
        <v>0</v>
      </c>
      <c r="DD241" s="619">
        <f t="shared" si="1513"/>
        <v>0</v>
      </c>
      <c r="DE241" s="619">
        <f t="shared" si="1513"/>
        <v>899073.63</v>
      </c>
      <c r="DF241" s="619">
        <f t="shared" si="1513"/>
        <v>3550058.41</v>
      </c>
      <c r="DG241" s="619">
        <f t="shared" si="1513"/>
        <v>0</v>
      </c>
      <c r="DH241" s="619">
        <f t="shared" si="1513"/>
        <v>0</v>
      </c>
      <c r="DI241" s="619">
        <f t="shared" si="1513"/>
        <v>0</v>
      </c>
      <c r="DJ241" s="619">
        <f t="shared" si="1513"/>
        <v>0</v>
      </c>
      <c r="DK241" s="619">
        <f t="shared" si="1513"/>
        <v>0</v>
      </c>
      <c r="DL241" s="620">
        <f t="shared" si="1513"/>
        <v>0</v>
      </c>
      <c r="DM241" s="619">
        <f>CG241+CY241</f>
        <v>0</v>
      </c>
      <c r="DN241" s="619">
        <f>CH241+CZ241</f>
        <v>0</v>
      </c>
      <c r="DO241" s="619">
        <f t="shared" ref="DO241:DT241" si="1514">SUM(DO238:DO240)</f>
        <v>18717544.990000002</v>
      </c>
      <c r="DP241" s="619">
        <f t="shared" si="1514"/>
        <v>7064690.6000000006</v>
      </c>
      <c r="DQ241" s="619">
        <f t="shared" si="1514"/>
        <v>0</v>
      </c>
      <c r="DR241" s="619">
        <f t="shared" si="1514"/>
        <v>0</v>
      </c>
      <c r="DS241" s="619">
        <f t="shared" si="1514"/>
        <v>18717544.990000002</v>
      </c>
      <c r="DT241" s="619">
        <f t="shared" si="1514"/>
        <v>7064690.6000000006</v>
      </c>
      <c r="DU241" s="782"/>
      <c r="DV241" s="189">
        <f t="shared" ref="DV241:EA241" si="1515">SUM(DV238:DV240)</f>
        <v>2005598.82</v>
      </c>
      <c r="DW241" s="189">
        <f t="shared" si="1515"/>
        <v>2362583.06</v>
      </c>
      <c r="DX241" s="189">
        <f t="shared" si="1515"/>
        <v>0</v>
      </c>
      <c r="DY241" s="189">
        <f t="shared" si="1515"/>
        <v>0</v>
      </c>
      <c r="DZ241" s="189">
        <f t="shared" si="1515"/>
        <v>2005598.82</v>
      </c>
      <c r="EA241" s="189">
        <f t="shared" si="1515"/>
        <v>2362583.06</v>
      </c>
      <c r="EB241" s="1273"/>
      <c r="EC241" s="819"/>
      <c r="ED241" s="619">
        <f>SUM(ED238:ED240)</f>
        <v>0</v>
      </c>
      <c r="EE241" s="622">
        <f t="shared" ref="EE241:ER241" si="1516">SUM(EE238:EE240)</f>
        <v>0</v>
      </c>
      <c r="EF241" s="622">
        <f t="shared" si="1516"/>
        <v>0</v>
      </c>
      <c r="EG241" s="619">
        <f t="shared" si="1516"/>
        <v>899073.63</v>
      </c>
      <c r="EH241" s="619">
        <f t="shared" si="1516"/>
        <v>3585529.89</v>
      </c>
      <c r="EI241" s="619">
        <f t="shared" si="1516"/>
        <v>0</v>
      </c>
      <c r="EJ241" s="619">
        <f t="shared" si="1516"/>
        <v>0</v>
      </c>
      <c r="EK241" s="619">
        <f t="shared" si="1516"/>
        <v>899073.63</v>
      </c>
      <c r="EL241" s="619">
        <f t="shared" si="1516"/>
        <v>3585529.89</v>
      </c>
      <c r="EM241" s="619">
        <f t="shared" si="1516"/>
        <v>200000</v>
      </c>
      <c r="EN241" s="619">
        <f t="shared" si="1516"/>
        <v>0</v>
      </c>
      <c r="EO241" s="619">
        <f t="shared" si="1516"/>
        <v>0</v>
      </c>
      <c r="EP241" s="619">
        <f t="shared" si="1516"/>
        <v>0</v>
      </c>
      <c r="EQ241" s="619">
        <f t="shared" si="1516"/>
        <v>200000</v>
      </c>
      <c r="ER241" s="620">
        <f t="shared" si="1516"/>
        <v>0</v>
      </c>
      <c r="ES241" s="619">
        <f>DM241+EE241</f>
        <v>0</v>
      </c>
      <c r="ET241" s="619">
        <f>DN241+EF241</f>
        <v>0</v>
      </c>
      <c r="EU241" s="619">
        <f t="shared" ref="EU241:EZ241" si="1517">SUM(EU238:EU240)</f>
        <v>19616618.620000001</v>
      </c>
      <c r="EV241" s="619">
        <f t="shared" si="1517"/>
        <v>10650220.490000002</v>
      </c>
      <c r="EW241" s="619">
        <f t="shared" si="1517"/>
        <v>0</v>
      </c>
      <c r="EX241" s="619">
        <f t="shared" si="1517"/>
        <v>0</v>
      </c>
      <c r="EY241" s="619">
        <f t="shared" si="1517"/>
        <v>19616618.620000001</v>
      </c>
      <c r="EZ241" s="619">
        <f t="shared" si="1517"/>
        <v>10650220.490000002</v>
      </c>
      <c r="FA241" s="782"/>
      <c r="FB241" s="189">
        <f t="shared" ref="FB241:FG241" si="1518">SUM(FB238:FB240)</f>
        <v>2205598.8200000003</v>
      </c>
      <c r="FC241" s="189">
        <f t="shared" si="1518"/>
        <v>2362583.06</v>
      </c>
      <c r="FD241" s="189">
        <f t="shared" si="1518"/>
        <v>0</v>
      </c>
      <c r="FE241" s="189">
        <f t="shared" si="1518"/>
        <v>0</v>
      </c>
      <c r="FF241" s="189">
        <f t="shared" si="1518"/>
        <v>2205598.8200000003</v>
      </c>
      <c r="FG241" s="189">
        <f t="shared" si="1518"/>
        <v>2362583.06</v>
      </c>
      <c r="FH241" s="1273"/>
      <c r="FI241" s="819"/>
      <c r="FJ241" s="619">
        <f>SUM(FJ238:FJ240)</f>
        <v>0</v>
      </c>
      <c r="FK241" s="622">
        <f t="shared" ref="FK241:FX241" si="1519">SUM(FK238:FK240)</f>
        <v>0</v>
      </c>
      <c r="FL241" s="622">
        <f t="shared" si="1519"/>
        <v>0</v>
      </c>
      <c r="FM241" s="619">
        <f t="shared" si="1519"/>
        <v>1798147.26</v>
      </c>
      <c r="FN241" s="619">
        <f t="shared" si="1519"/>
        <v>4619891.93</v>
      </c>
      <c r="FO241" s="619">
        <f t="shared" si="1519"/>
        <v>0</v>
      </c>
      <c r="FP241" s="619">
        <f t="shared" si="1519"/>
        <v>0</v>
      </c>
      <c r="FQ241" s="619">
        <f t="shared" si="1519"/>
        <v>1798147.26</v>
      </c>
      <c r="FR241" s="619">
        <f t="shared" si="1519"/>
        <v>4619891.93</v>
      </c>
      <c r="FS241" s="619">
        <f t="shared" si="1519"/>
        <v>154646</v>
      </c>
      <c r="FT241" s="619">
        <f t="shared" si="1519"/>
        <v>168420.03</v>
      </c>
      <c r="FU241" s="619">
        <f t="shared" si="1519"/>
        <v>0</v>
      </c>
      <c r="FV241" s="619">
        <f t="shared" si="1519"/>
        <v>0</v>
      </c>
      <c r="FW241" s="619">
        <f t="shared" si="1519"/>
        <v>154646</v>
      </c>
      <c r="FX241" s="620">
        <f t="shared" si="1519"/>
        <v>168420.03</v>
      </c>
      <c r="FY241" s="619">
        <f>ES241+FK241</f>
        <v>0</v>
      </c>
      <c r="FZ241" s="619">
        <f>ET241+FL241</f>
        <v>0</v>
      </c>
      <c r="GA241" s="619">
        <f t="shared" ref="GA241:GF241" si="1520">SUM(GA238:GA240)</f>
        <v>21414765.879999999</v>
      </c>
      <c r="GB241" s="619">
        <f t="shared" si="1520"/>
        <v>15270112.420000002</v>
      </c>
      <c r="GC241" s="619">
        <f t="shared" si="1520"/>
        <v>0</v>
      </c>
      <c r="GD241" s="619">
        <f t="shared" si="1520"/>
        <v>0</v>
      </c>
      <c r="GE241" s="619">
        <f t="shared" si="1520"/>
        <v>21414765.879999999</v>
      </c>
      <c r="GF241" s="619">
        <f t="shared" si="1520"/>
        <v>15270112.420000002</v>
      </c>
      <c r="GG241" s="782"/>
      <c r="GH241" s="189">
        <f t="shared" ref="GH241:GM241" si="1521">SUM(GH238:GH240)</f>
        <v>2360244.8200000003</v>
      </c>
      <c r="GI241" s="189">
        <f t="shared" si="1521"/>
        <v>2531003.09</v>
      </c>
      <c r="GJ241" s="189">
        <f t="shared" si="1521"/>
        <v>0</v>
      </c>
      <c r="GK241" s="189">
        <f t="shared" si="1521"/>
        <v>0</v>
      </c>
      <c r="GL241" s="189">
        <f t="shared" si="1521"/>
        <v>2360244.8200000003</v>
      </c>
      <c r="GM241" s="189">
        <f t="shared" si="1521"/>
        <v>2531003.09</v>
      </c>
      <c r="GN241" s="1273"/>
      <c r="GO241" s="819"/>
      <c r="GP241" s="619">
        <f>SUM(GP238:GP240)</f>
        <v>0</v>
      </c>
      <c r="GQ241" s="622">
        <f t="shared" ref="GQ241:HD241" si="1522">SUM(GQ238:GQ240)</f>
        <v>0</v>
      </c>
      <c r="GR241" s="622">
        <f t="shared" si="1522"/>
        <v>0</v>
      </c>
      <c r="GS241" s="619">
        <f t="shared" si="1522"/>
        <v>899073.6</v>
      </c>
      <c r="GT241" s="619">
        <f t="shared" si="1522"/>
        <v>0</v>
      </c>
      <c r="GU241" s="619">
        <f t="shared" si="1522"/>
        <v>0</v>
      </c>
      <c r="GV241" s="619">
        <f t="shared" si="1522"/>
        <v>0</v>
      </c>
      <c r="GW241" s="619">
        <f t="shared" si="1522"/>
        <v>899073.6</v>
      </c>
      <c r="GX241" s="619">
        <f t="shared" si="1522"/>
        <v>0</v>
      </c>
      <c r="GY241" s="619">
        <f t="shared" si="1522"/>
        <v>0</v>
      </c>
      <c r="GZ241" s="619">
        <f t="shared" si="1522"/>
        <v>0</v>
      </c>
      <c r="HA241" s="619">
        <f t="shared" si="1522"/>
        <v>0</v>
      </c>
      <c r="HB241" s="619">
        <f t="shared" si="1522"/>
        <v>0</v>
      </c>
      <c r="HC241" s="619">
        <f t="shared" si="1522"/>
        <v>0</v>
      </c>
      <c r="HD241" s="620">
        <f t="shared" si="1522"/>
        <v>0</v>
      </c>
      <c r="HE241" s="1682">
        <f>FY241+GQ241</f>
        <v>0</v>
      </c>
      <c r="HF241" s="619">
        <f>FZ241+GR241</f>
        <v>0</v>
      </c>
      <c r="HG241" s="619">
        <f t="shared" ref="HG241:HL241" si="1523">SUM(HG238:HG240)</f>
        <v>22313839.48</v>
      </c>
      <c r="HH241" s="619">
        <f t="shared" si="1523"/>
        <v>15270112.420000002</v>
      </c>
      <c r="HI241" s="619">
        <f t="shared" si="1523"/>
        <v>0</v>
      </c>
      <c r="HJ241" s="619">
        <f t="shared" si="1523"/>
        <v>0</v>
      </c>
      <c r="HK241" s="619">
        <f t="shared" si="1523"/>
        <v>22313839.48</v>
      </c>
      <c r="HL241" s="619">
        <f t="shared" si="1523"/>
        <v>15270112.420000002</v>
      </c>
      <c r="HM241" s="782"/>
      <c r="HN241" s="189">
        <f t="shared" ref="HN241:HS241" si="1524">SUM(HN238:HN240)</f>
        <v>2360244.8200000003</v>
      </c>
      <c r="HO241" s="189">
        <f t="shared" si="1524"/>
        <v>2531003.09</v>
      </c>
      <c r="HP241" s="189">
        <f t="shared" si="1524"/>
        <v>0</v>
      </c>
      <c r="HQ241" s="189">
        <f t="shared" si="1524"/>
        <v>0</v>
      </c>
      <c r="HR241" s="189">
        <f t="shared" si="1524"/>
        <v>2360244.8200000003</v>
      </c>
      <c r="HS241" s="189">
        <f t="shared" si="1524"/>
        <v>2531003.09</v>
      </c>
      <c r="HT241" s="1273"/>
      <c r="HU241" s="819"/>
    </row>
    <row r="242" spans="1:229" ht="13.5" customHeight="1" thickBot="1" x14ac:dyDescent="0.25">
      <c r="A242" s="1125"/>
      <c r="B242" s="1125"/>
      <c r="C242" s="300"/>
      <c r="D242" s="1126"/>
      <c r="E242" s="996"/>
      <c r="F242" s="312"/>
      <c r="G242" s="105"/>
      <c r="H242" s="404"/>
      <c r="I242" s="312"/>
      <c r="J242" s="312"/>
      <c r="K242" s="404"/>
      <c r="L242" s="312"/>
      <c r="M242" s="312"/>
      <c r="N242" s="760"/>
      <c r="O242" s="105"/>
      <c r="P242" s="105"/>
      <c r="Q242" s="105"/>
      <c r="R242" s="105"/>
      <c r="S242" s="105"/>
      <c r="T242" s="405"/>
      <c r="U242" s="957"/>
      <c r="V242" s="957"/>
      <c r="W242" s="957"/>
      <c r="X242" s="957"/>
      <c r="Y242" s="957"/>
      <c r="Z242" s="957"/>
      <c r="AA242" s="957"/>
      <c r="AB242" s="957"/>
      <c r="AC242" s="958"/>
      <c r="AD242" s="957"/>
      <c r="AE242" s="957"/>
      <c r="AF242" s="957"/>
      <c r="AG242" s="957"/>
      <c r="AH242" s="957"/>
      <c r="AI242" s="957"/>
      <c r="AJ242" s="958"/>
      <c r="AK242" s="1052"/>
      <c r="AL242" s="312"/>
      <c r="AM242" s="957"/>
      <c r="AN242" s="957"/>
      <c r="AO242" s="312"/>
      <c r="AP242" s="312"/>
      <c r="AQ242" s="312"/>
      <c r="AR242" s="312"/>
      <c r="AS242" s="312"/>
      <c r="AT242" s="312"/>
      <c r="AU242" s="312"/>
      <c r="AV242" s="312"/>
      <c r="AW242" s="312"/>
      <c r="AX242" s="312"/>
      <c r="AY242" s="312"/>
      <c r="AZ242" s="405"/>
      <c r="BA242" s="105"/>
      <c r="BB242" s="105"/>
      <c r="BC242" s="105"/>
      <c r="BD242" s="105"/>
      <c r="BE242" s="105"/>
      <c r="BF242" s="105"/>
      <c r="BG242" s="105"/>
      <c r="BH242" s="105"/>
      <c r="BI242" s="406"/>
      <c r="BJ242" s="105"/>
      <c r="BK242" s="105"/>
      <c r="BL242" s="105"/>
      <c r="BM242" s="105"/>
      <c r="BN242" s="105"/>
      <c r="BO242" s="105"/>
      <c r="BP242" s="406"/>
      <c r="BQ242" s="407"/>
      <c r="BR242" s="312"/>
      <c r="BS242" s="957"/>
      <c r="BT242" s="957"/>
      <c r="BU242" s="312"/>
      <c r="BV242" s="312"/>
      <c r="BW242" s="312"/>
      <c r="BX242" s="312"/>
      <c r="BY242" s="312"/>
      <c r="BZ242" s="312"/>
      <c r="CA242" s="312"/>
      <c r="CB242" s="312"/>
      <c r="CC242" s="312"/>
      <c r="CD242" s="312"/>
      <c r="CE242" s="312"/>
      <c r="CF242" s="405"/>
      <c r="CG242" s="105"/>
      <c r="CH242" s="105"/>
      <c r="CI242" s="105"/>
      <c r="CJ242" s="105"/>
      <c r="CK242" s="105"/>
      <c r="CL242" s="105"/>
      <c r="CM242" s="105"/>
      <c r="CN242" s="105"/>
      <c r="CO242" s="406"/>
      <c r="CP242" s="105"/>
      <c r="CQ242" s="105"/>
      <c r="CR242" s="105"/>
      <c r="CS242" s="105"/>
      <c r="CT242" s="105"/>
      <c r="CU242" s="105"/>
      <c r="CV242" s="406"/>
      <c r="CW242" s="407"/>
      <c r="CX242" s="312"/>
      <c r="CY242" s="957"/>
      <c r="CZ242" s="957"/>
      <c r="DA242" s="312"/>
      <c r="DB242" s="312"/>
      <c r="DC242" s="312"/>
      <c r="DD242" s="312"/>
      <c r="DE242" s="312"/>
      <c r="DF242" s="312"/>
      <c r="DG242" s="312"/>
      <c r="DH242" s="312"/>
      <c r="DI242" s="312"/>
      <c r="DJ242" s="312"/>
      <c r="DK242" s="312"/>
      <c r="DL242" s="405"/>
      <c r="DM242" s="105"/>
      <c r="DN242" s="105"/>
      <c r="DO242" s="105"/>
      <c r="DP242" s="105"/>
      <c r="DQ242" s="105"/>
      <c r="DR242" s="105"/>
      <c r="DS242" s="105"/>
      <c r="DT242" s="105"/>
      <c r="DU242" s="406"/>
      <c r="DV242" s="105"/>
      <c r="DW242" s="105"/>
      <c r="DX242" s="105"/>
      <c r="DY242" s="105"/>
      <c r="DZ242" s="105"/>
      <c r="EA242" s="105"/>
      <c r="EB242" s="406"/>
      <c r="EC242" s="407"/>
      <c r="ED242" s="312"/>
      <c r="EE242" s="957"/>
      <c r="EF242" s="957"/>
      <c r="EG242" s="312"/>
      <c r="EH242" s="312"/>
      <c r="EI242" s="312"/>
      <c r="EJ242" s="312"/>
      <c r="EK242" s="312"/>
      <c r="EL242" s="312"/>
      <c r="EM242" s="312"/>
      <c r="EN242" s="312"/>
      <c r="EO242" s="312"/>
      <c r="EP242" s="312"/>
      <c r="EQ242" s="312"/>
      <c r="ER242" s="405"/>
      <c r="ES242" s="105"/>
      <c r="ET242" s="105"/>
      <c r="EU242" s="105"/>
      <c r="EV242" s="105"/>
      <c r="EW242" s="105"/>
      <c r="EX242" s="105"/>
      <c r="EY242" s="105"/>
      <c r="EZ242" s="105"/>
      <c r="FA242" s="406"/>
      <c r="FB242" s="105"/>
      <c r="FC242" s="105"/>
      <c r="FD242" s="105"/>
      <c r="FE242" s="105"/>
      <c r="FF242" s="105"/>
      <c r="FG242" s="105"/>
      <c r="FH242" s="406"/>
      <c r="FI242" s="407"/>
      <c r="FJ242" s="312"/>
      <c r="FK242" s="957"/>
      <c r="FL242" s="957"/>
      <c r="FM242" s="312"/>
      <c r="FN242" s="312"/>
      <c r="FO242" s="312"/>
      <c r="FP242" s="312"/>
      <c r="FQ242" s="312"/>
      <c r="FR242" s="312"/>
      <c r="FS242" s="312"/>
      <c r="FT242" s="312"/>
      <c r="FU242" s="312"/>
      <c r="FV242" s="312"/>
      <c r="FW242" s="312"/>
      <c r="FX242" s="405"/>
      <c r="FY242" s="105"/>
      <c r="FZ242" s="105"/>
      <c r="GA242" s="312"/>
      <c r="GB242" s="105"/>
      <c r="GC242" s="105"/>
      <c r="GD242" s="105"/>
      <c r="GE242" s="105"/>
      <c r="GF242" s="105"/>
      <c r="GG242" s="406"/>
      <c r="GH242" s="105"/>
      <c r="GI242" s="105"/>
      <c r="GJ242" s="105"/>
      <c r="GK242" s="105"/>
      <c r="GL242" s="105"/>
      <c r="GM242" s="105"/>
      <c r="GN242" s="406"/>
      <c r="GO242" s="407"/>
      <c r="GP242" s="312"/>
      <c r="GQ242" s="957"/>
      <c r="GR242" s="957"/>
      <c r="GS242" s="312"/>
      <c r="GT242" s="312"/>
      <c r="GU242" s="312"/>
      <c r="GV242" s="312"/>
      <c r="GW242" s="312"/>
      <c r="GX242" s="312"/>
      <c r="GY242" s="312"/>
      <c r="GZ242" s="312"/>
      <c r="HA242" s="312"/>
      <c r="HB242" s="312"/>
      <c r="HC242" s="312"/>
      <c r="HD242" s="405"/>
      <c r="HE242" s="1715"/>
      <c r="HF242" s="105"/>
      <c r="HG242" s="312"/>
      <c r="HH242" s="105"/>
      <c r="HI242" s="105"/>
      <c r="HJ242" s="105"/>
      <c r="HK242" s="105"/>
      <c r="HL242" s="105"/>
      <c r="HM242" s="406"/>
      <c r="HN242" s="105"/>
      <c r="HO242" s="105"/>
      <c r="HP242" s="105"/>
      <c r="HQ242" s="105"/>
      <c r="HR242" s="105"/>
      <c r="HS242" s="105"/>
      <c r="HT242" s="406"/>
      <c r="HU242" s="407"/>
    </row>
    <row r="243" spans="1:229" s="101" customFormat="1" ht="30" customHeight="1" thickBot="1" x14ac:dyDescent="0.25">
      <c r="A243" s="3666" t="s">
        <v>450</v>
      </c>
      <c r="B243" s="3667"/>
      <c r="C243" s="3667"/>
      <c r="D243" s="3668"/>
      <c r="E243" s="693"/>
      <c r="F243" s="619"/>
      <c r="G243" s="693"/>
      <c r="H243" s="618"/>
      <c r="I243" s="619"/>
      <c r="J243" s="619"/>
      <c r="K243" s="618"/>
      <c r="L243" s="619"/>
      <c r="M243" s="619"/>
      <c r="N243" s="724"/>
      <c r="O243" s="693"/>
      <c r="P243" s="693"/>
      <c r="Q243" s="693"/>
      <c r="R243" s="693"/>
      <c r="S243" s="693"/>
      <c r="T243" s="620"/>
      <c r="U243" s="622"/>
      <c r="V243" s="622"/>
      <c r="W243" s="622"/>
      <c r="X243" s="622"/>
      <c r="Y243" s="622"/>
      <c r="Z243" s="622"/>
      <c r="AA243" s="1127">
        <f>AA161+AA211+AA213+AA216+AA218+AA228+AA230+AA233+AA235</f>
        <v>51536467.960000001</v>
      </c>
      <c r="AB243" s="1127" t="e">
        <f>AB161+AB211+AB213+AB216+AB218+AB228+AB230+AB233+AB235</f>
        <v>#REF!</v>
      </c>
      <c r="AC243" s="619"/>
      <c r="AD243" s="619"/>
      <c r="AE243" s="622"/>
      <c r="AF243" s="622"/>
      <c r="AG243" s="1128"/>
      <c r="AH243" s="1129">
        <f>AH161+AH211+AH218+AH226+AH228+AH230+AH235+AD216</f>
        <v>31427405.541581001</v>
      </c>
      <c r="AI243" s="1129" t="e">
        <f>AI161+AI211+AI218+AI226+AI228+AI230+AI235+AE216</f>
        <v>#REF!</v>
      </c>
      <c r="AJ243" s="621"/>
      <c r="AK243" s="1130"/>
      <c r="AL243" s="622"/>
      <c r="AM243" s="622"/>
      <c r="AN243" s="622"/>
      <c r="AO243" s="622"/>
      <c r="AP243" s="622"/>
      <c r="AQ243" s="622"/>
      <c r="AR243" s="622"/>
      <c r="AS243" s="1131">
        <f>AS161+AS211+AS213+AS216+AS218+AS228+AS230+AS233+AS235</f>
        <v>16709717.300000003</v>
      </c>
      <c r="AT243" s="1131" t="e">
        <f>AT161+AT211+AT213+AT216+AT218+AT228+AT230+AT233+AT235</f>
        <v>#REF!</v>
      </c>
      <c r="AU243" s="619"/>
      <c r="AV243" s="619"/>
      <c r="AW243" s="622"/>
      <c r="AX243" s="622"/>
      <c r="AY243" s="1132">
        <f>AY161+AY211+AY218+AY228+AY230+AY235+AY226+AU216</f>
        <v>12558475.91</v>
      </c>
      <c r="AZ243" s="1133" t="e">
        <f>AZ161+AZ211+AZ218+AZ228+AZ230+AZ235+AZ226+AU216</f>
        <v>#REF!</v>
      </c>
      <c r="BA243" s="622"/>
      <c r="BB243" s="622"/>
      <c r="BC243" s="622"/>
      <c r="BD243" s="622"/>
      <c r="BE243" s="622"/>
      <c r="BF243" s="622"/>
      <c r="BG243" s="1127">
        <f>BG161+BG211+BG213+BG216+BG218+BG228+BG230+BG233+BG235</f>
        <v>68246185.260000005</v>
      </c>
      <c r="BH243" s="1127" t="e">
        <f>BH161+BH211+BH213+BH216+BH218+BH228+BH230+BH233+BH235</f>
        <v>#REF!</v>
      </c>
      <c r="BI243" s="619"/>
      <c r="BJ243" s="619"/>
      <c r="BK243" s="622"/>
      <c r="BL243" s="622"/>
      <c r="BM243" s="1128"/>
      <c r="BN243" s="1129">
        <f>BN161+BN211+BN218+BN226+BN228+BN230+BN235+BJ216</f>
        <v>43985881.451580994</v>
      </c>
      <c r="BO243" s="1129" t="e">
        <f>BO161+BO211+BO218+BO226+BO228+BO230+BO235+BJ216</f>
        <v>#REF!</v>
      </c>
      <c r="BP243" s="621"/>
      <c r="BQ243" s="1130"/>
      <c r="BR243" s="622"/>
      <c r="BS243" s="622"/>
      <c r="BT243" s="622"/>
      <c r="BU243" s="622"/>
      <c r="BV243" s="622"/>
      <c r="BW243" s="622"/>
      <c r="BX243" s="622"/>
      <c r="BY243" s="1131">
        <f>BY161+BY211+BY213+BY216+BY218+BY228+BY230+BY233+BY235</f>
        <v>13930768.25</v>
      </c>
      <c r="BZ243" s="1131" t="e">
        <f>BZ161+BZ211+BZ213+BZ216+BZ218+BZ228+BZ230+BZ233+BZ235</f>
        <v>#REF!</v>
      </c>
      <c r="CA243" s="619"/>
      <c r="CB243" s="619"/>
      <c r="CC243" s="622"/>
      <c r="CD243" s="622"/>
      <c r="CE243" s="1132">
        <f>CE161+CE211+CE218+CE228+CE230+CE235+CE226+CA216</f>
        <v>29437259.100000001</v>
      </c>
      <c r="CF243" s="1133" t="e">
        <f>CF161+CF211+CF218+CF228+CF230+CF235+CF226+CA216</f>
        <v>#REF!</v>
      </c>
      <c r="CG243" s="622"/>
      <c r="CH243" s="622"/>
      <c r="CI243" s="622"/>
      <c r="CJ243" s="622"/>
      <c r="CK243" s="622"/>
      <c r="CL243" s="622"/>
      <c r="CM243" s="1127">
        <f>CM161+CM211+CM213+CM216+CM218+CM228+CM230+CM233+CM235</f>
        <v>82176953.51000002</v>
      </c>
      <c r="CN243" s="1127" t="e">
        <f>CN161+CN211+CN213+CN216+CN218+CN228+CN230+CN233+CN235</f>
        <v>#REF!</v>
      </c>
      <c r="CO243" s="619"/>
      <c r="CP243" s="619"/>
      <c r="CQ243" s="622"/>
      <c r="CR243" s="622"/>
      <c r="CS243" s="1128"/>
      <c r="CT243" s="1129">
        <f>CT161+CT211+CT218+CT226+CT228+CT230+CT235+CP216</f>
        <v>73423140.55158101</v>
      </c>
      <c r="CU243" s="1129" t="e">
        <f>CU161+CU211+CU218+CU226+CU228+CU230+CU235+CQ216</f>
        <v>#REF!</v>
      </c>
      <c r="CV243" s="621"/>
      <c r="CW243" s="1130"/>
      <c r="CX243" s="622"/>
      <c r="CY243" s="622"/>
      <c r="CZ243" s="622"/>
      <c r="DA243" s="622"/>
      <c r="DB243" s="622"/>
      <c r="DC243" s="622"/>
      <c r="DD243" s="622"/>
      <c r="DE243" s="1131">
        <f>DE161+DE211+DE213+DE216+DE218+DE228+DE230+DE233+DE235</f>
        <v>12433793.370000001</v>
      </c>
      <c r="DF243" s="1131" t="e">
        <f>DF161+DF211+DF213+DF216+DF218+DF228+DF230+DF233+DF235</f>
        <v>#REF!</v>
      </c>
      <c r="DG243" s="619"/>
      <c r="DH243" s="619"/>
      <c r="DI243" s="622"/>
      <c r="DJ243" s="622"/>
      <c r="DK243" s="1132">
        <f>DK161+DK211+DK218+DK228+DK230+DK235+DK226+DG216</f>
        <v>21000324.600000001</v>
      </c>
      <c r="DL243" s="1133" t="e">
        <f>DL161+DL211+DL218+DL228+DL230+DL235+DL226+DG216</f>
        <v>#REF!</v>
      </c>
      <c r="DM243" s="622"/>
      <c r="DN243" s="622"/>
      <c r="DO243" s="622"/>
      <c r="DP243" s="622"/>
      <c r="DQ243" s="622"/>
      <c r="DR243" s="622"/>
      <c r="DS243" s="1127">
        <f>DS161+DS211+DS213+DS216+DS218+DS228+DS230+DS233+DS235</f>
        <v>94610746.88000001</v>
      </c>
      <c r="DT243" s="1127" t="e">
        <f>DT161+DT211+DT213+DT216+DT218+DT228+DT230+DT233+DT235</f>
        <v>#REF!</v>
      </c>
      <c r="DU243" s="619"/>
      <c r="DV243" s="619"/>
      <c r="DW243" s="622"/>
      <c r="DX243" s="622"/>
      <c r="DY243" s="1128"/>
      <c r="DZ243" s="1129">
        <f>DZ161+DZ211+DZ218+DZ226+DZ228+DZ230+DZ235</f>
        <v>91705922.031581014</v>
      </c>
      <c r="EA243" s="1129" t="e">
        <f>EA161+EA211+EA218+EA226+EA228+EA230+EA235</f>
        <v>#REF!</v>
      </c>
      <c r="EB243" s="621"/>
      <c r="EC243" s="1130"/>
      <c r="ED243" s="622"/>
      <c r="EE243" s="622"/>
      <c r="EF243" s="622"/>
      <c r="EG243" s="622"/>
      <c r="EH243" s="622"/>
      <c r="EI243" s="622"/>
      <c r="EJ243" s="622"/>
      <c r="EK243" s="1131">
        <f>EK161+EK211+EK213+EK216+EK218+EK228+EK230+EK233+EK235</f>
        <v>23144554.43</v>
      </c>
      <c r="EL243" s="1131" t="e">
        <f>EL161+EL211+EL213+EL216+EL218+EL228+EL230+EL233+EL235</f>
        <v>#REF!</v>
      </c>
      <c r="EM243" s="619"/>
      <c r="EN243" s="619"/>
      <c r="EO243" s="622"/>
      <c r="EP243" s="622"/>
      <c r="EQ243" s="1132">
        <f>EQ161+EQ211+EQ218+EQ228+EQ230+EQ235+EQ226+EM216</f>
        <v>60638624.699999996</v>
      </c>
      <c r="ER243" s="1133" t="e">
        <f>ER161+ER211+ER228+ER230+ER235+ER226+EM216</f>
        <v>#REF!</v>
      </c>
      <c r="ES243" s="622"/>
      <c r="ET243" s="622"/>
      <c r="EU243" s="622"/>
      <c r="EV243" s="622"/>
      <c r="EW243" s="622"/>
      <c r="EX243" s="622"/>
      <c r="EY243" s="1129">
        <f>EY161+EY211+EY216+EY228+EY230+EY235+EY233</f>
        <v>117755301.31000002</v>
      </c>
      <c r="EZ243" s="1129" t="e">
        <f>EZ161+EZ211+EZ216+EZ228+EZ230+EZ235+EZ233</f>
        <v>#REF!</v>
      </c>
      <c r="FA243" s="619"/>
      <c r="FB243" s="619"/>
      <c r="FC243" s="622"/>
      <c r="FD243" s="622"/>
      <c r="FE243" s="1128"/>
      <c r="FF243" s="1129">
        <f>FF161+FF211+FF218+FF226+FF228+FF230+FF235</f>
        <v>136787167.111581</v>
      </c>
      <c r="FG243" s="1129" t="e">
        <f>FG161+FG211+FG218+FG226+FG228+FG230+FG235</f>
        <v>#REF!</v>
      </c>
      <c r="FH243" s="621"/>
      <c r="FI243" s="1130"/>
      <c r="FJ243" s="622"/>
      <c r="FK243" s="622"/>
      <c r="FL243" s="622"/>
      <c r="FM243" s="622"/>
      <c r="FN243" s="622"/>
      <c r="FO243" s="622"/>
      <c r="FP243" s="622"/>
      <c r="FQ243" s="1131">
        <f>FQ161+FQ211+FQ213+FQ216+FQ218+FQ228+FQ230+FQ233+FQ235</f>
        <v>16962716.760000002</v>
      </c>
      <c r="FR243" s="1131" t="e">
        <f>FR161+FR211+FR213+FR216+FR218+FR228+FR230+FR233+FR235</f>
        <v>#REF!</v>
      </c>
      <c r="FS243" s="619"/>
      <c r="FT243" s="619"/>
      <c r="FU243" s="622"/>
      <c r="FV243" s="622"/>
      <c r="FW243" s="1132">
        <f>FW161+FW211+FW218+FW228+FW230+FW235+FW226+FS216</f>
        <v>75945438.61999999</v>
      </c>
      <c r="FX243" s="1133" t="e">
        <f>FX161+FX211+FX228+FX230+FX235+FX226+FS216+FX218</f>
        <v>#REF!</v>
      </c>
      <c r="FY243" s="622"/>
      <c r="FZ243" s="622"/>
      <c r="GA243" s="622"/>
      <c r="GB243" s="622"/>
      <c r="GC243" s="622"/>
      <c r="GD243" s="622"/>
      <c r="GE243" s="1129">
        <f>GE161+GE211+GE216+GE228+GE230+GE235+GE233+GE218</f>
        <v>134718018.06999999</v>
      </c>
      <c r="GF243" s="1129" t="e">
        <f>GF161+GF211+GF216+GF228+GF230+GF235+GF233+GF218</f>
        <v>#REF!</v>
      </c>
      <c r="GG243" s="619"/>
      <c r="GH243" s="619"/>
      <c r="GI243" s="622"/>
      <c r="GJ243" s="622"/>
      <c r="GK243" s="1128"/>
      <c r="GL243" s="1129">
        <f>GL161+GL211+GL218+GL226+GL228+GL230+GL235</f>
        <v>212732605.731581</v>
      </c>
      <c r="GM243" s="1129" t="e">
        <f>GM161+GM211+GM218+GM226+GM228+GM230+GM235</f>
        <v>#REF!</v>
      </c>
      <c r="GN243" s="621"/>
      <c r="GO243" s="1130"/>
      <c r="GP243" s="622"/>
      <c r="GQ243" s="622"/>
      <c r="GR243" s="622"/>
      <c r="GS243" s="622"/>
      <c r="GT243" s="622"/>
      <c r="GU243" s="622"/>
      <c r="GV243" s="622"/>
      <c r="GW243" s="1131">
        <f>GW161+GW211+GW213+GW216+GW218+GW228+GW230+GW233+GW235</f>
        <v>8521711.6500000004</v>
      </c>
      <c r="GX243" s="1131" t="e">
        <f>GX161+GX211+GX213+GX216+GX218+GX228+GX230+GX233+GX235</f>
        <v>#REF!</v>
      </c>
      <c r="GY243" s="619"/>
      <c r="GZ243" s="619"/>
      <c r="HA243" s="622"/>
      <c r="HB243" s="622"/>
      <c r="HC243" s="1132">
        <f>HC161+HC211+HC218+HC228+HC230+HC235+HC226</f>
        <v>27608756.219999999</v>
      </c>
      <c r="HD243" s="1133" t="e">
        <f>HD161+HD211+HD228+HD230+HD235+HD226+HD218</f>
        <v>#REF!</v>
      </c>
      <c r="HE243" s="1716"/>
      <c r="HF243" s="622"/>
      <c r="HG243" s="622"/>
      <c r="HH243" s="622"/>
      <c r="HI243" s="622"/>
      <c r="HJ243" s="622"/>
      <c r="HK243" s="1129">
        <f>HK161+HK211+HK216+HK228+HK230+HK235+HK233+HK218</f>
        <v>143239729.72</v>
      </c>
      <c r="HL243" s="1129" t="e">
        <f>HL161+HL211+HL216+HL228+HL230+HL235+HL233+HL218</f>
        <v>#REF!</v>
      </c>
      <c r="HM243" s="619"/>
      <c r="HN243" s="619"/>
      <c r="HO243" s="622"/>
      <c r="HP243" s="622"/>
      <c r="HQ243" s="1128"/>
      <c r="HR243" s="1129">
        <f>HR161+HR211+HR218+HR226+HR228+HR230+HR235</f>
        <v>240341361.95158097</v>
      </c>
      <c r="HS243" s="1129" t="e">
        <f>HS161+HS211+HS218+HS226+HS228+HS230+HS235</f>
        <v>#REF!</v>
      </c>
      <c r="HT243" s="621"/>
      <c r="HU243" s="1130"/>
    </row>
    <row r="244" spans="1:229" s="101" customFormat="1" ht="30" customHeight="1" thickBot="1" x14ac:dyDescent="0.25">
      <c r="A244" s="3666" t="s">
        <v>449</v>
      </c>
      <c r="B244" s="3667"/>
      <c r="C244" s="3667"/>
      <c r="D244" s="3668"/>
      <c r="E244" s="693"/>
      <c r="F244" s="619"/>
      <c r="G244" s="693"/>
      <c r="H244" s="618"/>
      <c r="I244" s="619"/>
      <c r="J244" s="619"/>
      <c r="K244" s="618"/>
      <c r="L244" s="619"/>
      <c r="M244" s="619"/>
      <c r="N244" s="724"/>
      <c r="O244" s="693"/>
      <c r="P244" s="693"/>
      <c r="Q244" s="693"/>
      <c r="R244" s="693"/>
      <c r="S244" s="693"/>
      <c r="T244" s="620"/>
      <c r="U244" s="646"/>
      <c r="V244" s="646"/>
      <c r="W244" s="1127">
        <f>W161+W211+W213+W216+W218+W220+W221+W228+W230+W233+W235+W236+W241</f>
        <v>93328809.680000007</v>
      </c>
      <c r="X244" s="1127" t="e">
        <f>X161+X211+X213+X216+X218+X220+X221+X228+X230+X233+X235+X236+X241</f>
        <v>#REF!</v>
      </c>
      <c r="Y244" s="622"/>
      <c r="Z244" s="622"/>
      <c r="AA244" s="189"/>
      <c r="AB244" s="189"/>
      <c r="AC244" s="1134"/>
      <c r="AD244" s="1129">
        <f>AD161+AD211+AD218+AD220+AD221+AD222+AD226+AD228+AD230+AD235+AD236+AD241+AD216</f>
        <v>62768810.411581002</v>
      </c>
      <c r="AE244" s="1129" t="e">
        <f>AE161+AE211+AE218+AE220+AE221+AE222+AE226+AE228+AE230+AE235+AE236+AE241+AE216</f>
        <v>#REF!</v>
      </c>
      <c r="AF244" s="622"/>
      <c r="AG244" s="622"/>
      <c r="AH244" s="622"/>
      <c r="AI244" s="622"/>
      <c r="AJ244" s="649"/>
      <c r="AK244" s="623"/>
      <c r="AL244" s="619"/>
      <c r="AM244" s="646"/>
      <c r="AN244" s="646"/>
      <c r="AO244" s="1131">
        <f>AO161+AO211+AO213+AO218+AO220+AO221+AO228+AO230+AO233+AO235+AO236+AO241+AO216</f>
        <v>17289599.350000001</v>
      </c>
      <c r="AP244" s="1131" t="e">
        <f>AP161+AP211+AP213+AP218+AP220+AP221+AP228+AP230+AP233+AP235+AP236+AP241+AP216</f>
        <v>#REF!</v>
      </c>
      <c r="AQ244" s="622"/>
      <c r="AR244" s="622"/>
      <c r="AS244" s="189"/>
      <c r="AT244" s="189"/>
      <c r="AU244" s="1132">
        <f>AU161+AU211+AU218+AU220+AU221+AU222+AU228+AU230+AU235+AU236+AU241+AU216+AU226</f>
        <v>22167934.090000004</v>
      </c>
      <c r="AV244" s="1132" t="e">
        <f>AV161+AV211+AV218+AV220+AV221+AV222+AV228+AV230+AV235+AV236+AV241+AV216+AV226</f>
        <v>#REF!</v>
      </c>
      <c r="AW244" s="622"/>
      <c r="AX244" s="622"/>
      <c r="AY244" s="622"/>
      <c r="AZ244" s="1135"/>
      <c r="BA244" s="646"/>
      <c r="BB244" s="646"/>
      <c r="BC244" s="1127">
        <f>BC161+BC211+BC213+BC216+BC218+BC220+BC221+BC228+BC230+BC233+BC235+BC236+BC241</f>
        <v>110618409.03000002</v>
      </c>
      <c r="BD244" s="1127" t="e">
        <f>BD161+BD211+BD213+BD216+BD218+BD220+BD221+BD228+BD230+BD233+BD235+BD236+BD241</f>
        <v>#REF!</v>
      </c>
      <c r="BE244" s="622"/>
      <c r="BF244" s="622"/>
      <c r="BG244" s="189"/>
      <c r="BH244" s="189"/>
      <c r="BI244" s="1134"/>
      <c r="BJ244" s="1129">
        <f>BJ161+BJ211+BJ218+BJ220+BJ221+BJ222+BJ226+BJ228+BJ230+BJ235+BJ236+BJ241+BJ216</f>
        <v>84936744.501580983</v>
      </c>
      <c r="BK244" s="1129" t="e">
        <f>BK161+BK211+BK218+BK220+BK221+BK222+BK226+BK228+BK230+BK235+BK236+BK241+BK216</f>
        <v>#REF!</v>
      </c>
      <c r="BL244" s="622"/>
      <c r="BM244" s="622"/>
      <c r="BN244" s="622"/>
      <c r="BO244" s="622"/>
      <c r="BP244" s="649"/>
      <c r="BQ244" s="623"/>
      <c r="BR244" s="619"/>
      <c r="BS244" s="646"/>
      <c r="BT244" s="646"/>
      <c r="BU244" s="1131">
        <f>BU161+BU211+BU213+BU218+BU220+BU221+BU228+BU230+BU233+BU235+BU236+BU241+BU216</f>
        <v>23041547.59</v>
      </c>
      <c r="BV244" s="1131" t="e">
        <f>BV161+BV211+BV213+BV218+BV220+BV221+BV228+BV230+BV233+BV235+BV236+BV241+BV216</f>
        <v>#REF!</v>
      </c>
      <c r="BW244" s="622"/>
      <c r="BX244" s="622"/>
      <c r="BY244" s="189"/>
      <c r="BZ244" s="189"/>
      <c r="CA244" s="1132">
        <f>CA161+CA211+CA218+CA220+CA221+CA222+CA228+CA230+CA235+CA236+CA241+CA216+CA226</f>
        <v>29272248.300000004</v>
      </c>
      <c r="CB244" s="1132" t="e">
        <f>CB161+CB211+CB218+CB220+CB221+CB222+CB228+CB230+CB235+CB236+CB241+CB216+CB226</f>
        <v>#REF!</v>
      </c>
      <c r="CC244" s="622"/>
      <c r="CD244" s="622"/>
      <c r="CE244" s="622"/>
      <c r="CF244" s="1135"/>
      <c r="CG244" s="646"/>
      <c r="CH244" s="646"/>
      <c r="CI244" s="1127">
        <f>CI161+CI211+CI213+CI216+CI218+CI220+CI221+CI228+CI230+CI233+CI235+CI236+CI241</f>
        <v>133659956.62000002</v>
      </c>
      <c r="CJ244" s="1127" t="e">
        <f>CJ161+CJ211+CJ213+CJ216+CJ218+CJ220+CJ221+CJ228+CJ230+CJ233+CJ235+CJ236+CJ241</f>
        <v>#REF!</v>
      </c>
      <c r="CK244" s="622"/>
      <c r="CL244" s="622"/>
      <c r="CM244" s="189"/>
      <c r="CN244" s="189"/>
      <c r="CO244" s="1134"/>
      <c r="CP244" s="1129">
        <f>CP161+CP211+CP218+CP220+CP221+CP222+CP226+CP228+CP230+CP235+CP236+CP241+CP216</f>
        <v>114208992.801581</v>
      </c>
      <c r="CQ244" s="1129" t="e">
        <f>CQ161+CQ211+CQ218+CQ220+CQ221+CQ222+CQ226+CQ228+CQ230+CQ235+CQ236+CQ241+CQ216</f>
        <v>#REF!</v>
      </c>
      <c r="CR244" s="622"/>
      <c r="CS244" s="622"/>
      <c r="CT244" s="622"/>
      <c r="CU244" s="622"/>
      <c r="CV244" s="649"/>
      <c r="CW244" s="623"/>
      <c r="CX244" s="619"/>
      <c r="CY244" s="646"/>
      <c r="CZ244" s="646"/>
      <c r="DA244" s="1131">
        <f>DA161+DA211+DA213+DA218+DA220+DA221+DA228+DA230+DA233+DA235+DA236+DA241+DA216</f>
        <v>14288531.340000002</v>
      </c>
      <c r="DB244" s="1131" t="e">
        <f>DB161+DB211+DB213+DB218+DB220+DB221+DB228+DB230+DB233+DB235+DB236+DB241+DB216</f>
        <v>#REF!</v>
      </c>
      <c r="DC244" s="622"/>
      <c r="DD244" s="622"/>
      <c r="DE244" s="189"/>
      <c r="DF244" s="189"/>
      <c r="DG244" s="1132">
        <f>DG161+DG211+DG218+DG220+DG221+DG222+DG228+DG230+DG235+DG236+DG241+DG216+DG226</f>
        <v>25569632.809999999</v>
      </c>
      <c r="DH244" s="1132" t="e">
        <f>DH161+DH211+DH218+DH220+DH221+DH222+DH228+DH230+DH235+DH236+DH241+DH216+DH226</f>
        <v>#REF!</v>
      </c>
      <c r="DI244" s="622"/>
      <c r="DJ244" s="622"/>
      <c r="DK244" s="622"/>
      <c r="DL244" s="1135"/>
      <c r="DM244" s="646"/>
      <c r="DN244" s="646"/>
      <c r="DO244" s="1127">
        <f>DO161+DO211+DO213+DO216+DO218+DO220+DO221+DO228+DO230+DO233+DO235+DO236+DO241</f>
        <v>147948487.96000001</v>
      </c>
      <c r="DP244" s="1127" t="e">
        <f>DP161+DP211+DP213+DP216+DP218+DP220+DP221+DP228+DP230+DP233+DP235+DP236+DP241</f>
        <v>#REF!</v>
      </c>
      <c r="DQ244" s="622"/>
      <c r="DR244" s="622"/>
      <c r="DS244" s="189"/>
      <c r="DT244" s="189"/>
      <c r="DU244" s="1134"/>
      <c r="DV244" s="1129">
        <f>DV161+DV211+DV220+DV221+DV222+DV226+DV228+DV230+DV235+DV236+DV241</f>
        <v>121503702.871581</v>
      </c>
      <c r="DW244" s="1129" t="e">
        <f>DW161+DW211+DW220+DW221+DW222+DW226+DW228+DW230+DW235+DW236+DW241</f>
        <v>#REF!</v>
      </c>
      <c r="DX244" s="622"/>
      <c r="DY244" s="622"/>
      <c r="DZ244" s="622"/>
      <c r="EA244" s="622"/>
      <c r="EB244" s="649"/>
      <c r="EC244" s="623"/>
      <c r="ED244" s="619"/>
      <c r="EE244" s="646"/>
      <c r="EF244" s="646"/>
      <c r="EG244" s="1131">
        <f>EG161+EG211+EG213+EG218+EG220+EG221+EG228+EG230+EG233+EG235+EG236+EG241+EG216</f>
        <v>19188515.059999999</v>
      </c>
      <c r="EH244" s="1131" t="e">
        <f>EH161+EH211+EH213+EH218+EH220+EH221+EH228+EH230+EH233+EH235+EH236+EH241+EH216</f>
        <v>#REF!</v>
      </c>
      <c r="EI244" s="622"/>
      <c r="EJ244" s="622"/>
      <c r="EK244" s="189"/>
      <c r="EL244" s="189"/>
      <c r="EM244" s="1132">
        <f>EM161+EM211+EM218+EM220+EM221+EM222+EM228+EM230+EM235+EM236+EM241+EM216+EM226</f>
        <v>49091848.369999997</v>
      </c>
      <c r="EN244" s="1132" t="e">
        <f>EN161+EN211+EN220+EN221+EN222+EN228+EN230+EN235+EN236+EN241+EN216+EN226</f>
        <v>#REF!</v>
      </c>
      <c r="EO244" s="622"/>
      <c r="EP244" s="622"/>
      <c r="EQ244" s="622"/>
      <c r="ER244" s="1135"/>
      <c r="ES244" s="646"/>
      <c r="ET244" s="646"/>
      <c r="EU244" s="1127">
        <f>EU161+EU211+EU213+EU216+EU218+EU220+EU221+EU228+EU230+EU233+EU235+EU236+EU241</f>
        <v>167137003.02000001</v>
      </c>
      <c r="EV244" s="1127" t="e">
        <f>EV161+EV211+EV213+EV216+EV218+EV220+EV221+EV228+EV230+EV233+EV235+EV236+EV241</f>
        <v>#REF!</v>
      </c>
      <c r="EW244" s="622"/>
      <c r="EX244" s="622"/>
      <c r="EY244" s="189"/>
      <c r="EZ244" s="189"/>
      <c r="FA244" s="1134"/>
      <c r="FB244" s="1129">
        <f>FB161+FB211+FB220+FB221+FB222+FB226+FB228+FB230+FB235+FB236+FB241</f>
        <v>139480792.00158101</v>
      </c>
      <c r="FC244" s="1129" t="e">
        <f>FC161+FC211+FC220+FC221+FC222+FC226+FC228+FC230+FC235+FC236+FC241</f>
        <v>#REF!</v>
      </c>
      <c r="FD244" s="622"/>
      <c r="FE244" s="622"/>
      <c r="FF244" s="622"/>
      <c r="FG244" s="622"/>
      <c r="FH244" s="649"/>
      <c r="FI244" s="623"/>
      <c r="FJ244" s="619"/>
      <c r="FK244" s="646"/>
      <c r="FL244" s="646"/>
      <c r="FM244" s="1131">
        <f>FM161+FM211+FM213+FM218+FM220+FM221+FM228+FM230+FM233+FM235+FM236+FM241+FM216</f>
        <v>18872095.790000003</v>
      </c>
      <c r="FN244" s="1131" t="e">
        <f>FN161+FN211+FN213+FN218+FN220+FN221+FN228+FN230+FN233+FN235+FN236+FN241+FN216</f>
        <v>#REF!</v>
      </c>
      <c r="FO244" s="622"/>
      <c r="FP244" s="622"/>
      <c r="FQ244" s="189"/>
      <c r="FR244" s="189"/>
      <c r="FS244" s="1132">
        <f>FS161+FS211+FS220+FS221+FS222+FS228+FS230+FS235+FS236+FS241+FS216+FS226</f>
        <v>31685598.779999997</v>
      </c>
      <c r="FT244" s="1132" t="e">
        <f>FT161+FT211+FT220+FT221+FT222+FT228+FT230+FT235+FT236+FT241+FT216+FT226</f>
        <v>#REF!</v>
      </c>
      <c r="FU244" s="622"/>
      <c r="FV244" s="622"/>
      <c r="FW244" s="622"/>
      <c r="FX244" s="1135"/>
      <c r="FY244" s="646"/>
      <c r="FZ244" s="646"/>
      <c r="GA244" s="1127">
        <f>GA161+GA211+GA213+GA216+GA218+GA220+GA221+GA228+GA230+GA233+GA235+GA236+GA241</f>
        <v>186009098.81</v>
      </c>
      <c r="GB244" s="1127" t="e">
        <f>GB161+GB211+GB213+GB216+GB218+GB220+GB221+GB228+GB230+GB233+GB235+GB236+GB241</f>
        <v>#REF!</v>
      </c>
      <c r="GC244" s="622"/>
      <c r="GD244" s="622"/>
      <c r="GE244" s="189"/>
      <c r="GF244" s="189"/>
      <c r="GG244" s="1134"/>
      <c r="GH244" s="1129">
        <f>GH161+GH211+GH220+GH221+GH222+GH226+GH228+GH230+GH235+GH236+GH241</f>
        <v>171166390.78158098</v>
      </c>
      <c r="GI244" s="1616" t="e">
        <f>GI161+GI211+GI220+GI221+GI222+GI228+GI230+GI235+GI236+GI241+GI226</f>
        <v>#REF!</v>
      </c>
      <c r="GJ244" s="622"/>
      <c r="GK244" s="622"/>
      <c r="GL244" s="622"/>
      <c r="GM244" s="622"/>
      <c r="GN244" s="649"/>
      <c r="GO244" s="623"/>
      <c r="GP244" s="619"/>
      <c r="GQ244" s="646"/>
      <c r="GR244" s="646"/>
      <c r="GS244" s="1131">
        <f>GS161+GS211+GS213+GS218+GS220+GS221+GS228+GS230+GS233+GS235+GS236+GS241+GS216</f>
        <v>11420785.25</v>
      </c>
      <c r="GT244" s="1131" t="e">
        <f>GT161+GT211+GT213+GT218+GT220+GT221+GT228+GT230+GT233+GT235+GT236+GT241+GT216</f>
        <v>#REF!</v>
      </c>
      <c r="GU244" s="622"/>
      <c r="GV244" s="622"/>
      <c r="GW244" s="189"/>
      <c r="GX244" s="189"/>
      <c r="GY244" s="1132">
        <f>GY161+GY211+GY220+GY221+GY222+GY228+GY230+GY235+GY236+GY241+GY226</f>
        <v>14810077.83</v>
      </c>
      <c r="GZ244" s="1132" t="e">
        <f>GZ161+GZ211+GZ220+GZ221+GZ222+GZ228+GZ230+GZ235+GZ236+GZ241+GZ226+GZ218</f>
        <v>#REF!</v>
      </c>
      <c r="HA244" s="622"/>
      <c r="HB244" s="622"/>
      <c r="HC244" s="622"/>
      <c r="HD244" s="1135"/>
      <c r="HE244" s="1717"/>
      <c r="HF244" s="646"/>
      <c r="HG244" s="1127">
        <f>HG161+HG211+HG213+HG216+HG218+HG220+HG221+HG228+HG230+HG233+HG235+HG236+HG241</f>
        <v>197429884.05999997</v>
      </c>
      <c r="HH244" s="1127" t="e">
        <f>HH161+HH211+HH213+HH216+HH218+HH220+HH221+HH228+HH230+HH233+HH235+HH236+HH241</f>
        <v>#REF!</v>
      </c>
      <c r="HI244" s="622"/>
      <c r="HJ244" s="622"/>
      <c r="HK244" s="189"/>
      <c r="HL244" s="189"/>
      <c r="HM244" s="1134"/>
      <c r="HN244" s="1129">
        <f>HN161+HN211+HN220+HN221+HN222+HN226+HN228+HN230+HN235+HN236+HN241</f>
        <v>185976468.611581</v>
      </c>
      <c r="HO244" s="1616" t="e">
        <f>HO161+HO211+HO220+HO221+HO222+HO228+HO230+HO235+HO236+HO241+HO226</f>
        <v>#REF!</v>
      </c>
      <c r="HP244" s="622"/>
      <c r="HQ244" s="622"/>
      <c r="HR244" s="622"/>
      <c r="HS244" s="622"/>
      <c r="HT244" s="649"/>
      <c r="HU244" s="623"/>
    </row>
    <row r="245" spans="1:229" ht="12.75" customHeight="1" x14ac:dyDescent="0.2">
      <c r="AS245" s="112"/>
      <c r="BY245" s="112"/>
    </row>
    <row r="246" spans="1:229" ht="13.5" customHeight="1" x14ac:dyDescent="0.2">
      <c r="W246" s="112"/>
      <c r="X246" s="112"/>
      <c r="Y246" s="112"/>
      <c r="Z246" s="112"/>
      <c r="AA246" s="112"/>
      <c r="AB246" s="112"/>
      <c r="AC246" s="112"/>
      <c r="AD246" s="112"/>
      <c r="AE246" s="112"/>
      <c r="AF246" s="112"/>
      <c r="AG246" s="112"/>
      <c r="AH246" s="112"/>
      <c r="AI246" s="112"/>
      <c r="AJ246" s="112"/>
      <c r="AO246" s="242">
        <f>AO244+W244</f>
        <v>110618409.03</v>
      </c>
      <c r="AP246" s="242" t="e">
        <f>AP244+X244</f>
        <v>#REF!</v>
      </c>
      <c r="AQ246" s="230"/>
      <c r="AR246" s="230"/>
      <c r="AS246" s="242">
        <f>AS243+AA243</f>
        <v>68246185.260000005</v>
      </c>
      <c r="AT246" s="242" t="e">
        <f>AT243+AB243</f>
        <v>#REF!</v>
      </c>
      <c r="AU246" s="242">
        <f>AD244+AU244</f>
        <v>84936744.501581013</v>
      </c>
      <c r="AV246" s="242" t="e">
        <f>AE244+AV244</f>
        <v>#REF!</v>
      </c>
      <c r="AW246" s="242"/>
      <c r="AX246" s="242"/>
      <c r="AY246" s="242">
        <f>AY243+AH243</f>
        <v>43985881.451581001</v>
      </c>
      <c r="AZ246" s="242" t="e">
        <f>AZ243+AI243</f>
        <v>#REF!</v>
      </c>
      <c r="BA246" s="112"/>
      <c r="BU246" s="242"/>
      <c r="BV246" s="242"/>
      <c r="BW246" s="230"/>
      <c r="BX246" s="230"/>
      <c r="BY246" s="242"/>
      <c r="BZ246" s="242"/>
      <c r="CA246" s="242"/>
      <c r="CB246" s="242"/>
      <c r="CC246" s="242"/>
      <c r="CD246" s="242"/>
      <c r="CE246" s="242"/>
      <c r="CF246" s="242"/>
      <c r="CG246" s="112"/>
      <c r="DA246" s="112">
        <f>'A4 rujan'!C51</f>
        <v>14288531.340000002</v>
      </c>
      <c r="DB246" s="112" t="e">
        <f>'A4 rujan'!D51</f>
        <v>#REF!</v>
      </c>
      <c r="DC246" s="112"/>
      <c r="DE246" s="112">
        <f>'A4 rujan'!C50</f>
        <v>12433793.370000001</v>
      </c>
      <c r="DF246" s="112" t="e">
        <f>'A4 rujan'!D50</f>
        <v>#REF!</v>
      </c>
      <c r="DG246" s="112" t="e">
        <f>'A4 rujan'!C29</f>
        <v>#REF!</v>
      </c>
      <c r="DH246" s="112" t="e">
        <f>'A4 rujan'!D29</f>
        <v>#REF!</v>
      </c>
      <c r="DI246" s="112"/>
      <c r="DJ246" s="112"/>
      <c r="DK246" s="112">
        <f>'A4 rujan'!C28</f>
        <v>5205239.0299999993</v>
      </c>
      <c r="DL246" s="112" t="e">
        <f>'A4 rujan'!D28</f>
        <v>#REF!</v>
      </c>
      <c r="DM246" s="112"/>
      <c r="DN246" s="112"/>
      <c r="DO246" s="112"/>
      <c r="DP246" s="112"/>
      <c r="EN246" s="112"/>
      <c r="FM246" s="99">
        <f>'A4 studeni'!C49</f>
        <v>18872095.790000003</v>
      </c>
      <c r="FN246" s="99" t="e">
        <f>'A4 studeni'!D49</f>
        <v>#REF!</v>
      </c>
      <c r="FT246" s="112"/>
      <c r="FX246" s="99" t="e">
        <f>'A4 studeni'!D27</f>
        <v>#REF!</v>
      </c>
      <c r="GI246" s="112"/>
      <c r="GZ246" s="112"/>
      <c r="HD246" s="99">
        <f>'A4 studeni'!AJ27</f>
        <v>0</v>
      </c>
      <c r="HO246" s="112"/>
    </row>
    <row r="247" spans="1:229" ht="12.75" customHeight="1" x14ac:dyDescent="0.2">
      <c r="W247" s="112"/>
      <c r="X247" s="112" t="e">
        <f>'A4 (siječanj-lipanj)'!D49</f>
        <v>#REF!</v>
      </c>
      <c r="Y247" s="112"/>
      <c r="Z247" s="112"/>
      <c r="AA247" s="112"/>
      <c r="AB247" s="112"/>
      <c r="AC247" s="112"/>
      <c r="AD247" s="112"/>
      <c r="AE247" s="112"/>
      <c r="AF247" s="112"/>
      <c r="AG247" s="112"/>
      <c r="AH247" s="112"/>
      <c r="AI247" s="112"/>
      <c r="AJ247" s="112"/>
      <c r="AO247" s="242"/>
      <c r="AP247" s="242"/>
      <c r="AQ247" s="230"/>
      <c r="AR247" s="230"/>
      <c r="AS247" s="242"/>
      <c r="AT247" s="230"/>
      <c r="AU247" s="242"/>
      <c r="AV247" s="242"/>
      <c r="AW247" s="242"/>
      <c r="AX247" s="242"/>
      <c r="AY247" s="242"/>
      <c r="AZ247" s="242"/>
      <c r="BA247" s="112"/>
      <c r="BC247" s="112"/>
      <c r="BD247" s="112"/>
      <c r="BE247" s="112"/>
      <c r="BF247" s="112"/>
      <c r="BG247" s="112"/>
      <c r="BH247" s="112"/>
      <c r="BI247" s="112"/>
      <c r="BJ247" s="112"/>
      <c r="BK247" s="112"/>
      <c r="BL247" s="112"/>
      <c r="BM247" s="112"/>
      <c r="BN247" s="112"/>
      <c r="BO247" s="112"/>
      <c r="BU247" s="242"/>
      <c r="BV247" s="242"/>
      <c r="BW247" s="230"/>
      <c r="BX247" s="230"/>
      <c r="BY247" s="242"/>
      <c r="BZ247" s="230"/>
      <c r="CA247" s="242"/>
      <c r="CB247" s="242"/>
      <c r="CC247" s="242"/>
      <c r="CD247" s="242"/>
      <c r="CE247" s="242"/>
      <c r="CF247" s="242"/>
      <c r="CG247" s="112"/>
      <c r="CI247" s="112"/>
      <c r="CJ247" s="112"/>
      <c r="CK247" s="112"/>
      <c r="CL247" s="112"/>
      <c r="CM247" s="112"/>
      <c r="CN247" s="112"/>
      <c r="CO247" s="112"/>
      <c r="CP247" s="112"/>
      <c r="CQ247" s="112"/>
      <c r="CR247" s="112"/>
      <c r="CS247" s="112"/>
      <c r="CT247" s="112"/>
      <c r="CU247" s="112"/>
      <c r="DA247" s="112"/>
      <c r="DB247" s="112"/>
      <c r="DC247" s="112"/>
      <c r="DE247" s="112"/>
      <c r="DF247" s="112"/>
      <c r="DG247" s="112"/>
      <c r="DH247" s="112"/>
      <c r="DI247" s="112"/>
      <c r="DJ247" s="112"/>
      <c r="DK247" s="112"/>
      <c r="DL247" s="112"/>
      <c r="DM247" s="112"/>
      <c r="DN247" s="112"/>
      <c r="DO247" s="112">
        <f>'A4 (siječanj-rujan)'!C52</f>
        <v>147948487.96000001</v>
      </c>
      <c r="DP247" s="112" t="e">
        <f>'A4 (siječanj-rujan)'!D52</f>
        <v>#REF!</v>
      </c>
      <c r="DS247" s="112">
        <f>'A4 (siječanj-rujan)'!C51</f>
        <v>94610746.88000001</v>
      </c>
      <c r="DT247" s="112" t="e">
        <f>'A4 (siječanj-rujan)'!D51</f>
        <v>#REF!</v>
      </c>
      <c r="DV247" s="112" t="e">
        <f>'A4 (siječanj-rujan)'!C30</f>
        <v>#REF!</v>
      </c>
      <c r="DW247" s="112" t="e">
        <f>'A4 (siječanj-rujan)'!D30</f>
        <v>#REF!</v>
      </c>
      <c r="DZ247" s="112">
        <f>'A4 (siječanj-rujan)'!C29</f>
        <v>91705922.031581014</v>
      </c>
      <c r="EA247" s="112" t="e">
        <f>'A4 (siječanj-rujan)'!D29</f>
        <v>#REF!</v>
      </c>
      <c r="EN247" s="112"/>
      <c r="FN247" s="112"/>
      <c r="FT247" s="112" t="e">
        <f>'A4 studeni'!D28</f>
        <v>#REF!</v>
      </c>
      <c r="GT247" s="112"/>
      <c r="GZ247" s="112" t="e">
        <f>GZ244+40522.98</f>
        <v>#REF!</v>
      </c>
    </row>
    <row r="248" spans="1:229" x14ac:dyDescent="0.2">
      <c r="W248" s="112"/>
      <c r="X248" s="112" t="e">
        <f>X244-X247</f>
        <v>#REF!</v>
      </c>
      <c r="Y248" s="112"/>
      <c r="Z248" s="112"/>
      <c r="AA248" s="112"/>
      <c r="AB248" s="112"/>
      <c r="AC248" s="112"/>
      <c r="AD248" s="112"/>
      <c r="AE248" s="112"/>
      <c r="AF248" s="112"/>
      <c r="AG248" s="112"/>
      <c r="AH248" s="112"/>
      <c r="AI248" s="112"/>
      <c r="AJ248" s="112"/>
      <c r="AO248" s="242"/>
      <c r="AP248" s="230"/>
      <c r="AQ248" s="230"/>
      <c r="AR248" s="230"/>
      <c r="AS248" s="242"/>
      <c r="AT248" s="230"/>
      <c r="AU248" s="242"/>
      <c r="AV248" s="242"/>
      <c r="AW248" s="242"/>
      <c r="AX248" s="242"/>
      <c r="AY248" s="242"/>
      <c r="AZ248" s="242"/>
      <c r="BA248" s="112"/>
      <c r="BC248" s="112"/>
      <c r="BD248" s="112"/>
      <c r="BE248" s="112"/>
      <c r="BF248" s="112"/>
      <c r="BG248" s="112"/>
      <c r="BH248" s="112"/>
      <c r="BI248" s="112"/>
      <c r="BJ248" s="112"/>
      <c r="BK248" s="112"/>
      <c r="BL248" s="112"/>
      <c r="BM248" s="112"/>
      <c r="BN248" s="112"/>
      <c r="BO248" s="112"/>
      <c r="BU248" s="242"/>
      <c r="BV248" s="230"/>
      <c r="BW248" s="230"/>
      <c r="BX248" s="230"/>
      <c r="BY248" s="242"/>
      <c r="BZ248" s="230"/>
      <c r="CA248" s="242"/>
      <c r="CB248" s="242"/>
      <c r="CC248" s="242"/>
      <c r="CD248" s="242"/>
      <c r="CE248" s="242"/>
      <c r="CF248" s="242"/>
      <c r="CG248" s="112"/>
      <c r="CI248" s="112"/>
      <c r="CJ248" s="112"/>
      <c r="CK248" s="112"/>
      <c r="CL248" s="112"/>
      <c r="CM248" s="112"/>
      <c r="CN248" s="112"/>
      <c r="CO248" s="112"/>
      <c r="CP248" s="112"/>
      <c r="CQ248" s="112"/>
      <c r="CR248" s="112"/>
      <c r="CS248" s="112"/>
      <c r="CT248" s="112"/>
      <c r="CU248" s="112"/>
      <c r="DA248" s="112">
        <f>DA244-DA246</f>
        <v>0</v>
      </c>
      <c r="DB248" s="112" t="e">
        <f>DB244-DB246</f>
        <v>#REF!</v>
      </c>
      <c r="DC248" s="112"/>
      <c r="DE248" s="112">
        <f>DE243-DE246</f>
        <v>0</v>
      </c>
      <c r="DF248" s="112" t="e">
        <f>DF243-DF246</f>
        <v>#REF!</v>
      </c>
      <c r="DG248" s="112" t="e">
        <f>DG244-DG246</f>
        <v>#REF!</v>
      </c>
      <c r="DH248" s="112" t="e">
        <f>DH244-DH246</f>
        <v>#REF!</v>
      </c>
      <c r="DI248" s="112"/>
      <c r="DJ248" s="112"/>
      <c r="DK248" s="112">
        <f>DK243-DK246</f>
        <v>15795085.570000002</v>
      </c>
      <c r="DL248" s="112" t="e">
        <f>DL243-DL246</f>
        <v>#REF!</v>
      </c>
      <c r="DM248" s="112"/>
      <c r="DN248" s="112"/>
      <c r="DO248" s="112"/>
      <c r="DP248" s="112"/>
      <c r="DS248" s="112"/>
      <c r="DT248" s="112"/>
      <c r="DV248" s="112"/>
      <c r="DW248" s="112"/>
      <c r="DZ248" s="112"/>
      <c r="EA248" s="112"/>
      <c r="FN248" s="112"/>
      <c r="GT248" s="112"/>
    </row>
    <row r="249" spans="1:229" x14ac:dyDescent="0.2">
      <c r="W249" s="112"/>
      <c r="X249" s="112"/>
      <c r="Y249" s="112"/>
      <c r="Z249" s="112"/>
      <c r="AA249" s="112"/>
      <c r="AB249" s="112"/>
      <c r="AC249" s="112"/>
      <c r="AD249" s="112"/>
      <c r="AE249" s="112"/>
      <c r="AF249" s="112"/>
      <c r="AG249" s="112"/>
      <c r="AH249" s="112"/>
      <c r="AI249" s="112"/>
      <c r="AJ249" s="112"/>
      <c r="AO249" s="242"/>
      <c r="AP249" s="230"/>
      <c r="AQ249" s="230"/>
      <c r="AR249" s="230"/>
      <c r="AS249" s="242"/>
      <c r="AT249" s="230"/>
      <c r="AU249" s="242"/>
      <c r="AV249" s="242"/>
      <c r="AW249" s="242"/>
      <c r="AX249" s="242"/>
      <c r="AY249" s="242"/>
      <c r="AZ249" s="242"/>
      <c r="BA249" s="112"/>
      <c r="BC249" s="112"/>
      <c r="BD249" s="112"/>
      <c r="BE249" s="112"/>
      <c r="BF249" s="112"/>
      <c r="BG249" s="112"/>
      <c r="BH249" s="112"/>
      <c r="BI249" s="112"/>
      <c r="BJ249" s="112"/>
      <c r="BK249" s="112"/>
      <c r="BL249" s="112"/>
      <c r="BM249" s="112"/>
      <c r="BN249" s="112"/>
      <c r="BO249" s="112"/>
      <c r="BU249" s="242"/>
      <c r="BV249" s="230"/>
      <c r="BW249" s="230"/>
      <c r="BX249" s="230"/>
      <c r="BY249" s="242"/>
      <c r="BZ249" s="230"/>
      <c r="CA249" s="242"/>
      <c r="CB249" s="242"/>
      <c r="CC249" s="242"/>
      <c r="CD249" s="242"/>
      <c r="CE249" s="242"/>
      <c r="CF249" s="242"/>
      <c r="CG249" s="112"/>
      <c r="CI249" s="112"/>
      <c r="CJ249" s="112"/>
      <c r="CK249" s="112"/>
      <c r="CL249" s="112"/>
      <c r="CM249" s="112"/>
      <c r="CN249" s="112"/>
      <c r="CO249" s="112"/>
      <c r="CP249" s="112"/>
      <c r="CQ249" s="112"/>
      <c r="CR249" s="112"/>
      <c r="CS249" s="112"/>
      <c r="CT249" s="112"/>
      <c r="CU249" s="112"/>
      <c r="DA249" s="112"/>
      <c r="DB249" s="112"/>
      <c r="DC249" s="112"/>
      <c r="DE249" s="112"/>
      <c r="DF249" s="112"/>
      <c r="DG249" s="112"/>
      <c r="DH249" s="112"/>
      <c r="DI249" s="112"/>
      <c r="DJ249" s="112"/>
      <c r="DK249" s="112"/>
      <c r="DL249" s="112"/>
      <c r="DM249" s="112"/>
      <c r="DN249" s="112"/>
      <c r="DO249" s="112">
        <f>DO244-DO247</f>
        <v>0</v>
      </c>
      <c r="DP249" s="112" t="e">
        <f>DP244-DP247</f>
        <v>#REF!</v>
      </c>
      <c r="DS249" s="112">
        <f>DS243-DS247</f>
        <v>0</v>
      </c>
      <c r="DT249" s="112" t="e">
        <f>DT243-DT247</f>
        <v>#REF!</v>
      </c>
      <c r="DV249" s="112" t="e">
        <f>DV244-DV247</f>
        <v>#REF!</v>
      </c>
      <c r="DW249" s="112" t="e">
        <f>DW244-DW247</f>
        <v>#REF!</v>
      </c>
      <c r="DZ249" s="112">
        <f>DZ243-DZ247</f>
        <v>0</v>
      </c>
      <c r="EA249" s="112" t="e">
        <f>EA243-EA247</f>
        <v>#REF!</v>
      </c>
      <c r="GZ249" s="112" t="e">
        <f>GZ247-3671973.36</f>
        <v>#REF!</v>
      </c>
    </row>
    <row r="250" spans="1:229" x14ac:dyDescent="0.2">
      <c r="W250" s="112"/>
      <c r="X250" s="112"/>
      <c r="Y250" s="112"/>
      <c r="Z250" s="112"/>
      <c r="AA250" s="112"/>
      <c r="AB250" s="112"/>
      <c r="AC250" s="112"/>
      <c r="AD250" s="112"/>
      <c r="AE250" s="112"/>
      <c r="AF250" s="112"/>
      <c r="AG250" s="112"/>
      <c r="AH250" s="112"/>
      <c r="AI250" s="112"/>
      <c r="AJ250" s="112"/>
      <c r="AO250" s="242"/>
      <c r="AP250" s="242"/>
      <c r="AQ250" s="230"/>
      <c r="AR250" s="230"/>
      <c r="AS250" s="230"/>
      <c r="AT250" s="230"/>
      <c r="AU250" s="242"/>
      <c r="AV250" s="242"/>
      <c r="AW250" s="242"/>
      <c r="AX250" s="242"/>
      <c r="AY250" s="242"/>
      <c r="AZ250" s="242"/>
      <c r="BA250" s="112"/>
      <c r="BC250" s="112"/>
      <c r="BD250" s="112"/>
      <c r="BE250" s="112"/>
      <c r="BF250" s="112"/>
      <c r="BG250" s="112"/>
      <c r="BH250" s="112"/>
      <c r="BI250" s="112"/>
      <c r="BJ250" s="112"/>
      <c r="BK250" s="112"/>
      <c r="BL250" s="112"/>
      <c r="BM250" s="112"/>
      <c r="BN250" s="112"/>
      <c r="BO250" s="112"/>
      <c r="BU250" s="242"/>
      <c r="BV250" s="242"/>
      <c r="BW250" s="230"/>
      <c r="BX250" s="230"/>
      <c r="BY250" s="230"/>
      <c r="BZ250" s="230"/>
      <c r="CA250" s="242"/>
      <c r="CB250" s="242"/>
      <c r="CC250" s="242"/>
      <c r="CD250" s="242"/>
      <c r="CE250" s="242"/>
      <c r="CF250" s="242"/>
      <c r="CG250" s="112"/>
      <c r="CI250" s="112"/>
      <c r="CJ250" s="112"/>
      <c r="CK250" s="112"/>
      <c r="CL250" s="112"/>
      <c r="CM250" s="112"/>
      <c r="CN250" s="112"/>
      <c r="CO250" s="112"/>
      <c r="CP250" s="112"/>
      <c r="CQ250" s="112"/>
      <c r="CR250" s="112"/>
      <c r="CS250" s="112"/>
      <c r="CT250" s="112"/>
      <c r="CU250" s="112"/>
      <c r="DA250" s="112"/>
      <c r="DB250" s="112"/>
      <c r="DC250" s="112"/>
      <c r="DE250" s="112"/>
      <c r="DF250" s="112"/>
      <c r="DG250" s="112"/>
      <c r="DH250" s="112"/>
      <c r="DI250" s="112"/>
      <c r="DJ250" s="112"/>
      <c r="DK250" s="112"/>
      <c r="DL250" s="112"/>
      <c r="DM250" s="112"/>
      <c r="DN250" s="112"/>
      <c r="DO250" s="112"/>
      <c r="DP250" s="112"/>
    </row>
    <row r="251" spans="1:229" x14ac:dyDescent="0.2">
      <c r="W251" s="112"/>
      <c r="X251" s="112"/>
      <c r="Y251" s="112"/>
      <c r="Z251" s="112"/>
      <c r="AA251" s="112"/>
      <c r="AB251" s="112"/>
      <c r="AC251" s="112"/>
      <c r="AD251" s="112"/>
      <c r="AE251" s="112"/>
      <c r="AF251" s="112"/>
      <c r="AG251" s="112"/>
      <c r="AH251" s="112"/>
      <c r="AI251" s="112"/>
      <c r="AJ251" s="112"/>
      <c r="AO251" s="230"/>
      <c r="AP251" s="230"/>
      <c r="AQ251" s="230"/>
      <c r="AR251" s="230"/>
      <c r="AS251" s="230"/>
      <c r="AT251" s="230"/>
      <c r="AU251" s="230"/>
      <c r="AV251" s="230"/>
      <c r="AW251" s="230"/>
      <c r="AX251" s="230"/>
      <c r="AY251" s="230"/>
      <c r="AZ251" s="230"/>
      <c r="BC251" s="112"/>
      <c r="BD251" s="112"/>
      <c r="BE251" s="112"/>
      <c r="BF251" s="112"/>
      <c r="BG251" s="112"/>
      <c r="BH251" s="112"/>
      <c r="BI251" s="112"/>
      <c r="BJ251" s="112"/>
      <c r="BK251" s="112"/>
      <c r="BL251" s="112"/>
      <c r="BM251" s="112"/>
      <c r="BN251" s="112"/>
      <c r="BO251" s="112"/>
      <c r="BU251" s="230"/>
      <c r="BV251" s="230"/>
      <c r="BW251" s="230"/>
      <c r="BX251" s="230"/>
      <c r="BY251" s="230"/>
      <c r="BZ251" s="230"/>
      <c r="CA251" s="230"/>
      <c r="CB251" s="230"/>
      <c r="CC251" s="230"/>
      <c r="CD251" s="230"/>
      <c r="CE251" s="230"/>
      <c r="CF251" s="230"/>
      <c r="CI251" s="112"/>
      <c r="CJ251" s="112"/>
      <c r="CK251" s="112"/>
      <c r="CL251" s="112"/>
      <c r="CM251" s="112"/>
      <c r="CN251" s="112"/>
      <c r="CO251" s="112"/>
      <c r="CP251" s="112"/>
      <c r="CQ251" s="112"/>
      <c r="CR251" s="112"/>
      <c r="CS251" s="112"/>
      <c r="CT251" s="112"/>
      <c r="CU251" s="112"/>
      <c r="DE251" s="112"/>
      <c r="DF251" s="112"/>
      <c r="DG251" s="112"/>
      <c r="DH251" s="112"/>
      <c r="DI251" s="112"/>
      <c r="DJ251" s="112"/>
      <c r="DK251" s="112"/>
      <c r="DL251" s="112"/>
      <c r="DM251" s="112"/>
      <c r="DN251" s="112"/>
      <c r="DO251" s="112"/>
      <c r="DP251" s="112"/>
      <c r="GT251" s="112"/>
    </row>
    <row r="252" spans="1:229" x14ac:dyDescent="0.2">
      <c r="W252" s="112"/>
      <c r="X252" s="112"/>
      <c r="Y252" s="112"/>
      <c r="Z252" s="112"/>
      <c r="AA252" s="112"/>
      <c r="AB252" s="112"/>
      <c r="AC252" s="112"/>
      <c r="AD252" s="112"/>
      <c r="AE252" s="112"/>
      <c r="AF252" s="112"/>
      <c r="AG252" s="112"/>
      <c r="AH252" s="112"/>
      <c r="AI252" s="112"/>
      <c r="AJ252" s="112"/>
      <c r="BC252" s="112"/>
      <c r="BD252" s="112"/>
      <c r="BE252" s="112"/>
      <c r="BF252" s="112"/>
      <c r="BG252" s="112"/>
      <c r="BH252" s="112"/>
      <c r="BI252" s="112"/>
      <c r="BJ252" s="112"/>
      <c r="BK252" s="112"/>
      <c r="BL252" s="112"/>
      <c r="BM252" s="112"/>
      <c r="BN252" s="112"/>
      <c r="BO252" s="112"/>
      <c r="CI252" s="112"/>
      <c r="CJ252" s="112"/>
      <c r="CK252" s="112"/>
      <c r="CL252" s="112"/>
      <c r="CM252" s="112"/>
      <c r="CN252" s="112"/>
      <c r="CO252" s="112"/>
      <c r="CP252" s="112"/>
      <c r="CQ252" s="112"/>
      <c r="CR252" s="112"/>
      <c r="CS252" s="112"/>
      <c r="CT252" s="112"/>
      <c r="CU252" s="112"/>
    </row>
    <row r="253" spans="1:229" x14ac:dyDescent="0.2">
      <c r="BC253" s="112"/>
      <c r="BD253" s="112"/>
      <c r="BE253" s="112"/>
      <c r="BF253" s="112"/>
      <c r="BG253" s="112"/>
      <c r="BH253" s="112"/>
      <c r="BI253" s="112"/>
      <c r="BJ253" s="112"/>
      <c r="BK253" s="112"/>
      <c r="BL253" s="112"/>
      <c r="BM253" s="112"/>
      <c r="BN253" s="112"/>
      <c r="BO253" s="112"/>
      <c r="CI253" s="112"/>
      <c r="CJ253" s="112"/>
      <c r="CK253" s="112"/>
      <c r="CL253" s="112"/>
      <c r="CM253" s="112"/>
      <c r="CN253" s="112"/>
      <c r="CO253" s="112"/>
      <c r="CP253" s="112"/>
      <c r="CQ253" s="112"/>
      <c r="CR253" s="112"/>
      <c r="CS253" s="112"/>
      <c r="CT253" s="112"/>
      <c r="CU253" s="112"/>
    </row>
    <row r="254" spans="1:229" x14ac:dyDescent="0.2">
      <c r="BC254" s="112"/>
      <c r="BD254" s="112"/>
      <c r="BE254" s="112"/>
      <c r="BF254" s="112"/>
      <c r="BG254" s="112"/>
      <c r="BH254" s="112"/>
      <c r="BI254" s="112"/>
      <c r="BJ254" s="112"/>
      <c r="BK254" s="112"/>
      <c r="BL254" s="112"/>
      <c r="BM254" s="112"/>
      <c r="BN254" s="112"/>
      <c r="BO254" s="112"/>
      <c r="CI254" s="112"/>
      <c r="CJ254" s="112"/>
      <c r="CK254" s="112"/>
      <c r="CL254" s="112"/>
      <c r="CM254" s="112"/>
      <c r="CN254" s="112"/>
      <c r="CO254" s="112"/>
      <c r="CP254" s="112"/>
      <c r="CQ254" s="112"/>
      <c r="CR254" s="112"/>
      <c r="CS254" s="112"/>
      <c r="CT254" s="112"/>
      <c r="CU254" s="112"/>
    </row>
    <row r="255" spans="1:229" x14ac:dyDescent="0.2">
      <c r="BC255" s="112"/>
      <c r="BD255" s="112"/>
      <c r="BE255" s="112"/>
      <c r="BF255" s="112"/>
      <c r="BG255" s="112"/>
      <c r="BH255" s="112"/>
      <c r="BI255" s="112"/>
      <c r="BJ255" s="112"/>
      <c r="BK255" s="112"/>
      <c r="BL255" s="112"/>
      <c r="BM255" s="112"/>
      <c r="BN255" s="112"/>
      <c r="BO255" s="112"/>
      <c r="CI255" s="112"/>
      <c r="CJ255" s="112"/>
      <c r="CK255" s="112"/>
      <c r="CL255" s="112"/>
      <c r="CM255" s="112"/>
      <c r="CN255" s="112"/>
      <c r="CO255" s="112"/>
      <c r="CP255" s="112"/>
      <c r="CQ255" s="112"/>
      <c r="CR255" s="112"/>
      <c r="CS255" s="112"/>
      <c r="CT255" s="112"/>
      <c r="CU255" s="112"/>
    </row>
  </sheetData>
  <dataConsolidate/>
  <mergeCells count="170">
    <mergeCell ref="HS7:HT7"/>
    <mergeCell ref="HE3:HU4"/>
    <mergeCell ref="HE5:HF6"/>
    <mergeCell ref="HG5:HM5"/>
    <mergeCell ref="HN5:HT5"/>
    <mergeCell ref="HU5:HU7"/>
    <mergeCell ref="HG6:HH6"/>
    <mergeCell ref="HI6:HJ6"/>
    <mergeCell ref="HK6:HM6"/>
    <mergeCell ref="HQ6:HT6"/>
    <mergeCell ref="HN6:HO6"/>
    <mergeCell ref="FJ5:FL6"/>
    <mergeCell ref="FM5:FR5"/>
    <mergeCell ref="FS5:FX5"/>
    <mergeCell ref="FM6:FN6"/>
    <mergeCell ref="FO6:FP6"/>
    <mergeCell ref="GU6:GV6"/>
    <mergeCell ref="FS6:FT6"/>
    <mergeCell ref="FU6:FX6"/>
    <mergeCell ref="HL7:HM7"/>
    <mergeCell ref="GF7:GG7"/>
    <mergeCell ref="GM7:GN7"/>
    <mergeCell ref="GP3:HD4"/>
    <mergeCell ref="GP5:GR6"/>
    <mergeCell ref="GS5:GX5"/>
    <mergeCell ref="GY5:HD5"/>
    <mergeCell ref="GS6:GT6"/>
    <mergeCell ref="GW6:GX6"/>
    <mergeCell ref="GY6:GZ6"/>
    <mergeCell ref="HA6:HD6"/>
    <mergeCell ref="GH6:GI6"/>
    <mergeCell ref="GK6:GN6"/>
    <mergeCell ref="FY3:GO4"/>
    <mergeCell ref="FY5:FZ6"/>
    <mergeCell ref="GA5:GG5"/>
    <mergeCell ref="GH5:GN5"/>
    <mergeCell ref="GO5:GO7"/>
    <mergeCell ref="GA6:GB6"/>
    <mergeCell ref="GC6:GD6"/>
    <mergeCell ref="GE6:GG6"/>
    <mergeCell ref="ES3:FI4"/>
    <mergeCell ref="ES5:ET6"/>
    <mergeCell ref="EU5:FA5"/>
    <mergeCell ref="EU6:EV6"/>
    <mergeCell ref="EW6:EX6"/>
    <mergeCell ref="EO6:ER6"/>
    <mergeCell ref="FJ3:FX4"/>
    <mergeCell ref="BW6:BX6"/>
    <mergeCell ref="BA3:BQ4"/>
    <mergeCell ref="BE6:BF6"/>
    <mergeCell ref="BR3:CF4"/>
    <mergeCell ref="CG3:CW4"/>
    <mergeCell ref="BR5:BT6"/>
    <mergeCell ref="BU5:BZ5"/>
    <mergeCell ref="CA5:CF5"/>
    <mergeCell ref="CG5:CH6"/>
    <mergeCell ref="CI5:CO5"/>
    <mergeCell ref="CP5:CV5"/>
    <mergeCell ref="CM6:CO6"/>
    <mergeCell ref="CP6:CQ6"/>
    <mergeCell ref="CS6:CV6"/>
    <mergeCell ref="BY6:BZ6"/>
    <mergeCell ref="EG6:EH6"/>
    <mergeCell ref="EK6:EL6"/>
    <mergeCell ref="BU6:BV6"/>
    <mergeCell ref="AS6:AT6"/>
    <mergeCell ref="AU6:AV6"/>
    <mergeCell ref="AW6:AZ6"/>
    <mergeCell ref="BA5:BB6"/>
    <mergeCell ref="BC5:BI5"/>
    <mergeCell ref="BQ5:BQ7"/>
    <mergeCell ref="BH7:BI7"/>
    <mergeCell ref="A140:B147"/>
    <mergeCell ref="A123:A139"/>
    <mergeCell ref="B132:B138"/>
    <mergeCell ref="D6:D8"/>
    <mergeCell ref="T6:T7"/>
    <mergeCell ref="A244:D244"/>
    <mergeCell ref="A163:B211"/>
    <mergeCell ref="C174:C175"/>
    <mergeCell ref="A148:B154"/>
    <mergeCell ref="A155:B160"/>
    <mergeCell ref="A228:B228"/>
    <mergeCell ref="A230:B231"/>
    <mergeCell ref="A233:B233"/>
    <mergeCell ref="A235:B236"/>
    <mergeCell ref="C192:C193"/>
    <mergeCell ref="A224:B226"/>
    <mergeCell ref="A213:B222"/>
    <mergeCell ref="C194:C208"/>
    <mergeCell ref="A243:D243"/>
    <mergeCell ref="A238:B241"/>
    <mergeCell ref="C176:C190"/>
    <mergeCell ref="A1:T1"/>
    <mergeCell ref="R6:S6"/>
    <mergeCell ref="BC6:BD6"/>
    <mergeCell ref="AQ6:AR6"/>
    <mergeCell ref="U3:AK4"/>
    <mergeCell ref="AK5:AK7"/>
    <mergeCell ref="AG6:AJ6"/>
    <mergeCell ref="B130:B131"/>
    <mergeCell ref="O6:P6"/>
    <mergeCell ref="B123:B129"/>
    <mergeCell ref="AI7:AJ7"/>
    <mergeCell ref="AA6:AC6"/>
    <mergeCell ref="AD6:AE6"/>
    <mergeCell ref="C6:C8"/>
    <mergeCell ref="U5:V6"/>
    <mergeCell ref="E7:G7"/>
    <mergeCell ref="H7:J7"/>
    <mergeCell ref="CX3:DL4"/>
    <mergeCell ref="A6:B9"/>
    <mergeCell ref="AL3:AZ4"/>
    <mergeCell ref="AL5:AN6"/>
    <mergeCell ref="AO5:AT5"/>
    <mergeCell ref="AU5:AZ5"/>
    <mergeCell ref="K7:M7"/>
    <mergeCell ref="AB7:AC7"/>
    <mergeCell ref="Y6:Z6"/>
    <mergeCell ref="W6:X6"/>
    <mergeCell ref="AO6:AP6"/>
    <mergeCell ref="BM6:BP6"/>
    <mergeCell ref="E6:N6"/>
    <mergeCell ref="W5:AC5"/>
    <mergeCell ref="AD5:AJ5"/>
    <mergeCell ref="BG6:BI6"/>
    <mergeCell ref="BJ6:BK6"/>
    <mergeCell ref="BJ5:BP5"/>
    <mergeCell ref="CW5:CW7"/>
    <mergeCell ref="CK6:CL6"/>
    <mergeCell ref="CA6:CB6"/>
    <mergeCell ref="CC6:CF6"/>
    <mergeCell ref="CI6:CJ6"/>
    <mergeCell ref="BO7:BP7"/>
    <mergeCell ref="DG6:DH6"/>
    <mergeCell ref="EY6:FA6"/>
    <mergeCell ref="FB5:FH5"/>
    <mergeCell ref="FI5:FI7"/>
    <mergeCell ref="CX5:CZ6"/>
    <mergeCell ref="CN7:CO7"/>
    <mergeCell ref="CU7:CV7"/>
    <mergeCell ref="DA5:DF5"/>
    <mergeCell ref="DA6:DB6"/>
    <mergeCell ref="DC6:DD6"/>
    <mergeCell ref="DE6:DF6"/>
    <mergeCell ref="EM6:EN6"/>
    <mergeCell ref="DM3:EC4"/>
    <mergeCell ref="EZ7:FA7"/>
    <mergeCell ref="DQ6:DR6"/>
    <mergeCell ref="DS6:DU6"/>
    <mergeCell ref="DI6:DL6"/>
    <mergeCell ref="DM5:DN6"/>
    <mergeCell ref="EI6:EJ6"/>
    <mergeCell ref="FG7:FH7"/>
    <mergeCell ref="FQ6:FR6"/>
    <mergeCell ref="DG5:DL5"/>
    <mergeCell ref="EC5:EC7"/>
    <mergeCell ref="DV5:EB5"/>
    <mergeCell ref="DO6:DP6"/>
    <mergeCell ref="DO5:DU5"/>
    <mergeCell ref="FB6:FC6"/>
    <mergeCell ref="FE6:FH6"/>
    <mergeCell ref="ED3:ER4"/>
    <mergeCell ref="ED5:EF6"/>
    <mergeCell ref="EG5:EL5"/>
    <mergeCell ref="EM5:ER5"/>
    <mergeCell ref="DV6:DW6"/>
    <mergeCell ref="DY6:EB6"/>
    <mergeCell ref="DT7:DU7"/>
    <mergeCell ref="EA7:EB7"/>
  </mergeCells>
  <phoneticPr fontId="43" type="noConversion"/>
  <dataValidations xWindow="883" yWindow="696" count="59">
    <dataValidation allowBlank="1" showInputMessage="1" showErrorMessage="1" prompt="specifikacija u mjesečna izvješća (privremeni tr. i garancije)" sqref="D228"/>
    <dataValidation allowBlank="1" showInputMessage="1" showErrorMessage="1" prompt="uzet prosjek nkp-a 94,50 m2 i subvencija 159,51 €/me" sqref="D209"/>
    <dataValidation allowBlank="1" showInputMessage="1" showErrorMessage="1" prompt="prihod iz proračuna" sqref="AV235"/>
    <dataValidation allowBlank="1" showInputMessage="1" showErrorMessage="1" prompt="tr.vođenja računa 23,10 kn +22,46 +144,00 + povrat sreds. 727,49 + struja 26.469,89 + 12.425,78 + 65,75 + 278,65 + usluge banke 31,50 + 18,00 + 0,70 + 180,00 + 3,50 + 30,40 + 18,00" sqref="AP235"/>
    <dataValidation allowBlank="1" showInputMessage="1" showErrorMessage="1" prompt="ivaštinović m" sqref="AP236"/>
    <dataValidation allowBlank="1" showInputMessage="1" showErrorMessage="1" prompt="prijelazni konto" sqref="AV236"/>
    <dataValidation allowBlank="1" showInputMessage="1" showErrorMessage="1" prompt="u planu za 2009. i 2010. bilo je 40 kuća. tu je u formuli dodan +1 jer je to jospia koja je već otprije pa nije obuhvaćena planom" sqref="E209"/>
    <dataValidation allowBlank="1" showInputMessage="1" showErrorMessage="1" prompt="povrat 35% za špansko 2.A.07." sqref="BV233"/>
    <dataValidation allowBlank="1" showInputMessage="1" showErrorMessage="1" prompt="naplaćen PNT od 01.06.2009. iz Oroslavlja, na dan 07.08.2009. dok.b.180" sqref="DH216 FT216"/>
    <dataValidation allowBlank="1" showInputMessage="1" showErrorMessage="1" prompt="gradnja započela u 2009." sqref="D164 D169"/>
    <dataValidation allowBlank="1" showInputMessage="1" showErrorMessage="1" prompt="gradnja započela u 2008." sqref="D166 D171"/>
    <dataValidation allowBlank="1" showInputMessage="1" showErrorMessage="1" prompt="subvencija je planska po prvotnom planu iz rebalansa" sqref="T154"/>
    <dataValidation allowBlank="1" showInputMessage="1" showErrorMessage="1" prompt="dok 200, datum 15.09.2009. (64.944,00)_x000a_prijenos na kuće 181.898,64 devčić" sqref="DB236"/>
    <dataValidation allowBlank="1" showInputMessage="1" showErrorMessage="1" prompt="POVRAT GRADU KOPRIVNICI" sqref="FN233"/>
    <dataValidation allowBlank="1" showInputMessage="1" showErrorMessage="1" prompt="prijenos sredstava Grubeša (148.424,72), Pole (89.600,70), Ištuk (192.081,19), ostalo su ispravci plaćenih faktura sa krivih računa" sqref="FN236"/>
    <dataValidation allowBlank="1" showInputMessage="1" showErrorMessage="1" prompt="iz Ivine cijene za predugovore" sqref="O142 Q142"/>
    <dataValidation allowBlank="1" showInputMessage="1" showErrorMessage="1" prompt="od anite" sqref="O144:Q145"/>
    <dataValidation allowBlank="1" showInputMessage="1" showErrorMessage="1" prompt="6 stanova predno ministrastvu" sqref="FT218"/>
    <dataValidation allowBlank="1" showInputMessage="1" showErrorMessage="1" prompt="prijenos sa Volksbanke na ST stanovi 600.000,00 kn (otplate 3. obroka) i  Idžaković 102.424,61 + Kuščević 105.416,92 + Vujaković 32.046,35" sqref="GT236"/>
    <dataValidation allowBlank="1" showInputMessage="1" showErrorMessage="1" prompt="povrat Vinkovcima 164.150,66 + 12.797,97 i Kraljevici 81.390,28" sqref="GT233"/>
    <dataValidation allowBlank="1" showInputMessage="1" showErrorMessage="1" prompt="smanjeni PNT jer je ministarstvo uplatilo za sopnicu" sqref="GT216"/>
    <dataValidation allowBlank="1" showInputMessage="1" showErrorMessage="1" prompt="vrbani 2-22 mirjana radaković (65,49m2, 418.478,66 kn)_x000a_vrbani 1-07 branko kuzmanović (54,90 m2, 344.855,41 kn)_x000a_vrbani 2-08 silvio martinović (75,05 m2, 492.814,65 kn)" sqref="E134"/>
    <dataValidation allowBlank="1" showInputMessage="1" showErrorMessage="1" prompt="provaljeni stanovi: opuzen (49,16 m2, 294.796,30 kn)_x000a_pula (81,59 m2, 572.365,27 kn)_x000a_varaždin b1 (86,99m2, 539.902,57 kn)" sqref="E133"/>
    <dataValidation allowBlank="1" showInputMessage="1" showErrorMessage="1" prompt="Baumgartner marija (67,80m2, 452.844,70 kn)_x000a_velagić marija (92,55m2, 615.734,12 kn)_x000a_brodarica + ŠP. 2.A.02. + ŠP. 2.B.05. + 2 stana sa šp.2a7" sqref="E132"/>
    <dataValidation allowBlank="1" showInputMessage="1" showErrorMessage="1" prompt="fizičke vrijednosti su dobivene tako da se od ukupnog broja garaža oduzeo broj sklopljenih ugovora (tj. broj prodanih garaža) (lista sklopljenih ugovora na dan 22.01.2009.) + stupići " sqref="D136"/>
    <dataValidation allowBlank="1" showInputMessage="1" showErrorMessage="1" prompt="vrijednost garaža dobivena je tako da se su ukupni m2 garaža podijelili s brojem garaža i onda se rezultat množio sa jediničnom cijenom u kunama koja je u listi financijsko stanje prodaje Pos-a na 22.01.2009. (neprodani) + vrijednost stupića 163.626,40 kn" sqref="R136"/>
    <dataValidation allowBlank="1" showInputMessage="1" showErrorMessage="1" prompt="vidi tablicu u bitni podaci, planovi i analize, pomoćni izračuni, neprodani prostori 31.12.2008." sqref="B132:B138"/>
    <dataValidation allowBlank="1" showInputMessage="1" showErrorMessage="1" prompt="samo vrijednost 3.obroka od kupaca " sqref="T134"/>
    <dataValidation allowBlank="1" showInputMessage="1" showErrorMessage="1" prompt="dodani stupići u iznosu 93.940,00 kn" sqref="T135"/>
    <dataValidation allowBlank="1" showInputMessage="1" showErrorMessage="1" prompt="dodani stupići u iznosu 69.685,89 kn" sqref="T136"/>
    <dataValidation allowBlank="1" showInputMessage="1" showErrorMessage="1" prompt="podaci iz rebalansa" sqref="S132:S137"/>
    <dataValidation allowBlank="1" showInputMessage="1" showErrorMessage="1" prompt="branko kuzmanović ne želi potpisati ugovor" sqref="E117"/>
    <dataValidation allowBlank="1" showInputMessage="1" showErrorMessage="1" prompt="54,90m2 stana branka kuzmanovića" sqref="F117"/>
    <dataValidation allowBlank="1" showInputMessage="1" showErrorMessage="1" prompt="silvio martinović ne želi potpisati ugovor" sqref="E119"/>
    <dataValidation allowBlank="1" showInputMessage="1" showErrorMessage="1" prompt="75,05m2 stana silvio martinović" sqref="F119"/>
    <dataValidation allowBlank="1" showInputMessage="1" showErrorMessage="1" prompt="mirjana radaković ne želi potpisati ugovor" sqref="E120"/>
    <dataValidation allowBlank="1" showInputMessage="1" showErrorMessage="1" prompt="65,49 m2 stana  mirjana radaković" sqref="F120"/>
    <dataValidation allowBlank="1" showInputMessage="1" showErrorMessage="1" prompt="plaćanja u 2009." sqref="D96:D97"/>
    <dataValidation allowBlank="1" showInputMessage="1" showErrorMessage="1" prompt="Veljković Tihomir, Futivić Božidar, Egartner Robert, Marinović Vlasta potpisali ugovor u 2009." sqref="E95"/>
    <dataValidation allowBlank="1" showInputMessage="1" showErrorMessage="1" prompt="podaci o neprodanim prostorima izvađeni iz tabele lista sklopljenih ugovora na datum 29.01.2009." sqref="D95 D107"/>
    <dataValidation allowBlank="1" showInputMessage="1" showErrorMessage="1" prompt="Šemnički Nataša, Čučković Branka, Rakoci Dražen, Višnić Božica" sqref="E107"/>
    <dataValidation allowBlank="1" showInputMessage="1" showErrorMessage="1" prompt="u investiciju dodana i vrijednost naknadno ugrađenih stupića u iznosu od 11.526,99 kn" sqref="P87"/>
    <dataValidation allowBlank="1" showInputMessage="1" showErrorMessage="1" prompt="u investicijsku vrijednost dodana i vrijednost stupića 1.833,84 kn" sqref="P95"/>
    <dataValidation allowBlank="1" showInputMessage="1" showErrorMessage="1" prompt="u investiciju dodana i vrijednost naknadno ugrađenih stupića u iznosu od 7.335,36 kn" sqref="P88"/>
    <dataValidation allowBlank="1" showInputMessage="1" showErrorMessage="1" prompt="u investiciju dodana i vrijednost naknadno ugrađenih stupića u iznosu od 9.431,17 kn" sqref="P89"/>
    <dataValidation allowBlank="1" showInputMessage="1" showErrorMessage="1" prompt="u investiciju dodana i vrijednost naknadno ugrađenih stupića u iznosu od 1.047,91 kn" sqref="P90"/>
    <dataValidation allowBlank="1" showInputMessage="1" showErrorMessage="1" prompt="u investiciju dodana i vrijednost naknadno ugrađenih stupića u iznosu od 8.383,26 kn" sqref="P91:P92"/>
    <dataValidation allowBlank="1" showInputMessage="1" showErrorMessage="1" prompt="u investiciju dodana i vrijednost naknadno ugrađenih stupića u iznosu od 7.073,38 kn" sqref="P93"/>
    <dataValidation allowBlank="1" showInputMessage="1" showErrorMessage="1" prompt="u investicijsku vrijednost dodana i vrijednost stupića 523,95 kn" sqref="P96"/>
    <dataValidation allowBlank="1" showInputMessage="1" showErrorMessage="1" prompt="u investicijsku vrijednost dodana i vrijednost stupića 1.571,86 kn" sqref="P97 P107"/>
    <dataValidation allowBlank="1" showInputMessage="1" showErrorMessage="1" prompt="u investicijsku vrijednost dodana i vrijednost stupića 261,98 kn" sqref="P98"/>
    <dataValidation allowBlank="1" showInputMessage="1" showErrorMessage="1" prompt="u investicijsku vrijednost dodana i vrijednost stupića 3.929,66 kn" sqref="P101"/>
    <dataValidation allowBlank="1" showInputMessage="1" showErrorMessage="1" prompt="u investicijsku vrijednost dodana i vrijednost stupića 3.405,70 kn" sqref="P102"/>
    <dataValidation allowBlank="1" showInputMessage="1" showErrorMessage="1" prompt="u investicijsku vrijednost dodana i vrijednost stupića 1.047,91 kn" sqref="P105"/>
    <dataValidation allowBlank="1" showInputMessage="1" showErrorMessage="1" prompt="_x000a_" sqref="P106"/>
    <dataValidation allowBlank="1" showInputMessage="1" showErrorMessage="1" prompt="u investicijsku vrijednost dodana i vrijednost stupića 2.357,79 kn" sqref="P108"/>
    <dataValidation allowBlank="1" showInputMessage="1" showErrorMessage="1" prompt="za okončane objekte zaduženje iz prodaje, za planske objekte iz plana" sqref="T6"/>
    <dataValidation allowBlank="1" showInputMessage="1" showErrorMessage="1" prompt="subvencija umanjena za pripradnu subvenciju neprodanih i izdvojenih garaža i stanova" sqref="T74"/>
    <dataValidation allowBlank="1" showInputMessage="1" showErrorMessage="1" prompt="oduzeto 10% za neprodane stanove (3%) i garaže (7%)" sqref="T127"/>
  </dataValidations>
  <pageMargins left="0.67" right="0.17" top="0.18" bottom="0.14000000000000001" header="0.22" footer="0.14000000000000001"/>
  <pageSetup paperSize="9" scale="47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2"/>
  <sheetViews>
    <sheetView topLeftCell="A37" workbookViewId="0">
      <selection activeCell="D42" sqref="D42"/>
    </sheetView>
  </sheetViews>
  <sheetFormatPr defaultColWidth="9.140625" defaultRowHeight="12.75" x14ac:dyDescent="0.2"/>
  <cols>
    <col min="1" max="1" width="4.7109375" style="99" customWidth="1"/>
    <col min="2" max="2" width="55.140625" style="99" customWidth="1"/>
    <col min="3" max="4" width="16.5703125" style="106" bestFit="1" customWidth="1"/>
    <col min="5" max="5" width="9.7109375" style="141" customWidth="1"/>
    <col min="6" max="6" width="17.85546875" style="112" customWidth="1"/>
    <col min="7" max="7" width="17.7109375" style="106" customWidth="1"/>
    <col min="8" max="8" width="13.7109375" style="112" customWidth="1"/>
    <col min="9" max="9" width="15.85546875" style="99" customWidth="1"/>
    <col min="10" max="10" width="15.28515625" style="99" customWidth="1"/>
    <col min="11" max="11" width="13.7109375" style="99" customWidth="1"/>
    <col min="12" max="16384" width="9.140625" style="99"/>
  </cols>
  <sheetData>
    <row r="1" spans="1:11" ht="7.5" customHeight="1" x14ac:dyDescent="0.2"/>
    <row r="2" spans="1:11" x14ac:dyDescent="0.2">
      <c r="A2" s="3728" t="s">
        <v>455</v>
      </c>
      <c r="B2" s="3728"/>
      <c r="C2" s="3728"/>
      <c r="D2" s="3728"/>
      <c r="E2" s="3728"/>
    </row>
    <row r="3" spans="1:11" x14ac:dyDescent="0.2">
      <c r="A3" s="3728"/>
      <c r="B3" s="3728"/>
      <c r="C3" s="3728"/>
      <c r="D3" s="3728"/>
      <c r="E3" s="3728"/>
    </row>
    <row r="4" spans="1:11" ht="23.25" customHeight="1" x14ac:dyDescent="0.2">
      <c r="A4" s="3728"/>
      <c r="B4" s="3728"/>
      <c r="C4" s="3728"/>
      <c r="D4" s="3728"/>
      <c r="E4" s="3728"/>
    </row>
    <row r="5" spans="1:11" ht="6" customHeight="1" x14ac:dyDescent="0.2">
      <c r="A5" s="1285"/>
      <c r="B5" s="1285"/>
      <c r="C5" s="1285"/>
      <c r="D5" s="1285"/>
      <c r="E5" s="1285"/>
    </row>
    <row r="6" spans="1:11" ht="25.5" x14ac:dyDescent="0.2">
      <c r="A6" s="113" t="s">
        <v>185</v>
      </c>
      <c r="B6" s="113" t="s">
        <v>186</v>
      </c>
      <c r="C6" s="114" t="s">
        <v>187</v>
      </c>
      <c r="D6" s="114" t="s">
        <v>188</v>
      </c>
      <c r="E6" s="115" t="s">
        <v>189</v>
      </c>
    </row>
    <row r="7" spans="1:11" x14ac:dyDescent="0.2">
      <c r="A7" s="116">
        <v>1</v>
      </c>
      <c r="B7" s="117" t="s">
        <v>456</v>
      </c>
      <c r="C7" s="118">
        <f>'prosinac 2009.(12)'!CP161</f>
        <v>32917436.430000003</v>
      </c>
      <c r="D7" s="118">
        <f>'prosinac 2009.(12)'!CQ161</f>
        <v>17587005.410000004</v>
      </c>
      <c r="E7" s="119">
        <f>IF(C7&gt;0,D7/C7,0)</f>
        <v>0.53427627778364029</v>
      </c>
      <c r="F7" s="120"/>
      <c r="I7" s="106"/>
      <c r="K7" s="106"/>
    </row>
    <row r="8" spans="1:11" x14ac:dyDescent="0.2">
      <c r="A8" s="121">
        <v>2</v>
      </c>
      <c r="B8" s="122" t="s">
        <v>457</v>
      </c>
      <c r="C8" s="123">
        <f>'prosinac 2009.(12)'!CR161</f>
        <v>21044937.82</v>
      </c>
      <c r="D8" s="123">
        <f>'prosinac 2009.(12)'!CS161</f>
        <v>18606390.740000002</v>
      </c>
      <c r="E8" s="119">
        <f>IF(C8&gt;0,D8/C8,0)</f>
        <v>0.8841266673792435</v>
      </c>
      <c r="F8" s="120"/>
      <c r="I8" s="106"/>
      <c r="K8" s="106"/>
    </row>
    <row r="9" spans="1:11" x14ac:dyDescent="0.2">
      <c r="A9" s="124">
        <v>3</v>
      </c>
      <c r="B9" s="125" t="s">
        <v>190</v>
      </c>
      <c r="C9" s="126" t="e">
        <f>#REF!</f>
        <v>#REF!</v>
      </c>
      <c r="D9" s="126" t="e">
        <f>#REF!</f>
        <v>#REF!</v>
      </c>
      <c r="E9" s="119" t="e">
        <f>IF(C9&gt;0,D9/C9,0)</f>
        <v>#REF!</v>
      </c>
      <c r="F9" s="120"/>
      <c r="I9" s="106"/>
      <c r="K9" s="106"/>
    </row>
    <row r="10" spans="1:11" x14ac:dyDescent="0.2">
      <c r="A10" s="121">
        <v>4</v>
      </c>
      <c r="B10" s="122" t="s">
        <v>191</v>
      </c>
      <c r="C10" s="123">
        <v>0</v>
      </c>
      <c r="D10" s="123">
        <v>0</v>
      </c>
      <c r="E10" s="119">
        <f>IF(C10&gt;0,D10/C10,0)</f>
        <v>0</v>
      </c>
      <c r="F10" s="127"/>
      <c r="I10" s="106"/>
      <c r="K10" s="106"/>
    </row>
    <row r="11" spans="1:11" x14ac:dyDescent="0.2">
      <c r="A11" s="124">
        <v>5</v>
      </c>
      <c r="B11" s="125" t="s">
        <v>436</v>
      </c>
      <c r="C11" s="126" t="e">
        <f>#REF!</f>
        <v>#REF!</v>
      </c>
      <c r="D11" s="126" t="e">
        <f>#REF!</f>
        <v>#REF!</v>
      </c>
      <c r="E11" s="119" t="e">
        <f>IF(C11&gt;0,D11/C11,0)</f>
        <v>#REF!</v>
      </c>
      <c r="F11" s="128"/>
      <c r="I11" s="106"/>
      <c r="K11" s="106"/>
    </row>
    <row r="12" spans="1:11" x14ac:dyDescent="0.2">
      <c r="A12" s="129">
        <v>6</v>
      </c>
      <c r="B12" s="130" t="s">
        <v>193</v>
      </c>
      <c r="C12" s="131" t="e">
        <f>$G$13*F12</f>
        <v>#REF!</v>
      </c>
      <c r="D12" s="131" t="e">
        <f>#REF!-'A4 (siječanj-kolovoz)'!D13-'A4 (siječanj-kolovoz)'!D14-'A4 (siječanj-kolovoz)'!D15</f>
        <v>#REF!</v>
      </c>
      <c r="E12" s="3729" t="e">
        <f>(D12+D13+D14+D15)/(C12+C13+C14+C15)</f>
        <v>#REF!</v>
      </c>
      <c r="F12" s="133" t="e">
        <f>D12/$G$14</f>
        <v>#REF!</v>
      </c>
      <c r="G12" s="134"/>
      <c r="I12" s="106"/>
      <c r="K12" s="106"/>
    </row>
    <row r="13" spans="1:11" x14ac:dyDescent="0.2">
      <c r="A13" s="124">
        <v>7</v>
      </c>
      <c r="B13" s="125" t="s">
        <v>194</v>
      </c>
      <c r="C13" s="131" t="e">
        <f>$G$13*F13</f>
        <v>#REF!</v>
      </c>
      <c r="D13" s="131" t="e">
        <f>#REF!</f>
        <v>#REF!</v>
      </c>
      <c r="E13" s="3730"/>
      <c r="F13" s="133" t="e">
        <f>D13/$G$14</f>
        <v>#REF!</v>
      </c>
      <c r="G13" s="106" t="e">
        <f>#REF!</f>
        <v>#REF!</v>
      </c>
      <c r="I13" s="106"/>
      <c r="K13" s="106"/>
    </row>
    <row r="14" spans="1:11" x14ac:dyDescent="0.2">
      <c r="A14" s="124">
        <v>8</v>
      </c>
      <c r="B14" s="125" t="s">
        <v>195</v>
      </c>
      <c r="C14" s="131" t="e">
        <f>$G$13*F14</f>
        <v>#REF!</v>
      </c>
      <c r="D14" s="131" t="e">
        <f>#REF!</f>
        <v>#REF!</v>
      </c>
      <c r="E14" s="3730"/>
      <c r="F14" s="133" t="e">
        <f>D14/$G$14</f>
        <v>#REF!</v>
      </c>
      <c r="G14" s="106" t="e">
        <f>SUM(D12:D15)</f>
        <v>#REF!</v>
      </c>
      <c r="I14" s="106"/>
      <c r="K14" s="106"/>
    </row>
    <row r="15" spans="1:11" x14ac:dyDescent="0.2">
      <c r="A15" s="116">
        <v>9</v>
      </c>
      <c r="B15" s="117" t="s">
        <v>196</v>
      </c>
      <c r="C15" s="131" t="e">
        <f>$G$13*F15</f>
        <v>#REF!</v>
      </c>
      <c r="D15" s="131">
        <v>0</v>
      </c>
      <c r="E15" s="3731"/>
      <c r="F15" s="133" t="e">
        <f>D15/$G$14</f>
        <v>#REF!</v>
      </c>
      <c r="I15" s="106"/>
      <c r="K15" s="106"/>
    </row>
    <row r="16" spans="1:11" x14ac:dyDescent="0.2">
      <c r="A16" s="124">
        <v>10</v>
      </c>
      <c r="B16" s="125" t="s">
        <v>197</v>
      </c>
      <c r="C16" s="136" t="e">
        <f>#REF!</f>
        <v>#REF!</v>
      </c>
      <c r="D16" s="136" t="e">
        <f>#REF!</f>
        <v>#REF!</v>
      </c>
      <c r="E16" s="119" t="e">
        <f t="shared" ref="E16:E27" si="0">IF(C16&gt;0,D16/C16,0)</f>
        <v>#REF!</v>
      </c>
      <c r="F16" s="137"/>
      <c r="I16" s="106"/>
      <c r="K16" s="106"/>
    </row>
    <row r="17" spans="1:11" x14ac:dyDescent="0.2">
      <c r="A17" s="129">
        <v>11</v>
      </c>
      <c r="B17" s="122" t="s">
        <v>198</v>
      </c>
      <c r="C17" s="136" t="e">
        <f>#REF!</f>
        <v>#REF!</v>
      </c>
      <c r="D17" s="136" t="e">
        <f>#REF!</f>
        <v>#REF!</v>
      </c>
      <c r="E17" s="119" t="e">
        <f t="shared" si="0"/>
        <v>#REF!</v>
      </c>
      <c r="F17" s="138"/>
      <c r="I17" s="106"/>
      <c r="K17" s="106"/>
    </row>
    <row r="18" spans="1:11" x14ac:dyDescent="0.2">
      <c r="A18" s="124">
        <v>12</v>
      </c>
      <c r="B18" s="125" t="s">
        <v>348</v>
      </c>
      <c r="C18" s="136">
        <f>'prosinac 2009.(12)'!CT168+'prosinac 2009.(12)'!CT191+'prosinac 2009.(12)'!CT210</f>
        <v>3334206.85</v>
      </c>
      <c r="D18" s="136">
        <f>'prosinac 2009.(12)'!CU168+'prosinac 2009.(12)'!CU191+'prosinac 2009.(12)'!CU210</f>
        <v>2194375.58</v>
      </c>
      <c r="E18" s="119">
        <f t="shared" si="0"/>
        <v>0.65814020506856075</v>
      </c>
      <c r="F18" s="137"/>
      <c r="I18" s="106"/>
      <c r="K18" s="106"/>
    </row>
    <row r="19" spans="1:11" x14ac:dyDescent="0.2">
      <c r="A19" s="124">
        <v>13</v>
      </c>
      <c r="B19" s="139" t="s">
        <v>385</v>
      </c>
      <c r="C19" s="136">
        <f>'A4 (siječanj-srpanj)'!C17+'A4 kolovoz'!C19</f>
        <v>980945.37</v>
      </c>
      <c r="D19" s="136">
        <f>'A4 (siječanj-srpanj)'!D17+'A4 kolovoz'!D19</f>
        <v>980945.37</v>
      </c>
      <c r="E19" s="119">
        <f t="shared" si="0"/>
        <v>1</v>
      </c>
      <c r="F19" s="138"/>
      <c r="I19" s="106"/>
      <c r="K19" s="106"/>
    </row>
    <row r="20" spans="1:11" x14ac:dyDescent="0.2">
      <c r="A20" s="116">
        <v>14</v>
      </c>
      <c r="B20" s="140" t="s">
        <v>386</v>
      </c>
      <c r="C20" s="136">
        <f>'prosinac 2009.(12)'!CT163+'prosinac 2009.(12)'!CT173+'prosinac 2009.(12)'!CT209</f>
        <v>1441113.4300000002</v>
      </c>
      <c r="D20" s="136">
        <f>'prosinac 2009.(12)'!CU163+'prosinac 2009.(12)'!CU173+'prosinac 2009.(12)'!CU209</f>
        <v>746906.76</v>
      </c>
      <c r="E20" s="135">
        <f t="shared" si="0"/>
        <v>0.51828450450288288</v>
      </c>
      <c r="F20" s="138"/>
      <c r="I20" s="106"/>
      <c r="K20" s="106"/>
    </row>
    <row r="21" spans="1:11" x14ac:dyDescent="0.2">
      <c r="A21" s="124">
        <v>16</v>
      </c>
      <c r="B21" s="125" t="s">
        <v>219</v>
      </c>
      <c r="C21" s="136" t="e">
        <f>#REF!</f>
        <v>#REF!</v>
      </c>
      <c r="D21" s="136" t="e">
        <f>#REF!</f>
        <v>#REF!</v>
      </c>
      <c r="E21" s="119" t="e">
        <f t="shared" si="0"/>
        <v>#REF!</v>
      </c>
      <c r="F21" s="138"/>
      <c r="I21" s="106"/>
      <c r="K21" s="106"/>
    </row>
    <row r="22" spans="1:11" x14ac:dyDescent="0.2">
      <c r="A22" s="124">
        <v>17</v>
      </c>
      <c r="B22" s="125" t="s">
        <v>380</v>
      </c>
      <c r="C22" s="136" t="e">
        <f>#REF!</f>
        <v>#REF!</v>
      </c>
      <c r="D22" s="136" t="e">
        <f>#REF!</f>
        <v>#REF!</v>
      </c>
      <c r="E22" s="119" t="e">
        <f>D22/C22</f>
        <v>#REF!</v>
      </c>
      <c r="F22" s="138"/>
      <c r="I22" s="106"/>
      <c r="K22" s="106"/>
    </row>
    <row r="23" spans="1:11" x14ac:dyDescent="0.2">
      <c r="A23" s="124">
        <v>18</v>
      </c>
      <c r="B23" s="125" t="s">
        <v>199</v>
      </c>
      <c r="C23" s="136" t="e">
        <f>#REF!</f>
        <v>#REF!</v>
      </c>
      <c r="D23" s="136" t="e">
        <f>#REF!</f>
        <v>#REF!</v>
      </c>
      <c r="E23" s="119" t="e">
        <f t="shared" si="0"/>
        <v>#REF!</v>
      </c>
      <c r="F23" s="138"/>
      <c r="I23" s="106"/>
      <c r="K23" s="106"/>
    </row>
    <row r="24" spans="1:11" x14ac:dyDescent="0.2">
      <c r="A24" s="124">
        <v>19</v>
      </c>
      <c r="B24" s="125" t="s">
        <v>422</v>
      </c>
      <c r="C24" s="136" t="e">
        <f>#REF!</f>
        <v>#REF!</v>
      </c>
      <c r="D24" s="136" t="e">
        <f>#REF!</f>
        <v>#REF!</v>
      </c>
      <c r="E24" s="119" t="e">
        <f t="shared" si="0"/>
        <v>#REF!</v>
      </c>
      <c r="F24" s="138"/>
      <c r="I24" s="106"/>
      <c r="K24" s="106"/>
    </row>
    <row r="25" spans="1:11" x14ac:dyDescent="0.2">
      <c r="A25" s="121">
        <v>20</v>
      </c>
      <c r="B25" s="117" t="s">
        <v>200</v>
      </c>
      <c r="C25" s="136" t="e">
        <f>#REF!</f>
        <v>#REF!</v>
      </c>
      <c r="D25" s="136" t="e">
        <f>#REF!</f>
        <v>#REF!</v>
      </c>
      <c r="E25" s="119" t="e">
        <f t="shared" si="0"/>
        <v>#REF!</v>
      </c>
      <c r="F25" s="138"/>
      <c r="I25" s="106"/>
      <c r="K25" s="106"/>
    </row>
    <row r="26" spans="1:11" x14ac:dyDescent="0.2">
      <c r="A26" s="124">
        <v>21</v>
      </c>
      <c r="B26" s="125" t="s">
        <v>201</v>
      </c>
      <c r="C26" s="136" t="e">
        <f>#REF!</f>
        <v>#REF!</v>
      </c>
      <c r="D26" s="136" t="e">
        <f>#REF!</f>
        <v>#REF!</v>
      </c>
      <c r="E26" s="119" t="e">
        <f t="shared" si="0"/>
        <v>#REF!</v>
      </c>
      <c r="F26" s="138"/>
      <c r="G26" s="141"/>
      <c r="I26" s="106"/>
      <c r="K26" s="106"/>
    </row>
    <row r="27" spans="1:11" ht="13.5" thickBot="1" x14ac:dyDescent="0.25">
      <c r="A27" s="142">
        <v>22</v>
      </c>
      <c r="B27" s="143" t="s">
        <v>202</v>
      </c>
      <c r="C27" s="144" t="e">
        <f>#REF!</f>
        <v>#REF!</v>
      </c>
      <c r="D27" s="144" t="e">
        <f>#REF!</f>
        <v>#REF!</v>
      </c>
      <c r="E27" s="132" t="e">
        <f t="shared" si="0"/>
        <v>#REF!</v>
      </c>
      <c r="F27" s="138"/>
      <c r="I27" s="106"/>
      <c r="K27" s="106"/>
    </row>
    <row r="28" spans="1:11" ht="27" customHeight="1" thickTop="1" thickBot="1" x14ac:dyDescent="0.25">
      <c r="A28" s="145"/>
      <c r="B28" s="146" t="s">
        <v>471</v>
      </c>
      <c r="C28" s="138" t="e">
        <f>C7+C8+C9+C10+C11+C16+C17+C18+C21+C20</f>
        <v>#REF!</v>
      </c>
      <c r="D28" s="138" t="e">
        <f>D7+D8+D9+D10+D11+D16+D17+D18+D21+D20</f>
        <v>#REF!</v>
      </c>
      <c r="E28" s="147"/>
      <c r="I28" s="106"/>
      <c r="K28" s="106"/>
    </row>
    <row r="29" spans="1:11" ht="27.75" customHeight="1" thickBot="1" x14ac:dyDescent="0.25">
      <c r="A29" s="148"/>
      <c r="B29" s="149" t="s">
        <v>472</v>
      </c>
      <c r="C29" s="150" t="e">
        <f>C7+C9+C10+C11+C12+C16+C17+C18+C21+C23+C25+C26+C27+C22+C24+C13+C14+C15</f>
        <v>#REF!</v>
      </c>
      <c r="D29" s="150" t="e">
        <f>D7+D9+D10+D11+D12+D16+D17+D18+D21+D23+D25+D26+D27+D22+D24+D13+D14+D15</f>
        <v>#REF!</v>
      </c>
      <c r="E29" s="151"/>
      <c r="G29" s="107"/>
      <c r="I29" s="106"/>
      <c r="K29" s="106"/>
    </row>
    <row r="30" spans="1:11" ht="9" customHeight="1" x14ac:dyDescent="0.2">
      <c r="A30" s="110"/>
      <c r="B30" s="152"/>
      <c r="C30" s="108"/>
      <c r="D30" s="111"/>
      <c r="E30" s="153"/>
    </row>
    <row r="31" spans="1:11" ht="25.5" x14ac:dyDescent="0.2">
      <c r="A31" s="113" t="s">
        <v>185</v>
      </c>
      <c r="B31" s="113" t="s">
        <v>203</v>
      </c>
      <c r="C31" s="114" t="s">
        <v>204</v>
      </c>
      <c r="D31" s="114" t="s">
        <v>205</v>
      </c>
      <c r="E31" s="115" t="s">
        <v>189</v>
      </c>
    </row>
    <row r="32" spans="1:11" x14ac:dyDescent="0.2">
      <c r="A32" s="154">
        <v>1</v>
      </c>
      <c r="B32" s="155" t="s">
        <v>458</v>
      </c>
      <c r="C32" s="156">
        <f>'prosinac 2009.(12)'!CI161</f>
        <v>37117783.579999998</v>
      </c>
      <c r="D32" s="156">
        <f>'prosinac 2009.(12)'!CJ161</f>
        <v>22776041.789999999</v>
      </c>
      <c r="E32" s="119">
        <f t="shared" ref="E32:E49" si="1">IF(C32&gt;0,D32/C32,0)</f>
        <v>0.61361535073641382</v>
      </c>
      <c r="F32" s="120"/>
      <c r="J32" s="106"/>
    </row>
    <row r="33" spans="1:10" x14ac:dyDescent="0.2">
      <c r="A33" s="124">
        <v>2</v>
      </c>
      <c r="B33" s="139" t="s">
        <v>459</v>
      </c>
      <c r="C33" s="126">
        <f>'prosinac 2009.(12)'!CK161</f>
        <v>19567534.669999998</v>
      </c>
      <c r="D33" s="126">
        <f>'prosinac 2009.(12)'!CL161</f>
        <v>9703856.7800000012</v>
      </c>
      <c r="E33" s="119">
        <f t="shared" si="1"/>
        <v>0.49591616642833841</v>
      </c>
      <c r="F33" s="120"/>
      <c r="J33" s="106"/>
    </row>
    <row r="34" spans="1:10" x14ac:dyDescent="0.2">
      <c r="A34" s="121">
        <v>3</v>
      </c>
      <c r="B34" s="157" t="s">
        <v>206</v>
      </c>
      <c r="C34" s="123" t="e">
        <f>#REF!</f>
        <v>#REF!</v>
      </c>
      <c r="D34" s="123" t="e">
        <f>#REF!</f>
        <v>#REF!</v>
      </c>
      <c r="E34" s="119" t="e">
        <f t="shared" si="1"/>
        <v>#REF!</v>
      </c>
      <c r="F34" s="120"/>
      <c r="J34" s="106"/>
    </row>
    <row r="35" spans="1:10" x14ac:dyDescent="0.2">
      <c r="A35" s="124">
        <v>4</v>
      </c>
      <c r="B35" s="139" t="s">
        <v>437</v>
      </c>
      <c r="C35" s="126" t="e">
        <f>#REF!</f>
        <v>#REF!</v>
      </c>
      <c r="D35" s="126" t="e">
        <f>#REF!</f>
        <v>#REF!</v>
      </c>
      <c r="E35" s="119" t="e">
        <f t="shared" si="1"/>
        <v>#REF!</v>
      </c>
      <c r="F35" s="120"/>
      <c r="J35" s="106"/>
    </row>
    <row r="36" spans="1:10" x14ac:dyDescent="0.2">
      <c r="A36" s="121">
        <v>5</v>
      </c>
      <c r="B36" s="157" t="s">
        <v>208</v>
      </c>
      <c r="C36" s="158">
        <v>0</v>
      </c>
      <c r="D36" s="158">
        <v>0</v>
      </c>
      <c r="E36" s="119">
        <f t="shared" si="1"/>
        <v>0</v>
      </c>
      <c r="F36" s="120"/>
      <c r="J36" s="106"/>
    </row>
    <row r="37" spans="1:10" x14ac:dyDescent="0.2">
      <c r="A37" s="124">
        <v>6</v>
      </c>
      <c r="B37" s="139" t="s">
        <v>209</v>
      </c>
      <c r="C37" s="158">
        <v>0</v>
      </c>
      <c r="D37" s="158">
        <v>0</v>
      </c>
      <c r="E37" s="119">
        <f t="shared" si="1"/>
        <v>0</v>
      </c>
      <c r="F37" s="120"/>
      <c r="J37" s="106"/>
    </row>
    <row r="38" spans="1:10" x14ac:dyDescent="0.2">
      <c r="A38" s="121">
        <v>7</v>
      </c>
      <c r="B38" s="157" t="s">
        <v>210</v>
      </c>
      <c r="C38" s="126" t="e">
        <f>#REF!</f>
        <v>#REF!</v>
      </c>
      <c r="D38" s="126" t="e">
        <f>#REF!</f>
        <v>#REF!</v>
      </c>
      <c r="E38" s="119" t="e">
        <f t="shared" si="1"/>
        <v>#REF!</v>
      </c>
      <c r="F38" s="120"/>
      <c r="J38" s="106"/>
    </row>
    <row r="39" spans="1:10" x14ac:dyDescent="0.2">
      <c r="A39" s="124">
        <v>8</v>
      </c>
      <c r="B39" s="139" t="s">
        <v>349</v>
      </c>
      <c r="C39" s="123">
        <f>'prosinac 2009.(12)'!CM168+'prosinac 2009.(12)'!CM191+'prosinac 2009.(12)'!CM210</f>
        <v>3030300</v>
      </c>
      <c r="D39" s="123">
        <f>'prosinac 2009.(12)'!CN168+'prosinac 2009.(12)'!CN191+'prosinac 2009.(12)'!CN210</f>
        <v>2357857.59</v>
      </c>
      <c r="E39" s="119">
        <f t="shared" si="1"/>
        <v>0.77809378279378272</v>
      </c>
      <c r="F39" s="120"/>
      <c r="J39" s="106"/>
    </row>
    <row r="40" spans="1:10" x14ac:dyDescent="0.2">
      <c r="A40" s="124">
        <v>9</v>
      </c>
      <c r="B40" s="139" t="s">
        <v>350</v>
      </c>
      <c r="C40" s="126">
        <f>'prosinac 2009.(12)'!CM163+'prosinac 2009.(12)'!CM173+'prosinac 2009.(12)'!CM209</f>
        <v>1534721.34</v>
      </c>
      <c r="D40" s="126">
        <f>'prosinac 2009.(12)'!CN163+'prosinac 2009.(12)'!CN173+'prosinac 2009.(12)'!CN209</f>
        <v>746906.76</v>
      </c>
      <c r="E40" s="119">
        <f t="shared" si="1"/>
        <v>0.48667255776869561</v>
      </c>
      <c r="F40" s="120"/>
      <c r="J40" s="106"/>
    </row>
    <row r="41" spans="1:10" x14ac:dyDescent="0.2">
      <c r="A41" s="124">
        <v>10</v>
      </c>
      <c r="B41" s="157" t="s">
        <v>383</v>
      </c>
      <c r="C41" s="123" t="e">
        <f>#REF!</f>
        <v>#REF!</v>
      </c>
      <c r="D41" s="123" t="e">
        <f>#REF!</f>
        <v>#REF!</v>
      </c>
      <c r="E41" s="119" t="e">
        <f t="shared" si="1"/>
        <v>#REF!</v>
      </c>
      <c r="F41" s="120">
        <v>1498732.62</v>
      </c>
      <c r="J41" s="106"/>
    </row>
    <row r="42" spans="1:10" x14ac:dyDescent="0.2">
      <c r="A42" s="124">
        <v>11</v>
      </c>
      <c r="B42" s="139" t="s">
        <v>220</v>
      </c>
      <c r="C42" s="126" t="e">
        <f>#REF!</f>
        <v>#REF!</v>
      </c>
      <c r="D42" s="126" t="e">
        <f>#REF!</f>
        <v>#REF!</v>
      </c>
      <c r="E42" s="119" t="e">
        <f t="shared" si="1"/>
        <v>#REF!</v>
      </c>
      <c r="F42" s="120">
        <v>2747376.44</v>
      </c>
      <c r="J42" s="106"/>
    </row>
    <row r="43" spans="1:10" x14ac:dyDescent="0.2">
      <c r="A43" s="121">
        <v>12</v>
      </c>
      <c r="B43" s="157" t="s">
        <v>211</v>
      </c>
      <c r="C43" s="126" t="e">
        <f>#REF!</f>
        <v>#REF!</v>
      </c>
      <c r="D43" s="126" t="e">
        <f>#REF!</f>
        <v>#REF!</v>
      </c>
      <c r="E43" s="119" t="e">
        <f t="shared" si="1"/>
        <v>#REF!</v>
      </c>
      <c r="F43" s="120">
        <f>SUM(F41:F42)</f>
        <v>4246109.0600000005</v>
      </c>
      <c r="J43" s="106"/>
    </row>
    <row r="44" spans="1:10" x14ac:dyDescent="0.2">
      <c r="A44" s="124">
        <v>15</v>
      </c>
      <c r="B44" s="139" t="s">
        <v>380</v>
      </c>
      <c r="C44" s="126" t="e">
        <f>#REF!</f>
        <v>#REF!</v>
      </c>
      <c r="D44" s="126" t="e">
        <f>#REF!</f>
        <v>#REF!</v>
      </c>
      <c r="E44" s="119" t="e">
        <f>D44/C44</f>
        <v>#REF!</v>
      </c>
      <c r="F44" s="120">
        <v>6052504.4199999999</v>
      </c>
      <c r="J44" s="106"/>
    </row>
    <row r="45" spans="1:10" x14ac:dyDescent="0.2">
      <c r="A45" s="124">
        <v>16</v>
      </c>
      <c r="B45" s="139" t="s">
        <v>212</v>
      </c>
      <c r="C45" s="126" t="e">
        <f>#REF!</f>
        <v>#REF!</v>
      </c>
      <c r="D45" s="126" t="e">
        <f>#REF!</f>
        <v>#REF!</v>
      </c>
      <c r="E45" s="119" t="e">
        <f t="shared" si="1"/>
        <v>#REF!</v>
      </c>
      <c r="F45" s="120">
        <f>SUM(F43:F44)</f>
        <v>10298613.48</v>
      </c>
      <c r="J45" s="106"/>
    </row>
    <row r="46" spans="1:10" x14ac:dyDescent="0.2">
      <c r="A46" s="124">
        <v>17</v>
      </c>
      <c r="B46" s="139" t="s">
        <v>420</v>
      </c>
      <c r="C46" s="126" t="e">
        <f>#REF!</f>
        <v>#REF!</v>
      </c>
      <c r="D46" s="126" t="e">
        <f>#REF!</f>
        <v>#REF!</v>
      </c>
      <c r="E46" s="119" t="e">
        <f t="shared" si="1"/>
        <v>#REF!</v>
      </c>
      <c r="F46" s="120"/>
      <c r="J46" s="106"/>
    </row>
    <row r="47" spans="1:10" x14ac:dyDescent="0.2">
      <c r="A47" s="121">
        <v>18</v>
      </c>
      <c r="B47" s="157" t="s">
        <v>213</v>
      </c>
      <c r="C47" s="126" t="e">
        <f>#REF!</f>
        <v>#REF!</v>
      </c>
      <c r="D47" s="126" t="e">
        <f>#REF!</f>
        <v>#REF!</v>
      </c>
      <c r="E47" s="119" t="e">
        <f t="shared" si="1"/>
        <v>#REF!</v>
      </c>
      <c r="F47" s="120"/>
      <c r="J47" s="106"/>
    </row>
    <row r="48" spans="1:10" x14ac:dyDescent="0.2">
      <c r="A48" s="124">
        <v>19</v>
      </c>
      <c r="B48" s="139" t="s">
        <v>222</v>
      </c>
      <c r="C48" s="126" t="e">
        <f>#REF!</f>
        <v>#REF!</v>
      </c>
      <c r="D48" s="126" t="e">
        <f>#REF!</f>
        <v>#REF!</v>
      </c>
      <c r="E48" s="119" t="e">
        <f t="shared" si="1"/>
        <v>#REF!</v>
      </c>
      <c r="F48" s="120"/>
      <c r="J48" s="106"/>
    </row>
    <row r="49" spans="1:10" ht="13.5" thickBot="1" x14ac:dyDescent="0.25">
      <c r="A49" s="142">
        <v>20</v>
      </c>
      <c r="B49" s="159" t="s">
        <v>221</v>
      </c>
      <c r="C49" s="160" t="e">
        <f>#REF!</f>
        <v>#REF!</v>
      </c>
      <c r="D49" s="160" t="e">
        <f>#REF!</f>
        <v>#REF!</v>
      </c>
      <c r="E49" s="161" t="e">
        <f t="shared" si="1"/>
        <v>#REF!</v>
      </c>
      <c r="F49" s="120"/>
      <c r="J49" s="106"/>
    </row>
    <row r="50" spans="1:10" ht="27" customHeight="1" thickTop="1" thickBot="1" x14ac:dyDescent="0.25">
      <c r="A50" s="162"/>
      <c r="B50" s="163" t="s">
        <v>462</v>
      </c>
      <c r="C50" s="127" t="e">
        <f>C32+C33+C34+C35+C38+C39+C42+C43+C41+C40</f>
        <v>#REF!</v>
      </c>
      <c r="D50" s="164" t="e">
        <f>D32+D33+D34+D35+D38+D39+D42+D43+D41+D40</f>
        <v>#REF!</v>
      </c>
      <c r="E50" s="165"/>
      <c r="J50" s="106"/>
    </row>
    <row r="51" spans="1:10" s="100" customFormat="1" ht="27" customHeight="1" thickBot="1" x14ac:dyDescent="0.25">
      <c r="A51" s="148"/>
      <c r="B51" s="149" t="s">
        <v>463</v>
      </c>
      <c r="C51" s="150" t="e">
        <f>C32+C34+C35+C38+C39+C42+C43+C45+C47+C48+C49+C41+C44+C40+C46</f>
        <v>#REF!</v>
      </c>
      <c r="D51" s="150" t="e">
        <f>D32+D34+D35+D38+D39+D42+D43+D45+D47+D48+D49+D41+D44+D40+D46</f>
        <v>#REF!</v>
      </c>
      <c r="E51" s="151"/>
      <c r="F51" s="104"/>
      <c r="G51" s="166"/>
      <c r="H51" s="112"/>
      <c r="I51" s="99"/>
      <c r="J51" s="106"/>
    </row>
    <row r="52" spans="1:10" ht="12" customHeight="1" thickBot="1" x14ac:dyDescent="0.25">
      <c r="A52" s="110"/>
      <c r="B52" s="152"/>
      <c r="C52" s="167"/>
      <c r="D52" s="111"/>
      <c r="E52" s="153"/>
    </row>
    <row r="53" spans="1:10" ht="16.5" customHeight="1" thickBot="1" x14ac:dyDescent="0.25">
      <c r="A53" s="3732" t="s">
        <v>384</v>
      </c>
      <c r="B53" s="3733"/>
      <c r="C53" s="150"/>
      <c r="D53" s="168" t="e">
        <f>D29-D51</f>
        <v>#REF!</v>
      </c>
      <c r="E53" s="153"/>
    </row>
    <row r="54" spans="1:10" ht="10.5" customHeight="1" thickBot="1" x14ac:dyDescent="0.25">
      <c r="A54" s="110"/>
      <c r="B54" s="102"/>
      <c r="C54" s="108"/>
      <c r="D54" s="108"/>
      <c r="E54" s="153"/>
    </row>
    <row r="55" spans="1:10" ht="15.75" customHeight="1" thickBot="1" x14ac:dyDescent="0.25">
      <c r="A55" s="3732" t="s">
        <v>326</v>
      </c>
      <c r="B55" s="3733"/>
      <c r="C55" s="3733"/>
      <c r="D55" s="168">
        <v>62210392.009999998</v>
      </c>
      <c r="E55" s="153"/>
    </row>
    <row r="56" spans="1:10" ht="9.75" customHeight="1" thickBot="1" x14ac:dyDescent="0.25">
      <c r="A56" s="110"/>
      <c r="B56" s="102"/>
      <c r="C56" s="108"/>
      <c r="D56" s="108"/>
      <c r="E56" s="153"/>
    </row>
    <row r="57" spans="1:10" ht="16.5" customHeight="1" thickBot="1" x14ac:dyDescent="0.25">
      <c r="A57" s="3732" t="s">
        <v>461</v>
      </c>
      <c r="B57" s="3733"/>
      <c r="C57" s="3733"/>
      <c r="D57" s="168" t="e">
        <f>D55+D53</f>
        <v>#REF!</v>
      </c>
      <c r="E57" s="153"/>
      <c r="F57" s="106">
        <f>'A4 kolovoz'!F57</f>
        <v>48483590.509999998</v>
      </c>
      <c r="G57" s="169" t="e">
        <f>D57-F57</f>
        <v>#REF!</v>
      </c>
    </row>
    <row r="58" spans="1:10" ht="7.5" customHeight="1" x14ac:dyDescent="0.2">
      <c r="A58" s="110"/>
      <c r="B58" s="152"/>
      <c r="C58" s="108"/>
      <c r="D58" s="111"/>
      <c r="E58" s="153"/>
    </row>
    <row r="59" spans="1:10" ht="38.25" customHeight="1" x14ac:dyDescent="0.2">
      <c r="A59" s="110"/>
      <c r="B59" s="3734" t="s">
        <v>215</v>
      </c>
      <c r="C59" s="3735"/>
      <c r="D59" s="3734" t="s">
        <v>216</v>
      </c>
      <c r="E59" s="3734"/>
    </row>
    <row r="60" spans="1:10" x14ac:dyDescent="0.2">
      <c r="A60" s="110"/>
      <c r="B60" s="3726" t="s">
        <v>217</v>
      </c>
      <c r="C60" s="3726"/>
      <c r="D60" s="3726" t="s">
        <v>218</v>
      </c>
      <c r="E60" s="3726"/>
    </row>
    <row r="61" spans="1:10" ht="8.25" customHeight="1" x14ac:dyDescent="0.2">
      <c r="A61" s="110"/>
      <c r="B61" s="170"/>
      <c r="C61" s="171"/>
      <c r="D61" s="171"/>
      <c r="E61" s="172"/>
    </row>
    <row r="62" spans="1:10" x14ac:dyDescent="0.2">
      <c r="A62" s="170"/>
      <c r="D62" s="3727" t="s">
        <v>473</v>
      </c>
      <c r="E62" s="3727"/>
    </row>
  </sheetData>
  <mergeCells count="10">
    <mergeCell ref="B60:C60"/>
    <mergeCell ref="D60:E60"/>
    <mergeCell ref="D62:E62"/>
    <mergeCell ref="A2:E4"/>
    <mergeCell ref="E12:E15"/>
    <mergeCell ref="A53:B53"/>
    <mergeCell ref="A55:C55"/>
    <mergeCell ref="A57:C57"/>
    <mergeCell ref="B59:C59"/>
    <mergeCell ref="D59:E59"/>
  </mergeCells>
  <conditionalFormatting sqref="G51">
    <cfRule type="cellIs" dxfId="13" priority="5" stopIfTrue="1" operator="equal">
      <formula>0</formula>
    </cfRule>
    <cfRule type="cellIs" dxfId="12" priority="6" stopIfTrue="1" operator="notEqual">
      <formula>0</formula>
    </cfRule>
  </conditionalFormatting>
  <conditionalFormatting sqref="G29">
    <cfRule type="cellIs" dxfId="11" priority="3" stopIfTrue="1" operator="equal">
      <formula>0</formula>
    </cfRule>
    <cfRule type="cellIs" dxfId="10" priority="4" stopIfTrue="1" operator="notEqual">
      <formula>0</formula>
    </cfRule>
  </conditionalFormatting>
  <conditionalFormatting sqref="G57">
    <cfRule type="cellIs" dxfId="9" priority="1" stopIfTrue="1" operator="equal">
      <formula>0</formula>
    </cfRule>
    <cfRule type="cellIs" dxfId="8" priority="2" stopIfTrue="1" operator="notEqual">
      <formula>0</formula>
    </cfRule>
  </conditionalFormatting>
  <pageMargins left="0.59" right="0.23" top="0.17" bottom="0.17" header="0.13" footer="0.15"/>
  <pageSetup paperSize="9" scale="93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3"/>
  <sheetViews>
    <sheetView topLeftCell="A40" workbookViewId="0">
      <selection activeCell="D42" sqref="D42"/>
    </sheetView>
  </sheetViews>
  <sheetFormatPr defaultColWidth="9.140625" defaultRowHeight="12.75" x14ac:dyDescent="0.2"/>
  <cols>
    <col min="1" max="1" width="4.7109375" style="99" customWidth="1"/>
    <col min="2" max="2" width="55.5703125" style="99" customWidth="1"/>
    <col min="3" max="4" width="16.5703125" style="106" bestFit="1" customWidth="1"/>
    <col min="5" max="5" width="12" style="141" customWidth="1"/>
    <col min="6" max="6" width="17.85546875" style="112" customWidth="1"/>
    <col min="7" max="7" width="17.7109375" style="106" customWidth="1"/>
    <col min="8" max="11" width="13.7109375" style="99" customWidth="1"/>
    <col min="12" max="16384" width="9.140625" style="99"/>
  </cols>
  <sheetData>
    <row r="1" spans="1:7" ht="11.25" customHeight="1" x14ac:dyDescent="0.2"/>
    <row r="2" spans="1:7" x14ac:dyDescent="0.2">
      <c r="A2" s="3728" t="s">
        <v>488</v>
      </c>
      <c r="B2" s="3728"/>
      <c r="C2" s="3728"/>
      <c r="D2" s="3728"/>
      <c r="E2" s="3728"/>
    </row>
    <row r="3" spans="1:7" x14ac:dyDescent="0.2">
      <c r="A3" s="3728"/>
      <c r="B3" s="3728"/>
      <c r="C3" s="3728"/>
      <c r="D3" s="3728"/>
      <c r="E3" s="3728"/>
    </row>
    <row r="4" spans="1:7" ht="30.75" customHeight="1" x14ac:dyDescent="0.2">
      <c r="A4" s="3728"/>
      <c r="B4" s="3728"/>
      <c r="C4" s="3728"/>
      <c r="D4" s="3728"/>
      <c r="E4" s="3728"/>
    </row>
    <row r="5" spans="1:7" ht="7.5" customHeight="1" x14ac:dyDescent="0.2">
      <c r="A5" s="1285"/>
      <c r="B5" s="1285"/>
      <c r="C5" s="1285"/>
      <c r="D5" s="1285"/>
      <c r="E5" s="1285"/>
    </row>
    <row r="6" spans="1:7" ht="25.5" x14ac:dyDescent="0.2">
      <c r="A6" s="113" t="s">
        <v>185</v>
      </c>
      <c r="B6" s="113" t="s">
        <v>186</v>
      </c>
      <c r="C6" s="114" t="s">
        <v>187</v>
      </c>
      <c r="D6" s="114" t="s">
        <v>188</v>
      </c>
      <c r="E6" s="115" t="s">
        <v>189</v>
      </c>
    </row>
    <row r="7" spans="1:7" x14ac:dyDescent="0.2">
      <c r="A7" s="116">
        <v>1</v>
      </c>
      <c r="B7" s="117" t="s">
        <v>490</v>
      </c>
      <c r="C7" s="118">
        <f>'prosinac 2009.(12)'!DV161</f>
        <v>35585927.049999997</v>
      </c>
      <c r="D7" s="118">
        <f>'prosinac 2009.(12)'!DW161</f>
        <v>17644422.100000001</v>
      </c>
      <c r="E7" s="119">
        <f>IF(C7&gt;0,D7/C7,0)</f>
        <v>0.4958258379838949</v>
      </c>
      <c r="F7" s="120"/>
    </row>
    <row r="8" spans="1:7" x14ac:dyDescent="0.2">
      <c r="A8" s="121">
        <v>2</v>
      </c>
      <c r="B8" s="122" t="s">
        <v>491</v>
      </c>
      <c r="C8" s="123">
        <f>'prosinac 2009.(12)'!DX161</f>
        <v>21246378.109999999</v>
      </c>
      <c r="D8" s="123">
        <f>'prosinac 2009.(12)'!DY161</f>
        <v>18632808.540000003</v>
      </c>
      <c r="E8" s="119">
        <f>IF(C8&gt;0,D8/C8,0)</f>
        <v>0.8769875243456261</v>
      </c>
      <c r="F8" s="120"/>
    </row>
    <row r="9" spans="1:7" x14ac:dyDescent="0.2">
      <c r="A9" s="124">
        <v>3</v>
      </c>
      <c r="B9" s="125" t="s">
        <v>190</v>
      </c>
      <c r="C9" s="126">
        <f>'prosinac 2009.(12)'!DZ225</f>
        <v>365563.35000000003</v>
      </c>
      <c r="D9" s="126">
        <f>'prosinac 2009.(12)'!EA225</f>
        <v>617854.35000000009</v>
      </c>
      <c r="E9" s="119">
        <f>IF(C9&gt;0,D9/C9,0)</f>
        <v>1.6901430354000204</v>
      </c>
      <c r="F9" s="120"/>
    </row>
    <row r="10" spans="1:7" x14ac:dyDescent="0.2">
      <c r="A10" s="121">
        <v>4</v>
      </c>
      <c r="B10" s="122" t="s">
        <v>191</v>
      </c>
      <c r="C10" s="123">
        <v>0</v>
      </c>
      <c r="D10" s="123">
        <v>0</v>
      </c>
      <c r="E10" s="119">
        <f>IF(C10&gt;0,D10/C10,0)</f>
        <v>0</v>
      </c>
      <c r="F10" s="127"/>
    </row>
    <row r="11" spans="1:7" x14ac:dyDescent="0.2">
      <c r="A11" s="124">
        <v>5</v>
      </c>
      <c r="B11" s="125" t="s">
        <v>192</v>
      </c>
      <c r="C11" s="126">
        <f>'prosinac 2009.(12)'!DZ230</f>
        <v>9252280.7100000009</v>
      </c>
      <c r="D11" s="126">
        <f>'prosinac 2009.(12)'!EA230</f>
        <v>4008620.83</v>
      </c>
      <c r="E11" s="119">
        <f>IF(C11&gt;0,D11/C11,0)</f>
        <v>0.43325758865783481</v>
      </c>
      <c r="F11" s="128"/>
    </row>
    <row r="12" spans="1:7" x14ac:dyDescent="0.2">
      <c r="A12" s="129">
        <v>6</v>
      </c>
      <c r="B12" s="130" t="s">
        <v>193</v>
      </c>
      <c r="C12" s="131" t="e">
        <f>$G$14*F12</f>
        <v>#REF!</v>
      </c>
      <c r="D12" s="131" t="e">
        <f>'prosinac 2009.(12)'!DW222-D13-D14</f>
        <v>#REF!</v>
      </c>
      <c r="E12" s="3729" t="e">
        <f>(D12+D13+D14+D15)/(C12+C13+C14+C15)</f>
        <v>#REF!</v>
      </c>
      <c r="F12" s="133" t="e">
        <f>D12/$G$15</f>
        <v>#REF!</v>
      </c>
    </row>
    <row r="13" spans="1:7" x14ac:dyDescent="0.2">
      <c r="A13" s="124">
        <v>7</v>
      </c>
      <c r="B13" s="125" t="s">
        <v>194</v>
      </c>
      <c r="C13" s="131" t="e">
        <f>$G$14*F13</f>
        <v>#REF!</v>
      </c>
      <c r="D13" s="158" t="e">
        <f>SUM(#REF!)</f>
        <v>#REF!</v>
      </c>
      <c r="E13" s="3730"/>
      <c r="F13" s="133" t="e">
        <f>D13/$G$15</f>
        <v>#REF!</v>
      </c>
    </row>
    <row r="14" spans="1:7" x14ac:dyDescent="0.2">
      <c r="A14" s="124">
        <v>8</v>
      </c>
      <c r="B14" s="125" t="s">
        <v>195</v>
      </c>
      <c r="C14" s="131" t="e">
        <f>$G$14*F14</f>
        <v>#REF!</v>
      </c>
      <c r="D14" s="158" t="e">
        <f>SUM(#REF!)</f>
        <v>#REF!</v>
      </c>
      <c r="E14" s="3730"/>
      <c r="F14" s="133" t="e">
        <f>D14/$G$15</f>
        <v>#REF!</v>
      </c>
      <c r="G14" s="106">
        <f>'prosinac 2009.(12)'!DV222</f>
        <v>3974143.7899999996</v>
      </c>
    </row>
    <row r="15" spans="1:7" x14ac:dyDescent="0.2">
      <c r="A15" s="116">
        <v>9</v>
      </c>
      <c r="B15" s="117" t="s">
        <v>196</v>
      </c>
      <c r="C15" s="131" t="e">
        <f>$G$14*F15</f>
        <v>#REF!</v>
      </c>
      <c r="D15" s="1164">
        <v>0</v>
      </c>
      <c r="E15" s="3731"/>
      <c r="F15" s="133" t="e">
        <f>D15/$G$15</f>
        <v>#REF!</v>
      </c>
      <c r="G15" s="106" t="e">
        <f>SUM(D12:D15)</f>
        <v>#REF!</v>
      </c>
    </row>
    <row r="16" spans="1:7" x14ac:dyDescent="0.2">
      <c r="A16" s="124">
        <v>10</v>
      </c>
      <c r="B16" s="125" t="s">
        <v>197</v>
      </c>
      <c r="C16" s="136">
        <f>'prosinac 2009.(12)'!DZ224</f>
        <v>1549057.3515810003</v>
      </c>
      <c r="D16" s="136">
        <f>'prosinac 2009.(12)'!EA224</f>
        <v>1338850.1000000001</v>
      </c>
      <c r="E16" s="119">
        <f t="shared" ref="E16:E28" si="0">IF(C16&gt;0,D16/C16,0)</f>
        <v>0.86429989091981763</v>
      </c>
      <c r="F16" s="137"/>
    </row>
    <row r="17" spans="1:9" x14ac:dyDescent="0.2">
      <c r="A17" s="129">
        <v>11</v>
      </c>
      <c r="B17" s="122" t="s">
        <v>198</v>
      </c>
      <c r="C17" s="136">
        <f>'prosinac 2009.(12)'!DZ228</f>
        <v>2556472.31</v>
      </c>
      <c r="D17" s="136" t="e">
        <f>'prosinac 2009.(12)'!EA228</f>
        <v>#REF!</v>
      </c>
      <c r="E17" s="119" t="e">
        <f t="shared" si="0"/>
        <v>#REF!</v>
      </c>
      <c r="F17" s="137"/>
    </row>
    <row r="18" spans="1:9" x14ac:dyDescent="0.2">
      <c r="A18" s="124">
        <v>12</v>
      </c>
      <c r="B18" s="125" t="s">
        <v>348</v>
      </c>
      <c r="C18" s="136">
        <f>'prosinac 2009.(12)'!DZ168+'prosinac 2009.(12)'!DZ191+'prosinac 2009.(12)'!DZ210</f>
        <v>3641898.85</v>
      </c>
      <c r="D18" s="136">
        <f>'prosinac 2009.(12)'!EA168+'prosinac 2009.(12)'!EA191+'prosinac 2009.(12)'!EA210</f>
        <v>2469683.4899999998</v>
      </c>
      <c r="E18" s="119">
        <f t="shared" si="0"/>
        <v>0.67813072018735487</v>
      </c>
      <c r="F18" s="137"/>
    </row>
    <row r="19" spans="1:9" x14ac:dyDescent="0.2">
      <c r="A19" s="124">
        <v>13</v>
      </c>
      <c r="B19" s="139" t="s">
        <v>385</v>
      </c>
      <c r="C19" s="1399">
        <f>'A4 (siječanj-kolovoz)'!C19+'A4 rujan'!C19</f>
        <v>1162844.01</v>
      </c>
      <c r="D19" s="1399">
        <f>'A4 (siječanj-kolovoz)'!D19+'A4 rujan'!D19</f>
        <v>1162844.01</v>
      </c>
      <c r="E19" s="119">
        <f t="shared" si="0"/>
        <v>1</v>
      </c>
      <c r="F19" s="138"/>
    </row>
    <row r="20" spans="1:9" x14ac:dyDescent="0.2">
      <c r="A20" s="124">
        <v>14</v>
      </c>
      <c r="B20" s="139" t="s">
        <v>386</v>
      </c>
      <c r="C20" s="136">
        <f>'prosinac 2009.(12)'!DX211</f>
        <v>1690866.6800000002</v>
      </c>
      <c r="D20" s="136">
        <f>'prosinac 2009.(12)'!DY211</f>
        <v>858616.78</v>
      </c>
      <c r="E20" s="119">
        <f t="shared" si="0"/>
        <v>0.50779685362301885</v>
      </c>
      <c r="F20" s="138"/>
    </row>
    <row r="21" spans="1:9" x14ac:dyDescent="0.2">
      <c r="A21" s="124">
        <v>16</v>
      </c>
      <c r="B21" s="125" t="s">
        <v>501</v>
      </c>
      <c r="C21" s="136">
        <f>'prosinac 2009.(12)'!DZ218</f>
        <v>15557379.619999999</v>
      </c>
      <c r="D21" s="136">
        <f>'prosinac 2009.(12)'!EA218</f>
        <v>18567651.170000002</v>
      </c>
      <c r="E21" s="119">
        <f t="shared" si="0"/>
        <v>1.1934947673405172</v>
      </c>
      <c r="F21" s="138"/>
    </row>
    <row r="22" spans="1:9" x14ac:dyDescent="0.2">
      <c r="A22" s="124">
        <v>17</v>
      </c>
      <c r="B22" s="125" t="s">
        <v>219</v>
      </c>
      <c r="C22" s="136">
        <f>'prosinac 2009.(12)'!DZ235</f>
        <v>260098</v>
      </c>
      <c r="D22" s="136" t="e">
        <f>'prosinac 2009.(12)'!EA235</f>
        <v>#REF!</v>
      </c>
      <c r="E22" s="119" t="e">
        <f t="shared" si="0"/>
        <v>#REF!</v>
      </c>
      <c r="F22" s="138"/>
    </row>
    <row r="23" spans="1:9" x14ac:dyDescent="0.2">
      <c r="A23" s="124">
        <v>18</v>
      </c>
      <c r="B23" s="125" t="s">
        <v>380</v>
      </c>
      <c r="C23" s="136">
        <f>'prosinac 2009.(12)'!DZ236</f>
        <v>43474327</v>
      </c>
      <c r="D23" s="136">
        <f>'prosinac 2009.(12)'!EA236</f>
        <v>31898374.75</v>
      </c>
      <c r="E23" s="119">
        <f t="shared" si="0"/>
        <v>0.73372900631676252</v>
      </c>
      <c r="F23" s="138"/>
    </row>
    <row r="24" spans="1:9" x14ac:dyDescent="0.2">
      <c r="A24" s="124">
        <v>19</v>
      </c>
      <c r="B24" s="125" t="s">
        <v>199</v>
      </c>
      <c r="C24" s="136">
        <f>'prosinac 2009.(12)'!DZ238</f>
        <v>0</v>
      </c>
      <c r="D24" s="136">
        <f>'prosinac 2009.(12)'!EA238</f>
        <v>0</v>
      </c>
      <c r="E24" s="119">
        <f t="shared" si="0"/>
        <v>0</v>
      </c>
      <c r="F24" s="138"/>
    </row>
    <row r="25" spans="1:9" x14ac:dyDescent="0.2">
      <c r="A25" s="124">
        <v>20</v>
      </c>
      <c r="B25" s="125" t="s">
        <v>422</v>
      </c>
      <c r="C25" s="136">
        <f>'prosinac 2009.(12)'!DZ239</f>
        <v>0</v>
      </c>
      <c r="D25" s="136">
        <f>'prosinac 2009.(12)'!EA239</f>
        <v>0</v>
      </c>
      <c r="E25" s="119">
        <f t="shared" si="0"/>
        <v>0</v>
      </c>
      <c r="F25" s="138"/>
    </row>
    <row r="26" spans="1:9" x14ac:dyDescent="0.2">
      <c r="A26" s="121">
        <v>21</v>
      </c>
      <c r="B26" s="117" t="s">
        <v>200</v>
      </c>
      <c r="C26" s="136">
        <f>'prosinac 2009.(12)'!DZ240</f>
        <v>2005598.82</v>
      </c>
      <c r="D26" s="136">
        <f>'prosinac 2009.(12)'!EA240</f>
        <v>2362583.06</v>
      </c>
      <c r="E26" s="119">
        <f t="shared" si="0"/>
        <v>1.1779938422580445</v>
      </c>
      <c r="F26" s="138"/>
    </row>
    <row r="27" spans="1:9" x14ac:dyDescent="0.2">
      <c r="A27" s="124">
        <v>22</v>
      </c>
      <c r="B27" s="125" t="s">
        <v>201</v>
      </c>
      <c r="C27" s="136">
        <f>'prosinac 2009.(12)'!DZ220</f>
        <v>4677125.5199999996</v>
      </c>
      <c r="D27" s="136">
        <f>'prosinac 2009.(12)'!EA220</f>
        <v>3369469.92</v>
      </c>
      <c r="E27" s="119">
        <f t="shared" si="0"/>
        <v>0.72041468752371651</v>
      </c>
      <c r="F27" s="138"/>
    </row>
    <row r="28" spans="1:9" ht="13.5" thickBot="1" x14ac:dyDescent="0.25">
      <c r="A28" s="142">
        <v>23</v>
      </c>
      <c r="B28" s="143" t="s">
        <v>202</v>
      </c>
      <c r="C28" s="144">
        <f>'prosinac 2009.(12)'!DZ221</f>
        <v>14161210.120000001</v>
      </c>
      <c r="D28" s="144">
        <f>'prosinac 2009.(12)'!EA221</f>
        <v>7064690.6000000015</v>
      </c>
      <c r="E28" s="132">
        <f t="shared" si="0"/>
        <v>0.49887619349863871</v>
      </c>
      <c r="F28" s="138"/>
      <c r="H28" s="112"/>
      <c r="I28" s="112"/>
    </row>
    <row r="29" spans="1:9" ht="27" customHeight="1" thickTop="1" thickBot="1" x14ac:dyDescent="0.25">
      <c r="A29" s="145"/>
      <c r="B29" s="146" t="s">
        <v>471</v>
      </c>
      <c r="C29" s="138">
        <f>C7+C8+C9+C10+C11+C16+C17+C18+C22+C20+C21</f>
        <v>91705922.031581014</v>
      </c>
      <c r="D29" s="138" t="e">
        <f>D7+D8+D9+D10+D11+D16+D17+D18+D22+D20+D21</f>
        <v>#REF!</v>
      </c>
      <c r="E29" s="147"/>
    </row>
    <row r="30" spans="1:9" ht="27.75" customHeight="1" thickBot="1" x14ac:dyDescent="0.25">
      <c r="A30" s="148"/>
      <c r="B30" s="149" t="s">
        <v>504</v>
      </c>
      <c r="C30" s="150" t="e">
        <f>C7+C9+C10+C11+C12+C13+C14+C15+C16+C17+C18+C22+C24+C26+C27+C28+C23+C25</f>
        <v>#REF!</v>
      </c>
      <c r="D30" s="150" t="e">
        <f>D7+D9+D10+D12+D13+D14+D15+D16+D17+D18+D22+D24+D26+D27+D28+D23+D25+D11</f>
        <v>#REF!</v>
      </c>
      <c r="E30" s="151"/>
      <c r="F30" s="104"/>
      <c r="G30" s="285" t="e">
        <f>D30-F30</f>
        <v>#REF!</v>
      </c>
      <c r="H30" s="112"/>
    </row>
    <row r="31" spans="1:9" ht="15.75" customHeight="1" x14ac:dyDescent="0.2">
      <c r="A31" s="110"/>
      <c r="B31" s="152"/>
      <c r="C31" s="108"/>
      <c r="D31" s="111"/>
      <c r="E31" s="153"/>
    </row>
    <row r="32" spans="1:9" ht="25.5" x14ac:dyDescent="0.2">
      <c r="A32" s="113" t="s">
        <v>185</v>
      </c>
      <c r="B32" s="113" t="s">
        <v>203</v>
      </c>
      <c r="C32" s="114" t="s">
        <v>204</v>
      </c>
      <c r="D32" s="114" t="s">
        <v>205</v>
      </c>
      <c r="E32" s="115" t="s">
        <v>189</v>
      </c>
    </row>
    <row r="33" spans="1:6" x14ac:dyDescent="0.2">
      <c r="A33" s="154">
        <v>1</v>
      </c>
      <c r="B33" s="155" t="s">
        <v>492</v>
      </c>
      <c r="C33" s="156">
        <f>'prosinac 2009.(12)'!DO161</f>
        <v>44772135.869999997</v>
      </c>
      <c r="D33" s="156">
        <f>'prosinac 2009.(12)'!DP161</f>
        <v>25897573.169999998</v>
      </c>
      <c r="E33" s="119">
        <f t="shared" ref="E33:E50" si="1">IF(C33&gt;0,D33/C33,0)</f>
        <v>0.57843059453754841</v>
      </c>
      <c r="F33" s="120"/>
    </row>
    <row r="34" spans="1:6" x14ac:dyDescent="0.2">
      <c r="A34" s="124">
        <v>2</v>
      </c>
      <c r="B34" s="139" t="s">
        <v>493</v>
      </c>
      <c r="C34" s="126">
        <f>'prosinac 2009.(12)'!DQ161</f>
        <v>20611870.329999998</v>
      </c>
      <c r="D34" s="126">
        <f>'prosinac 2009.(12)'!DR161</f>
        <v>11716629.650000002</v>
      </c>
      <c r="E34" s="119">
        <f t="shared" si="1"/>
        <v>0.56844087714576663</v>
      </c>
      <c r="F34" s="120"/>
    </row>
    <row r="35" spans="1:6" x14ac:dyDescent="0.2">
      <c r="A35" s="121">
        <v>3</v>
      </c>
      <c r="B35" s="157" t="s">
        <v>206</v>
      </c>
      <c r="C35" s="123">
        <f>'prosinac 2009.(12)'!DS233</f>
        <v>8107037.0099999998</v>
      </c>
      <c r="D35" s="123">
        <f>'prosinac 2009.(12)'!DT233</f>
        <v>12570536.57</v>
      </c>
      <c r="E35" s="119">
        <f t="shared" si="1"/>
        <v>1.5505710106533732</v>
      </c>
      <c r="F35" s="120"/>
    </row>
    <row r="36" spans="1:6" s="106" customFormat="1" x14ac:dyDescent="0.2">
      <c r="A36" s="124">
        <v>4</v>
      </c>
      <c r="B36" s="139" t="s">
        <v>207</v>
      </c>
      <c r="C36" s="126">
        <f>'prosinac 2009.(12)'!DS230</f>
        <v>14322656.100000001</v>
      </c>
      <c r="D36" s="126">
        <f>'prosinac 2009.(12)'!DT230</f>
        <v>5660102.5</v>
      </c>
      <c r="E36" s="119">
        <f t="shared" si="1"/>
        <v>0.39518525477966338</v>
      </c>
      <c r="F36" s="120"/>
    </row>
    <row r="37" spans="1:6" s="106" customFormat="1" x14ac:dyDescent="0.2">
      <c r="A37" s="121">
        <v>5</v>
      </c>
      <c r="B37" s="157" t="s">
        <v>208</v>
      </c>
      <c r="C37" s="123">
        <v>0</v>
      </c>
      <c r="D37" s="123">
        <v>0</v>
      </c>
      <c r="E37" s="119">
        <f t="shared" si="1"/>
        <v>0</v>
      </c>
      <c r="F37" s="120"/>
    </row>
    <row r="38" spans="1:6" s="106" customFormat="1" x14ac:dyDescent="0.2">
      <c r="A38" s="124">
        <v>6</v>
      </c>
      <c r="B38" s="139" t="s">
        <v>209</v>
      </c>
      <c r="C38" s="126">
        <v>0</v>
      </c>
      <c r="D38" s="126">
        <v>0</v>
      </c>
      <c r="E38" s="119">
        <f t="shared" si="1"/>
        <v>0</v>
      </c>
      <c r="F38" s="120"/>
    </row>
    <row r="39" spans="1:6" s="106" customFormat="1" x14ac:dyDescent="0.2">
      <c r="A39" s="121">
        <v>7</v>
      </c>
      <c r="B39" s="157" t="s">
        <v>210</v>
      </c>
      <c r="C39" s="1165">
        <f>'prosinac 2009.(12)'!DS228</f>
        <v>897258.03999999992</v>
      </c>
      <c r="D39" s="1165" t="e">
        <f>'prosinac 2009.(12)'!DT228</f>
        <v>#REF!</v>
      </c>
      <c r="E39" s="119" t="e">
        <f t="shared" si="1"/>
        <v>#REF!</v>
      </c>
      <c r="F39" s="120"/>
    </row>
    <row r="40" spans="1:6" s="106" customFormat="1" x14ac:dyDescent="0.2">
      <c r="A40" s="124">
        <v>8</v>
      </c>
      <c r="B40" s="139" t="s">
        <v>349</v>
      </c>
      <c r="C40" s="1165">
        <f>'prosinac 2009.(12)'!DS168+'prosinac 2009.(12)'!DS191+'prosinac 2009.(12)'!DS210</f>
        <v>3030300</v>
      </c>
      <c r="D40" s="1165">
        <f>'prosinac 2009.(12)'!DT168+'prosinac 2009.(12)'!DT191+'prosinac 2009.(12)'!DT210</f>
        <v>2645564.3599999994</v>
      </c>
      <c r="E40" s="119">
        <f t="shared" si="1"/>
        <v>0.87303711183711163</v>
      </c>
      <c r="F40" s="120"/>
    </row>
    <row r="41" spans="1:6" s="106" customFormat="1" x14ac:dyDescent="0.2">
      <c r="A41" s="124">
        <v>9</v>
      </c>
      <c r="B41" s="139" t="s">
        <v>350</v>
      </c>
      <c r="C41" s="126">
        <f>'prosinac 2009.(12)'!DS163+'prosinac 2009.(12)'!DS173+'prosinac 2009.(12)'!DS209</f>
        <v>1784474.59</v>
      </c>
      <c r="D41" s="126">
        <f>'prosinac 2009.(12)'!DT163+'prosinac 2009.(12)'!DT173+'prosinac 2009.(12)'!DT209</f>
        <v>858616.78</v>
      </c>
      <c r="E41" s="119">
        <f t="shared" si="1"/>
        <v>0.48115943191995802</v>
      </c>
      <c r="F41" s="120"/>
    </row>
    <row r="42" spans="1:6" s="106" customFormat="1" x14ac:dyDescent="0.2">
      <c r="A42" s="124">
        <v>10</v>
      </c>
      <c r="B42" s="157" t="s">
        <v>383</v>
      </c>
      <c r="C42" s="123">
        <f>'prosinac 2009.(12)'!DS215</f>
        <v>0</v>
      </c>
      <c r="D42" s="123">
        <f>'prosinac 2009.(12)'!DT215</f>
        <v>0</v>
      </c>
      <c r="E42" s="119">
        <f t="shared" si="1"/>
        <v>0</v>
      </c>
      <c r="F42" s="120"/>
    </row>
    <row r="43" spans="1:6" s="106" customFormat="1" x14ac:dyDescent="0.2">
      <c r="A43" s="124">
        <v>11</v>
      </c>
      <c r="B43" s="139" t="s">
        <v>220</v>
      </c>
      <c r="C43" s="126">
        <f>'prosinac 2009.(12)'!DS216</f>
        <v>818379.62999999989</v>
      </c>
      <c r="D43" s="126" t="e">
        <f>'prosinac 2009.(12)'!DT216</f>
        <v>#REF!</v>
      </c>
      <c r="E43" s="119" t="e">
        <f t="shared" si="1"/>
        <v>#REF!</v>
      </c>
      <c r="F43" s="120"/>
    </row>
    <row r="44" spans="1:6" s="106" customFormat="1" x14ac:dyDescent="0.2">
      <c r="A44" s="124">
        <v>12</v>
      </c>
      <c r="B44" s="139" t="s">
        <v>211</v>
      </c>
      <c r="C44" s="126">
        <f>'prosinac 2009.(12)'!DS235</f>
        <v>266635.31</v>
      </c>
      <c r="D44" s="126" t="e">
        <f>'prosinac 2009.(12)'!DT235</f>
        <v>#REF!</v>
      </c>
      <c r="E44" s="119" t="e">
        <f t="shared" si="1"/>
        <v>#REF!</v>
      </c>
      <c r="F44" s="120"/>
    </row>
    <row r="45" spans="1:6" s="106" customFormat="1" x14ac:dyDescent="0.2">
      <c r="A45" s="124">
        <v>13</v>
      </c>
      <c r="B45" s="139" t="s">
        <v>380</v>
      </c>
      <c r="C45" s="126">
        <f>'prosinac 2009.(12)'!DS236</f>
        <v>43474327</v>
      </c>
      <c r="D45" s="126">
        <f>'prosinac 2009.(12)'!DT236</f>
        <v>31898374.75</v>
      </c>
      <c r="E45" s="119">
        <f t="shared" si="1"/>
        <v>0.73372900631676252</v>
      </c>
      <c r="F45" s="120"/>
    </row>
    <row r="46" spans="1:6" s="106" customFormat="1" x14ac:dyDescent="0.2">
      <c r="A46" s="124">
        <v>14</v>
      </c>
      <c r="B46" s="139" t="s">
        <v>212</v>
      </c>
      <c r="C46" s="126">
        <f>'prosinac 2009.(12)'!DS238</f>
        <v>2391964.04</v>
      </c>
      <c r="D46" s="126">
        <f>'prosinac 2009.(12)'!DT238</f>
        <v>2391964.04</v>
      </c>
      <c r="E46" s="119">
        <f t="shared" si="1"/>
        <v>1</v>
      </c>
      <c r="F46" s="120"/>
    </row>
    <row r="47" spans="1:6" s="106" customFormat="1" x14ac:dyDescent="0.2">
      <c r="A47" s="124">
        <v>15</v>
      </c>
      <c r="B47" s="139" t="s">
        <v>420</v>
      </c>
      <c r="C47" s="126">
        <f>'prosinac 2009.(12)'!DS239</f>
        <v>3596294.52</v>
      </c>
      <c r="D47" s="126">
        <f>'prosinac 2009.(12)'!DT239</f>
        <v>0</v>
      </c>
      <c r="E47" s="119">
        <f t="shared" si="1"/>
        <v>0</v>
      </c>
      <c r="F47" s="120"/>
    </row>
    <row r="48" spans="1:6" s="106" customFormat="1" x14ac:dyDescent="0.2">
      <c r="A48" s="121">
        <v>16</v>
      </c>
      <c r="B48" s="157" t="s">
        <v>213</v>
      </c>
      <c r="C48" s="126">
        <f>'prosinac 2009.(12)'!DS240</f>
        <v>12729286.43</v>
      </c>
      <c r="D48" s="126">
        <f>'prosinac 2009.(12)'!DT240</f>
        <v>4672726.5600000005</v>
      </c>
      <c r="E48" s="119">
        <f t="shared" si="1"/>
        <v>0.36708472118181418</v>
      </c>
      <c r="F48" s="120"/>
    </row>
    <row r="49" spans="1:8" s="106" customFormat="1" x14ac:dyDescent="0.2">
      <c r="A49" s="124">
        <v>17</v>
      </c>
      <c r="B49" s="139" t="s">
        <v>222</v>
      </c>
      <c r="C49" s="126">
        <f>'prosinac 2009.(12)'!DS220</f>
        <v>9752140.5999999996</v>
      </c>
      <c r="D49" s="126">
        <f>'prosinac 2009.(12)'!DT220</f>
        <v>12550923.41</v>
      </c>
      <c r="E49" s="119">
        <f t="shared" si="1"/>
        <v>1.2869916385331852</v>
      </c>
      <c r="F49" s="120">
        <f>D49+D50</f>
        <v>14913506.470000001</v>
      </c>
    </row>
    <row r="50" spans="1:8" s="106" customFormat="1" ht="13.5" thickBot="1" x14ac:dyDescent="0.25">
      <c r="A50" s="142">
        <v>18</v>
      </c>
      <c r="B50" s="159" t="s">
        <v>221</v>
      </c>
      <c r="C50" s="160">
        <f>'prosinac 2009.(12)'!DS221</f>
        <v>2005598.82</v>
      </c>
      <c r="D50" s="160">
        <f>'prosinac 2009.(12)'!DT221</f>
        <v>2362583.06</v>
      </c>
      <c r="E50" s="161">
        <f t="shared" si="1"/>
        <v>1.1779938422580445</v>
      </c>
      <c r="F50" s="120"/>
    </row>
    <row r="51" spans="1:8" s="106" customFormat="1" ht="27" customHeight="1" thickTop="1" thickBot="1" x14ac:dyDescent="0.25">
      <c r="A51" s="162"/>
      <c r="B51" s="163" t="s">
        <v>462</v>
      </c>
      <c r="C51" s="127">
        <f>C33+C34+C35+C36+C39+C40+C43+C44+C42+C41</f>
        <v>94610746.88000001</v>
      </c>
      <c r="D51" s="164" t="e">
        <f>D33+D34+D35+D36+D39+D40+D43+D44+D42+D41</f>
        <v>#REF!</v>
      </c>
      <c r="E51" s="165"/>
      <c r="F51" s="112"/>
    </row>
    <row r="52" spans="1:8" s="100" customFormat="1" ht="27" customHeight="1" thickBot="1" x14ac:dyDescent="0.25">
      <c r="A52" s="148"/>
      <c r="B52" s="149" t="s">
        <v>463</v>
      </c>
      <c r="C52" s="150">
        <f>C33+C35+C36+C39+C40+C43+C44+C46+C48+C49+C50+C42+C45+C41+C47</f>
        <v>147948487.96000001</v>
      </c>
      <c r="D52" s="150" t="e">
        <f>D33+D35+D36+D39+D40+D43+D44+D46+D48+D49+D50+D42+D45+D41+D47</f>
        <v>#REF!</v>
      </c>
      <c r="E52" s="151"/>
      <c r="F52" s="104"/>
      <c r="G52" s="285" t="e">
        <f>D52-F52</f>
        <v>#REF!</v>
      </c>
      <c r="H52" s="285"/>
    </row>
    <row r="53" spans="1:8" ht="15.75" customHeight="1" thickBot="1" x14ac:dyDescent="0.25">
      <c r="A53" s="110"/>
      <c r="B53" s="152"/>
      <c r="C53" s="167"/>
      <c r="D53" s="111"/>
      <c r="E53" s="153"/>
    </row>
    <row r="54" spans="1:8" ht="16.5" customHeight="1" thickBot="1" x14ac:dyDescent="0.25">
      <c r="A54" s="3732" t="s">
        <v>214</v>
      </c>
      <c r="B54" s="3733"/>
      <c r="C54" s="150"/>
      <c r="D54" s="168" t="e">
        <f>D30-D52</f>
        <v>#REF!</v>
      </c>
      <c r="E54" s="153"/>
    </row>
    <row r="55" spans="1:8" ht="12" customHeight="1" thickBot="1" x14ac:dyDescent="0.25">
      <c r="A55" s="110"/>
      <c r="B55" s="102"/>
      <c r="C55" s="108"/>
      <c r="D55" s="108"/>
      <c r="E55" s="153"/>
    </row>
    <row r="56" spans="1:8" ht="15.75" customHeight="1" thickBot="1" x14ac:dyDescent="0.25">
      <c r="A56" s="3732" t="s">
        <v>326</v>
      </c>
      <c r="B56" s="3733"/>
      <c r="C56" s="3733"/>
      <c r="D56" s="168">
        <f>'A4 (siječanj-kolovoz)'!D55</f>
        <v>62210392.009999998</v>
      </c>
      <c r="E56" s="153"/>
    </row>
    <row r="57" spans="1:8" ht="10.5" customHeight="1" thickBot="1" x14ac:dyDescent="0.25">
      <c r="A57" s="110"/>
      <c r="B57" s="102"/>
      <c r="C57" s="108"/>
      <c r="D57" s="108"/>
      <c r="E57" s="153"/>
    </row>
    <row r="58" spans="1:8" ht="16.5" customHeight="1" thickBot="1" x14ac:dyDescent="0.25">
      <c r="A58" s="3732" t="s">
        <v>487</v>
      </c>
      <c r="B58" s="3733"/>
      <c r="C58" s="3733"/>
      <c r="D58" s="168" t="e">
        <f>D56+D54</f>
        <v>#REF!</v>
      </c>
      <c r="E58" s="153"/>
      <c r="F58" s="285">
        <v>40915033.109999999</v>
      </c>
      <c r="G58" s="285" t="e">
        <f>F58-D58</f>
        <v>#REF!</v>
      </c>
    </row>
    <row r="59" spans="1:8" ht="8.25" customHeight="1" x14ac:dyDescent="0.2">
      <c r="A59" s="110"/>
      <c r="B59" s="152"/>
      <c r="C59" s="108"/>
      <c r="D59" s="111"/>
      <c r="E59" s="153"/>
    </row>
    <row r="60" spans="1:8" ht="39" customHeight="1" x14ac:dyDescent="0.2">
      <c r="A60" s="110"/>
      <c r="B60" s="3734" t="s">
        <v>215</v>
      </c>
      <c r="C60" s="3735"/>
      <c r="D60" s="3734" t="s">
        <v>216</v>
      </c>
      <c r="E60" s="3734"/>
    </row>
    <row r="61" spans="1:8" x14ac:dyDescent="0.2">
      <c r="A61" s="110"/>
      <c r="B61" s="3726" t="s">
        <v>217</v>
      </c>
      <c r="C61" s="3726"/>
      <c r="D61" s="3726" t="s">
        <v>218</v>
      </c>
      <c r="E61" s="3726"/>
    </row>
    <row r="62" spans="1:8" ht="9.75" customHeight="1" x14ac:dyDescent="0.2">
      <c r="A62" s="110"/>
      <c r="B62" s="170"/>
      <c r="C62" s="171"/>
      <c r="D62" s="171"/>
      <c r="E62" s="172"/>
    </row>
    <row r="63" spans="1:8" x14ac:dyDescent="0.2">
      <c r="A63" s="170"/>
      <c r="D63" s="3727" t="s">
        <v>489</v>
      </c>
      <c r="E63" s="3727"/>
    </row>
  </sheetData>
  <mergeCells count="10">
    <mergeCell ref="B61:C61"/>
    <mergeCell ref="D61:E61"/>
    <mergeCell ref="D63:E63"/>
    <mergeCell ref="A2:E4"/>
    <mergeCell ref="E12:E15"/>
    <mergeCell ref="A54:B54"/>
    <mergeCell ref="A56:C56"/>
    <mergeCell ref="A58:C58"/>
    <mergeCell ref="B60:C60"/>
    <mergeCell ref="D60:E60"/>
  </mergeCells>
  <conditionalFormatting sqref="G30 G52 G58">
    <cfRule type="cellIs" dxfId="7" priority="1" stopIfTrue="1" operator="equal">
      <formula>0</formula>
    </cfRule>
    <cfRule type="cellIs" dxfId="6" priority="2" stopIfTrue="1" operator="notEqual">
      <formula>0</formula>
    </cfRule>
  </conditionalFormatting>
  <pageMargins left="0.59055118110236227" right="0.23622047244094491" top="0.15748031496062992" bottom="0.15748031496062992" header="0.11811023622047245" footer="0.15748031496062992"/>
  <pageSetup paperSize="9" scale="87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1"/>
  <sheetViews>
    <sheetView topLeftCell="A31" workbookViewId="0">
      <selection activeCell="D42" sqref="D42"/>
    </sheetView>
  </sheetViews>
  <sheetFormatPr defaultColWidth="9.140625" defaultRowHeight="12.75" x14ac:dyDescent="0.2"/>
  <cols>
    <col min="1" max="1" width="4.7109375" style="99" customWidth="1"/>
    <col min="2" max="2" width="55.5703125" style="99" customWidth="1"/>
    <col min="3" max="4" width="16.5703125" style="106" bestFit="1" customWidth="1"/>
    <col min="5" max="5" width="8.140625" style="141" customWidth="1"/>
    <col min="6" max="6" width="17.85546875" style="112" customWidth="1"/>
    <col min="7" max="7" width="17.7109375" style="106" customWidth="1"/>
    <col min="8" max="11" width="13.7109375" style="99" customWidth="1"/>
    <col min="12" max="16384" width="9.140625" style="99"/>
  </cols>
  <sheetData>
    <row r="1" spans="1:7" x14ac:dyDescent="0.2">
      <c r="A1" s="3728" t="s">
        <v>510</v>
      </c>
      <c r="B1" s="3728"/>
      <c r="C1" s="3728"/>
      <c r="D1" s="3728"/>
      <c r="E1" s="3728"/>
    </row>
    <row r="2" spans="1:7" x14ac:dyDescent="0.2">
      <c r="A2" s="3728"/>
      <c r="B2" s="3728"/>
      <c r="C2" s="3728"/>
      <c r="D2" s="3728"/>
      <c r="E2" s="3728"/>
    </row>
    <row r="3" spans="1:7" ht="30.75" customHeight="1" x14ac:dyDescent="0.2">
      <c r="A3" s="3728"/>
      <c r="B3" s="3728"/>
      <c r="C3" s="3728"/>
      <c r="D3" s="3728"/>
      <c r="E3" s="3728"/>
    </row>
    <row r="4" spans="1:7" ht="19.5" customHeight="1" x14ac:dyDescent="0.2">
      <c r="A4" s="1285"/>
      <c r="B4" s="1285"/>
      <c r="C4" s="1285"/>
      <c r="D4" s="1285"/>
      <c r="E4" s="1285"/>
    </row>
    <row r="5" spans="1:7" ht="7.5" customHeight="1" x14ac:dyDescent="0.2">
      <c r="A5" s="1285"/>
      <c r="B5" s="1285"/>
      <c r="C5" s="1285"/>
      <c r="D5" s="1285"/>
      <c r="E5" s="1285"/>
    </row>
    <row r="6" spans="1:7" ht="25.5" x14ac:dyDescent="0.2">
      <c r="A6" s="113" t="s">
        <v>185</v>
      </c>
      <c r="B6" s="113" t="s">
        <v>186</v>
      </c>
      <c r="C6" s="114" t="s">
        <v>187</v>
      </c>
      <c r="D6" s="114" t="s">
        <v>188</v>
      </c>
      <c r="E6" s="115" t="s">
        <v>189</v>
      </c>
    </row>
    <row r="7" spans="1:7" x14ac:dyDescent="0.2">
      <c r="A7" s="116">
        <v>1</v>
      </c>
      <c r="B7" s="117" t="s">
        <v>490</v>
      </c>
      <c r="C7" s="118">
        <f>'prosinac 2009.(12)'!FB161</f>
        <v>45996098.859999999</v>
      </c>
      <c r="D7" s="118">
        <f>'prosinac 2009.(12)'!FC161</f>
        <v>17682561.520000003</v>
      </c>
      <c r="E7" s="119">
        <f>IF(C7&gt;0,D7/C7,0)</f>
        <v>0.38443611432832725</v>
      </c>
      <c r="F7" s="120"/>
    </row>
    <row r="8" spans="1:7" x14ac:dyDescent="0.2">
      <c r="A8" s="121">
        <v>2</v>
      </c>
      <c r="B8" s="122" t="s">
        <v>491</v>
      </c>
      <c r="C8" s="123">
        <f>'prosinac 2009.(12)'!FD161</f>
        <v>37844993.990000002</v>
      </c>
      <c r="D8" s="123">
        <f>'prosinac 2009.(12)'!FE161</f>
        <v>18683042.890000001</v>
      </c>
      <c r="E8" s="119">
        <f>IF(C8&gt;0,D8/C8,0)</f>
        <v>0.49367276673202082</v>
      </c>
      <c r="F8" s="120"/>
    </row>
    <row r="9" spans="1:7" x14ac:dyDescent="0.2">
      <c r="A9" s="124">
        <v>3</v>
      </c>
      <c r="B9" s="125" t="s">
        <v>190</v>
      </c>
      <c r="C9" s="126">
        <f>'prosinac 2009.(12)'!FF225</f>
        <v>410375.56000000006</v>
      </c>
      <c r="D9" s="126">
        <f>'prosinac 2009.(12)'!FG225</f>
        <v>647326.40000000014</v>
      </c>
      <c r="E9" s="119">
        <f>IF(C9&gt;0,D9/C9,0)</f>
        <v>1.5773999796674052</v>
      </c>
      <c r="F9" s="120"/>
    </row>
    <row r="10" spans="1:7" x14ac:dyDescent="0.2">
      <c r="A10" s="124">
        <v>4</v>
      </c>
      <c r="B10" s="125" t="s">
        <v>192</v>
      </c>
      <c r="C10" s="126">
        <f>'prosinac 2009.(12)'!FF230</f>
        <v>10689759.940000001</v>
      </c>
      <c r="D10" s="126">
        <f>'prosinac 2009.(12)'!FG230</f>
        <v>6169855.5600000005</v>
      </c>
      <c r="E10" s="119">
        <f>IF(C10&gt;0,D10/C10,0)</f>
        <v>0.577174379465064</v>
      </c>
      <c r="F10" s="128"/>
    </row>
    <row r="11" spans="1:7" x14ac:dyDescent="0.2">
      <c r="A11" s="129">
        <v>5</v>
      </c>
      <c r="B11" s="130" t="s">
        <v>193</v>
      </c>
      <c r="C11" s="131" t="e">
        <f>G13*F11</f>
        <v>#REF!</v>
      </c>
      <c r="D11" s="131" t="e">
        <f>'prosinac 2009.(12)'!FG222-'A4 (siječanj-listopad) '!D12-'A4 (siječanj-listopad) '!D13</f>
        <v>#REF!</v>
      </c>
      <c r="E11" s="3729" t="e">
        <f>(D11+D12+D13)/(C11+C12+C13)</f>
        <v>#REF!</v>
      </c>
      <c r="F11" s="133" t="e">
        <f>D11/G14</f>
        <v>#REF!</v>
      </c>
    </row>
    <row r="12" spans="1:7" x14ac:dyDescent="0.2">
      <c r="A12" s="124">
        <v>6</v>
      </c>
      <c r="B12" s="125" t="s">
        <v>194</v>
      </c>
      <c r="C12" s="158" t="e">
        <f>G13*F12</f>
        <v>#REF!</v>
      </c>
      <c r="D12" s="158" t="e">
        <f>#REF!</f>
        <v>#REF!</v>
      </c>
      <c r="E12" s="3730"/>
      <c r="F12" s="133" t="e">
        <f>D12/G14</f>
        <v>#REF!</v>
      </c>
    </row>
    <row r="13" spans="1:7" x14ac:dyDescent="0.2">
      <c r="A13" s="124">
        <v>7</v>
      </c>
      <c r="B13" s="125" t="s">
        <v>195</v>
      </c>
      <c r="C13" s="158" t="e">
        <f>G13*F13</f>
        <v>#REF!</v>
      </c>
      <c r="D13" s="158" t="e">
        <f>#REF!</f>
        <v>#REF!</v>
      </c>
      <c r="E13" s="3730"/>
      <c r="F13" s="133" t="e">
        <f>D13/G14</f>
        <v>#REF!</v>
      </c>
      <c r="G13" s="106">
        <f>'prosinac 2009.(12)'!FB222</f>
        <v>4277102.42</v>
      </c>
    </row>
    <row r="14" spans="1:7" x14ac:dyDescent="0.2">
      <c r="A14" s="124">
        <v>8</v>
      </c>
      <c r="B14" s="125" t="s">
        <v>197</v>
      </c>
      <c r="C14" s="136">
        <f>'prosinac 2009.(12)'!FF224</f>
        <v>1730279.1515810003</v>
      </c>
      <c r="D14" s="136">
        <f>'prosinac 2009.(12)'!FG224</f>
        <v>1489743.53</v>
      </c>
      <c r="E14" s="119">
        <f t="shared" ref="E14:E26" si="0">IF(C14&gt;0,D14/C14,0)</f>
        <v>0.8609844998934324</v>
      </c>
      <c r="F14" s="137"/>
      <c r="G14" s="106" t="e">
        <f>'prosinac 2009.(12)'!FC222</f>
        <v>#REF!</v>
      </c>
    </row>
    <row r="15" spans="1:7" x14ac:dyDescent="0.2">
      <c r="A15" s="129">
        <v>9</v>
      </c>
      <c r="B15" s="122" t="s">
        <v>198</v>
      </c>
      <c r="C15" s="136">
        <f>'prosinac 2009.(12)'!FF228</f>
        <v>2921682.64</v>
      </c>
      <c r="D15" s="136" t="e">
        <f>'prosinac 2009.(12)'!FG228</f>
        <v>#REF!</v>
      </c>
      <c r="E15" s="119" t="e">
        <f t="shared" si="0"/>
        <v>#REF!</v>
      </c>
      <c r="F15" s="137"/>
    </row>
    <row r="16" spans="1:7" x14ac:dyDescent="0.2">
      <c r="A16" s="124">
        <v>10</v>
      </c>
      <c r="B16" s="125" t="s">
        <v>348</v>
      </c>
      <c r="C16" s="136">
        <f>'prosinac 2009.(12)'!FB168+'prosinac 2009.(12)'!FB191+'prosinac 2009.(12)'!FB210</f>
        <v>3949590.85</v>
      </c>
      <c r="D16" s="136">
        <f>'prosinac 2009.(12)'!FG168+'prosinac 2009.(12)'!FG191+'prosinac 2009.(12)'!FG210</f>
        <v>3060344.33</v>
      </c>
      <c r="E16" s="119">
        <f t="shared" si="0"/>
        <v>0.77485097728540664</v>
      </c>
      <c r="F16" s="137"/>
    </row>
    <row r="17" spans="1:9" x14ac:dyDescent="0.2">
      <c r="A17" s="124">
        <v>11</v>
      </c>
      <c r="B17" s="139" t="s">
        <v>385</v>
      </c>
      <c r="C17" s="1502">
        <f>'A4 (siječanj-rujan)'!C19+'A4 listopad'!C17</f>
        <v>1162844.01</v>
      </c>
      <c r="D17" s="1502">
        <f>'A4 (siječanj-rujan)'!D19+'A4 listopad'!D17</f>
        <v>1162844.01</v>
      </c>
      <c r="E17" s="119">
        <f t="shared" si="0"/>
        <v>1</v>
      </c>
      <c r="F17" s="138">
        <f>C17+C16</f>
        <v>5112434.8600000003</v>
      </c>
    </row>
    <row r="18" spans="1:9" x14ac:dyDescent="0.2">
      <c r="A18" s="124">
        <v>12</v>
      </c>
      <c r="B18" s="139" t="s">
        <v>386</v>
      </c>
      <c r="C18" s="136">
        <f>'prosinac 2009.(12)'!FD211</f>
        <v>1859528.8800000001</v>
      </c>
      <c r="D18" s="136">
        <f>'prosinac 2009.(12)'!FE211</f>
        <v>858616.78</v>
      </c>
      <c r="E18" s="119">
        <f t="shared" si="0"/>
        <v>0.461738878720722</v>
      </c>
      <c r="F18" s="138"/>
    </row>
    <row r="19" spans="1:9" x14ac:dyDescent="0.2">
      <c r="A19" s="124">
        <v>13</v>
      </c>
      <c r="B19" s="125" t="s">
        <v>501</v>
      </c>
      <c r="C19" s="136">
        <f>'prosinac 2009.(12)'!FF218</f>
        <v>31114759.239999998</v>
      </c>
      <c r="D19" s="136">
        <f>'prosinac 2009.(12)'!FG218</f>
        <v>24357453.890000001</v>
      </c>
      <c r="E19" s="119">
        <f t="shared" si="0"/>
        <v>0.78282636552388773</v>
      </c>
      <c r="F19" s="138"/>
    </row>
    <row r="20" spans="1:9" x14ac:dyDescent="0.2">
      <c r="A20" s="124">
        <v>14</v>
      </c>
      <c r="B20" s="125" t="s">
        <v>219</v>
      </c>
      <c r="C20" s="136">
        <f>'prosinac 2009.(12)'!FF235</f>
        <v>270098</v>
      </c>
      <c r="D20" s="136" t="e">
        <f>'prosinac 2009.(12)'!FG235</f>
        <v>#REF!</v>
      </c>
      <c r="E20" s="119" t="e">
        <f t="shared" si="0"/>
        <v>#REF!</v>
      </c>
      <c r="F20" s="138"/>
    </row>
    <row r="21" spans="1:9" x14ac:dyDescent="0.2">
      <c r="A21" s="124">
        <v>15</v>
      </c>
      <c r="B21" s="125" t="s">
        <v>380</v>
      </c>
      <c r="C21" s="136">
        <f>'prosinac 2009.(12)'!FF236</f>
        <v>45474327</v>
      </c>
      <c r="D21" s="136">
        <f>'prosinac 2009.(12)'!FG236</f>
        <v>31898554.879999999</v>
      </c>
      <c r="E21" s="119">
        <f t="shared" si="0"/>
        <v>0.70146293489950928</v>
      </c>
      <c r="F21" s="138"/>
    </row>
    <row r="22" spans="1:9" x14ac:dyDescent="0.2">
      <c r="A22" s="124">
        <v>16</v>
      </c>
      <c r="B22" s="125" t="s">
        <v>199</v>
      </c>
      <c r="C22" s="136">
        <f>'prosinac 2009.(12)'!FF238</f>
        <v>0</v>
      </c>
      <c r="D22" s="136">
        <f>'prosinac 2009.(12)'!FG238</f>
        <v>0</v>
      </c>
      <c r="E22" s="119">
        <f t="shared" si="0"/>
        <v>0</v>
      </c>
      <c r="F22" s="138"/>
    </row>
    <row r="23" spans="1:9" x14ac:dyDescent="0.2">
      <c r="A23" s="124">
        <v>17</v>
      </c>
      <c r="B23" s="125" t="s">
        <v>422</v>
      </c>
      <c r="C23" s="136">
        <f>'prosinac 2009.(12)'!FF239</f>
        <v>0</v>
      </c>
      <c r="D23" s="136">
        <f>'prosinac 2009.(12)'!FG239</f>
        <v>0</v>
      </c>
      <c r="E23" s="119">
        <f t="shared" si="0"/>
        <v>0</v>
      </c>
      <c r="F23" s="138"/>
    </row>
    <row r="24" spans="1:9" x14ac:dyDescent="0.2">
      <c r="A24" s="121">
        <v>18</v>
      </c>
      <c r="B24" s="117" t="s">
        <v>200</v>
      </c>
      <c r="C24" s="136">
        <f>'prosinac 2009.(12)'!FF240</f>
        <v>2205598.8200000003</v>
      </c>
      <c r="D24" s="136">
        <f>'prosinac 2009.(12)'!FG240</f>
        <v>2362583.06</v>
      </c>
      <c r="E24" s="119">
        <f t="shared" si="0"/>
        <v>1.071175337317237</v>
      </c>
      <c r="F24" s="138"/>
    </row>
    <row r="25" spans="1:9" x14ac:dyDescent="0.2">
      <c r="A25" s="124">
        <v>19</v>
      </c>
      <c r="B25" s="125" t="s">
        <v>201</v>
      </c>
      <c r="C25" s="136">
        <f>'prosinac 2009.(12)'!FF220</f>
        <v>4677125.5199999996</v>
      </c>
      <c r="D25" s="136">
        <f>'prosinac 2009.(12)'!FG220</f>
        <v>7893334.5299999993</v>
      </c>
      <c r="E25" s="119">
        <f t="shared" si="0"/>
        <v>1.6876465034447055</v>
      </c>
      <c r="F25" s="138"/>
    </row>
    <row r="26" spans="1:9" ht="13.5" thickBot="1" x14ac:dyDescent="0.25">
      <c r="A26" s="142">
        <v>20</v>
      </c>
      <c r="B26" s="143" t="s">
        <v>202</v>
      </c>
      <c r="C26" s="144">
        <f>'prosinac 2009.(12)'!FF221</f>
        <v>16878753.240000002</v>
      </c>
      <c r="D26" s="144">
        <f>'prosinac 2009.(12)'!FG221</f>
        <v>15270112.420000002</v>
      </c>
      <c r="E26" s="132">
        <f t="shared" si="0"/>
        <v>0.90469433392818532</v>
      </c>
      <c r="F26" s="138"/>
      <c r="H26" s="112"/>
      <c r="I26" s="112"/>
    </row>
    <row r="27" spans="1:9" ht="27" customHeight="1" thickTop="1" thickBot="1" x14ac:dyDescent="0.25">
      <c r="A27" s="145"/>
      <c r="B27" s="146" t="s">
        <v>519</v>
      </c>
      <c r="C27" s="138">
        <f>C7+C8+C9+C10+C14+C15+C16+C20+C18+C19</f>
        <v>136787167.111581</v>
      </c>
      <c r="D27" s="138" t="e">
        <f>D7+D8+D9+D10+D14+D15+D16+D20+D18+D19</f>
        <v>#REF!</v>
      </c>
      <c r="E27" s="147"/>
    </row>
    <row r="28" spans="1:9" ht="27.75" customHeight="1" thickBot="1" x14ac:dyDescent="0.25">
      <c r="A28" s="148"/>
      <c r="B28" s="149" t="s">
        <v>520</v>
      </c>
      <c r="C28" s="150" t="e">
        <f>C7+C9+C10+C11+C12+C13+C14+C15+C16+C20+C22+C24+C25+C26+C21+C23</f>
        <v>#REF!</v>
      </c>
      <c r="D28" s="150" t="e">
        <f>D7+D9+D10+D11+D12+D13+D14+D15+D16+D20+D22+D24+D25+D26+D21+D23</f>
        <v>#REF!</v>
      </c>
      <c r="E28" s="151"/>
      <c r="F28" s="104"/>
      <c r="G28" s="285" t="e">
        <f>D28-F28</f>
        <v>#REF!</v>
      </c>
      <c r="H28" s="112"/>
    </row>
    <row r="29" spans="1:9" ht="27.75" customHeight="1" x14ac:dyDescent="0.2">
      <c r="A29" s="994"/>
      <c r="B29" s="1158"/>
      <c r="C29" s="111"/>
      <c r="D29" s="111"/>
      <c r="E29" s="1503"/>
      <c r="F29" s="104"/>
      <c r="G29" s="285"/>
      <c r="H29" s="112"/>
    </row>
    <row r="30" spans="1:9" ht="25.5" x14ac:dyDescent="0.2">
      <c r="A30" s="113" t="s">
        <v>185</v>
      </c>
      <c r="B30" s="113" t="s">
        <v>203</v>
      </c>
      <c r="C30" s="114" t="s">
        <v>204</v>
      </c>
      <c r="D30" s="114" t="s">
        <v>205</v>
      </c>
      <c r="E30" s="115" t="s">
        <v>189</v>
      </c>
    </row>
    <row r="31" spans="1:9" x14ac:dyDescent="0.2">
      <c r="A31" s="154">
        <v>1</v>
      </c>
      <c r="B31" s="155" t="s">
        <v>492</v>
      </c>
      <c r="C31" s="156">
        <f>'prosinac 2009.(12)'!EU161</f>
        <v>52554891.739999995</v>
      </c>
      <c r="D31" s="156">
        <f>'prosinac 2009.(12)'!EV161</f>
        <v>30740492.409999996</v>
      </c>
      <c r="E31" s="119">
        <f t="shared" ref="E31:E46" si="1">IF(C31&gt;0,D31/C31,0)</f>
        <v>0.58492161989562497</v>
      </c>
      <c r="F31" s="120"/>
    </row>
    <row r="32" spans="1:9" x14ac:dyDescent="0.2">
      <c r="A32" s="124">
        <v>2</v>
      </c>
      <c r="B32" s="139" t="s">
        <v>493</v>
      </c>
      <c r="C32" s="126">
        <f>'prosinac 2009.(12)'!EW161</f>
        <v>29966983.329999998</v>
      </c>
      <c r="D32" s="126">
        <f>'prosinac 2009.(12)'!EX161</f>
        <v>11716629.650000002</v>
      </c>
      <c r="E32" s="119">
        <f t="shared" si="1"/>
        <v>0.39098462200799722</v>
      </c>
      <c r="F32" s="120"/>
    </row>
    <row r="33" spans="1:8" x14ac:dyDescent="0.2">
      <c r="A33" s="121">
        <v>3</v>
      </c>
      <c r="B33" s="157" t="s">
        <v>206</v>
      </c>
      <c r="C33" s="123">
        <f>'prosinac 2009.(12)'!EY233</f>
        <v>8662836.9800000004</v>
      </c>
      <c r="D33" s="123">
        <f>'prosinac 2009.(12)'!EZ233</f>
        <v>14389231.120000001</v>
      </c>
      <c r="E33" s="119">
        <f t="shared" si="1"/>
        <v>1.6610298858469341</v>
      </c>
      <c r="F33" s="120"/>
    </row>
    <row r="34" spans="1:8" s="106" customFormat="1" x14ac:dyDescent="0.2">
      <c r="A34" s="124">
        <v>4</v>
      </c>
      <c r="B34" s="139" t="s">
        <v>207</v>
      </c>
      <c r="C34" s="126">
        <f>'prosinac 2009.(12)'!EY230</f>
        <v>19005329.310000002</v>
      </c>
      <c r="D34" s="126">
        <f>'prosinac 2009.(12)'!EZ230</f>
        <v>5822691.54</v>
      </c>
      <c r="E34" s="119">
        <f t="shared" si="1"/>
        <v>0.30637151532735002</v>
      </c>
      <c r="F34" s="120"/>
    </row>
    <row r="35" spans="1:8" s="106" customFormat="1" x14ac:dyDescent="0.2">
      <c r="A35" s="121">
        <v>5</v>
      </c>
      <c r="B35" s="157" t="s">
        <v>210</v>
      </c>
      <c r="C35" s="1165">
        <f>'prosinac 2009.(12)'!EY228</f>
        <v>1025437.7599999999</v>
      </c>
      <c r="D35" s="1165" t="e">
        <f>'prosinac 2009.(12)'!EZ228</f>
        <v>#REF!</v>
      </c>
      <c r="E35" s="119" t="e">
        <f t="shared" si="1"/>
        <v>#REF!</v>
      </c>
      <c r="F35" s="120"/>
    </row>
    <row r="36" spans="1:8" s="106" customFormat="1" x14ac:dyDescent="0.2">
      <c r="A36" s="124">
        <v>6</v>
      </c>
      <c r="B36" s="139" t="s">
        <v>349</v>
      </c>
      <c r="C36" s="1165">
        <f>'prosinac 2009.(12)'!EY168+'prosinac 2009.(12)'!EY191+'prosinac 2009.(12)'!EY210</f>
        <v>3337992</v>
      </c>
      <c r="D36" s="1165">
        <f>'prosinac 2009.(12)'!EZ168+'prosinac 2009.(12)'!EZ191+'prosinac 2009.(12)'!EZ210</f>
        <v>2645564.3599999994</v>
      </c>
      <c r="E36" s="119">
        <f t="shared" si="1"/>
        <v>0.79256162387447282</v>
      </c>
      <c r="F36" s="120"/>
    </row>
    <row r="37" spans="1:8" s="106" customFormat="1" x14ac:dyDescent="0.2">
      <c r="A37" s="124">
        <v>7</v>
      </c>
      <c r="B37" s="139" t="s">
        <v>350</v>
      </c>
      <c r="C37" s="126">
        <f>'prosinac 2009.(12)'!EY163+'prosinac 2009.(12)'!EY173+'prosinac 2009.(12)'!EY209</f>
        <v>2046275.1400000001</v>
      </c>
      <c r="D37" s="126">
        <f>'prosinac 2009.(12)'!EZ163+'prosinac 2009.(12)'!EZ173+'prosinac 2009.(12)'!EZ209</f>
        <v>858616.78</v>
      </c>
      <c r="E37" s="119">
        <f t="shared" si="1"/>
        <v>0.41959986866673266</v>
      </c>
      <c r="F37" s="120"/>
    </row>
    <row r="38" spans="1:8" s="106" customFormat="1" x14ac:dyDescent="0.2">
      <c r="A38" s="124">
        <v>8</v>
      </c>
      <c r="B38" s="157" t="s">
        <v>383</v>
      </c>
      <c r="C38" s="123">
        <f>'prosinac 2009.(12)'!EY215</f>
        <v>0</v>
      </c>
      <c r="D38" s="123">
        <f>'prosinac 2009.(12)'!EZ215</f>
        <v>0</v>
      </c>
      <c r="E38" s="119">
        <f t="shared" si="1"/>
        <v>0</v>
      </c>
      <c r="F38" s="120"/>
    </row>
    <row r="39" spans="1:8" s="106" customFormat="1" x14ac:dyDescent="0.2">
      <c r="A39" s="124">
        <v>9</v>
      </c>
      <c r="B39" s="139" t="s">
        <v>220</v>
      </c>
      <c r="C39" s="126">
        <f>'prosinac 2009.(12)'!EY216</f>
        <v>878919.73999999987</v>
      </c>
      <c r="D39" s="126" t="e">
        <f>'prosinac 2009.(12)'!EZ216</f>
        <v>#REF!</v>
      </c>
      <c r="E39" s="119" t="e">
        <f t="shared" si="1"/>
        <v>#REF!</v>
      </c>
      <c r="F39" s="120"/>
    </row>
    <row r="40" spans="1:8" s="106" customFormat="1" x14ac:dyDescent="0.2">
      <c r="A40" s="124">
        <v>10</v>
      </c>
      <c r="B40" s="139" t="s">
        <v>211</v>
      </c>
      <c r="C40" s="126">
        <f>'prosinac 2009.(12)'!EY235</f>
        <v>276635.31</v>
      </c>
      <c r="D40" s="126" t="e">
        <f>'prosinac 2009.(12)'!EZ235</f>
        <v>#REF!</v>
      </c>
      <c r="E40" s="119" t="e">
        <f t="shared" si="1"/>
        <v>#REF!</v>
      </c>
      <c r="F40" s="120"/>
    </row>
    <row r="41" spans="1:8" s="106" customFormat="1" x14ac:dyDescent="0.2">
      <c r="A41" s="124">
        <v>11</v>
      </c>
      <c r="B41" s="139" t="s">
        <v>380</v>
      </c>
      <c r="C41" s="126">
        <f>'prosinac 2009.(12)'!EY236</f>
        <v>45474327</v>
      </c>
      <c r="D41" s="126">
        <f>'prosinac 2009.(12)'!EZ236</f>
        <v>31898554.879999999</v>
      </c>
      <c r="E41" s="119">
        <f t="shared" si="1"/>
        <v>0.70146293489950928</v>
      </c>
      <c r="F41" s="120"/>
    </row>
    <row r="42" spans="1:8" s="106" customFormat="1" x14ac:dyDescent="0.2">
      <c r="A42" s="124">
        <v>12</v>
      </c>
      <c r="B42" s="139" t="s">
        <v>212</v>
      </c>
      <c r="C42" s="126">
        <f>'prosinac 2009.(12)'!EY238</f>
        <v>2391964.04</v>
      </c>
      <c r="D42" s="126">
        <f>'prosinac 2009.(12)'!EZ238</f>
        <v>2391964.04</v>
      </c>
      <c r="E42" s="119">
        <f t="shared" si="1"/>
        <v>1</v>
      </c>
      <c r="F42" s="120"/>
    </row>
    <row r="43" spans="1:8" s="106" customFormat="1" x14ac:dyDescent="0.2">
      <c r="A43" s="124">
        <v>13</v>
      </c>
      <c r="B43" s="139" t="s">
        <v>420</v>
      </c>
      <c r="C43" s="126">
        <f>'prosinac 2009.(12)'!EY239</f>
        <v>4495368.1500000004</v>
      </c>
      <c r="D43" s="126">
        <f>'prosinac 2009.(12)'!EZ239</f>
        <v>0</v>
      </c>
      <c r="E43" s="119">
        <f t="shared" si="1"/>
        <v>0</v>
      </c>
      <c r="F43" s="120"/>
    </row>
    <row r="44" spans="1:8" s="106" customFormat="1" x14ac:dyDescent="0.2">
      <c r="A44" s="121">
        <v>14</v>
      </c>
      <c r="B44" s="157" t="s">
        <v>213</v>
      </c>
      <c r="C44" s="126">
        <f>'prosinac 2009.(12)'!EY240</f>
        <v>12729286.43</v>
      </c>
      <c r="D44" s="126">
        <f>'prosinac 2009.(12)'!EZ240</f>
        <v>8258256.4500000011</v>
      </c>
      <c r="E44" s="119">
        <f t="shared" si="1"/>
        <v>0.64876036024589645</v>
      </c>
      <c r="F44" s="120"/>
    </row>
    <row r="45" spans="1:8" s="106" customFormat="1" x14ac:dyDescent="0.2">
      <c r="A45" s="124">
        <v>15</v>
      </c>
      <c r="B45" s="139" t="s">
        <v>222</v>
      </c>
      <c r="C45" s="126">
        <f>'prosinac 2009.(12)'!EY220</f>
        <v>12252140.6</v>
      </c>
      <c r="D45" s="126">
        <f>'prosinac 2009.(12)'!EZ220</f>
        <v>14966174.4</v>
      </c>
      <c r="E45" s="119">
        <f t="shared" si="1"/>
        <v>1.2215150714153575</v>
      </c>
      <c r="F45" s="120"/>
    </row>
    <row r="46" spans="1:8" s="106" customFormat="1" ht="13.5" thickBot="1" x14ac:dyDescent="0.25">
      <c r="A46" s="142">
        <v>16</v>
      </c>
      <c r="B46" s="159" t="s">
        <v>221</v>
      </c>
      <c r="C46" s="160">
        <f>'prosinac 2009.(12)'!EY221</f>
        <v>2005598.82</v>
      </c>
      <c r="D46" s="160">
        <f>'prosinac 2009.(12)'!EZ221</f>
        <v>2362583.06</v>
      </c>
      <c r="E46" s="161">
        <f t="shared" si="1"/>
        <v>1.1779938422580445</v>
      </c>
      <c r="F46" s="120"/>
    </row>
    <row r="47" spans="1:8" s="106" customFormat="1" ht="27" customHeight="1" thickTop="1" thickBot="1" x14ac:dyDescent="0.25">
      <c r="A47" s="162"/>
      <c r="B47" s="163" t="s">
        <v>508</v>
      </c>
      <c r="C47" s="127">
        <f>C31+C32+C33+C34+C35+C36+C39+C40+C38+C37</f>
        <v>117755301.31</v>
      </c>
      <c r="D47" s="164" t="e">
        <f>D31+D32+D33+D34+D35+D36+D39+D40+D38+D37</f>
        <v>#REF!</v>
      </c>
      <c r="E47" s="165"/>
      <c r="F47" s="112"/>
    </row>
    <row r="48" spans="1:8" s="100" customFormat="1" ht="27" customHeight="1" thickBot="1" x14ac:dyDescent="0.25">
      <c r="A48" s="148"/>
      <c r="B48" s="149" t="s">
        <v>518</v>
      </c>
      <c r="C48" s="150">
        <f>C31+C33+C34+C35+C36+C39+C40+C42+C44+C45+C46+C38+C41+C37+C43</f>
        <v>167137003.01999998</v>
      </c>
      <c r="D48" s="150" t="e">
        <f>D31+D33+D34+D35+D36+D39+D40+D42+D44+D45+D46+D38+D41+D37+D43</f>
        <v>#REF!</v>
      </c>
      <c r="E48" s="151"/>
      <c r="F48" s="104"/>
      <c r="G48" s="285" t="e">
        <f>D48-F48</f>
        <v>#REF!</v>
      </c>
      <c r="H48" s="285"/>
    </row>
    <row r="49" spans="1:7" ht="15.75" customHeight="1" thickBot="1" x14ac:dyDescent="0.25">
      <c r="A49" s="110"/>
      <c r="B49" s="152"/>
      <c r="C49" s="167"/>
      <c r="D49" s="111"/>
      <c r="E49" s="153"/>
    </row>
    <row r="50" spans="1:7" ht="16.5" customHeight="1" thickBot="1" x14ac:dyDescent="0.25">
      <c r="A50" s="3732" t="s">
        <v>384</v>
      </c>
      <c r="B50" s="3733"/>
      <c r="C50" s="150"/>
      <c r="D50" s="168" t="e">
        <f>D28-D48</f>
        <v>#REF!</v>
      </c>
      <c r="E50" s="153"/>
    </row>
    <row r="51" spans="1:7" ht="12" customHeight="1" thickBot="1" x14ac:dyDescent="0.25">
      <c r="A51" s="110"/>
      <c r="B51" s="102"/>
      <c r="C51" s="108"/>
      <c r="D51" s="108"/>
      <c r="E51" s="153"/>
    </row>
    <row r="52" spans="1:7" ht="15.75" customHeight="1" thickBot="1" x14ac:dyDescent="0.25">
      <c r="A52" s="3732" t="s">
        <v>326</v>
      </c>
      <c r="B52" s="3733"/>
      <c r="C52" s="3733"/>
      <c r="D52" s="168">
        <f>'A4 (siječanj-kolovoz)'!D55</f>
        <v>62210392.009999998</v>
      </c>
      <c r="E52" s="153"/>
    </row>
    <row r="53" spans="1:7" ht="10.5" customHeight="1" thickBot="1" x14ac:dyDescent="0.25">
      <c r="A53" s="110"/>
      <c r="B53" s="102"/>
      <c r="C53" s="108"/>
      <c r="D53" s="108"/>
      <c r="E53" s="153"/>
    </row>
    <row r="54" spans="1:7" ht="16.5" customHeight="1" thickBot="1" x14ac:dyDescent="0.25">
      <c r="A54" s="3732" t="s">
        <v>511</v>
      </c>
      <c r="B54" s="3733"/>
      <c r="C54" s="3733"/>
      <c r="D54" s="168" t="e">
        <f>D52+D50</f>
        <v>#REF!</v>
      </c>
      <c r="E54" s="153"/>
      <c r="F54" s="285">
        <f>'A4 listopad'!F54</f>
        <v>44220866.920000002</v>
      </c>
      <c r="G54" s="285" t="e">
        <f>F54-D54</f>
        <v>#REF!</v>
      </c>
    </row>
    <row r="55" spans="1:7" ht="8.25" customHeight="1" x14ac:dyDescent="0.2">
      <c r="A55" s="110"/>
      <c r="B55" s="152"/>
      <c r="C55" s="108"/>
      <c r="D55" s="111"/>
      <c r="E55" s="153"/>
    </row>
    <row r="56" spans="1:7" ht="8.25" customHeight="1" x14ac:dyDescent="0.2">
      <c r="A56" s="110"/>
      <c r="B56" s="152"/>
      <c r="C56" s="108"/>
      <c r="D56" s="111"/>
      <c r="E56" s="153"/>
    </row>
    <row r="57" spans="1:7" ht="39" customHeight="1" x14ac:dyDescent="0.2">
      <c r="A57" s="110"/>
      <c r="B57" s="3734" t="s">
        <v>215</v>
      </c>
      <c r="C57" s="3735"/>
      <c r="D57" s="3734" t="s">
        <v>216</v>
      </c>
      <c r="E57" s="3734"/>
    </row>
    <row r="58" spans="1:7" x14ac:dyDescent="0.2">
      <c r="A58" s="110"/>
      <c r="B58" s="3726" t="s">
        <v>217</v>
      </c>
      <c r="C58" s="3726"/>
      <c r="D58" s="3726" t="s">
        <v>218</v>
      </c>
      <c r="E58" s="3726"/>
    </row>
    <row r="59" spans="1:7" ht="9.75" customHeight="1" x14ac:dyDescent="0.2">
      <c r="A59" s="110"/>
      <c r="B59" s="170"/>
      <c r="C59" s="171"/>
      <c r="D59" s="171"/>
      <c r="E59" s="172"/>
    </row>
    <row r="60" spans="1:7" ht="9.75" customHeight="1" x14ac:dyDescent="0.2">
      <c r="A60" s="110"/>
      <c r="B60" s="170"/>
      <c r="C60" s="171"/>
      <c r="D60" s="171"/>
      <c r="E60" s="172"/>
    </row>
    <row r="61" spans="1:7" x14ac:dyDescent="0.2">
      <c r="A61" s="170"/>
      <c r="D61" s="3727" t="s">
        <v>509</v>
      </c>
      <c r="E61" s="3727"/>
    </row>
  </sheetData>
  <mergeCells count="10">
    <mergeCell ref="B58:C58"/>
    <mergeCell ref="D58:E58"/>
    <mergeCell ref="D61:E61"/>
    <mergeCell ref="A1:E3"/>
    <mergeCell ref="E11:E13"/>
    <mergeCell ref="A50:B50"/>
    <mergeCell ref="A52:C52"/>
    <mergeCell ref="A54:C54"/>
    <mergeCell ref="B57:C57"/>
    <mergeCell ref="D57:E57"/>
  </mergeCells>
  <conditionalFormatting sqref="G48 G54 G28:G29">
    <cfRule type="cellIs" dxfId="5" priority="1" stopIfTrue="1" operator="equal">
      <formula>0</formula>
    </cfRule>
    <cfRule type="cellIs" dxfId="4" priority="2" stopIfTrue="1" operator="notEqual">
      <formula>0</formula>
    </cfRule>
  </conditionalFormatting>
  <pageMargins left="0.98425196850393704" right="0.23622047244094491" top="0.36" bottom="0.15748031496062992" header="0.11811023622047245" footer="0.15748031496062992"/>
  <pageSetup paperSize="9" scale="90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2"/>
  <sheetViews>
    <sheetView topLeftCell="A40" workbookViewId="0">
      <selection activeCell="D42" sqref="D42"/>
    </sheetView>
  </sheetViews>
  <sheetFormatPr defaultColWidth="9.140625" defaultRowHeight="12.75" x14ac:dyDescent="0.2"/>
  <cols>
    <col min="1" max="1" width="4.7109375" style="99" customWidth="1"/>
    <col min="2" max="2" width="55.5703125" style="99" customWidth="1"/>
    <col min="3" max="4" width="16.5703125" style="106" bestFit="1" customWidth="1"/>
    <col min="5" max="5" width="8.140625" style="141" customWidth="1"/>
    <col min="6" max="6" width="17.85546875" style="112" customWidth="1"/>
    <col min="7" max="7" width="17.7109375" style="106" customWidth="1"/>
    <col min="8" max="11" width="13.7109375" style="99" customWidth="1"/>
    <col min="12" max="16384" width="9.140625" style="99"/>
  </cols>
  <sheetData>
    <row r="1" spans="1:7" x14ac:dyDescent="0.2">
      <c r="A1" s="3728" t="s">
        <v>527</v>
      </c>
      <c r="B1" s="3728"/>
      <c r="C1" s="3728"/>
      <c r="D1" s="3728"/>
      <c r="E1" s="3728"/>
    </row>
    <row r="2" spans="1:7" x14ac:dyDescent="0.2">
      <c r="A2" s="3728"/>
      <c r="B2" s="3728"/>
      <c r="C2" s="3728"/>
      <c r="D2" s="3728"/>
      <c r="E2" s="3728"/>
    </row>
    <row r="3" spans="1:7" ht="30.75" customHeight="1" x14ac:dyDescent="0.2">
      <c r="A3" s="3728"/>
      <c r="B3" s="3728"/>
      <c r="C3" s="3728"/>
      <c r="D3" s="3728"/>
      <c r="E3" s="3728"/>
    </row>
    <row r="4" spans="1:7" ht="19.5" customHeight="1" x14ac:dyDescent="0.2">
      <c r="A4" s="1285"/>
      <c r="B4" s="1285"/>
      <c r="C4" s="1285"/>
      <c r="D4" s="1285"/>
      <c r="E4" s="1285"/>
    </row>
    <row r="5" spans="1:7" ht="7.5" customHeight="1" x14ac:dyDescent="0.2">
      <c r="A5" s="1285"/>
      <c r="B5" s="1285"/>
      <c r="C5" s="1285"/>
      <c r="D5" s="1285"/>
      <c r="E5" s="1285"/>
    </row>
    <row r="6" spans="1:7" ht="25.5" x14ac:dyDescent="0.2">
      <c r="A6" s="113" t="s">
        <v>185</v>
      </c>
      <c r="B6" s="113" t="s">
        <v>186</v>
      </c>
      <c r="C6" s="114" t="s">
        <v>187</v>
      </c>
      <c r="D6" s="114" t="s">
        <v>188</v>
      </c>
      <c r="E6" s="115" t="s">
        <v>189</v>
      </c>
    </row>
    <row r="7" spans="1:7" x14ac:dyDescent="0.2">
      <c r="A7" s="116">
        <v>1</v>
      </c>
      <c r="B7" s="117" t="s">
        <v>490</v>
      </c>
      <c r="C7" s="118">
        <f>'prosinac 2009.(12)'!GH161</f>
        <v>71961268.060000002</v>
      </c>
      <c r="D7" s="118" t="e">
        <f>'prosinac 2009.(12)'!GI161</f>
        <v>#REF!</v>
      </c>
      <c r="E7" s="119" t="e">
        <f>IF(C7&gt;0,D7/C7,0)</f>
        <v>#REF!</v>
      </c>
      <c r="F7" s="120"/>
    </row>
    <row r="8" spans="1:7" x14ac:dyDescent="0.2">
      <c r="A8" s="121">
        <v>2</v>
      </c>
      <c r="B8" s="122" t="s">
        <v>491</v>
      </c>
      <c r="C8" s="123">
        <f>'prosinac 2009.(12)'!GJ161</f>
        <v>38451227.82</v>
      </c>
      <c r="D8" s="123">
        <f>'prosinac 2009.(12)'!GK161</f>
        <v>18683042.890000001</v>
      </c>
      <c r="E8" s="119">
        <f>IF(C8&gt;0,D8/C8,0)</f>
        <v>0.48588937074935779</v>
      </c>
      <c r="F8" s="120"/>
    </row>
    <row r="9" spans="1:7" x14ac:dyDescent="0.2">
      <c r="A9" s="124">
        <v>3</v>
      </c>
      <c r="B9" s="125" t="s">
        <v>190</v>
      </c>
      <c r="C9" s="126">
        <f>'prosinac 2009.(12)'!GL225</f>
        <v>455187.77000000008</v>
      </c>
      <c r="D9" s="126">
        <f>'prosinac 2009.(12)'!GM225</f>
        <v>675144.4600000002</v>
      </c>
      <c r="E9" s="119">
        <f>IF(C9&gt;0,D9/C9,0)</f>
        <v>1.4832218800606178</v>
      </c>
      <c r="F9" s="120"/>
    </row>
    <row r="10" spans="1:7" x14ac:dyDescent="0.2">
      <c r="A10" s="124">
        <v>4</v>
      </c>
      <c r="B10" s="125" t="s">
        <v>192</v>
      </c>
      <c r="C10" s="126">
        <f>'prosinac 2009.(12)'!GL230</f>
        <v>12336105.430000002</v>
      </c>
      <c r="D10" s="126">
        <f>'prosinac 2009.(12)'!GM230</f>
        <v>6756138.6800000006</v>
      </c>
      <c r="E10" s="119">
        <f>IF(C10&gt;0,D10/C10,0)</f>
        <v>0.54767193084860011</v>
      </c>
      <c r="F10" s="128"/>
    </row>
    <row r="11" spans="1:7" x14ac:dyDescent="0.2">
      <c r="A11" s="129">
        <v>5</v>
      </c>
      <c r="B11" s="130" t="s">
        <v>193</v>
      </c>
      <c r="C11" s="131" t="e">
        <f>F11*G14</f>
        <v>#REF!</v>
      </c>
      <c r="D11" s="131" t="e">
        <f>'prosinac 2009.(12)'!GM222-D12-D13</f>
        <v>#REF!</v>
      </c>
      <c r="E11" s="3729" t="e">
        <f>(D11+D12+D13)/(C11+C12+C13)</f>
        <v>#REF!</v>
      </c>
      <c r="F11" s="133" t="e">
        <f>D11/G13</f>
        <v>#REF!</v>
      </c>
    </row>
    <row r="12" spans="1:7" x14ac:dyDescent="0.2">
      <c r="A12" s="124">
        <v>6</v>
      </c>
      <c r="B12" s="125" t="s">
        <v>194</v>
      </c>
      <c r="C12" s="158" t="e">
        <f>F12*G14</f>
        <v>#REF!</v>
      </c>
      <c r="D12" s="158" t="e">
        <f>SUM(#REF!)</f>
        <v>#REF!</v>
      </c>
      <c r="E12" s="3730"/>
      <c r="F12" s="133" t="e">
        <f>D12/G13</f>
        <v>#REF!</v>
      </c>
    </row>
    <row r="13" spans="1:7" x14ac:dyDescent="0.2">
      <c r="A13" s="124">
        <v>7</v>
      </c>
      <c r="B13" s="125" t="s">
        <v>195</v>
      </c>
      <c r="C13" s="158" t="e">
        <f>F13*G14</f>
        <v>#REF!</v>
      </c>
      <c r="D13" s="158" t="e">
        <f>SUM(#REF!)</f>
        <v>#REF!</v>
      </c>
      <c r="E13" s="3730"/>
      <c r="F13" s="133" t="e">
        <f>D13/G13</f>
        <v>#REF!</v>
      </c>
      <c r="G13" s="106" t="e">
        <f>D11+D12+D13</f>
        <v>#REF!</v>
      </c>
    </row>
    <row r="14" spans="1:7" x14ac:dyDescent="0.2">
      <c r="A14" s="124">
        <v>8</v>
      </c>
      <c r="B14" s="125" t="s">
        <v>197</v>
      </c>
      <c r="C14" s="136">
        <f>'prosinac 2009.(12)'!GL224</f>
        <v>1911500.9515810004</v>
      </c>
      <c r="D14" s="136">
        <f>'prosinac 2009.(12)'!GM224</f>
        <v>1633838.52</v>
      </c>
      <c r="E14" s="119">
        <f t="shared" ref="E14:E26" si="0">IF(C14&gt;0,D14/C14,0)</f>
        <v>0.85474114917319499</v>
      </c>
      <c r="F14" s="137"/>
      <c r="G14" s="106">
        <f>'prosinac 2009.(12)'!GH222</f>
        <v>4580061.05</v>
      </c>
    </row>
    <row r="15" spans="1:7" x14ac:dyDescent="0.2">
      <c r="A15" s="129">
        <v>9</v>
      </c>
      <c r="B15" s="122" t="s">
        <v>198</v>
      </c>
      <c r="C15" s="136">
        <f>'prosinac 2009.(12)'!GL228</f>
        <v>3286892.97</v>
      </c>
      <c r="D15" s="136" t="e">
        <f>'prosinac 2009.(12)'!GM228</f>
        <v>#REF!</v>
      </c>
      <c r="E15" s="119" t="e">
        <f t="shared" si="0"/>
        <v>#REF!</v>
      </c>
      <c r="F15" s="137"/>
    </row>
    <row r="16" spans="1:7" x14ac:dyDescent="0.2">
      <c r="A16" s="124">
        <v>10</v>
      </c>
      <c r="B16" s="125" t="s">
        <v>348</v>
      </c>
      <c r="C16" s="136">
        <f>'prosinac 2009.(12)'!GL168+'prosinac 2009.(12)'!GL191+'prosinac 2009.(12)'!GL210</f>
        <v>4257282.8499999996</v>
      </c>
      <c r="D16" s="136">
        <f>'prosinac 2009.(12)'!GI168+'prosinac 2009.(12)'!GI191+'prosinac 2009.(12)'!GI210</f>
        <v>3173910.3200000003</v>
      </c>
      <c r="E16" s="119">
        <f t="shared" si="0"/>
        <v>0.74552488801630845</v>
      </c>
      <c r="F16" s="137"/>
    </row>
    <row r="17" spans="1:9" x14ac:dyDescent="0.2">
      <c r="A17" s="124">
        <v>11</v>
      </c>
      <c r="B17" s="139" t="s">
        <v>385</v>
      </c>
      <c r="C17" s="1502">
        <f>'A4 (siječanj-listopad) '!C17+'A4 studeni'!C17</f>
        <v>1592950.62</v>
      </c>
      <c r="D17" s="1502">
        <f>'A4 (siječanj-listopad) '!D17+'A4 studeni'!D17</f>
        <v>1592950.62</v>
      </c>
      <c r="E17" s="119">
        <f t="shared" si="0"/>
        <v>1</v>
      </c>
      <c r="F17" s="138">
        <f>C17+C16</f>
        <v>5850233.4699999997</v>
      </c>
    </row>
    <row r="18" spans="1:9" x14ac:dyDescent="0.2">
      <c r="A18" s="124">
        <v>12</v>
      </c>
      <c r="B18" s="139" t="s">
        <v>386</v>
      </c>
      <c r="C18" s="136">
        <f>'prosinac 2009.(12)'!GJ211</f>
        <v>2016143.78</v>
      </c>
      <c r="D18" s="136">
        <f>'prosinac 2009.(12)'!GK211</f>
        <v>1023097.9300000002</v>
      </c>
      <c r="E18" s="119">
        <f t="shared" si="0"/>
        <v>0.50745286132321388</v>
      </c>
      <c r="F18" s="138"/>
    </row>
    <row r="19" spans="1:9" x14ac:dyDescent="0.2">
      <c r="A19" s="124">
        <v>13</v>
      </c>
      <c r="B19" s="125" t="s">
        <v>501</v>
      </c>
      <c r="C19" s="136">
        <f>'prosinac 2009.(12)'!GL218</f>
        <v>77786898.099999994</v>
      </c>
      <c r="D19" s="136">
        <f>'prosinac 2009.(12)'!GM218</f>
        <v>27482038.960000001</v>
      </c>
      <c r="E19" s="119">
        <f t="shared" si="0"/>
        <v>0.35329907261078974</v>
      </c>
      <c r="F19" s="138"/>
    </row>
    <row r="20" spans="1:9" x14ac:dyDescent="0.2">
      <c r="A20" s="124">
        <v>15</v>
      </c>
      <c r="B20" s="125" t="s">
        <v>219</v>
      </c>
      <c r="C20" s="136">
        <f>'prosinac 2009.(12)'!GL235</f>
        <v>270098</v>
      </c>
      <c r="D20" s="136" t="e">
        <f>'prosinac 2009.(12)'!GM235</f>
        <v>#REF!</v>
      </c>
      <c r="E20" s="119" t="e">
        <f t="shared" si="0"/>
        <v>#REF!</v>
      </c>
      <c r="F20" s="138"/>
    </row>
    <row r="21" spans="1:9" x14ac:dyDescent="0.2">
      <c r="A21" s="124">
        <v>16</v>
      </c>
      <c r="B21" s="125" t="s">
        <v>380</v>
      </c>
      <c r="C21" s="136">
        <f>'prosinac 2009.(12)'!GL236</f>
        <v>45474327</v>
      </c>
      <c r="D21" s="136">
        <f>'prosinac 2009.(12)'!GM236</f>
        <v>32475101.640000001</v>
      </c>
      <c r="E21" s="119">
        <f t="shared" si="0"/>
        <v>0.71414144600754625</v>
      </c>
      <c r="F21" s="138"/>
    </row>
    <row r="22" spans="1:9" x14ac:dyDescent="0.2">
      <c r="A22" s="124">
        <v>17</v>
      </c>
      <c r="B22" s="125" t="s">
        <v>199</v>
      </c>
      <c r="C22" s="136">
        <f>'prosinac 2009.(12)'!GL238</f>
        <v>0</v>
      </c>
      <c r="D22" s="136">
        <f>'prosinac 2009.(12)'!GM238</f>
        <v>0</v>
      </c>
      <c r="E22" s="119">
        <f t="shared" si="0"/>
        <v>0</v>
      </c>
      <c r="F22" s="138"/>
    </row>
    <row r="23" spans="1:9" x14ac:dyDescent="0.2">
      <c r="A23" s="124">
        <v>18</v>
      </c>
      <c r="B23" s="125" t="s">
        <v>422</v>
      </c>
      <c r="C23" s="136">
        <f>'prosinac 2009.(12)'!GL239</f>
        <v>0</v>
      </c>
      <c r="D23" s="136">
        <f>'prosinac 2009.(12)'!GM239</f>
        <v>0</v>
      </c>
      <c r="E23" s="119">
        <f t="shared" si="0"/>
        <v>0</v>
      </c>
      <c r="F23" s="138"/>
    </row>
    <row r="24" spans="1:9" x14ac:dyDescent="0.2">
      <c r="A24" s="121">
        <v>19</v>
      </c>
      <c r="B24" s="117" t="s">
        <v>200</v>
      </c>
      <c r="C24" s="136">
        <f>'prosinac 2009.(12)'!GL240</f>
        <v>2360244.8200000003</v>
      </c>
      <c r="D24" s="136">
        <f>'prosinac 2009.(12)'!GM240</f>
        <v>2531003.09</v>
      </c>
      <c r="E24" s="119">
        <f t="shared" si="0"/>
        <v>1.0723476939989638</v>
      </c>
      <c r="F24" s="138"/>
    </row>
    <row r="25" spans="1:9" x14ac:dyDescent="0.2">
      <c r="A25" s="124">
        <v>20</v>
      </c>
      <c r="B25" s="125" t="s">
        <v>201</v>
      </c>
      <c r="C25" s="136">
        <f>'prosinac 2009.(12)'!GL220</f>
        <v>4677125.5199999996</v>
      </c>
      <c r="D25" s="136">
        <f>'prosinac 2009.(12)'!GM220</f>
        <v>7893334.5299999993</v>
      </c>
      <c r="E25" s="119">
        <f t="shared" si="0"/>
        <v>1.6876465034447055</v>
      </c>
      <c r="F25" s="138"/>
    </row>
    <row r="26" spans="1:9" ht="13.5" thickBot="1" x14ac:dyDescent="0.25">
      <c r="A26" s="142">
        <v>21</v>
      </c>
      <c r="B26" s="143" t="s">
        <v>202</v>
      </c>
      <c r="C26" s="144">
        <f>'prosinac 2009.(12)'!GL221</f>
        <v>19596296.360000003</v>
      </c>
      <c r="D26" s="144">
        <f>'prosinac 2009.(12)'!GM221</f>
        <v>15270112.420000002</v>
      </c>
      <c r="E26" s="132">
        <f t="shared" si="0"/>
        <v>0.77923461349407763</v>
      </c>
      <c r="F26" s="138"/>
      <c r="H26" s="112"/>
      <c r="I26" s="112"/>
    </row>
    <row r="27" spans="1:9" ht="27" customHeight="1" thickTop="1" thickBot="1" x14ac:dyDescent="0.25">
      <c r="A27" s="145"/>
      <c r="B27" s="146" t="s">
        <v>531</v>
      </c>
      <c r="C27" s="138">
        <f>C7+C8+C9+C10+C14+C15+C16+C20+C18+C19</f>
        <v>212732605.73158097</v>
      </c>
      <c r="D27" s="138" t="e">
        <f>D7+D8+D9+D10+D14+D15+D16+D20+D18+D19</f>
        <v>#REF!</v>
      </c>
      <c r="E27" s="147"/>
    </row>
    <row r="28" spans="1:9" ht="27.75" customHeight="1" thickBot="1" x14ac:dyDescent="0.25">
      <c r="A28" s="148"/>
      <c r="B28" s="149" t="s">
        <v>532</v>
      </c>
      <c r="C28" s="150" t="e">
        <f>C7+C9+C10+C11+C12+C13+C14+C15+C16+C20+C22+C24+C25+C26+C21+C23</f>
        <v>#REF!</v>
      </c>
      <c r="D28" s="150" t="e">
        <f>D7+D9+D10+D11+D12+D13+D14+D15+D16+D20+D22+D24+D25+D26+D21+D23</f>
        <v>#REF!</v>
      </c>
      <c r="E28" s="151"/>
      <c r="F28" s="104"/>
      <c r="G28" s="285" t="e">
        <f>D28-F28</f>
        <v>#REF!</v>
      </c>
      <c r="H28" s="112"/>
    </row>
    <row r="29" spans="1:9" ht="27.75" customHeight="1" x14ac:dyDescent="0.2">
      <c r="A29" s="994"/>
      <c r="B29" s="1158"/>
      <c r="C29" s="111"/>
      <c r="D29" s="111"/>
      <c r="E29" s="1503"/>
      <c r="F29" s="104"/>
      <c r="G29" s="285"/>
      <c r="H29" s="112"/>
    </row>
    <row r="30" spans="1:9" ht="25.5" x14ac:dyDescent="0.2">
      <c r="A30" s="113" t="s">
        <v>185</v>
      </c>
      <c r="B30" s="113" t="s">
        <v>203</v>
      </c>
      <c r="C30" s="114" t="s">
        <v>204</v>
      </c>
      <c r="D30" s="114" t="s">
        <v>205</v>
      </c>
      <c r="E30" s="115" t="s">
        <v>189</v>
      </c>
    </row>
    <row r="31" spans="1:9" x14ac:dyDescent="0.2">
      <c r="A31" s="154">
        <v>1</v>
      </c>
      <c r="B31" s="155" t="s">
        <v>492</v>
      </c>
      <c r="C31" s="156">
        <f>'prosinac 2009.(12)'!GA161</f>
        <v>61495905.969999999</v>
      </c>
      <c r="D31" s="156" t="e">
        <f>'prosinac 2009.(12)'!GB161</f>
        <v>#REF!</v>
      </c>
      <c r="E31" s="119" t="e">
        <f t="shared" ref="E31:E47" si="1">IF(C31&gt;0,D31/C31,0)</f>
        <v>#REF!</v>
      </c>
      <c r="F31" s="120"/>
    </row>
    <row r="32" spans="1:9" x14ac:dyDescent="0.2">
      <c r="A32" s="124">
        <v>2</v>
      </c>
      <c r="B32" s="139" t="s">
        <v>493</v>
      </c>
      <c r="C32" s="126">
        <f>'prosinac 2009.(12)'!GC161</f>
        <v>31355751.559999999</v>
      </c>
      <c r="D32" s="126">
        <f>'prosinac 2009.(12)'!GD161</f>
        <v>11716629.650000002</v>
      </c>
      <c r="E32" s="119">
        <f t="shared" si="1"/>
        <v>0.37366763885662074</v>
      </c>
      <c r="F32" s="120"/>
    </row>
    <row r="33" spans="1:6" x14ac:dyDescent="0.2">
      <c r="A33" s="121">
        <v>3</v>
      </c>
      <c r="B33" s="157" t="s">
        <v>206</v>
      </c>
      <c r="C33" s="123">
        <f>'prosinac 2009.(12)'!GE233</f>
        <v>8662836.9800000004</v>
      </c>
      <c r="D33" s="123">
        <f>'prosinac 2009.(12)'!GF233</f>
        <v>14455857.780000001</v>
      </c>
      <c r="E33" s="119">
        <f t="shared" si="1"/>
        <v>1.6687209759775488</v>
      </c>
      <c r="F33" s="120">
        <f>D33-6052504.42</f>
        <v>8403353.3600000013</v>
      </c>
    </row>
    <row r="34" spans="1:6" s="106" customFormat="1" x14ac:dyDescent="0.2">
      <c r="A34" s="124">
        <v>4</v>
      </c>
      <c r="B34" s="139" t="s">
        <v>207</v>
      </c>
      <c r="C34" s="126">
        <f>'prosinac 2009.(12)'!GE230</f>
        <v>24870051.230000004</v>
      </c>
      <c r="D34" s="126">
        <f>'prosinac 2009.(12)'!GF230</f>
        <v>5852543.5300000003</v>
      </c>
      <c r="E34" s="119">
        <f t="shared" si="1"/>
        <v>0.23532494870538306</v>
      </c>
      <c r="F34" s="120"/>
    </row>
    <row r="35" spans="1:6" s="106" customFormat="1" x14ac:dyDescent="0.2">
      <c r="A35" s="121">
        <v>5</v>
      </c>
      <c r="B35" s="157" t="s">
        <v>210</v>
      </c>
      <c r="C35" s="1165">
        <f>'prosinac 2009.(12)'!GE228</f>
        <v>1153617.48</v>
      </c>
      <c r="D35" s="1165" t="e">
        <f>'prosinac 2009.(12)'!GF228</f>
        <v>#REF!</v>
      </c>
      <c r="E35" s="119" t="e">
        <f t="shared" si="1"/>
        <v>#REF!</v>
      </c>
      <c r="F35" s="120"/>
    </row>
    <row r="36" spans="1:6" s="106" customFormat="1" x14ac:dyDescent="0.2">
      <c r="A36" s="124">
        <v>6</v>
      </c>
      <c r="B36" s="139" t="s">
        <v>349</v>
      </c>
      <c r="C36" s="1165">
        <f>'prosinac 2009.(12)'!GE168+'prosinac 2009.(12)'!GE191+'prosinac 2009.(12)'!GE210</f>
        <v>3645684</v>
      </c>
      <c r="D36" s="1165">
        <f>'prosinac 2009.(12)'!GF168+'prosinac 2009.(12)'!GF191+'prosinac 2009.(12)'!GF210</f>
        <v>3236225.2</v>
      </c>
      <c r="E36" s="119">
        <f t="shared" si="1"/>
        <v>0.88768670021866958</v>
      </c>
      <c r="F36" s="120"/>
    </row>
    <row r="37" spans="1:6" s="106" customFormat="1" x14ac:dyDescent="0.2">
      <c r="A37" s="124">
        <v>7</v>
      </c>
      <c r="B37" s="139" t="s">
        <v>350</v>
      </c>
      <c r="C37" s="126">
        <f>'prosinac 2009.(12)'!GE163+'prosinac 2009.(12)'!GE173+'prosinac 2009.(12)'!GE209</f>
        <v>2308075.6900000004</v>
      </c>
      <c r="D37" s="126">
        <f>'prosinac 2009.(12)'!GF163+'prosinac 2009.(12)'!GF173+'prosinac 2009.(12)'!GF209</f>
        <v>1023097.9300000002</v>
      </c>
      <c r="E37" s="119">
        <f t="shared" si="1"/>
        <v>0.44326879505411715</v>
      </c>
      <c r="F37" s="120"/>
    </row>
    <row r="38" spans="1:6" s="106" customFormat="1" x14ac:dyDescent="0.2">
      <c r="A38" s="124">
        <v>8</v>
      </c>
      <c r="B38" s="157" t="s">
        <v>383</v>
      </c>
      <c r="C38" s="126">
        <f>'prosinac 2009.(12)'!GE215</f>
        <v>0</v>
      </c>
      <c r="D38" s="126">
        <f>'prosinac 2009.(12)'!GF215</f>
        <v>0</v>
      </c>
      <c r="E38" s="119">
        <f t="shared" si="1"/>
        <v>0</v>
      </c>
      <c r="F38" s="120"/>
    </row>
    <row r="39" spans="1:6" s="106" customFormat="1" x14ac:dyDescent="0.2">
      <c r="A39" s="124">
        <v>9</v>
      </c>
      <c r="B39" s="139" t="s">
        <v>220</v>
      </c>
      <c r="C39" s="126">
        <f>'prosinac 2009.(12)'!GE216</f>
        <v>939459.84999999986</v>
      </c>
      <c r="D39" s="126" t="e">
        <f>'prosinac 2009.(12)'!GF216</f>
        <v>#REF!</v>
      </c>
      <c r="E39" s="119" t="e">
        <f t="shared" si="1"/>
        <v>#REF!</v>
      </c>
      <c r="F39" s="120"/>
    </row>
    <row r="40" spans="1:6" s="106" customFormat="1" x14ac:dyDescent="0.2">
      <c r="A40" s="124">
        <v>10</v>
      </c>
      <c r="B40" s="139" t="s">
        <v>528</v>
      </c>
      <c r="C40" s="123">
        <f>'prosinac 2009.(12)'!GE218</f>
        <v>0</v>
      </c>
      <c r="D40" s="123">
        <f>'prosinac 2009.(12)'!GF218</f>
        <v>12300</v>
      </c>
      <c r="E40" s="119"/>
      <c r="F40" s="120"/>
    </row>
    <row r="41" spans="1:6" s="106" customFormat="1" x14ac:dyDescent="0.2">
      <c r="A41" s="124">
        <v>11</v>
      </c>
      <c r="B41" s="139" t="s">
        <v>211</v>
      </c>
      <c r="C41" s="126">
        <f>'prosinac 2009.(12)'!GE235</f>
        <v>286635.31</v>
      </c>
      <c r="D41" s="126" t="e">
        <f>'prosinac 2009.(12)'!GF235</f>
        <v>#REF!</v>
      </c>
      <c r="E41" s="119" t="e">
        <f t="shared" si="1"/>
        <v>#REF!</v>
      </c>
      <c r="F41" s="120"/>
    </row>
    <row r="42" spans="1:6" s="106" customFormat="1" x14ac:dyDescent="0.2">
      <c r="A42" s="124">
        <v>12</v>
      </c>
      <c r="B42" s="139" t="s">
        <v>380</v>
      </c>
      <c r="C42" s="126">
        <f>'prosinac 2009.(12)'!GE236</f>
        <v>46974327</v>
      </c>
      <c r="D42" s="126">
        <f>'prosinac 2009.(12)'!GF236</f>
        <v>32475101.640000001</v>
      </c>
      <c r="E42" s="119">
        <f t="shared" si="1"/>
        <v>0.69133724129778384</v>
      </c>
      <c r="F42" s="120"/>
    </row>
    <row r="43" spans="1:6" s="106" customFormat="1" x14ac:dyDescent="0.2">
      <c r="A43" s="124">
        <v>13</v>
      </c>
      <c r="B43" s="139" t="s">
        <v>212</v>
      </c>
      <c r="C43" s="126">
        <f>'prosinac 2009.(12)'!GE238</f>
        <v>2391964.04</v>
      </c>
      <c r="D43" s="126">
        <f>'prosinac 2009.(12)'!GF238</f>
        <v>2391964.04</v>
      </c>
      <c r="E43" s="119">
        <f t="shared" si="1"/>
        <v>1</v>
      </c>
      <c r="F43" s="120"/>
    </row>
    <row r="44" spans="1:6" s="106" customFormat="1" x14ac:dyDescent="0.2">
      <c r="A44" s="124">
        <v>14</v>
      </c>
      <c r="B44" s="139" t="s">
        <v>420</v>
      </c>
      <c r="C44" s="126">
        <f>'prosinac 2009.(12)'!GE239</f>
        <v>6293515.4100000001</v>
      </c>
      <c r="D44" s="126">
        <f>'prosinac 2009.(12)'!GF239</f>
        <v>0</v>
      </c>
      <c r="E44" s="119">
        <f t="shared" si="1"/>
        <v>0</v>
      </c>
      <c r="F44" s="120"/>
    </row>
    <row r="45" spans="1:6" s="106" customFormat="1" x14ac:dyDescent="0.2">
      <c r="A45" s="121">
        <v>15</v>
      </c>
      <c r="B45" s="157" t="s">
        <v>213</v>
      </c>
      <c r="C45" s="126">
        <f>'prosinac 2009.(12)'!GE240</f>
        <v>12729286.43</v>
      </c>
      <c r="D45" s="126">
        <f>'prosinac 2009.(12)'!GF240</f>
        <v>12878148.380000001</v>
      </c>
      <c r="E45" s="119">
        <f t="shared" si="1"/>
        <v>1.0116944457820642</v>
      </c>
      <c r="F45" s="120"/>
    </row>
    <row r="46" spans="1:6" s="106" customFormat="1" x14ac:dyDescent="0.2">
      <c r="A46" s="124">
        <v>16</v>
      </c>
      <c r="B46" s="139" t="s">
        <v>222</v>
      </c>
      <c r="C46" s="126">
        <f>'prosinac 2009.(12)'!GE220</f>
        <v>12252140.6</v>
      </c>
      <c r="D46" s="126">
        <f>'prosinac 2009.(12)'!GF220</f>
        <v>14966174.4</v>
      </c>
      <c r="E46" s="119">
        <f t="shared" si="1"/>
        <v>1.2215150714153575</v>
      </c>
      <c r="F46" s="120"/>
    </row>
    <row r="47" spans="1:6" s="106" customFormat="1" ht="13.5" thickBot="1" x14ac:dyDescent="0.25">
      <c r="A47" s="142">
        <v>17</v>
      </c>
      <c r="B47" s="159" t="s">
        <v>221</v>
      </c>
      <c r="C47" s="160">
        <f>'prosinac 2009.(12)'!GE221</f>
        <v>2005598.82</v>
      </c>
      <c r="D47" s="160">
        <f>'prosinac 2009.(12)'!GF221</f>
        <v>2531003.09</v>
      </c>
      <c r="E47" s="161">
        <f t="shared" si="1"/>
        <v>1.2619687769860175</v>
      </c>
      <c r="F47" s="120"/>
    </row>
    <row r="48" spans="1:6" s="106" customFormat="1" ht="27" customHeight="1" thickTop="1" thickBot="1" x14ac:dyDescent="0.25">
      <c r="A48" s="162"/>
      <c r="B48" s="163" t="s">
        <v>530</v>
      </c>
      <c r="C48" s="127">
        <f>C31+C32+C33+C34+C35+C36+C39+C41+C38+C37+C40</f>
        <v>134718018.07000002</v>
      </c>
      <c r="D48" s="127" t="e">
        <f>D31+D32+D33+D34+D35+D36+D39+D41+D38+D37+D40</f>
        <v>#REF!</v>
      </c>
      <c r="E48" s="165"/>
      <c r="F48" s="112"/>
    </row>
    <row r="49" spans="1:8" s="100" customFormat="1" ht="27" customHeight="1" thickBot="1" x14ac:dyDescent="0.25">
      <c r="A49" s="148"/>
      <c r="B49" s="149" t="s">
        <v>529</v>
      </c>
      <c r="C49" s="150">
        <f>C31+C33+C34+C35+C36+C39+C41+C43+C45+C46+C47+C38+C42+C37+C44+C40</f>
        <v>186009098.81</v>
      </c>
      <c r="D49" s="150" t="e">
        <f>D31+D33+D34+D35+D36+D39+D41+D43+D45+D46+D47+D38+D42+D37+D44+D40</f>
        <v>#REF!</v>
      </c>
      <c r="E49" s="151"/>
      <c r="F49" s="104"/>
      <c r="G49" s="285" t="e">
        <f>D49-F49</f>
        <v>#REF!</v>
      </c>
      <c r="H49" s="285"/>
    </row>
    <row r="50" spans="1:8" ht="15.75" customHeight="1" thickBot="1" x14ac:dyDescent="0.25">
      <c r="A50" s="110"/>
      <c r="B50" s="152"/>
      <c r="C50" s="167"/>
      <c r="D50" s="111"/>
      <c r="E50" s="153"/>
    </row>
    <row r="51" spans="1:8" ht="16.5" customHeight="1" thickBot="1" x14ac:dyDescent="0.25">
      <c r="A51" s="3732" t="s">
        <v>384</v>
      </c>
      <c r="B51" s="3733"/>
      <c r="C51" s="150"/>
      <c r="D51" s="168" t="e">
        <f>D28-D49</f>
        <v>#REF!</v>
      </c>
      <c r="E51" s="153"/>
    </row>
    <row r="52" spans="1:8" ht="12" customHeight="1" thickBot="1" x14ac:dyDescent="0.25">
      <c r="A52" s="110"/>
      <c r="B52" s="102"/>
      <c r="C52" s="108"/>
      <c r="D52" s="108"/>
      <c r="E52" s="153"/>
    </row>
    <row r="53" spans="1:8" ht="15.75" customHeight="1" thickBot="1" x14ac:dyDescent="0.25">
      <c r="A53" s="3732" t="s">
        <v>326</v>
      </c>
      <c r="B53" s="3733"/>
      <c r="C53" s="3733"/>
      <c r="D53" s="168">
        <f>'A4 (siječanj-kolovoz)'!D55</f>
        <v>62210392.009999998</v>
      </c>
      <c r="E53" s="153"/>
    </row>
    <row r="54" spans="1:8" ht="10.5" customHeight="1" thickBot="1" x14ac:dyDescent="0.25">
      <c r="A54" s="110"/>
      <c r="B54" s="102"/>
      <c r="C54" s="108"/>
      <c r="D54" s="108"/>
      <c r="E54" s="153"/>
    </row>
    <row r="55" spans="1:8" ht="16.5" customHeight="1" thickBot="1" x14ac:dyDescent="0.25">
      <c r="A55" s="3732" t="s">
        <v>524</v>
      </c>
      <c r="B55" s="3733"/>
      <c r="C55" s="3733"/>
      <c r="D55" s="168" t="e">
        <f>D53+D51</f>
        <v>#REF!</v>
      </c>
      <c r="E55" s="153"/>
      <c r="F55" s="285" t="e">
        <f>'A4 studeni'!D55</f>
        <v>#REF!</v>
      </c>
      <c r="G55" s="285" t="e">
        <f>F55-D55</f>
        <v>#REF!</v>
      </c>
    </row>
    <row r="56" spans="1:8" ht="8.25" customHeight="1" x14ac:dyDescent="0.2">
      <c r="A56" s="110"/>
      <c r="B56" s="152"/>
      <c r="C56" s="108"/>
      <c r="D56" s="111"/>
      <c r="E56" s="153"/>
    </row>
    <row r="57" spans="1:8" ht="8.25" customHeight="1" x14ac:dyDescent="0.2">
      <c r="A57" s="110"/>
      <c r="B57" s="152"/>
      <c r="C57" s="108"/>
      <c r="D57" s="111"/>
      <c r="E57" s="153"/>
    </row>
    <row r="58" spans="1:8" ht="39" customHeight="1" x14ac:dyDescent="0.2">
      <c r="A58" s="110"/>
      <c r="B58" s="3734" t="s">
        <v>215</v>
      </c>
      <c r="C58" s="3735"/>
      <c r="D58" s="3734" t="s">
        <v>216</v>
      </c>
      <c r="E58" s="3734"/>
    </row>
    <row r="59" spans="1:8" x14ac:dyDescent="0.2">
      <c r="A59" s="110"/>
      <c r="B59" s="3726" t="s">
        <v>217</v>
      </c>
      <c r="C59" s="3726"/>
      <c r="D59" s="3726" t="s">
        <v>218</v>
      </c>
      <c r="E59" s="3726"/>
    </row>
    <row r="60" spans="1:8" ht="9.75" customHeight="1" x14ac:dyDescent="0.2">
      <c r="A60" s="110"/>
      <c r="B60" s="170"/>
      <c r="C60" s="171"/>
      <c r="D60" s="171"/>
      <c r="E60" s="172"/>
    </row>
    <row r="61" spans="1:8" ht="9.75" customHeight="1" x14ac:dyDescent="0.2">
      <c r="A61" s="110"/>
      <c r="B61" s="170"/>
      <c r="C61" s="171"/>
      <c r="D61" s="171"/>
      <c r="E61" s="172"/>
    </row>
    <row r="62" spans="1:8" x14ac:dyDescent="0.2">
      <c r="A62" s="170"/>
      <c r="D62" s="3727" t="s">
        <v>522</v>
      </c>
      <c r="E62" s="3727"/>
    </row>
  </sheetData>
  <mergeCells count="10">
    <mergeCell ref="B59:C59"/>
    <mergeCell ref="D59:E59"/>
    <mergeCell ref="D62:E62"/>
    <mergeCell ref="A1:E3"/>
    <mergeCell ref="E11:E13"/>
    <mergeCell ref="A51:B51"/>
    <mergeCell ref="A53:C53"/>
    <mergeCell ref="A55:C55"/>
    <mergeCell ref="B58:C58"/>
    <mergeCell ref="D58:E58"/>
  </mergeCells>
  <conditionalFormatting sqref="G49 G55 G28:G29">
    <cfRule type="cellIs" dxfId="3" priority="1" stopIfTrue="1" operator="equal">
      <formula>0</formula>
    </cfRule>
    <cfRule type="cellIs" dxfId="2" priority="2" stopIfTrue="1" operator="notEqual">
      <formula>0</formula>
    </cfRule>
  </conditionalFormatting>
  <pageMargins left="0.98425196850393704" right="0.23622047244094491" top="0.35433070866141736" bottom="0.15748031496062992" header="0.11811023622047245" footer="0.15748031496062992"/>
  <pageSetup paperSize="9" scale="87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EZ126"/>
  <sheetViews>
    <sheetView workbookViewId="0">
      <pane xSplit="2" ySplit="8" topLeftCell="DJ9" activePane="bottomRight" state="frozen"/>
      <selection activeCell="D73" sqref="D73"/>
      <selection pane="topRight" activeCell="D73" sqref="D73"/>
      <selection pane="bottomLeft" activeCell="D73" sqref="D73"/>
      <selection pane="bottomRight" activeCell="DL18" sqref="DL18"/>
    </sheetView>
  </sheetViews>
  <sheetFormatPr defaultColWidth="9.140625" defaultRowHeight="12.75" outlineLevelRow="1" outlineLevelCol="1" x14ac:dyDescent="0.2"/>
  <cols>
    <col min="1" max="1" width="18.7109375" style="99" customWidth="1"/>
    <col min="2" max="2" width="12.85546875" style="170" customWidth="1"/>
    <col min="3" max="3" width="14.42578125" style="173" customWidth="1"/>
    <col min="4" max="4" width="15.42578125" style="106" customWidth="1"/>
    <col min="5" max="5" width="19.28515625" style="106" customWidth="1"/>
    <col min="6" max="6" width="4.7109375" style="106" customWidth="1"/>
    <col min="7" max="7" width="15.28515625" style="106" hidden="1" customWidth="1" outlineLevel="1"/>
    <col min="8" max="8" width="13.28515625" style="106" hidden="1" customWidth="1" outlineLevel="1"/>
    <col min="9" max="9" width="15.85546875" style="106" hidden="1" customWidth="1" outlineLevel="1"/>
    <col min="10" max="12" width="15.140625" style="106" hidden="1" customWidth="1" outlineLevel="1"/>
    <col min="13" max="13" width="15.85546875" style="99" hidden="1" customWidth="1" outlineLevel="1"/>
    <col min="14" max="14" width="10.42578125" style="99" hidden="1" customWidth="1" outlineLevel="1"/>
    <col min="15" max="15" width="15.7109375" style="99" hidden="1" customWidth="1" outlineLevel="1"/>
    <col min="16" max="16" width="0.85546875" style="112" customWidth="1" collapsed="1"/>
    <col min="17" max="17" width="10.85546875" style="99" customWidth="1"/>
    <col min="18" max="18" width="11.42578125" style="99" customWidth="1"/>
    <col min="19" max="19" width="13.85546875" style="112" customWidth="1"/>
    <col min="20" max="20" width="11.7109375" style="112" hidden="1" customWidth="1" outlineLevel="1"/>
    <col min="21" max="21" width="12.42578125" style="112" hidden="1" customWidth="1" outlineLevel="1"/>
    <col min="22" max="22" width="16.42578125" style="112" customWidth="1" collapsed="1"/>
    <col min="23" max="23" width="16.42578125" style="112" customWidth="1"/>
    <col min="24" max="24" width="0.85546875" style="112" customWidth="1"/>
    <col min="25" max="25" width="11.28515625" style="174" customWidth="1"/>
    <col min="26" max="26" width="11.42578125" style="174" customWidth="1"/>
    <col min="27" max="27" width="10.140625" style="112" customWidth="1"/>
    <col min="28" max="28" width="10.140625" style="112" customWidth="1" outlineLevel="1"/>
    <col min="29" max="29" width="10.7109375" style="112" customWidth="1" outlineLevel="1"/>
    <col min="30" max="30" width="11.28515625" style="112" customWidth="1"/>
    <col min="31" max="31" width="10.85546875" style="112" customWidth="1"/>
    <col min="32" max="32" width="0.85546875" style="112" customWidth="1"/>
    <col min="33" max="34" width="10.85546875" style="112" customWidth="1"/>
    <col min="35" max="35" width="10.140625" style="112" customWidth="1"/>
    <col min="36" max="37" width="10.140625" style="112" hidden="1" customWidth="1" outlineLevel="1"/>
    <col min="38" max="38" width="10.140625" style="112" customWidth="1" collapsed="1"/>
    <col min="39" max="39" width="10.140625" style="112" customWidth="1"/>
    <col min="40" max="40" width="0.85546875" style="112" customWidth="1"/>
    <col min="41" max="42" width="10.140625" style="175" customWidth="1"/>
    <col min="43" max="43" width="10.140625" style="112" customWidth="1"/>
    <col min="44" max="45" width="10.140625" style="112" hidden="1" customWidth="1" outlineLevel="1"/>
    <col min="46" max="46" width="10.140625" style="112" customWidth="1" collapsed="1"/>
    <col min="47" max="47" width="10.140625" style="112" customWidth="1"/>
    <col min="48" max="48" width="0.85546875" style="112" customWidth="1"/>
    <col min="49" max="51" width="10.140625" style="112" customWidth="1"/>
    <col min="52" max="53" width="10.140625" style="112" hidden="1" customWidth="1" outlineLevel="1"/>
    <col min="54" max="54" width="10.140625" style="112" customWidth="1" collapsed="1"/>
    <col min="55" max="55" width="10.140625" style="112" customWidth="1"/>
    <col min="56" max="56" width="0.85546875" style="112" customWidth="1"/>
    <col min="57" max="59" width="10.140625" style="112" customWidth="1"/>
    <col min="60" max="61" width="10.140625" style="112" hidden="1" customWidth="1" outlineLevel="1"/>
    <col min="62" max="62" width="10.7109375" style="112" customWidth="1" collapsed="1"/>
    <col min="63" max="63" width="10.5703125" style="112" customWidth="1"/>
    <col min="64" max="64" width="1" style="112" customWidth="1"/>
    <col min="65" max="67" width="10.140625" style="112" customWidth="1"/>
    <col min="68" max="69" width="10.140625" style="112" hidden="1" customWidth="1" outlineLevel="1"/>
    <col min="70" max="70" width="10.140625" style="112" customWidth="1" collapsed="1"/>
    <col min="71" max="71" width="10.140625" style="112" customWidth="1"/>
    <col min="72" max="72" width="0.85546875" style="112" customWidth="1"/>
    <col min="73" max="75" width="10.140625" style="112" customWidth="1"/>
    <col min="76" max="77" width="10.140625" style="112" hidden="1" customWidth="1" outlineLevel="1"/>
    <col min="78" max="78" width="10.140625" style="112" customWidth="1" collapsed="1"/>
    <col min="79" max="79" width="10.140625" style="112" customWidth="1"/>
    <col min="80" max="80" width="0.7109375" style="112" customWidth="1"/>
    <col min="81" max="83" width="10.140625" style="112" customWidth="1"/>
    <col min="84" max="85" width="10.140625" style="112" hidden="1" customWidth="1" outlineLevel="1"/>
    <col min="86" max="86" width="10.140625" style="112" customWidth="1" collapsed="1"/>
    <col min="87" max="87" width="10.140625" style="112" customWidth="1"/>
    <col min="88" max="88" width="0.7109375" style="112" customWidth="1"/>
    <col min="89" max="91" width="10.140625" style="112" customWidth="1"/>
    <col min="92" max="93" width="10.140625" style="112" hidden="1" customWidth="1" outlineLevel="1"/>
    <col min="94" max="94" width="10.140625" style="112" customWidth="1" collapsed="1"/>
    <col min="95" max="95" width="10.140625" style="112" customWidth="1"/>
    <col min="96" max="96" width="0.5703125" style="112" customWidth="1"/>
    <col min="97" max="99" width="10.140625" style="112" customWidth="1"/>
    <col min="100" max="101" width="10.140625" style="112" customWidth="1" outlineLevel="1"/>
    <col min="102" max="103" width="10.140625" style="112" customWidth="1"/>
    <col min="104" max="104" width="0.7109375" style="112" customWidth="1"/>
    <col min="105" max="107" width="10.140625" style="112" customWidth="1"/>
    <col min="108" max="109" width="10.140625" style="112" customWidth="1" outlineLevel="1"/>
    <col min="110" max="111" width="10.140625" style="112" customWidth="1"/>
    <col min="112" max="112" width="0.7109375" style="112" customWidth="1"/>
    <col min="113" max="114" width="10.140625" style="112" customWidth="1"/>
    <col min="115" max="115" width="11.5703125" style="112" customWidth="1"/>
    <col min="116" max="117" width="10.140625" style="112" customWidth="1" outlineLevel="1"/>
    <col min="118" max="118" width="11.7109375" style="112" customWidth="1"/>
    <col min="119" max="119" width="12" style="112" customWidth="1"/>
    <col min="120" max="120" width="0.7109375" style="112" customWidth="1"/>
    <col min="121" max="121" width="5.42578125" style="112" customWidth="1"/>
    <col min="122" max="124" width="10.140625" style="112" customWidth="1"/>
    <col min="125" max="127" width="13.28515625" style="176" customWidth="1"/>
    <col min="128" max="128" width="17.28515625" style="177" customWidth="1"/>
    <col min="129" max="129" width="17.85546875" style="177" customWidth="1"/>
    <col min="130" max="130" width="13.42578125" style="177" customWidth="1"/>
    <col min="131" max="132" width="13.42578125" style="178" hidden="1" customWidth="1" outlineLevel="1"/>
    <col min="133" max="133" width="13.42578125" style="177" customWidth="1" collapsed="1"/>
    <col min="134" max="134" width="13" style="177" customWidth="1"/>
    <col min="135" max="135" width="14" style="177" customWidth="1"/>
    <col min="136" max="136" width="10.140625" style="112" customWidth="1"/>
    <col min="137" max="137" width="14.28515625" style="112" customWidth="1"/>
    <col min="138" max="156" width="10.140625" style="112" customWidth="1"/>
    <col min="157" max="16384" width="9.140625" style="99"/>
  </cols>
  <sheetData>
    <row r="2" spans="1:156" hidden="1" outlineLevel="1" x14ac:dyDescent="0.2"/>
    <row r="3" spans="1:156" ht="18" hidden="1" customHeight="1" outlineLevel="1" x14ac:dyDescent="0.3">
      <c r="A3" s="179"/>
      <c r="B3" s="3761" t="s">
        <v>227</v>
      </c>
      <c r="C3" s="3761"/>
      <c r="D3" s="3761"/>
      <c r="E3" s="3761"/>
      <c r="F3" s="180"/>
      <c r="G3" s="181"/>
    </row>
    <row r="4" spans="1:156" ht="15.75" hidden="1" customHeight="1" outlineLevel="1" x14ac:dyDescent="0.3">
      <c r="A4" s="179"/>
      <c r="B4" s="3761"/>
      <c r="C4" s="3761"/>
      <c r="D4" s="3761"/>
      <c r="E4" s="3761"/>
      <c r="F4" s="180"/>
      <c r="G4" s="182"/>
    </row>
    <row r="5" spans="1:156" s="191" customFormat="1" ht="34.5" customHeight="1" collapsed="1" thickBot="1" x14ac:dyDescent="0.25">
      <c r="A5" s="180"/>
      <c r="B5" s="3761"/>
      <c r="C5" s="3761"/>
      <c r="D5" s="3761"/>
      <c r="E5" s="3761"/>
      <c r="F5" s="180"/>
      <c r="G5" s="3762" t="s">
        <v>228</v>
      </c>
      <c r="H5" s="3762"/>
      <c r="I5" s="3762"/>
      <c r="J5" s="3762" t="s">
        <v>229</v>
      </c>
      <c r="K5" s="3762"/>
      <c r="L5" s="3762"/>
      <c r="M5" s="3766" t="s">
        <v>230</v>
      </c>
      <c r="N5" s="3766"/>
      <c r="O5" s="3766"/>
      <c r="P5" s="183"/>
      <c r="Q5" s="184"/>
      <c r="R5" s="184"/>
      <c r="S5" s="3763"/>
      <c r="T5" s="3763"/>
      <c r="U5" s="3763"/>
      <c r="V5" s="3763"/>
      <c r="W5" s="3763"/>
      <c r="X5" s="183"/>
      <c r="Y5" s="185"/>
      <c r="Z5" s="185"/>
      <c r="AA5" s="3753"/>
      <c r="AB5" s="3753"/>
      <c r="AC5" s="3753"/>
      <c r="AD5" s="3753"/>
      <c r="AE5" s="3753"/>
      <c r="AF5" s="183"/>
      <c r="AG5" s="186"/>
      <c r="AH5" s="186"/>
      <c r="AI5" s="3753"/>
      <c r="AJ5" s="3753"/>
      <c r="AK5" s="3753"/>
      <c r="AL5" s="3753"/>
      <c r="AM5" s="3753"/>
      <c r="AN5" s="183"/>
      <c r="AO5" s="187"/>
      <c r="AP5" s="187"/>
      <c r="AQ5" s="188"/>
      <c r="AR5" s="188"/>
      <c r="AS5" s="188"/>
      <c r="AT5" s="188"/>
      <c r="AU5" s="188"/>
      <c r="AV5" s="188"/>
      <c r="AW5" s="189"/>
      <c r="AX5" s="189"/>
      <c r="AY5" s="189"/>
      <c r="AZ5" s="189"/>
      <c r="BA5" s="189"/>
      <c r="BB5" s="189"/>
      <c r="BC5" s="189"/>
      <c r="BD5" s="188"/>
      <c r="BE5" s="189"/>
      <c r="BF5" s="189"/>
      <c r="BG5" s="189"/>
      <c r="BH5" s="189"/>
      <c r="BI5" s="189"/>
      <c r="BJ5" s="189"/>
      <c r="BK5" s="189"/>
      <c r="BL5" s="188"/>
      <c r="BM5" s="189"/>
      <c r="BN5" s="189"/>
      <c r="BO5" s="189"/>
      <c r="BP5" s="189"/>
      <c r="BQ5" s="189"/>
      <c r="BR5" s="189"/>
      <c r="BS5" s="189"/>
      <c r="BT5" s="188"/>
      <c r="BU5" s="189"/>
      <c r="BV5" s="189"/>
      <c r="BW5" s="189"/>
      <c r="BX5" s="189"/>
      <c r="BY5" s="189"/>
      <c r="BZ5" s="189"/>
      <c r="CA5" s="189"/>
      <c r="CB5" s="103"/>
      <c r="CC5" s="189"/>
      <c r="CD5" s="189"/>
      <c r="CE5" s="189"/>
      <c r="CF5" s="189"/>
      <c r="CG5" s="189"/>
      <c r="CH5" s="189"/>
      <c r="CI5" s="189"/>
      <c r="CJ5" s="103"/>
      <c r="CK5" s="189"/>
      <c r="CL5" s="189"/>
      <c r="CM5" s="189"/>
      <c r="CN5" s="189"/>
      <c r="CO5" s="189"/>
      <c r="CP5" s="189"/>
      <c r="CQ5" s="189"/>
      <c r="CR5" s="103"/>
      <c r="CS5" s="189"/>
      <c r="CT5" s="189"/>
      <c r="CU5" s="189"/>
      <c r="CV5" s="189"/>
      <c r="CW5" s="189"/>
      <c r="CX5" s="189"/>
      <c r="CY5" s="189"/>
      <c r="CZ5" s="103"/>
      <c r="DA5" s="189"/>
      <c r="DB5" s="189"/>
      <c r="DC5" s="189"/>
      <c r="DD5" s="189"/>
      <c r="DE5" s="189"/>
      <c r="DF5" s="189"/>
      <c r="DG5" s="189"/>
      <c r="DH5" s="103"/>
      <c r="DI5" s="189"/>
      <c r="DJ5" s="189"/>
      <c r="DK5" s="189"/>
      <c r="DL5" s="189"/>
      <c r="DM5" s="189"/>
      <c r="DN5" s="189"/>
      <c r="DO5" s="189"/>
      <c r="DP5" s="103"/>
      <c r="DQ5" s="103"/>
      <c r="DR5" s="186"/>
      <c r="DS5" s="186"/>
      <c r="DT5" s="186"/>
      <c r="DU5" s="190"/>
      <c r="DV5" s="190"/>
      <c r="DW5" s="190"/>
      <c r="DX5" s="3745" t="s">
        <v>388</v>
      </c>
      <c r="DY5" s="3746"/>
      <c r="DZ5" s="3746"/>
      <c r="EA5" s="3746"/>
      <c r="EB5" s="3746"/>
      <c r="EC5" s="3746"/>
      <c r="ED5" s="3746"/>
      <c r="EE5" s="3747"/>
      <c r="EF5" s="186"/>
      <c r="EG5" s="186"/>
      <c r="EH5" s="186"/>
      <c r="EI5" s="186"/>
      <c r="EJ5" s="186"/>
      <c r="EK5" s="186"/>
      <c r="EL5" s="186"/>
      <c r="EM5" s="186"/>
      <c r="EN5" s="186"/>
      <c r="EO5" s="186"/>
      <c r="EP5" s="186"/>
      <c r="EQ5" s="186"/>
      <c r="ER5" s="186"/>
      <c r="ES5" s="186"/>
      <c r="ET5" s="186"/>
      <c r="EU5" s="186"/>
      <c r="EV5" s="186"/>
      <c r="EW5" s="186"/>
      <c r="EX5" s="186"/>
      <c r="EY5" s="186"/>
      <c r="EZ5" s="186"/>
    </row>
    <row r="6" spans="1:156" s="110" customFormat="1" ht="51" customHeight="1" thickBot="1" x14ac:dyDescent="0.3">
      <c r="A6" s="192"/>
      <c r="B6" s="3765" t="s">
        <v>245</v>
      </c>
      <c r="C6" s="3765"/>
      <c r="D6" s="3765"/>
      <c r="E6" s="3765"/>
      <c r="F6" s="193"/>
      <c r="G6" s="193" t="s">
        <v>242</v>
      </c>
      <c r="H6" s="193" t="s">
        <v>243</v>
      </c>
      <c r="I6" s="193" t="s">
        <v>244</v>
      </c>
      <c r="J6" s="193" t="s">
        <v>242</v>
      </c>
      <c r="K6" s="193" t="s">
        <v>243</v>
      </c>
      <c r="L6" s="193" t="s">
        <v>244</v>
      </c>
      <c r="M6" s="110" t="s">
        <v>242</v>
      </c>
      <c r="N6" s="110" t="s">
        <v>243</v>
      </c>
      <c r="O6" s="194" t="s">
        <v>244</v>
      </c>
      <c r="P6" s="3757"/>
      <c r="Q6" s="195" t="s">
        <v>231</v>
      </c>
      <c r="R6" s="196" t="s">
        <v>232</v>
      </c>
      <c r="S6" s="197"/>
      <c r="T6" s="198" t="s">
        <v>313</v>
      </c>
      <c r="U6" s="198" t="s">
        <v>314</v>
      </c>
      <c r="V6" s="3754" t="s">
        <v>233</v>
      </c>
      <c r="W6" s="3755"/>
      <c r="X6" s="199"/>
      <c r="Y6" s="200" t="s">
        <v>231</v>
      </c>
      <c r="Z6" s="201" t="s">
        <v>232</v>
      </c>
      <c r="AA6" s="202"/>
      <c r="AB6" s="198" t="s">
        <v>313</v>
      </c>
      <c r="AC6" s="198" t="s">
        <v>314</v>
      </c>
      <c r="AD6" s="3754" t="s">
        <v>234</v>
      </c>
      <c r="AE6" s="3755"/>
      <c r="AF6" s="199"/>
      <c r="AG6" s="203" t="s">
        <v>231</v>
      </c>
      <c r="AH6" s="204" t="s">
        <v>232</v>
      </c>
      <c r="AI6" s="205"/>
      <c r="AJ6" s="206" t="s">
        <v>313</v>
      </c>
      <c r="AK6" s="206" t="s">
        <v>314</v>
      </c>
      <c r="AL6" s="3751" t="s">
        <v>235</v>
      </c>
      <c r="AM6" s="3752"/>
      <c r="AN6" s="199"/>
      <c r="AO6" s="203" t="s">
        <v>231</v>
      </c>
      <c r="AP6" s="204" t="s">
        <v>232</v>
      </c>
      <c r="AQ6" s="205"/>
      <c r="AR6" s="206" t="s">
        <v>313</v>
      </c>
      <c r="AS6" s="206" t="s">
        <v>314</v>
      </c>
      <c r="AT6" s="3751" t="s">
        <v>236</v>
      </c>
      <c r="AU6" s="3752"/>
      <c r="AV6" s="199"/>
      <c r="AW6" s="203" t="s">
        <v>231</v>
      </c>
      <c r="AX6" s="204" t="s">
        <v>232</v>
      </c>
      <c r="AY6" s="205"/>
      <c r="AZ6" s="206" t="s">
        <v>313</v>
      </c>
      <c r="BA6" s="206" t="s">
        <v>314</v>
      </c>
      <c r="BB6" s="3751" t="s">
        <v>237</v>
      </c>
      <c r="BC6" s="3752"/>
      <c r="BD6" s="199"/>
      <c r="BE6" s="207" t="s">
        <v>231</v>
      </c>
      <c r="BF6" s="208" t="s">
        <v>232</v>
      </c>
      <c r="BG6" s="209" t="s">
        <v>435</v>
      </c>
      <c r="BH6" s="210" t="s">
        <v>313</v>
      </c>
      <c r="BI6" s="211" t="s">
        <v>434</v>
      </c>
      <c r="BJ6" s="3743" t="s">
        <v>238</v>
      </c>
      <c r="BK6" s="3744"/>
      <c r="BL6" s="199"/>
      <c r="BM6" s="207" t="s">
        <v>231</v>
      </c>
      <c r="BN6" s="208" t="s">
        <v>232</v>
      </c>
      <c r="BO6" s="210" t="s">
        <v>435</v>
      </c>
      <c r="BP6" s="210" t="s">
        <v>313</v>
      </c>
      <c r="BQ6" s="210" t="s">
        <v>434</v>
      </c>
      <c r="BR6" s="3756" t="s">
        <v>239</v>
      </c>
      <c r="BS6" s="3744"/>
      <c r="BT6" s="199"/>
      <c r="BU6" s="207" t="s">
        <v>231</v>
      </c>
      <c r="BV6" s="208" t="s">
        <v>232</v>
      </c>
      <c r="BW6" s="210" t="s">
        <v>435</v>
      </c>
      <c r="BX6" s="210" t="s">
        <v>313</v>
      </c>
      <c r="BY6" s="210" t="s">
        <v>434</v>
      </c>
      <c r="BZ6" s="3743" t="s">
        <v>240</v>
      </c>
      <c r="CA6" s="3744"/>
      <c r="CB6" s="199"/>
      <c r="CC6" s="1451" t="s">
        <v>231</v>
      </c>
      <c r="CD6" s="1452" t="s">
        <v>232</v>
      </c>
      <c r="CE6" s="1453" t="s">
        <v>435</v>
      </c>
      <c r="CF6" s="1453" t="s">
        <v>313</v>
      </c>
      <c r="CG6" s="1453" t="s">
        <v>434</v>
      </c>
      <c r="CH6" s="3740" t="s">
        <v>496</v>
      </c>
      <c r="CI6" s="3741"/>
      <c r="CJ6" s="199"/>
      <c r="CK6" s="1451" t="s">
        <v>231</v>
      </c>
      <c r="CL6" s="1452" t="s">
        <v>232</v>
      </c>
      <c r="CM6" s="1453" t="s">
        <v>435</v>
      </c>
      <c r="CN6" s="1453" t="s">
        <v>313</v>
      </c>
      <c r="CO6" s="1453" t="s">
        <v>434</v>
      </c>
      <c r="CP6" s="3740" t="s">
        <v>497</v>
      </c>
      <c r="CQ6" s="3741"/>
      <c r="CR6" s="199"/>
      <c r="CS6" s="1451" t="s">
        <v>231</v>
      </c>
      <c r="CT6" s="1452" t="s">
        <v>232</v>
      </c>
      <c r="CU6" s="1453" t="s">
        <v>435</v>
      </c>
      <c r="CV6" s="1453" t="s">
        <v>313</v>
      </c>
      <c r="CW6" s="1453" t="s">
        <v>434</v>
      </c>
      <c r="CX6" s="3740" t="s">
        <v>498</v>
      </c>
      <c r="CY6" s="3741"/>
      <c r="CZ6" s="199"/>
      <c r="DA6" s="1541" t="s">
        <v>231</v>
      </c>
      <c r="DB6" s="1542" t="s">
        <v>232</v>
      </c>
      <c r="DC6" s="1543" t="s">
        <v>435</v>
      </c>
      <c r="DD6" s="1543" t="s">
        <v>313</v>
      </c>
      <c r="DE6" s="1543" t="s">
        <v>434</v>
      </c>
      <c r="DF6" s="3748" t="s">
        <v>526</v>
      </c>
      <c r="DG6" s="3749"/>
      <c r="DH6" s="199"/>
      <c r="DI6" s="1541" t="s">
        <v>231</v>
      </c>
      <c r="DJ6" s="1542" t="s">
        <v>232</v>
      </c>
      <c r="DK6" s="1543" t="s">
        <v>435</v>
      </c>
      <c r="DL6" s="1543" t="s">
        <v>313</v>
      </c>
      <c r="DM6" s="1543" t="s">
        <v>434</v>
      </c>
      <c r="DN6" s="3748" t="s">
        <v>546</v>
      </c>
      <c r="DO6" s="3749"/>
      <c r="DP6" s="199"/>
      <c r="DQ6" s="194"/>
      <c r="DR6" s="194"/>
      <c r="DS6" s="212" t="s">
        <v>280</v>
      </c>
      <c r="DT6" s="212" t="s">
        <v>281</v>
      </c>
      <c r="DU6" s="213" t="s">
        <v>295</v>
      </c>
      <c r="DV6" s="213" t="s">
        <v>282</v>
      </c>
      <c r="DW6" s="214" t="s">
        <v>283</v>
      </c>
      <c r="DX6" s="215" t="s">
        <v>284</v>
      </c>
      <c r="DY6" s="215" t="s">
        <v>285</v>
      </c>
      <c r="DZ6" s="215" t="s">
        <v>286</v>
      </c>
      <c r="EA6" s="216" t="s">
        <v>287</v>
      </c>
      <c r="EB6" s="216" t="s">
        <v>277</v>
      </c>
      <c r="EC6" s="215" t="s">
        <v>288</v>
      </c>
      <c r="ED6" s="215" t="s">
        <v>289</v>
      </c>
      <c r="EE6" s="215" t="s">
        <v>290</v>
      </c>
      <c r="EF6" s="194"/>
      <c r="EG6" s="194"/>
      <c r="EH6" s="194"/>
      <c r="EI6" s="194"/>
      <c r="EJ6" s="194"/>
      <c r="EK6" s="194"/>
      <c r="EL6" s="194"/>
      <c r="EM6" s="194"/>
      <c r="EN6" s="194"/>
      <c r="EO6" s="194"/>
      <c r="EP6" s="194"/>
      <c r="EQ6" s="194"/>
      <c r="ER6" s="194"/>
      <c r="ES6" s="194"/>
      <c r="ET6" s="194"/>
      <c r="EU6" s="194"/>
      <c r="EV6" s="194"/>
      <c r="EW6" s="194"/>
      <c r="EX6" s="194"/>
      <c r="EY6" s="194"/>
      <c r="EZ6" s="194"/>
    </row>
    <row r="7" spans="1:156" ht="15.75" x14ac:dyDescent="0.25">
      <c r="A7" s="217"/>
      <c r="B7" s="218"/>
      <c r="C7" s="219"/>
      <c r="D7" s="220"/>
      <c r="E7" s="221"/>
      <c r="P7" s="3758"/>
      <c r="S7" s="186"/>
      <c r="T7" s="186"/>
      <c r="U7" s="186"/>
      <c r="V7" s="186"/>
      <c r="W7" s="186"/>
      <c r="X7" s="222"/>
      <c r="AF7" s="222"/>
      <c r="AG7" s="174"/>
      <c r="AH7" s="174"/>
      <c r="AN7" s="222"/>
      <c r="AO7" s="174"/>
      <c r="AP7" s="174"/>
      <c r="AV7" s="222"/>
      <c r="AW7" s="174"/>
      <c r="AX7" s="174"/>
      <c r="BD7" s="222"/>
      <c r="BE7" s="174"/>
      <c r="BF7" s="174"/>
      <c r="BL7" s="222"/>
      <c r="BM7" s="174"/>
      <c r="BN7" s="174"/>
      <c r="BT7" s="222"/>
      <c r="BU7" s="174"/>
      <c r="BV7" s="174"/>
      <c r="CB7" s="222"/>
      <c r="CC7" s="174"/>
      <c r="CD7" s="174"/>
      <c r="CJ7" s="222"/>
      <c r="CK7" s="174"/>
      <c r="CL7" s="174"/>
      <c r="CR7" s="222"/>
      <c r="CS7" s="174"/>
      <c r="CT7" s="174"/>
      <c r="CZ7" s="222"/>
      <c r="DA7" s="174"/>
      <c r="DB7" s="174"/>
      <c r="DH7" s="222"/>
      <c r="DI7" s="174"/>
      <c r="DJ7" s="174"/>
      <c r="DP7" s="222"/>
      <c r="DU7" s="223"/>
      <c r="DV7" s="223"/>
      <c r="DW7" s="223"/>
    </row>
    <row r="8" spans="1:156" s="230" customFormat="1" ht="15" customHeight="1" thickBot="1" x14ac:dyDescent="0.25">
      <c r="A8" s="224"/>
      <c r="B8" s="225" t="s">
        <v>305</v>
      </c>
      <c r="C8" s="226" t="s">
        <v>303</v>
      </c>
      <c r="D8" s="227" t="s">
        <v>304</v>
      </c>
      <c r="E8" s="228" t="s">
        <v>241</v>
      </c>
      <c r="F8" s="229"/>
      <c r="G8" s="229"/>
      <c r="H8" s="229"/>
      <c r="I8" s="229"/>
      <c r="J8" s="229"/>
      <c r="K8" s="229"/>
      <c r="L8" s="229"/>
      <c r="P8" s="3758"/>
      <c r="S8" s="231" t="s">
        <v>242</v>
      </c>
      <c r="T8" s="232"/>
      <c r="U8" s="233"/>
      <c r="V8" s="234" t="s">
        <v>243</v>
      </c>
      <c r="W8" s="235" t="s">
        <v>244</v>
      </c>
      <c r="X8" s="222"/>
      <c r="Y8" s="236"/>
      <c r="Z8" s="236"/>
      <c r="AA8" s="231" t="s">
        <v>242</v>
      </c>
      <c r="AB8" s="237"/>
      <c r="AC8" s="237"/>
      <c r="AD8" s="231" t="s">
        <v>243</v>
      </c>
      <c r="AE8" s="235" t="s">
        <v>244</v>
      </c>
      <c r="AF8" s="222"/>
      <c r="AG8" s="236"/>
      <c r="AH8" s="236"/>
      <c r="AI8" s="231" t="s">
        <v>242</v>
      </c>
      <c r="AJ8" s="231"/>
      <c r="AK8" s="231"/>
      <c r="AL8" s="231" t="s">
        <v>243</v>
      </c>
      <c r="AM8" s="235" t="s">
        <v>244</v>
      </c>
      <c r="AN8" s="222"/>
      <c r="AO8" s="236"/>
      <c r="AP8" s="236"/>
      <c r="AQ8" s="238" t="s">
        <v>242</v>
      </c>
      <c r="AR8" s="239"/>
      <c r="AS8" s="239"/>
      <c r="AT8" s="238" t="s">
        <v>243</v>
      </c>
      <c r="AU8" s="235" t="s">
        <v>244</v>
      </c>
      <c r="AV8" s="222"/>
      <c r="AW8" s="236"/>
      <c r="AX8" s="236"/>
      <c r="AY8" s="231" t="s">
        <v>242</v>
      </c>
      <c r="AZ8" s="240"/>
      <c r="BA8" s="241"/>
      <c r="BB8" s="231" t="s">
        <v>243</v>
      </c>
      <c r="BC8" s="235" t="s">
        <v>244</v>
      </c>
      <c r="BD8" s="222"/>
      <c r="BE8" s="236"/>
      <c r="BF8" s="236"/>
      <c r="BG8" s="231" t="s">
        <v>242</v>
      </c>
      <c r="BH8" s="240"/>
      <c r="BI8" s="241"/>
      <c r="BJ8" s="231" t="s">
        <v>243</v>
      </c>
      <c r="BK8" s="235" t="s">
        <v>244</v>
      </c>
      <c r="BL8" s="222"/>
      <c r="BM8" s="236"/>
      <c r="BN8" s="236"/>
      <c r="BO8" s="231" t="s">
        <v>242</v>
      </c>
      <c r="BP8" s="240"/>
      <c r="BQ8" s="241"/>
      <c r="BR8" s="231" t="s">
        <v>243</v>
      </c>
      <c r="BS8" s="235" t="s">
        <v>244</v>
      </c>
      <c r="BT8" s="222"/>
      <c r="BU8" s="236"/>
      <c r="BV8" s="236"/>
      <c r="BW8" s="231" t="s">
        <v>242</v>
      </c>
      <c r="BX8" s="240"/>
      <c r="BY8" s="241"/>
      <c r="BZ8" s="231" t="s">
        <v>243</v>
      </c>
      <c r="CA8" s="235" t="s">
        <v>244</v>
      </c>
      <c r="CB8" s="222"/>
      <c r="CC8" s="236"/>
      <c r="CD8" s="236"/>
      <c r="CE8" s="231" t="s">
        <v>242</v>
      </c>
      <c r="CF8" s="240"/>
      <c r="CG8" s="241"/>
      <c r="CH8" s="231" t="s">
        <v>243</v>
      </c>
      <c r="CI8" s="235" t="s">
        <v>244</v>
      </c>
      <c r="CJ8" s="222"/>
      <c r="CK8" s="236"/>
      <c r="CL8" s="236"/>
      <c r="CM8" s="231" t="s">
        <v>242</v>
      </c>
      <c r="CN8" s="240"/>
      <c r="CO8" s="241"/>
      <c r="CP8" s="231" t="s">
        <v>243</v>
      </c>
      <c r="CQ8" s="235" t="s">
        <v>244</v>
      </c>
      <c r="CR8" s="222"/>
      <c r="CS8" s="236"/>
      <c r="CT8" s="236"/>
      <c r="CU8" s="231" t="s">
        <v>242</v>
      </c>
      <c r="CV8" s="240"/>
      <c r="CW8" s="241"/>
      <c r="CX8" s="231" t="s">
        <v>243</v>
      </c>
      <c r="CY8" s="235" t="s">
        <v>244</v>
      </c>
      <c r="CZ8" s="222"/>
      <c r="DA8" s="236"/>
      <c r="DB8" s="236"/>
      <c r="DC8" s="231" t="s">
        <v>242</v>
      </c>
      <c r="DD8" s="240"/>
      <c r="DE8" s="241"/>
      <c r="DF8" s="231" t="s">
        <v>243</v>
      </c>
      <c r="DG8" s="235" t="s">
        <v>244</v>
      </c>
      <c r="DH8" s="222"/>
      <c r="DI8" s="236"/>
      <c r="DJ8" s="236"/>
      <c r="DK8" s="231" t="s">
        <v>242</v>
      </c>
      <c r="DL8" s="240"/>
      <c r="DM8" s="241"/>
      <c r="DN8" s="231" t="s">
        <v>243</v>
      </c>
      <c r="DO8" s="235" t="s">
        <v>244</v>
      </c>
      <c r="DP8" s="222"/>
      <c r="DQ8" s="242"/>
      <c r="DR8" s="242"/>
      <c r="DS8" s="242"/>
      <c r="DT8" s="242"/>
      <c r="DU8" s="243"/>
      <c r="DV8" s="243"/>
      <c r="DW8" s="243"/>
      <c r="DX8" s="244"/>
      <c r="DY8" s="244"/>
      <c r="DZ8" s="244"/>
      <c r="EA8" s="245"/>
      <c r="EB8" s="245"/>
      <c r="EC8" s="244"/>
      <c r="ED8" s="244"/>
      <c r="EE8" s="244"/>
      <c r="EF8" s="242"/>
      <c r="EG8" s="242"/>
      <c r="EH8" s="242"/>
      <c r="EI8" s="242"/>
      <c r="EJ8" s="242"/>
      <c r="EK8" s="242"/>
      <c r="EL8" s="242"/>
      <c r="EM8" s="242"/>
      <c r="EN8" s="242"/>
      <c r="EO8" s="242"/>
      <c r="EP8" s="242"/>
      <c r="EQ8" s="242"/>
      <c r="ER8" s="242"/>
      <c r="ES8" s="242"/>
      <c r="ET8" s="242"/>
      <c r="EU8" s="242"/>
      <c r="EV8" s="242"/>
      <c r="EW8" s="242"/>
      <c r="EX8" s="242"/>
      <c r="EY8" s="242"/>
      <c r="EZ8" s="242"/>
    </row>
    <row r="9" spans="1:156" x14ac:dyDescent="0.2">
      <c r="A9" s="246" t="s">
        <v>299</v>
      </c>
      <c r="B9" s="247">
        <v>2</v>
      </c>
      <c r="C9" s="248">
        <v>160.35</v>
      </c>
      <c r="D9" s="249">
        <f>E9/C9</f>
        <v>6937.1417524165881</v>
      </c>
      <c r="E9" s="250">
        <v>1112370.68</v>
      </c>
      <c r="G9" s="106">
        <f>264273.86</f>
        <v>264273.86</v>
      </c>
      <c r="H9" s="106">
        <v>0</v>
      </c>
      <c r="I9" s="106">
        <f>SUM(G9:H9)</f>
        <v>264273.86</v>
      </c>
      <c r="J9" s="106">
        <v>0</v>
      </c>
      <c r="K9" s="106">
        <v>0</v>
      </c>
      <c r="L9" s="106">
        <f>SUM(J9:K9)</f>
        <v>0</v>
      </c>
      <c r="M9" s="106">
        <f t="shared" ref="M9:O11" si="0">G9+J9</f>
        <v>264273.86</v>
      </c>
      <c r="N9" s="106">
        <f t="shared" si="0"/>
        <v>0</v>
      </c>
      <c r="O9" s="106">
        <f t="shared" si="0"/>
        <v>264273.86</v>
      </c>
      <c r="P9" s="3758"/>
      <c r="Q9" s="251">
        <v>1</v>
      </c>
      <c r="R9" s="252">
        <f>IF(B9&gt;Q9,B9-Q9,0)</f>
        <v>1</v>
      </c>
      <c r="S9" s="253">
        <v>0</v>
      </c>
      <c r="T9" s="254">
        <v>168818.4</v>
      </c>
      <c r="U9" s="254">
        <v>94903.5</v>
      </c>
      <c r="V9" s="253">
        <v>263721.90000000002</v>
      </c>
      <c r="W9" s="255">
        <f>SUM(S9:V9)</f>
        <v>527443.80000000005</v>
      </c>
      <c r="X9" s="222"/>
      <c r="Y9" s="256">
        <v>0</v>
      </c>
      <c r="Z9" s="252">
        <f>IF(R9&gt;Y9,R9-Y9,0)</f>
        <v>1</v>
      </c>
      <c r="AA9" s="253">
        <v>0</v>
      </c>
      <c r="AB9" s="253">
        <v>0</v>
      </c>
      <c r="AC9" s="253">
        <v>0</v>
      </c>
      <c r="AD9" s="253">
        <v>0</v>
      </c>
      <c r="AE9" s="255">
        <f>AA9+AD9</f>
        <v>0</v>
      </c>
      <c r="AF9" s="222"/>
      <c r="AG9" s="256">
        <v>0</v>
      </c>
      <c r="AH9" s="252">
        <f>IF(Z9&gt;AG9,Z9-AG9,0)</f>
        <v>1</v>
      </c>
      <c r="AI9" s="253">
        <v>0</v>
      </c>
      <c r="AJ9" s="253">
        <v>0</v>
      </c>
      <c r="AK9" s="253">
        <v>0</v>
      </c>
      <c r="AL9" s="253">
        <v>0</v>
      </c>
      <c r="AM9" s="255">
        <f>AI9+AL9</f>
        <v>0</v>
      </c>
      <c r="AN9" s="222"/>
      <c r="AO9" s="256">
        <v>1</v>
      </c>
      <c r="AP9" s="252">
        <f>IF(AH9&gt;AO9,AH9-AO9,0)</f>
        <v>0</v>
      </c>
      <c r="AQ9" s="253">
        <v>0</v>
      </c>
      <c r="AR9" s="257">
        <v>123591.43</v>
      </c>
      <c r="AS9" s="257">
        <v>69478.559999999998</v>
      </c>
      <c r="AT9" s="253">
        <v>193069.99</v>
      </c>
      <c r="AU9" s="255">
        <f>AQ9+AT9</f>
        <v>193069.99</v>
      </c>
      <c r="AV9" s="222"/>
      <c r="AW9" s="256">
        <v>0</v>
      </c>
      <c r="AX9" s="252">
        <f>IF(AP9&gt;AW9,AP9-AW9,0)</f>
        <v>0</v>
      </c>
      <c r="AY9" s="253">
        <v>0</v>
      </c>
      <c r="AZ9" s="253">
        <v>0</v>
      </c>
      <c r="BA9" s="253">
        <v>0</v>
      </c>
      <c r="BB9" s="253">
        <v>0</v>
      </c>
      <c r="BC9" s="255">
        <f>SUM(AY9:BB9)</f>
        <v>0</v>
      </c>
      <c r="BD9" s="222"/>
      <c r="BE9" s="256">
        <v>0</v>
      </c>
      <c r="BF9" s="252">
        <f>IF(AX9&gt;BE9,AX9-BE9,0)</f>
        <v>0</v>
      </c>
      <c r="BG9" s="253">
        <v>0</v>
      </c>
      <c r="BH9" s="253">
        <v>0</v>
      </c>
      <c r="BI9" s="253">
        <v>0</v>
      </c>
      <c r="BJ9" s="253">
        <v>0</v>
      </c>
      <c r="BK9" s="255">
        <f>BG9+BJ9</f>
        <v>0</v>
      </c>
      <c r="BL9" s="222"/>
      <c r="BM9" s="256">
        <v>0</v>
      </c>
      <c r="BN9" s="252">
        <f>IF(BF9&gt;BM9,BF9-BM9,0)</f>
        <v>0</v>
      </c>
      <c r="BO9" s="253">
        <v>0</v>
      </c>
      <c r="BP9" s="253">
        <v>0</v>
      </c>
      <c r="BQ9" s="253">
        <v>0</v>
      </c>
      <c r="BR9" s="253">
        <f>SUM(BP9:BQ9)</f>
        <v>0</v>
      </c>
      <c r="BS9" s="255">
        <f>SUM(BO9:BR9)</f>
        <v>0</v>
      </c>
      <c r="BT9" s="222"/>
      <c r="BU9" s="256">
        <v>0</v>
      </c>
      <c r="BV9" s="252">
        <f>IF(BN9&gt;BU9,BN9-BU9,0)</f>
        <v>0</v>
      </c>
      <c r="BW9" s="253"/>
      <c r="BX9" s="253">
        <v>0</v>
      </c>
      <c r="BY9" s="253">
        <v>0</v>
      </c>
      <c r="BZ9" s="253">
        <f>SUM(BX9:BY9)</f>
        <v>0</v>
      </c>
      <c r="CA9" s="255">
        <f>SUM(BW9:BZ9)</f>
        <v>0</v>
      </c>
      <c r="CB9" s="222"/>
      <c r="CC9" s="256"/>
      <c r="CD9" s="252">
        <f>IF(BV9&gt;CC9,BV9-CC9,0)</f>
        <v>0</v>
      </c>
      <c r="CE9" s="253"/>
      <c r="CF9" s="253"/>
      <c r="CG9" s="253"/>
      <c r="CH9" s="253">
        <f>SUM(CF9:CG9)</f>
        <v>0</v>
      </c>
      <c r="CI9" s="255">
        <f>SUM(CE9:CH9)</f>
        <v>0</v>
      </c>
      <c r="CJ9" s="222"/>
      <c r="CK9" s="256">
        <v>0</v>
      </c>
      <c r="CL9" s="252">
        <f>IF(CD9&gt;CK9,CD9-CK9,0)</f>
        <v>0</v>
      </c>
      <c r="CM9" s="253"/>
      <c r="CN9" s="253">
        <v>0</v>
      </c>
      <c r="CO9" s="253">
        <v>0</v>
      </c>
      <c r="CP9" s="253">
        <f>SUM(CN9:CO9)</f>
        <v>0</v>
      </c>
      <c r="CQ9" s="255">
        <f>SUM(CM9:CP9)</f>
        <v>0</v>
      </c>
      <c r="CR9" s="222"/>
      <c r="CS9" s="256">
        <v>0</v>
      </c>
      <c r="CT9" s="252">
        <f>IF(CL9&gt;CS9,CL9-CS9,0)</f>
        <v>0</v>
      </c>
      <c r="CU9" s="253">
        <v>0</v>
      </c>
      <c r="CV9" s="253">
        <v>0</v>
      </c>
      <c r="CW9" s="253">
        <v>0</v>
      </c>
      <c r="CX9" s="253">
        <f>SUM(CV9:CW9)</f>
        <v>0</v>
      </c>
      <c r="CY9" s="255">
        <f>SUM(CU9:CX9)</f>
        <v>0</v>
      </c>
      <c r="CZ9" s="222"/>
      <c r="DA9" s="256">
        <v>0</v>
      </c>
      <c r="DB9" s="252">
        <f>IF(CT9&gt;DA9,CT9-DA9,0)</f>
        <v>0</v>
      </c>
      <c r="DC9" s="253">
        <v>0</v>
      </c>
      <c r="DD9" s="253">
        <v>0</v>
      </c>
      <c r="DE9" s="253">
        <v>0</v>
      </c>
      <c r="DF9" s="253">
        <f>SUM(DD9:DE9)</f>
        <v>0</v>
      </c>
      <c r="DG9" s="255">
        <f>SUM(DC9:DF9)</f>
        <v>0</v>
      </c>
      <c r="DH9" s="222"/>
      <c r="DI9" s="1762">
        <f>Q9+Y9+AG9+AO9+AW9+BE9+BM9+BU9+CC9+CK9+CS9+DA9</f>
        <v>2</v>
      </c>
      <c r="DJ9" s="1766">
        <f>IF(DB9&gt;DI9,DB9-DI9,0)</f>
        <v>0</v>
      </c>
      <c r="DK9" s="387">
        <f>S9+AA9+AI9+AQ9+AY9+BG9+BO9+BW9+CE9+CM9+CU9+DC9</f>
        <v>0</v>
      </c>
      <c r="DL9" s="387">
        <f t="shared" ref="DL9:DM11" si="1">T9+AB9+AJ9+AR9+AZ9+BH9+BP9+BX9+CF9+CN9+CV9+DD9</f>
        <v>292409.82999999996</v>
      </c>
      <c r="DM9" s="1768">
        <f t="shared" si="1"/>
        <v>164382.06</v>
      </c>
      <c r="DN9" s="253">
        <f>SUM(DL9:DM9)</f>
        <v>456791.88999999996</v>
      </c>
      <c r="DO9" s="255">
        <f>SUM(DK9:DN9)</f>
        <v>913583.77999999991</v>
      </c>
      <c r="DP9" s="222"/>
      <c r="DS9" s="258">
        <v>254.63</v>
      </c>
      <c r="DT9" s="259">
        <v>7.432779</v>
      </c>
      <c r="DU9" s="176">
        <f>DS9*C9*DT9</f>
        <v>303479.77566406952</v>
      </c>
      <c r="DV9" s="176">
        <f>EC9+EE9</f>
        <v>950436.74269999994</v>
      </c>
      <c r="DW9" s="176">
        <f>DV9-DU9</f>
        <v>646956.96703593037</v>
      </c>
      <c r="DX9" s="177">
        <v>136.47</v>
      </c>
      <c r="DY9" s="177">
        <v>70.48</v>
      </c>
      <c r="DZ9" s="177">
        <f>E9</f>
        <v>1112370.68</v>
      </c>
      <c r="EA9" s="178">
        <f>SUM(EC9:EE9)</f>
        <v>1112370.68</v>
      </c>
      <c r="EB9" s="178">
        <f>DZ9-EA9</f>
        <v>0</v>
      </c>
      <c r="EC9" s="177">
        <f>E9-ED9-EE9</f>
        <v>866805.87949999992</v>
      </c>
      <c r="ED9" s="177">
        <f>DX9*C9*7.4</f>
        <v>161933.93729999999</v>
      </c>
      <c r="EE9" s="177">
        <f>DY9*C9*7.4</f>
        <v>83630.863200000007</v>
      </c>
    </row>
    <row r="10" spans="1:156" x14ac:dyDescent="0.2">
      <c r="A10" s="260" t="s">
        <v>255</v>
      </c>
      <c r="B10" s="261">
        <v>4</v>
      </c>
      <c r="C10" s="262">
        <v>283.45999999999998</v>
      </c>
      <c r="D10" s="263">
        <f>E10/C10</f>
        <v>6593.6688421646804</v>
      </c>
      <c r="E10" s="264">
        <v>1869041.37</v>
      </c>
      <c r="G10" s="106">
        <f>291251.39+163482.81+296897.98</f>
        <v>751632.17999999993</v>
      </c>
      <c r="H10" s="106">
        <v>0</v>
      </c>
      <c r="I10" s="106">
        <f>SUM(G10:H10)</f>
        <v>751632.17999999993</v>
      </c>
      <c r="J10" s="106">
        <f>294711.53+8880</f>
        <v>303591.53000000003</v>
      </c>
      <c r="K10" s="106">
        <v>0</v>
      </c>
      <c r="L10" s="106">
        <f>SUM(J10:K10)</f>
        <v>303591.53000000003</v>
      </c>
      <c r="M10" s="106">
        <f t="shared" si="0"/>
        <v>1055223.71</v>
      </c>
      <c r="N10" s="106">
        <f t="shared" si="0"/>
        <v>0</v>
      </c>
      <c r="O10" s="106">
        <f t="shared" si="0"/>
        <v>1055223.71</v>
      </c>
      <c r="P10" s="3758"/>
      <c r="Q10" s="265">
        <v>3</v>
      </c>
      <c r="R10" s="266">
        <f>IF(B10&gt;Q10,B10-Q10,0)</f>
        <v>1</v>
      </c>
      <c r="S10" s="267">
        <v>0</v>
      </c>
      <c r="T10" s="267">
        <f>89150.35+52713.37+100684.79</f>
        <v>242548.51</v>
      </c>
      <c r="U10" s="267">
        <f>114957.31+63266.9+120842.46</f>
        <v>299066.67</v>
      </c>
      <c r="V10" s="267">
        <v>541615.18999999994</v>
      </c>
      <c r="W10" s="268">
        <f>SUM(S10:V10)</f>
        <v>1083230.3699999999</v>
      </c>
      <c r="X10" s="222"/>
      <c r="Y10" s="269">
        <v>1</v>
      </c>
      <c r="Z10" s="266">
        <f>IF(R10&gt;Y10,R10-Y10,0)</f>
        <v>0</v>
      </c>
      <c r="AA10" s="267">
        <v>0</v>
      </c>
      <c r="AB10" s="267">
        <v>104061.91</v>
      </c>
      <c r="AC10" s="267">
        <v>124888.57</v>
      </c>
      <c r="AD10" s="267">
        <v>228950.48</v>
      </c>
      <c r="AE10" s="268">
        <f>AA10+AD10</f>
        <v>228950.48</v>
      </c>
      <c r="AF10" s="222"/>
      <c r="AG10" s="269">
        <v>0</v>
      </c>
      <c r="AH10" s="266">
        <f>IF(Z10&gt;AG10,Z10-AG10,0)</f>
        <v>0</v>
      </c>
      <c r="AI10" s="267">
        <v>0</v>
      </c>
      <c r="AJ10" s="267">
        <v>0</v>
      </c>
      <c r="AK10" s="267">
        <v>0</v>
      </c>
      <c r="AL10" s="267">
        <v>0</v>
      </c>
      <c r="AM10" s="268">
        <f>AI10+AL10</f>
        <v>0</v>
      </c>
      <c r="AN10" s="222"/>
      <c r="AO10" s="269">
        <v>0</v>
      </c>
      <c r="AP10" s="266">
        <f>IF(AH10&gt;AO10,AH10-AO10,0)</f>
        <v>0</v>
      </c>
      <c r="AQ10" s="267">
        <v>0</v>
      </c>
      <c r="AR10" s="267">
        <v>0</v>
      </c>
      <c r="AS10" s="267">
        <v>0</v>
      </c>
      <c r="AT10" s="267">
        <v>0</v>
      </c>
      <c r="AU10" s="268">
        <f>AQ10+AT10</f>
        <v>0</v>
      </c>
      <c r="AV10" s="222"/>
      <c r="AW10" s="269">
        <v>0</v>
      </c>
      <c r="AX10" s="266">
        <f>IF(AP10&gt;AW10,AP10-AW10,0)</f>
        <v>0</v>
      </c>
      <c r="AY10" s="267">
        <v>0</v>
      </c>
      <c r="AZ10" s="267">
        <v>0</v>
      </c>
      <c r="BA10" s="267">
        <v>0</v>
      </c>
      <c r="BB10" s="267">
        <v>0</v>
      </c>
      <c r="BC10" s="268">
        <f>SUM(AY10:BB10)</f>
        <v>0</v>
      </c>
      <c r="BD10" s="222"/>
      <c r="BE10" s="269">
        <v>0</v>
      </c>
      <c r="BF10" s="266">
        <f>IF(AX10&gt;BE10,AX10-BE10,0)</f>
        <v>0</v>
      </c>
      <c r="BG10" s="267">
        <v>0</v>
      </c>
      <c r="BH10" s="267">
        <v>0</v>
      </c>
      <c r="BI10" s="267">
        <v>0</v>
      </c>
      <c r="BJ10" s="267">
        <v>0</v>
      </c>
      <c r="BK10" s="268">
        <f>BG10+BJ10</f>
        <v>0</v>
      </c>
      <c r="BL10" s="222"/>
      <c r="BM10" s="269">
        <v>0</v>
      </c>
      <c r="BN10" s="266">
        <f>IF(BF10&gt;BM10,BF10-BM10,0)</f>
        <v>0</v>
      </c>
      <c r="BO10" s="267">
        <v>0</v>
      </c>
      <c r="BP10" s="267">
        <v>0</v>
      </c>
      <c r="BQ10" s="267">
        <v>0</v>
      </c>
      <c r="BR10" s="267">
        <f>SUM(BP10:BQ10)</f>
        <v>0</v>
      </c>
      <c r="BS10" s="268">
        <f>SUM(BO10:BR10)</f>
        <v>0</v>
      </c>
      <c r="BT10" s="222"/>
      <c r="BU10" s="269">
        <v>0</v>
      </c>
      <c r="BV10" s="266">
        <f>IF(BN10&gt;BU10,BN10-BU10,0)</f>
        <v>0</v>
      </c>
      <c r="BW10" s="267"/>
      <c r="BX10" s="267">
        <v>0</v>
      </c>
      <c r="BY10" s="267">
        <v>0</v>
      </c>
      <c r="BZ10" s="267">
        <f>SUM(BX10:BY10)</f>
        <v>0</v>
      </c>
      <c r="CA10" s="268">
        <f>SUM(BW10:BZ10)</f>
        <v>0</v>
      </c>
      <c r="CB10" s="222"/>
      <c r="CC10" s="269"/>
      <c r="CD10" s="266">
        <f>IF(BV10&gt;CC10,BV10-CC10,0)</f>
        <v>0</v>
      </c>
      <c r="CE10" s="267"/>
      <c r="CF10" s="267"/>
      <c r="CG10" s="267"/>
      <c r="CH10" s="267">
        <f>SUM(CF10:CG10)</f>
        <v>0</v>
      </c>
      <c r="CI10" s="268">
        <f>SUM(CE10:CH10)</f>
        <v>0</v>
      </c>
      <c r="CJ10" s="222"/>
      <c r="CK10" s="269">
        <v>0</v>
      </c>
      <c r="CL10" s="266">
        <f>IF(CD10&gt;CK10,CD10-CK10,0)</f>
        <v>0</v>
      </c>
      <c r="CM10" s="267"/>
      <c r="CN10" s="267">
        <v>0</v>
      </c>
      <c r="CO10" s="267">
        <v>0</v>
      </c>
      <c r="CP10" s="267">
        <f>SUM(CN10:CO10)</f>
        <v>0</v>
      </c>
      <c r="CQ10" s="268">
        <f>SUM(CM10:CP10)</f>
        <v>0</v>
      </c>
      <c r="CR10" s="222"/>
      <c r="CS10" s="269">
        <v>0</v>
      </c>
      <c r="CT10" s="266">
        <f>IF(CL10&gt;CS10,CL10-CS10,0)</f>
        <v>0</v>
      </c>
      <c r="CU10" s="267">
        <v>0</v>
      </c>
      <c r="CV10" s="267">
        <v>0</v>
      </c>
      <c r="CW10" s="267">
        <v>0</v>
      </c>
      <c r="CX10" s="267">
        <f>SUM(CV10:CW10)</f>
        <v>0</v>
      </c>
      <c r="CY10" s="268">
        <f>SUM(CU10:CX10)</f>
        <v>0</v>
      </c>
      <c r="CZ10" s="222"/>
      <c r="DA10" s="269">
        <v>0</v>
      </c>
      <c r="DB10" s="266">
        <f>IF(CT10&gt;DA10,CT10-DA10,0)</f>
        <v>0</v>
      </c>
      <c r="DC10" s="267">
        <v>0</v>
      </c>
      <c r="DD10" s="267">
        <v>0</v>
      </c>
      <c r="DE10" s="267">
        <v>0</v>
      </c>
      <c r="DF10" s="267">
        <f>SUM(DD10:DE10)</f>
        <v>0</v>
      </c>
      <c r="DG10" s="268">
        <f>SUM(DC10:DF10)</f>
        <v>0</v>
      </c>
      <c r="DH10" s="222"/>
      <c r="DI10" s="269">
        <f t="shared" ref="DI10:DK11" si="2">Q10+Y10+AG10+AO10+AW10+BE10+BM10+BU10+CC10+CK10+CS10+DA10</f>
        <v>4</v>
      </c>
      <c r="DJ10" s="1767">
        <f>IF(DB10&gt;DI10,DB10-DI10,0)</f>
        <v>0</v>
      </c>
      <c r="DK10" s="267">
        <f t="shared" si="2"/>
        <v>0</v>
      </c>
      <c r="DL10" s="267">
        <f t="shared" si="1"/>
        <v>346610.42000000004</v>
      </c>
      <c r="DM10" s="1769">
        <f t="shared" si="1"/>
        <v>423955.24</v>
      </c>
      <c r="DN10" s="267">
        <f>SUM(DL10:DM10)</f>
        <v>770565.66</v>
      </c>
      <c r="DO10" s="268">
        <f>SUM(DK10:DN10)</f>
        <v>1541131.32</v>
      </c>
      <c r="DP10" s="222"/>
      <c r="DS10" s="258">
        <v>168.85</v>
      </c>
      <c r="DT10" s="259">
        <v>7.2569790000000003</v>
      </c>
      <c r="DU10" s="176">
        <f>DS10*C10*DT10</f>
        <v>347335.13269035902</v>
      </c>
      <c r="DV10" s="176">
        <f>EC10+EE10</f>
        <v>1426509.8541200003</v>
      </c>
      <c r="DW10" s="176">
        <f>DV10-DU10</f>
        <v>1079174.7214296414</v>
      </c>
      <c r="DX10" s="177">
        <v>210.97</v>
      </c>
      <c r="DZ10" s="177">
        <f>E10</f>
        <v>1869041.37</v>
      </c>
      <c r="EA10" s="178">
        <f>SUM(EC10:EE10)</f>
        <v>1869041.37</v>
      </c>
      <c r="EB10" s="178">
        <f>DZ10-EA10</f>
        <v>0</v>
      </c>
      <c r="EC10" s="177">
        <f>E10-ED10-EE10</f>
        <v>1426509.8541200003</v>
      </c>
      <c r="ED10" s="177">
        <f>DX10*C10*7.4</f>
        <v>442531.51587999996</v>
      </c>
      <c r="EE10" s="177">
        <f>DY10*C10*7.4</f>
        <v>0</v>
      </c>
    </row>
    <row r="11" spans="1:156" ht="13.5" thickBot="1" x14ac:dyDescent="0.25">
      <c r="A11" s="270" t="s">
        <v>263</v>
      </c>
      <c r="B11" s="271">
        <v>4</v>
      </c>
      <c r="C11" s="272">
        <v>308.3</v>
      </c>
      <c r="D11" s="273">
        <f>E11/C11</f>
        <v>6203.4940317872197</v>
      </c>
      <c r="E11" s="274">
        <v>1912537.21</v>
      </c>
      <c r="G11" s="106">
        <f>77851.79+219183.56+295610.73+296304.33</f>
        <v>888950.40999999992</v>
      </c>
      <c r="H11" s="106">
        <v>0</v>
      </c>
      <c r="I11" s="106">
        <f>SUM(G11:H11)</f>
        <v>888950.40999999992</v>
      </c>
      <c r="J11" s="106">
        <f>212621.51+75538.03</f>
        <v>288159.54000000004</v>
      </c>
      <c r="K11" s="106">
        <v>0</v>
      </c>
      <c r="L11" s="106">
        <f>J11+K11</f>
        <v>288159.54000000004</v>
      </c>
      <c r="M11" s="106">
        <f t="shared" si="0"/>
        <v>1177109.95</v>
      </c>
      <c r="N11" s="106">
        <f t="shared" si="0"/>
        <v>0</v>
      </c>
      <c r="O11" s="106">
        <f t="shared" si="0"/>
        <v>1177109.95</v>
      </c>
      <c r="P11" s="3758"/>
      <c r="Q11" s="275">
        <v>2</v>
      </c>
      <c r="R11" s="266">
        <f>IF(B11&gt;Q11,B11-Q11,0)</f>
        <v>2</v>
      </c>
      <c r="S11" s="276">
        <v>0</v>
      </c>
      <c r="T11" s="277">
        <f>87336.73+97448.04</f>
        <v>184784.77</v>
      </c>
      <c r="U11" s="277">
        <f>113795.38+116924.29</f>
        <v>230719.66999999998</v>
      </c>
      <c r="V11" s="276">
        <v>415504.43</v>
      </c>
      <c r="W11" s="278">
        <f>SUM(S11:V11)</f>
        <v>831008.86999999988</v>
      </c>
      <c r="X11" s="222"/>
      <c r="Y11" s="279">
        <v>0</v>
      </c>
      <c r="Z11" s="266">
        <f>IF(R11&gt;Y11,R11-Y11,0)</f>
        <v>2</v>
      </c>
      <c r="AA11" s="276">
        <v>0</v>
      </c>
      <c r="AB11" s="276">
        <v>0</v>
      </c>
      <c r="AC11" s="276">
        <v>0</v>
      </c>
      <c r="AD11" s="276">
        <v>0</v>
      </c>
      <c r="AE11" s="268">
        <f>AA11+AD11</f>
        <v>0</v>
      </c>
      <c r="AF11" s="222"/>
      <c r="AG11" s="279">
        <v>1</v>
      </c>
      <c r="AH11" s="266">
        <f>IF(Z11&gt;AG11,Z11-AG11,0)</f>
        <v>1</v>
      </c>
      <c r="AI11" s="276">
        <v>0</v>
      </c>
      <c r="AJ11" s="276">
        <v>97437.77</v>
      </c>
      <c r="AK11" s="276">
        <v>116911.96</v>
      </c>
      <c r="AL11" s="276">
        <v>214349.73</v>
      </c>
      <c r="AM11" s="268">
        <f>AI11+AL11</f>
        <v>214349.73</v>
      </c>
      <c r="AN11" s="222"/>
      <c r="AO11" s="279">
        <v>0</v>
      </c>
      <c r="AP11" s="266">
        <f>IF(AH11&gt;AO11,AH11-AO11,0)</f>
        <v>1</v>
      </c>
      <c r="AQ11" s="276">
        <v>0</v>
      </c>
      <c r="AR11" s="276">
        <v>0</v>
      </c>
      <c r="AS11" s="276">
        <v>0</v>
      </c>
      <c r="AT11" s="276">
        <v>0</v>
      </c>
      <c r="AU11" s="278">
        <f>AQ11+AT11</f>
        <v>0</v>
      </c>
      <c r="AV11" s="222"/>
      <c r="AW11" s="279">
        <v>0</v>
      </c>
      <c r="AX11" s="266">
        <f>IF(AP11&gt;AW11,AP11-AW11,0)</f>
        <v>1</v>
      </c>
      <c r="AY11" s="276">
        <v>0</v>
      </c>
      <c r="AZ11" s="276">
        <v>0</v>
      </c>
      <c r="BA11" s="276">
        <v>0</v>
      </c>
      <c r="BB11" s="276">
        <v>0</v>
      </c>
      <c r="BC11" s="278">
        <f>SUM(AY11:BB11)</f>
        <v>0</v>
      </c>
      <c r="BD11" s="222"/>
      <c r="BE11" s="279">
        <v>1</v>
      </c>
      <c r="BF11" s="266">
        <f>IF(AX11&gt;BE11,AX11-BE11,0)</f>
        <v>0</v>
      </c>
      <c r="BG11" s="276">
        <v>0</v>
      </c>
      <c r="BH11" s="276">
        <v>87525.15</v>
      </c>
      <c r="BI11" s="276">
        <v>113915.14</v>
      </c>
      <c r="BJ11" s="276">
        <v>201440.29</v>
      </c>
      <c r="BK11" s="278">
        <f>BG11+BJ11</f>
        <v>201440.29</v>
      </c>
      <c r="BL11" s="222"/>
      <c r="BM11" s="279">
        <v>0</v>
      </c>
      <c r="BN11" s="266">
        <f>IF(BF11&gt;BM11,BF11-BM11,0)</f>
        <v>0</v>
      </c>
      <c r="BO11" s="276">
        <v>0</v>
      </c>
      <c r="BP11" s="276">
        <v>0</v>
      </c>
      <c r="BQ11" s="276">
        <v>0</v>
      </c>
      <c r="BR11" s="276">
        <f>SUM(BP11:BQ11)</f>
        <v>0</v>
      </c>
      <c r="BS11" s="278">
        <f>SUM(BO11:BR11)</f>
        <v>0</v>
      </c>
      <c r="BT11" s="222"/>
      <c r="BU11" s="279">
        <v>0</v>
      </c>
      <c r="BV11" s="266">
        <f>IF(BN11&gt;BU11,BN11-BU11,0)</f>
        <v>0</v>
      </c>
      <c r="BW11" s="276"/>
      <c r="BX11" s="276">
        <v>0</v>
      </c>
      <c r="BY11" s="276">
        <v>0</v>
      </c>
      <c r="BZ11" s="276">
        <f>SUM(BX11:BY11)</f>
        <v>0</v>
      </c>
      <c r="CA11" s="278">
        <f>SUM(BW11:BZ11)</f>
        <v>0</v>
      </c>
      <c r="CB11" s="222"/>
      <c r="CC11" s="279"/>
      <c r="CD11" s="266">
        <f>IF(BV11&gt;CC11,BV11-CC11,0)</f>
        <v>0</v>
      </c>
      <c r="CE11" s="276"/>
      <c r="CF11" s="276"/>
      <c r="CG11" s="276"/>
      <c r="CH11" s="276">
        <f>SUM(CF11:CG11)</f>
        <v>0</v>
      </c>
      <c r="CI11" s="278">
        <f>SUM(CE11:CH11)</f>
        <v>0</v>
      </c>
      <c r="CJ11" s="222"/>
      <c r="CK11" s="279">
        <v>0</v>
      </c>
      <c r="CL11" s="266">
        <f>IF(CD11&gt;CK11,CD11-CK11,0)</f>
        <v>0</v>
      </c>
      <c r="CM11" s="276"/>
      <c r="CN11" s="276">
        <v>0</v>
      </c>
      <c r="CO11" s="276">
        <v>0</v>
      </c>
      <c r="CP11" s="276">
        <f>SUM(CN11:CO11)</f>
        <v>0</v>
      </c>
      <c r="CQ11" s="278">
        <f>SUM(CM11:CP11)</f>
        <v>0</v>
      </c>
      <c r="CR11" s="222"/>
      <c r="CS11" s="279">
        <v>0</v>
      </c>
      <c r="CT11" s="266">
        <f>IF(CL11&gt;CS11,CL11-CS11,0)</f>
        <v>0</v>
      </c>
      <c r="CU11" s="276">
        <v>0</v>
      </c>
      <c r="CV11" s="276">
        <v>0</v>
      </c>
      <c r="CW11" s="276">
        <v>0</v>
      </c>
      <c r="CX11" s="276">
        <f>SUM(CV11:CW11)</f>
        <v>0</v>
      </c>
      <c r="CY11" s="278">
        <f>SUM(CU11:CX11)</f>
        <v>0</v>
      </c>
      <c r="CZ11" s="222"/>
      <c r="DA11" s="279">
        <v>0</v>
      </c>
      <c r="DB11" s="266">
        <f>IF(CT11&gt;DA11,CT11-DA11,0)</f>
        <v>0</v>
      </c>
      <c r="DC11" s="276">
        <v>0</v>
      </c>
      <c r="DD11" s="276">
        <v>0</v>
      </c>
      <c r="DE11" s="276">
        <v>0</v>
      </c>
      <c r="DF11" s="276">
        <f>SUM(DD11:DE11)</f>
        <v>0</v>
      </c>
      <c r="DG11" s="278">
        <f>SUM(DC11:DF11)</f>
        <v>0</v>
      </c>
      <c r="DH11" s="222"/>
      <c r="DI11" s="1761">
        <f t="shared" si="2"/>
        <v>4</v>
      </c>
      <c r="DJ11" s="1767">
        <f>IF(DB11&gt;DI11,DB11-DI11,0)</f>
        <v>0</v>
      </c>
      <c r="DK11" s="1771">
        <f t="shared" si="2"/>
        <v>0</v>
      </c>
      <c r="DL11" s="1771">
        <f>T11+AB11+AJ11+AR11+AZ11+BH11+BP11+BX11+CF11+CN11+CV11+DD11-0.01</f>
        <v>369747.67999999993</v>
      </c>
      <c r="DM11" s="1770">
        <f t="shared" si="1"/>
        <v>461546.77</v>
      </c>
      <c r="DN11" s="276">
        <f>SUM(DL11:DM11)</f>
        <v>831294.45</v>
      </c>
      <c r="DO11" s="278">
        <f>SUM(DK11:DN11)</f>
        <v>1662588.9</v>
      </c>
      <c r="DP11" s="222"/>
      <c r="DS11" s="258">
        <v>167.81</v>
      </c>
      <c r="DT11" s="259">
        <v>7.2569790000000003</v>
      </c>
      <c r="DU11" s="176">
        <f>DS11*C11*DT11</f>
        <v>375445.78105871705</v>
      </c>
      <c r="DV11" s="176">
        <f>EC11+EE11</f>
        <v>1430564.4208</v>
      </c>
      <c r="DW11" s="176">
        <f>DV11-DU11</f>
        <v>1055118.6397412829</v>
      </c>
      <c r="DX11" s="177">
        <v>211.26</v>
      </c>
      <c r="DZ11" s="177">
        <f>E11</f>
        <v>1912537.21</v>
      </c>
      <c r="EA11" s="178">
        <f>SUM(EC11:EE11)</f>
        <v>1912537.21</v>
      </c>
      <c r="EB11" s="178">
        <f>DZ11-EA11</f>
        <v>0</v>
      </c>
      <c r="EC11" s="177">
        <f>E11-ED11-EE11</f>
        <v>1430564.4208</v>
      </c>
      <c r="ED11" s="177">
        <f>DX11*C11*7.4</f>
        <v>481972.7892</v>
      </c>
      <c r="EE11" s="177">
        <f>DY11*C11*7.4</f>
        <v>0</v>
      </c>
    </row>
    <row r="12" spans="1:156" s="100" customFormat="1" ht="13.5" thickBot="1" x14ac:dyDescent="0.25">
      <c r="A12" s="280" t="s">
        <v>296</v>
      </c>
      <c r="B12" s="281">
        <f>SUM(B9:B11)</f>
        <v>10</v>
      </c>
      <c r="C12" s="282">
        <f>SUM(C9:C11)</f>
        <v>752.1099999999999</v>
      </c>
      <c r="D12" s="283">
        <v>6506.9594341253269</v>
      </c>
      <c r="E12" s="284">
        <f>SUM(E9:E11)</f>
        <v>4893949.26</v>
      </c>
      <c r="F12" s="285"/>
      <c r="G12" s="285">
        <f t="shared" ref="G12:W12" si="3">SUM(G9:G11)</f>
        <v>1904856.4499999997</v>
      </c>
      <c r="H12" s="285">
        <f t="shared" si="3"/>
        <v>0</v>
      </c>
      <c r="I12" s="285">
        <f t="shared" si="3"/>
        <v>1904856.4499999997</v>
      </c>
      <c r="J12" s="285">
        <f t="shared" si="3"/>
        <v>591751.07000000007</v>
      </c>
      <c r="K12" s="285">
        <f t="shared" si="3"/>
        <v>0</v>
      </c>
      <c r="L12" s="285">
        <f t="shared" si="3"/>
        <v>591751.07000000007</v>
      </c>
      <c r="M12" s="285">
        <f t="shared" si="3"/>
        <v>2496607.5199999996</v>
      </c>
      <c r="N12" s="285">
        <f t="shared" si="3"/>
        <v>0</v>
      </c>
      <c r="O12" s="285">
        <f t="shared" si="3"/>
        <v>2496607.5199999996</v>
      </c>
      <c r="P12" s="3758"/>
      <c r="Q12" s="286">
        <f t="shared" si="3"/>
        <v>6</v>
      </c>
      <c r="R12" s="287">
        <f t="shared" si="3"/>
        <v>4</v>
      </c>
      <c r="S12" s="288">
        <f t="shared" si="3"/>
        <v>0</v>
      </c>
      <c r="T12" s="288">
        <f>SUM(T9:T11)</f>
        <v>596151.68000000005</v>
      </c>
      <c r="U12" s="288">
        <f>SUM(U9:U11)</f>
        <v>624689.84</v>
      </c>
      <c r="V12" s="288">
        <f t="shared" si="3"/>
        <v>1220841.52</v>
      </c>
      <c r="W12" s="289">
        <f t="shared" si="3"/>
        <v>2441683.04</v>
      </c>
      <c r="X12" s="222"/>
      <c r="Y12" s="286">
        <f>SUM(Y9:Y11)</f>
        <v>1</v>
      </c>
      <c r="Z12" s="287">
        <f>SUM(Z9:Z11)</f>
        <v>3</v>
      </c>
      <c r="AA12" s="290">
        <f>SUM(AA10:AA10)</f>
        <v>0</v>
      </c>
      <c r="AB12" s="290">
        <f>SUM(AB8:AB11)</f>
        <v>104061.91</v>
      </c>
      <c r="AC12" s="290">
        <f>SUM(AC8:AC11)</f>
        <v>124888.57</v>
      </c>
      <c r="AD12" s="290">
        <f>SUM(AD10:AD10)</f>
        <v>228950.48</v>
      </c>
      <c r="AE12" s="291">
        <f>SUM(AE10:AE10)</f>
        <v>228950.48</v>
      </c>
      <c r="AF12" s="222"/>
      <c r="AG12" s="286">
        <f t="shared" ref="AG12:AM12" si="4">SUM(AG9:AG11)</f>
        <v>1</v>
      </c>
      <c r="AH12" s="287">
        <f t="shared" si="4"/>
        <v>2</v>
      </c>
      <c r="AI12" s="290">
        <f t="shared" si="4"/>
        <v>0</v>
      </c>
      <c r="AJ12" s="290">
        <f t="shared" si="4"/>
        <v>97437.77</v>
      </c>
      <c r="AK12" s="290">
        <f t="shared" si="4"/>
        <v>116911.96</v>
      </c>
      <c r="AL12" s="290">
        <f t="shared" si="4"/>
        <v>214349.73</v>
      </c>
      <c r="AM12" s="291">
        <f t="shared" si="4"/>
        <v>214349.73</v>
      </c>
      <c r="AN12" s="222"/>
      <c r="AO12" s="286">
        <f t="shared" ref="AO12:AU12" si="5">SUM(AO9:AO11)</f>
        <v>1</v>
      </c>
      <c r="AP12" s="287">
        <f t="shared" si="5"/>
        <v>1</v>
      </c>
      <c r="AQ12" s="290">
        <f t="shared" si="5"/>
        <v>0</v>
      </c>
      <c r="AR12" s="290">
        <f t="shared" si="5"/>
        <v>123591.43</v>
      </c>
      <c r="AS12" s="290">
        <f t="shared" si="5"/>
        <v>69478.559999999998</v>
      </c>
      <c r="AT12" s="290">
        <f t="shared" si="5"/>
        <v>193069.99</v>
      </c>
      <c r="AU12" s="291">
        <f t="shared" si="5"/>
        <v>193069.99</v>
      </c>
      <c r="AV12" s="222"/>
      <c r="AW12" s="286">
        <f>SUM(AW9:AW11)</f>
        <v>0</v>
      </c>
      <c r="AX12" s="287">
        <f>SUM(AX9:AX11)</f>
        <v>1</v>
      </c>
      <c r="AY12" s="290">
        <f>SUM(AY10:AY10)</f>
        <v>0</v>
      </c>
      <c r="AZ12" s="290">
        <f>SUM(AZ9:AZ11)</f>
        <v>0</v>
      </c>
      <c r="BA12" s="290">
        <f>SUM(BA9:BA11)</f>
        <v>0</v>
      </c>
      <c r="BB12" s="290">
        <f>SUM(BB10:BB10)</f>
        <v>0</v>
      </c>
      <c r="BC12" s="291">
        <f>SUM(BC10:BC10)</f>
        <v>0</v>
      </c>
      <c r="BD12" s="222"/>
      <c r="BE12" s="286">
        <f t="shared" ref="BE12:BK12" si="6">SUM(BE9:BE11)</f>
        <v>1</v>
      </c>
      <c r="BF12" s="287">
        <f t="shared" si="6"/>
        <v>0</v>
      </c>
      <c r="BG12" s="290">
        <f t="shared" si="6"/>
        <v>0</v>
      </c>
      <c r="BH12" s="290">
        <f t="shared" si="6"/>
        <v>87525.15</v>
      </c>
      <c r="BI12" s="290">
        <f t="shared" si="6"/>
        <v>113915.14</v>
      </c>
      <c r="BJ12" s="290">
        <f t="shared" si="6"/>
        <v>201440.29</v>
      </c>
      <c r="BK12" s="291">
        <f t="shared" si="6"/>
        <v>201440.29</v>
      </c>
      <c r="BL12" s="222"/>
      <c r="BM12" s="286">
        <f>SUM(BM9:BM11)</f>
        <v>0</v>
      </c>
      <c r="BN12" s="287">
        <f>SUM(BN9:BN11)</f>
        <v>0</v>
      </c>
      <c r="BO12" s="290">
        <f>SUM(BO10:BO10)</f>
        <v>0</v>
      </c>
      <c r="BP12" s="290">
        <f>SUM(BP10:BP10)</f>
        <v>0</v>
      </c>
      <c r="BQ12" s="290">
        <f>SUM(BQ10:BQ10)</f>
        <v>0</v>
      </c>
      <c r="BR12" s="290">
        <f>SUM(BR10:BR10)</f>
        <v>0</v>
      </c>
      <c r="BS12" s="291">
        <f>SUM(BS10:BS10)</f>
        <v>0</v>
      </c>
      <c r="BT12" s="222"/>
      <c r="BU12" s="286">
        <f t="shared" ref="BU12:CA12" si="7">SUM(BU9:BU11)</f>
        <v>0</v>
      </c>
      <c r="BV12" s="287">
        <f t="shared" si="7"/>
        <v>0</v>
      </c>
      <c r="BW12" s="290">
        <f t="shared" si="7"/>
        <v>0</v>
      </c>
      <c r="BX12" s="290">
        <f t="shared" si="7"/>
        <v>0</v>
      </c>
      <c r="BY12" s="290">
        <f t="shared" si="7"/>
        <v>0</v>
      </c>
      <c r="BZ12" s="290">
        <f t="shared" si="7"/>
        <v>0</v>
      </c>
      <c r="CA12" s="291">
        <f t="shared" si="7"/>
        <v>0</v>
      </c>
      <c r="CB12" s="222"/>
      <c r="CC12" s="286">
        <f t="shared" ref="CC12:CI12" si="8">SUM(CC9:CC11)</f>
        <v>0</v>
      </c>
      <c r="CD12" s="287">
        <f t="shared" si="8"/>
        <v>0</v>
      </c>
      <c r="CE12" s="290">
        <f t="shared" si="8"/>
        <v>0</v>
      </c>
      <c r="CF12" s="290">
        <f t="shared" si="8"/>
        <v>0</v>
      </c>
      <c r="CG12" s="290">
        <f t="shared" si="8"/>
        <v>0</v>
      </c>
      <c r="CH12" s="290">
        <f t="shared" si="8"/>
        <v>0</v>
      </c>
      <c r="CI12" s="291">
        <f t="shared" si="8"/>
        <v>0</v>
      </c>
      <c r="CJ12" s="222"/>
      <c r="CK12" s="286">
        <f t="shared" ref="CK12:CQ12" si="9">SUM(CK9:CK11)</f>
        <v>0</v>
      </c>
      <c r="CL12" s="287">
        <f t="shared" si="9"/>
        <v>0</v>
      </c>
      <c r="CM12" s="290">
        <f t="shared" si="9"/>
        <v>0</v>
      </c>
      <c r="CN12" s="290">
        <f t="shared" si="9"/>
        <v>0</v>
      </c>
      <c r="CO12" s="290">
        <f t="shared" si="9"/>
        <v>0</v>
      </c>
      <c r="CP12" s="290">
        <f t="shared" si="9"/>
        <v>0</v>
      </c>
      <c r="CQ12" s="291">
        <f t="shared" si="9"/>
        <v>0</v>
      </c>
      <c r="CR12" s="222"/>
      <c r="CS12" s="286">
        <f t="shared" ref="CS12:CY12" si="10">SUM(CS9:CS11)</f>
        <v>0</v>
      </c>
      <c r="CT12" s="287">
        <f t="shared" si="10"/>
        <v>0</v>
      </c>
      <c r="CU12" s="290">
        <f t="shared" si="10"/>
        <v>0</v>
      </c>
      <c r="CV12" s="290">
        <f t="shared" si="10"/>
        <v>0</v>
      </c>
      <c r="CW12" s="290">
        <f t="shared" si="10"/>
        <v>0</v>
      </c>
      <c r="CX12" s="290">
        <f t="shared" si="10"/>
        <v>0</v>
      </c>
      <c r="CY12" s="291">
        <f t="shared" si="10"/>
        <v>0</v>
      </c>
      <c r="CZ12" s="222"/>
      <c r="DA12" s="286">
        <f t="shared" ref="DA12:DG12" si="11">SUM(DA9:DA11)</f>
        <v>0</v>
      </c>
      <c r="DB12" s="287">
        <f t="shared" si="11"/>
        <v>0</v>
      </c>
      <c r="DC12" s="290">
        <f t="shared" si="11"/>
        <v>0</v>
      </c>
      <c r="DD12" s="290">
        <f t="shared" si="11"/>
        <v>0</v>
      </c>
      <c r="DE12" s="290">
        <f t="shared" si="11"/>
        <v>0</v>
      </c>
      <c r="DF12" s="290">
        <f t="shared" si="11"/>
        <v>0</v>
      </c>
      <c r="DG12" s="291">
        <f t="shared" si="11"/>
        <v>0</v>
      </c>
      <c r="DH12" s="222"/>
      <c r="DI12" s="286">
        <f t="shared" ref="DI12:DO12" si="12">SUM(DI9:DI11)</f>
        <v>10</v>
      </c>
      <c r="DJ12" s="287">
        <f t="shared" si="12"/>
        <v>0</v>
      </c>
      <c r="DK12" s="290">
        <f t="shared" si="12"/>
        <v>0</v>
      </c>
      <c r="DL12" s="290">
        <f t="shared" si="12"/>
        <v>1008767.9299999999</v>
      </c>
      <c r="DM12" s="290">
        <f t="shared" si="12"/>
        <v>1049884.07</v>
      </c>
      <c r="DN12" s="290">
        <f t="shared" si="12"/>
        <v>2058652</v>
      </c>
      <c r="DO12" s="291">
        <f t="shared" si="12"/>
        <v>4117304</v>
      </c>
      <c r="DP12" s="222"/>
      <c r="DQ12" s="104"/>
      <c r="DR12" s="104"/>
      <c r="DS12" s="292"/>
      <c r="DT12" s="292"/>
      <c r="DU12" s="293">
        <f>SUM(DU9:DU11)</f>
        <v>1026260.6894131457</v>
      </c>
      <c r="DV12" s="293">
        <f>SUM(DV9:DV11)</f>
        <v>3807511.0176200001</v>
      </c>
      <c r="DW12" s="293">
        <f>SUM(DW9:DW11)</f>
        <v>2781250.3282068549</v>
      </c>
      <c r="DX12" s="294"/>
      <c r="DY12" s="294"/>
      <c r="DZ12" s="294">
        <f>E12</f>
        <v>4893949.26</v>
      </c>
      <c r="EA12" s="295">
        <f>SUM(EC12:EE12)</f>
        <v>4893949.26</v>
      </c>
      <c r="EB12" s="295">
        <f>DZ12-EA12</f>
        <v>0</v>
      </c>
      <c r="EC12" s="294">
        <f>SUM(EC9:EC11)</f>
        <v>3723880.15442</v>
      </c>
      <c r="ED12" s="294">
        <f>SUM(ED9:ED11)</f>
        <v>1086438.24238</v>
      </c>
      <c r="EE12" s="294">
        <f>SUM(EE9:EE11)</f>
        <v>83630.863200000007</v>
      </c>
      <c r="EF12" s="104"/>
      <c r="EG12" s="104"/>
      <c r="EH12" s="104"/>
      <c r="EI12" s="104"/>
      <c r="EJ12" s="104"/>
      <c r="EK12" s="104"/>
      <c r="EL12" s="104"/>
      <c r="EM12" s="104"/>
      <c r="EN12" s="104"/>
      <c r="EO12" s="104"/>
      <c r="EP12" s="104"/>
      <c r="EQ12" s="104"/>
      <c r="ER12" s="104"/>
      <c r="ES12" s="104"/>
      <c r="ET12" s="104"/>
      <c r="EU12" s="104"/>
      <c r="EV12" s="104"/>
      <c r="EW12" s="104"/>
      <c r="EX12" s="104"/>
      <c r="EY12" s="104"/>
      <c r="EZ12" s="104"/>
    </row>
    <row r="13" spans="1:156" x14ac:dyDescent="0.2">
      <c r="A13" s="296"/>
      <c r="B13" s="296"/>
      <c r="C13" s="297"/>
      <c r="D13" s="298"/>
      <c r="E13" s="299"/>
      <c r="F13" s="285"/>
      <c r="P13" s="3758"/>
      <c r="Q13" s="230"/>
      <c r="R13" s="230"/>
      <c r="S13" s="242"/>
      <c r="T13" s="242"/>
      <c r="U13" s="242"/>
      <c r="V13" s="242"/>
      <c r="W13" s="242"/>
      <c r="X13" s="222"/>
      <c r="Y13" s="236"/>
      <c r="Z13" s="236"/>
      <c r="AA13" s="242"/>
      <c r="AB13" s="242"/>
      <c r="AC13" s="242"/>
      <c r="AD13" s="242"/>
      <c r="AE13" s="242"/>
      <c r="AF13" s="222"/>
      <c r="AG13" s="236"/>
      <c r="AH13" s="236"/>
      <c r="AI13" s="242"/>
      <c r="AJ13" s="242"/>
      <c r="AK13" s="242"/>
      <c r="AL13" s="242"/>
      <c r="AM13" s="242"/>
      <c r="AN13" s="222"/>
      <c r="AO13" s="236"/>
      <c r="AP13" s="236"/>
      <c r="AQ13" s="242"/>
      <c r="AR13" s="242"/>
      <c r="AS13" s="242"/>
      <c r="AT13" s="242"/>
      <c r="AU13" s="242"/>
      <c r="AV13" s="222"/>
      <c r="AW13" s="236"/>
      <c r="AX13" s="236"/>
      <c r="AY13" s="242"/>
      <c r="AZ13" s="242"/>
      <c r="BA13" s="242"/>
      <c r="BB13" s="242"/>
      <c r="BC13" s="242"/>
      <c r="BD13" s="222"/>
      <c r="BE13" s="236"/>
      <c r="BF13" s="236"/>
      <c r="BG13" s="242"/>
      <c r="BH13" s="242"/>
      <c r="BI13" s="242"/>
      <c r="BJ13" s="242"/>
      <c r="BK13" s="242"/>
      <c r="BL13" s="222"/>
      <c r="BM13" s="236"/>
      <c r="BN13" s="236"/>
      <c r="BO13" s="242"/>
      <c r="BP13" s="242"/>
      <c r="BQ13" s="242"/>
      <c r="BR13" s="242"/>
      <c r="BS13" s="242"/>
      <c r="BT13" s="222"/>
      <c r="BU13" s="236"/>
      <c r="BV13" s="236"/>
      <c r="BW13" s="242"/>
      <c r="BX13" s="242"/>
      <c r="BY13" s="242"/>
      <c r="BZ13" s="242"/>
      <c r="CA13" s="242"/>
      <c r="CB13" s="222"/>
      <c r="CC13" s="236"/>
      <c r="CD13" s="236"/>
      <c r="CE13" s="242"/>
      <c r="CF13" s="242"/>
      <c r="CG13" s="242"/>
      <c r="CH13" s="242"/>
      <c r="CI13" s="242"/>
      <c r="CJ13" s="222"/>
      <c r="CK13" s="236"/>
      <c r="CL13" s="236"/>
      <c r="CM13" s="242"/>
      <c r="CN13" s="242"/>
      <c r="CO13" s="242"/>
      <c r="CP13" s="242"/>
      <c r="CQ13" s="242"/>
      <c r="CR13" s="222"/>
      <c r="CS13" s="236"/>
      <c r="CT13" s="236"/>
      <c r="CU13" s="242"/>
      <c r="CV13" s="242"/>
      <c r="CW13" s="242"/>
      <c r="CX13" s="242"/>
      <c r="CY13" s="242"/>
      <c r="CZ13" s="222"/>
      <c r="DA13" s="236"/>
      <c r="DB13" s="236"/>
      <c r="DC13" s="242"/>
      <c r="DD13" s="242"/>
      <c r="DE13" s="242"/>
      <c r="DF13" s="242"/>
      <c r="DG13" s="242"/>
      <c r="DH13" s="222"/>
      <c r="DI13" s="236"/>
      <c r="DJ13" s="236"/>
      <c r="DK13" s="242"/>
      <c r="DL13" s="242"/>
      <c r="DM13" s="242"/>
      <c r="DN13" s="242"/>
      <c r="DO13" s="242"/>
      <c r="DP13" s="222"/>
      <c r="DS13" s="258"/>
      <c r="DT13" s="258"/>
    </row>
    <row r="14" spans="1:156" ht="15.75" x14ac:dyDescent="0.25">
      <c r="A14" s="192"/>
      <c r="B14" s="3765" t="s">
        <v>306</v>
      </c>
      <c r="C14" s="3765"/>
      <c r="D14" s="3765"/>
      <c r="E14" s="3765"/>
      <c r="F14" s="285"/>
      <c r="P14" s="3758"/>
      <c r="Q14" s="230"/>
      <c r="R14" s="230"/>
      <c r="S14" s="242"/>
      <c r="T14" s="277"/>
      <c r="U14" s="277"/>
      <c r="V14" s="242"/>
      <c r="W14" s="242"/>
      <c r="X14" s="222"/>
      <c r="Y14" s="236"/>
      <c r="Z14" s="236"/>
      <c r="AA14" s="242"/>
      <c r="AB14" s="242"/>
      <c r="AC14" s="242"/>
      <c r="AD14" s="242"/>
      <c r="AE14" s="242"/>
      <c r="AF14" s="222"/>
      <c r="AG14" s="236"/>
      <c r="AH14" s="236"/>
      <c r="AI14" s="242"/>
      <c r="AJ14" s="242"/>
      <c r="AK14" s="242"/>
      <c r="AL14" s="242"/>
      <c r="AM14" s="242"/>
      <c r="AN14" s="222"/>
      <c r="AO14" s="236"/>
      <c r="AP14" s="236"/>
      <c r="AQ14" s="242"/>
      <c r="AR14" s="242"/>
      <c r="AS14" s="242"/>
      <c r="AT14" s="242"/>
      <c r="AU14" s="242"/>
      <c r="AV14" s="222"/>
      <c r="AW14" s="236"/>
      <c r="AX14" s="236"/>
      <c r="AY14" s="242"/>
      <c r="AZ14" s="242"/>
      <c r="BA14" s="242"/>
      <c r="BB14" s="242"/>
      <c r="BC14" s="242"/>
      <c r="BD14" s="222"/>
      <c r="BE14" s="236"/>
      <c r="BF14" s="236"/>
      <c r="BG14" s="242"/>
      <c r="BH14" s="242"/>
      <c r="BI14" s="242"/>
      <c r="BJ14" s="242"/>
      <c r="BK14" s="242"/>
      <c r="BL14" s="222"/>
      <c r="BM14" s="236"/>
      <c r="BN14" s="236"/>
      <c r="BO14" s="242"/>
      <c r="BP14" s="242"/>
      <c r="BQ14" s="242"/>
      <c r="BR14" s="242"/>
      <c r="BS14" s="242"/>
      <c r="BT14" s="222"/>
      <c r="BU14" s="236"/>
      <c r="BV14" s="236"/>
      <c r="BW14" s="242"/>
      <c r="BX14" s="242"/>
      <c r="BY14" s="242"/>
      <c r="BZ14" s="242"/>
      <c r="CA14" s="242"/>
      <c r="CB14" s="222"/>
      <c r="CC14" s="236"/>
      <c r="CD14" s="236"/>
      <c r="CE14" s="242"/>
      <c r="CF14" s="242"/>
      <c r="CG14" s="242"/>
      <c r="CH14" s="242"/>
      <c r="CI14" s="242"/>
      <c r="CJ14" s="222"/>
      <c r="CK14" s="236"/>
      <c r="CL14" s="236"/>
      <c r="CM14" s="242"/>
      <c r="CN14" s="242"/>
      <c r="CO14" s="242"/>
      <c r="CP14" s="242"/>
      <c r="CQ14" s="242"/>
      <c r="CR14" s="222"/>
      <c r="CS14" s="236"/>
      <c r="CT14" s="236"/>
      <c r="CU14" s="242"/>
      <c r="CV14" s="242"/>
      <c r="CW14" s="242"/>
      <c r="CX14" s="242"/>
      <c r="CY14" s="242"/>
      <c r="CZ14" s="222"/>
      <c r="DA14" s="236"/>
      <c r="DB14" s="236"/>
      <c r="DC14" s="242"/>
      <c r="DD14" s="242"/>
      <c r="DE14" s="242"/>
      <c r="DF14" s="242"/>
      <c r="DG14" s="242"/>
      <c r="DH14" s="222"/>
      <c r="DI14" s="236"/>
      <c r="DJ14" s="236"/>
      <c r="DK14" s="242"/>
      <c r="DL14" s="242">
        <f>DL9+DL17</f>
        <v>596498.42999999993</v>
      </c>
      <c r="DM14" s="242"/>
      <c r="DN14" s="242"/>
      <c r="DO14" s="242"/>
      <c r="DP14" s="222"/>
      <c r="DS14" s="258"/>
      <c r="DT14" s="258"/>
    </row>
    <row r="15" spans="1:156" ht="15.75" x14ac:dyDescent="0.25">
      <c r="A15" s="217"/>
      <c r="B15" s="300"/>
      <c r="C15" s="301"/>
      <c r="D15" s="302"/>
      <c r="E15" s="303"/>
      <c r="F15" s="285"/>
      <c r="P15" s="3758"/>
      <c r="Q15" s="230"/>
      <c r="R15" s="230"/>
      <c r="S15" s="242"/>
      <c r="T15" s="242"/>
      <c r="U15" s="242"/>
      <c r="V15" s="242"/>
      <c r="W15" s="242"/>
      <c r="X15" s="222"/>
      <c r="Y15" s="236"/>
      <c r="Z15" s="236"/>
      <c r="AA15" s="242"/>
      <c r="AB15" s="242"/>
      <c r="AC15" s="242"/>
      <c r="AD15" s="242"/>
      <c r="AE15" s="242"/>
      <c r="AF15" s="222"/>
      <c r="AG15" s="236"/>
      <c r="AH15" s="236"/>
      <c r="AI15" s="242"/>
      <c r="AJ15" s="242"/>
      <c r="AK15" s="242"/>
      <c r="AL15" s="242"/>
      <c r="AM15" s="242"/>
      <c r="AN15" s="222"/>
      <c r="AO15" s="236"/>
      <c r="AP15" s="236"/>
      <c r="AQ15" s="242"/>
      <c r="AR15" s="242"/>
      <c r="AS15" s="242"/>
      <c r="AT15" s="242"/>
      <c r="AU15" s="242"/>
      <c r="AV15" s="222"/>
      <c r="AW15" s="236"/>
      <c r="AX15" s="236"/>
      <c r="AY15" s="242"/>
      <c r="AZ15" s="242"/>
      <c r="BA15" s="242"/>
      <c r="BB15" s="242"/>
      <c r="BC15" s="242"/>
      <c r="BD15" s="222"/>
      <c r="BE15" s="236"/>
      <c r="BF15" s="236"/>
      <c r="BG15" s="242"/>
      <c r="BH15" s="242"/>
      <c r="BI15" s="242"/>
      <c r="BJ15" s="242"/>
      <c r="BK15" s="242"/>
      <c r="BL15" s="222"/>
      <c r="BM15" s="236"/>
      <c r="BN15" s="236"/>
      <c r="BO15" s="242"/>
      <c r="BP15" s="242"/>
      <c r="BQ15" s="242"/>
      <c r="BR15" s="242"/>
      <c r="BS15" s="242"/>
      <c r="BT15" s="222"/>
      <c r="BU15" s="236"/>
      <c r="BV15" s="236"/>
      <c r="BW15" s="242"/>
      <c r="BX15" s="242"/>
      <c r="BY15" s="242"/>
      <c r="BZ15" s="242"/>
      <c r="CA15" s="242"/>
      <c r="CB15" s="222"/>
      <c r="CC15" s="236"/>
      <c r="CD15" s="236"/>
      <c r="CE15" s="242"/>
      <c r="CF15" s="242"/>
      <c r="CG15" s="242"/>
      <c r="CH15" s="242"/>
      <c r="CI15" s="242"/>
      <c r="CJ15" s="222"/>
      <c r="CK15" s="236"/>
      <c r="CL15" s="236"/>
      <c r="CM15" s="242"/>
      <c r="CN15" s="242"/>
      <c r="CO15" s="242"/>
      <c r="CP15" s="242"/>
      <c r="CQ15" s="242"/>
      <c r="CR15" s="222"/>
      <c r="CS15" s="236"/>
      <c r="CT15" s="236"/>
      <c r="CU15" s="242"/>
      <c r="CV15" s="242"/>
      <c r="CW15" s="242"/>
      <c r="CX15" s="242"/>
      <c r="CY15" s="242"/>
      <c r="CZ15" s="222"/>
      <c r="DA15" s="236"/>
      <c r="DB15" s="236"/>
      <c r="DC15" s="242"/>
      <c r="DD15" s="242"/>
      <c r="DE15" s="242"/>
      <c r="DF15" s="242"/>
      <c r="DG15" s="242"/>
      <c r="DH15" s="222"/>
      <c r="DI15" s="236"/>
      <c r="DJ15" s="236"/>
      <c r="DK15" s="242"/>
      <c r="DL15" s="242">
        <f>DL11+DL32</f>
        <v>416541.05999999994</v>
      </c>
      <c r="DM15" s="242"/>
      <c r="DN15" s="242"/>
      <c r="DO15" s="242"/>
      <c r="DP15" s="222"/>
      <c r="DS15" s="258"/>
      <c r="DT15" s="258"/>
    </row>
    <row r="16" spans="1:156" ht="13.5" thickBot="1" x14ac:dyDescent="0.25">
      <c r="B16" s="225" t="s">
        <v>307</v>
      </c>
      <c r="C16" s="226" t="s">
        <v>303</v>
      </c>
      <c r="D16" s="227" t="s">
        <v>304</v>
      </c>
      <c r="E16" s="228" t="s">
        <v>241</v>
      </c>
      <c r="F16" s="285"/>
      <c r="P16" s="3758"/>
      <c r="Q16" s="230"/>
      <c r="R16" s="230"/>
      <c r="S16" s="235" t="s">
        <v>242</v>
      </c>
      <c r="T16" s="232"/>
      <c r="U16" s="233"/>
      <c r="V16" s="234" t="s">
        <v>243</v>
      </c>
      <c r="W16" s="235" t="s">
        <v>244</v>
      </c>
      <c r="X16" s="222"/>
      <c r="Y16" s="236"/>
      <c r="Z16" s="236"/>
      <c r="AA16" s="231" t="s">
        <v>242</v>
      </c>
      <c r="AB16" s="237"/>
      <c r="AC16" s="237"/>
      <c r="AD16" s="231" t="s">
        <v>243</v>
      </c>
      <c r="AE16" s="235" t="s">
        <v>244</v>
      </c>
      <c r="AF16" s="222"/>
      <c r="AG16" s="236"/>
      <c r="AH16" s="236"/>
      <c r="AI16" s="231" t="s">
        <v>242</v>
      </c>
      <c r="AJ16" s="231"/>
      <c r="AK16" s="231"/>
      <c r="AL16" s="231" t="s">
        <v>243</v>
      </c>
      <c r="AM16" s="235" t="s">
        <v>244</v>
      </c>
      <c r="AN16" s="222"/>
      <c r="AO16" s="236"/>
      <c r="AP16" s="236"/>
      <c r="AQ16" s="238" t="s">
        <v>242</v>
      </c>
      <c r="AR16" s="239"/>
      <c r="AS16" s="239"/>
      <c r="AT16" s="238" t="s">
        <v>243</v>
      </c>
      <c r="AU16" s="235" t="s">
        <v>244</v>
      </c>
      <c r="AV16" s="222"/>
      <c r="AW16" s="236"/>
      <c r="AX16" s="236"/>
      <c r="AY16" s="231" t="s">
        <v>242</v>
      </c>
      <c r="AZ16" s="240"/>
      <c r="BA16" s="241"/>
      <c r="BB16" s="231" t="s">
        <v>243</v>
      </c>
      <c r="BC16" s="235" t="s">
        <v>244</v>
      </c>
      <c r="BD16" s="222"/>
      <c r="BE16" s="236"/>
      <c r="BF16" s="236"/>
      <c r="BG16" s="231" t="s">
        <v>242</v>
      </c>
      <c r="BH16" s="240"/>
      <c r="BI16" s="241"/>
      <c r="BJ16" s="231" t="s">
        <v>243</v>
      </c>
      <c r="BK16" s="235" t="s">
        <v>244</v>
      </c>
      <c r="BL16" s="222"/>
      <c r="BM16" s="236"/>
      <c r="BN16" s="236"/>
      <c r="BO16" s="231" t="s">
        <v>242</v>
      </c>
      <c r="BP16" s="240"/>
      <c r="BQ16" s="241"/>
      <c r="BR16" s="231" t="s">
        <v>243</v>
      </c>
      <c r="BS16" s="235" t="s">
        <v>244</v>
      </c>
      <c r="BT16" s="222"/>
      <c r="BU16" s="236"/>
      <c r="BV16" s="236"/>
      <c r="BW16" s="231" t="s">
        <v>242</v>
      </c>
      <c r="BX16" s="240"/>
      <c r="BY16" s="241"/>
      <c r="BZ16" s="231" t="s">
        <v>243</v>
      </c>
      <c r="CA16" s="235" t="s">
        <v>244</v>
      </c>
      <c r="CB16" s="222"/>
      <c r="CC16" s="236"/>
      <c r="CD16" s="236"/>
      <c r="CE16" s="231" t="s">
        <v>242</v>
      </c>
      <c r="CF16" s="240"/>
      <c r="CG16" s="241"/>
      <c r="CH16" s="231" t="s">
        <v>243</v>
      </c>
      <c r="CI16" s="235" t="s">
        <v>244</v>
      </c>
      <c r="CJ16" s="222"/>
      <c r="CK16" s="236"/>
      <c r="CL16" s="236"/>
      <c r="CM16" s="231" t="s">
        <v>242</v>
      </c>
      <c r="CN16" s="240"/>
      <c r="CO16" s="241"/>
      <c r="CP16" s="231" t="s">
        <v>243</v>
      </c>
      <c r="CQ16" s="235" t="s">
        <v>244</v>
      </c>
      <c r="CR16" s="222"/>
      <c r="CS16" s="236"/>
      <c r="CT16" s="236"/>
      <c r="CU16" s="231" t="s">
        <v>242</v>
      </c>
      <c r="CV16" s="240"/>
      <c r="CW16" s="241"/>
      <c r="CX16" s="231" t="s">
        <v>243</v>
      </c>
      <c r="CY16" s="235" t="s">
        <v>244</v>
      </c>
      <c r="CZ16" s="222"/>
      <c r="DA16" s="236"/>
      <c r="DB16" s="236"/>
      <c r="DC16" s="231" t="s">
        <v>242</v>
      </c>
      <c r="DD16" s="240"/>
      <c r="DE16" s="241"/>
      <c r="DF16" s="231" t="s">
        <v>243</v>
      </c>
      <c r="DG16" s="235" t="s">
        <v>244</v>
      </c>
      <c r="DH16" s="222"/>
      <c r="DI16" s="236"/>
      <c r="DJ16" s="236"/>
      <c r="DK16" s="231" t="s">
        <v>242</v>
      </c>
      <c r="DL16" s="240"/>
      <c r="DM16" s="241"/>
      <c r="DN16" s="231" t="s">
        <v>243</v>
      </c>
      <c r="DO16" s="235" t="s">
        <v>244</v>
      </c>
      <c r="DP16" s="222"/>
      <c r="DS16" s="258"/>
      <c r="DT16" s="258"/>
      <c r="EC16" s="177">
        <f>EC17/DZ17</f>
        <v>0.79129664219261098</v>
      </c>
      <c r="ED16" s="177">
        <f>ED17/DZ17</f>
        <v>0.13762622488511417</v>
      </c>
      <c r="EE16" s="177">
        <f>EE17/DZ17</f>
        <v>7.1077132922274855E-2</v>
      </c>
    </row>
    <row r="17" spans="1:135" x14ac:dyDescent="0.2">
      <c r="A17" s="304" t="s">
        <v>300</v>
      </c>
      <c r="B17" s="305">
        <v>257</v>
      </c>
      <c r="C17" s="306">
        <v>2074.3500700525396</v>
      </c>
      <c r="D17" s="307">
        <f>E17/C17</f>
        <v>7337.8311498627008</v>
      </c>
      <c r="E17" s="308">
        <v>15221230.559751401</v>
      </c>
      <c r="J17" s="106">
        <v>1650473.28</v>
      </c>
      <c r="K17" s="106">
        <v>5805349.1100000003</v>
      </c>
      <c r="L17" s="106">
        <f>J17+K17</f>
        <v>7455822.3900000006</v>
      </c>
      <c r="P17" s="3758"/>
      <c r="Q17" s="251">
        <v>3</v>
      </c>
      <c r="R17" s="252">
        <f t="shared" ref="R17:R33" si="13">IF(B17&gt;Q17,B17-Q17,0)</f>
        <v>254</v>
      </c>
      <c r="S17" s="253">
        <v>0</v>
      </c>
      <c r="T17" s="309">
        <f>13198.59+12095.34+11666.43</f>
        <v>36960.36</v>
      </c>
      <c r="U17" s="309">
        <f>7329.56+6799.56+6558.44</f>
        <v>20687.560000000001</v>
      </c>
      <c r="V17" s="253">
        <f>SUM(T17:U17)</f>
        <v>57647.92</v>
      </c>
      <c r="W17" s="255">
        <f>SUM(S17:V17)</f>
        <v>115295.84</v>
      </c>
      <c r="X17" s="222"/>
      <c r="Y17" s="256">
        <v>13</v>
      </c>
      <c r="Z17" s="252">
        <f t="shared" ref="Z17:Z33" si="14">IF(R17&gt;Y17,R17-Y17,0)</f>
        <v>241</v>
      </c>
      <c r="AA17" s="253">
        <v>24404</v>
      </c>
      <c r="AB17" s="253">
        <v>216809.87</v>
      </c>
      <c r="AC17" s="253">
        <f>86973.9+8266.03</f>
        <v>95239.93</v>
      </c>
      <c r="AD17" s="253">
        <f>SUM(AB17:AC17)</f>
        <v>312049.8</v>
      </c>
      <c r="AE17" s="255">
        <f>AA17+AD17</f>
        <v>336453.8</v>
      </c>
      <c r="AF17" s="222"/>
      <c r="AG17" s="256">
        <v>1</v>
      </c>
      <c r="AH17" s="252">
        <f>IF(Z17&gt;AG17,Z17-AG17,0)</f>
        <v>240</v>
      </c>
      <c r="AI17" s="253">
        <v>18021.84</v>
      </c>
      <c r="AJ17" s="253">
        <v>9187.51</v>
      </c>
      <c r="AK17" s="253">
        <v>5164.88</v>
      </c>
      <c r="AL17" s="253">
        <v>14352.39</v>
      </c>
      <c r="AM17" s="255">
        <f>AI17+AL17</f>
        <v>32374.23</v>
      </c>
      <c r="AN17" s="222"/>
      <c r="AO17" s="256">
        <v>6</v>
      </c>
      <c r="AP17" s="252">
        <f>IF(AH17&gt;AO17,AH17-AO17,0)</f>
        <v>234</v>
      </c>
      <c r="AQ17" s="253">
        <v>108426.53</v>
      </c>
      <c r="AR17" s="257">
        <v>13761.1</v>
      </c>
      <c r="AS17" s="257">
        <v>7735.99</v>
      </c>
      <c r="AT17" s="253">
        <v>21497.09</v>
      </c>
      <c r="AU17" s="255">
        <f>AQ17+AT17</f>
        <v>129923.62</v>
      </c>
      <c r="AV17" s="222"/>
      <c r="AW17" s="256">
        <v>1</v>
      </c>
      <c r="AX17" s="252">
        <f>IF(AP17&gt;AW17,AP17-AW17,0)</f>
        <v>233</v>
      </c>
      <c r="AY17" s="253">
        <v>8255.5</v>
      </c>
      <c r="AZ17" s="253">
        <v>13797.81</v>
      </c>
      <c r="BA17" s="253">
        <v>7751.76</v>
      </c>
      <c r="BB17" s="253">
        <f>SUM(AZ17:BA17)</f>
        <v>21549.57</v>
      </c>
      <c r="BC17" s="255">
        <f>SUM(AY17:BB17)</f>
        <v>51354.64</v>
      </c>
      <c r="BD17" s="222"/>
      <c r="BE17" s="256">
        <v>0</v>
      </c>
      <c r="BF17" s="252">
        <f>IF(AX17&gt;BE17,AX17-BE17,0)</f>
        <v>233</v>
      </c>
      <c r="BG17" s="253">
        <v>0</v>
      </c>
      <c r="BH17" s="253">
        <v>0</v>
      </c>
      <c r="BI17" s="253">
        <v>0</v>
      </c>
      <c r="BJ17" s="253">
        <v>0</v>
      </c>
      <c r="BK17" s="255">
        <f>BG17+BJ17</f>
        <v>0</v>
      </c>
      <c r="BL17" s="222"/>
      <c r="BM17" s="256">
        <v>0</v>
      </c>
      <c r="BN17" s="252">
        <f>IF(BF17&gt;BM17,BF17-BM17,0)</f>
        <v>233</v>
      </c>
      <c r="BO17" s="253">
        <v>0</v>
      </c>
      <c r="BP17" s="253">
        <v>0</v>
      </c>
      <c r="BQ17" s="253">
        <v>0</v>
      </c>
      <c r="BR17" s="253">
        <f>SUM(BP17:BQ17)</f>
        <v>0</v>
      </c>
      <c r="BS17" s="255">
        <f>SUM(BO17:BR17)</f>
        <v>0</v>
      </c>
      <c r="BT17" s="222"/>
      <c r="BU17" s="256">
        <v>0</v>
      </c>
      <c r="BV17" s="252">
        <f t="shared" ref="BV17:BV33" si="15">IF(BN17&gt;BU17,BN17-BU17,0)</f>
        <v>233</v>
      </c>
      <c r="BW17" s="253"/>
      <c r="BX17" s="253">
        <v>0</v>
      </c>
      <c r="BY17" s="253">
        <v>0</v>
      </c>
      <c r="BZ17" s="253">
        <f>SUM(BX17:BY17)</f>
        <v>0</v>
      </c>
      <c r="CA17" s="255">
        <f>SUM(BW17:BZ17)</f>
        <v>0</v>
      </c>
      <c r="CB17" s="222"/>
      <c r="CC17" s="256"/>
      <c r="CD17" s="252">
        <f t="shared" ref="CD17:CD33" si="16">IF(BV17&gt;CC17,BV17-CC17,0)</f>
        <v>233</v>
      </c>
      <c r="CE17" s="253">
        <v>14000</v>
      </c>
      <c r="CF17" s="253"/>
      <c r="CG17" s="253"/>
      <c r="CH17" s="253">
        <f>SUM(CF17:CG17)</f>
        <v>0</v>
      </c>
      <c r="CI17" s="255">
        <f>SUM(CE17:CH17)</f>
        <v>14000</v>
      </c>
      <c r="CJ17" s="222"/>
      <c r="CK17" s="256">
        <v>1</v>
      </c>
      <c r="CL17" s="252">
        <f t="shared" ref="CL17:CL33" si="17">IF(CD17&gt;CK17,CD17-CK17,0)</f>
        <v>232</v>
      </c>
      <c r="CM17" s="253">
        <v>7560</v>
      </c>
      <c r="CN17" s="253">
        <v>13571.96</v>
      </c>
      <c r="CO17" s="253">
        <v>7629.65</v>
      </c>
      <c r="CP17" s="253">
        <f>SUM(CN17:CO17)</f>
        <v>21201.61</v>
      </c>
      <c r="CQ17" s="255">
        <f>SUM(CM17:CP17)</f>
        <v>49963.22</v>
      </c>
      <c r="CR17" s="222"/>
      <c r="CS17" s="256">
        <v>0</v>
      </c>
      <c r="CT17" s="252">
        <f t="shared" ref="CT17:CT33" si="18">IF(CL17&gt;CS17,CL17-CS17,0)</f>
        <v>232</v>
      </c>
      <c r="CU17" s="253">
        <v>0</v>
      </c>
      <c r="CV17" s="253">
        <v>0</v>
      </c>
      <c r="CW17" s="253">
        <v>0</v>
      </c>
      <c r="CX17" s="253">
        <f>SUM(CV17:CW17)</f>
        <v>0</v>
      </c>
      <c r="CY17" s="255">
        <f>SUM(CU17:CX17)</f>
        <v>0</v>
      </c>
      <c r="CZ17" s="222"/>
      <c r="DA17" s="256">
        <v>0</v>
      </c>
      <c r="DB17" s="252">
        <f t="shared" ref="DB17:DB33" si="19">IF(CT17&gt;DA17,CT17-DA17,0)</f>
        <v>232</v>
      </c>
      <c r="DC17" s="253">
        <v>0</v>
      </c>
      <c r="DD17" s="253">
        <v>0</v>
      </c>
      <c r="DE17" s="253">
        <v>0</v>
      </c>
      <c r="DF17" s="253">
        <f>SUM(DD17:DE17)</f>
        <v>0</v>
      </c>
      <c r="DG17" s="255">
        <f>SUM(DC17:DF17)</f>
        <v>0</v>
      </c>
      <c r="DH17" s="222"/>
      <c r="DI17" s="1762">
        <f>Q17+Y17+AG17+AO17+AW17+BE17+BM17+BU17+CC17+CK17+CS17+DA17</f>
        <v>25</v>
      </c>
      <c r="DJ17" s="252">
        <f t="shared" ref="DJ17:DJ33" si="20">IF(DB17&gt;DI17,DB17-DI17,0)</f>
        <v>207</v>
      </c>
      <c r="DK17" s="387">
        <f>S17+AA17+AI17+AQ17+AY17+BG17+BO17+BW17+CE17+CM17+CU17+DC17</f>
        <v>180667.87</v>
      </c>
      <c r="DL17" s="1763">
        <f>T17+AB17+AJ17+AR17+AZ17+BH17+BP17+BX17+CF17+CN17+CV17+DD17-0.01</f>
        <v>304088.59999999998</v>
      </c>
      <c r="DM17" s="1763">
        <f>U17+AC17+AK17+AS17+BA17+BI17+BQ17+BY17+CG17+CO17+CW17+DE17</f>
        <v>144209.76999999999</v>
      </c>
      <c r="DN17" s="253">
        <f>SUM(DL17:DM17)</f>
        <v>448298.37</v>
      </c>
      <c r="DO17" s="255">
        <f>SUM(DK17:DN17)</f>
        <v>1077264.6099999999</v>
      </c>
      <c r="DP17" s="222"/>
      <c r="DS17" s="258">
        <v>254.63</v>
      </c>
      <c r="DT17" s="259">
        <v>7.432779</v>
      </c>
      <c r="DU17" s="176">
        <f t="shared" ref="DU17:DU33" si="21">DS17*C17*DT17</f>
        <v>3925932.6093438827</v>
      </c>
      <c r="DV17" s="176">
        <f>EC17+EE17</f>
        <v>13126390.059706882</v>
      </c>
      <c r="DW17" s="293">
        <f>DV17-DU17</f>
        <v>9200457.450362999</v>
      </c>
      <c r="DX17" s="177">
        <v>136.47</v>
      </c>
      <c r="DY17" s="177">
        <v>70.48</v>
      </c>
      <c r="DZ17" s="177">
        <f>E17</f>
        <v>15221230.559751401</v>
      </c>
      <c r="EA17" s="178">
        <f>SUM(EC17:EE17)</f>
        <v>15221230.559751401</v>
      </c>
      <c r="EB17" s="178">
        <f>DZ17-EA17</f>
        <v>0</v>
      </c>
      <c r="EC17" s="177">
        <f t="shared" ref="EC17:EC33" si="22">E17-ED17-EE17</f>
        <v>12044508.63197084</v>
      </c>
      <c r="ED17" s="177">
        <f t="shared" ref="ED17:ED33" si="23">DX17*C17*7.4</f>
        <v>2094840.5000445186</v>
      </c>
      <c r="EE17" s="177">
        <f t="shared" ref="EE17:EE33" si="24">DY17*C17*7.4</f>
        <v>1081881.4277360423</v>
      </c>
    </row>
    <row r="18" spans="1:135" x14ac:dyDescent="0.2">
      <c r="A18" s="260" t="s">
        <v>248</v>
      </c>
      <c r="B18" s="261">
        <v>44</v>
      </c>
      <c r="C18" s="262">
        <v>476.26333333333332</v>
      </c>
      <c r="D18" s="263">
        <f>E18/C18</f>
        <v>7094.8066023999545</v>
      </c>
      <c r="E18" s="310">
        <v>3378996.2418143437</v>
      </c>
      <c r="J18" s="106">
        <v>121589.5</v>
      </c>
      <c r="K18" s="106">
        <v>109119.79</v>
      </c>
      <c r="L18" s="106">
        <f t="shared" ref="L18:L24" si="25">J18+K18</f>
        <v>230709.28999999998</v>
      </c>
      <c r="P18" s="3758"/>
      <c r="Q18" s="265">
        <v>0</v>
      </c>
      <c r="R18" s="266">
        <f t="shared" si="13"/>
        <v>44</v>
      </c>
      <c r="S18" s="267">
        <v>0</v>
      </c>
      <c r="T18" s="245"/>
      <c r="U18" s="245"/>
      <c r="V18" s="267">
        <v>0</v>
      </c>
      <c r="W18" s="268">
        <f t="shared" ref="W18:W33" si="26">SUM(S18:V18)</f>
        <v>0</v>
      </c>
      <c r="X18" s="222"/>
      <c r="Y18" s="269">
        <v>0</v>
      </c>
      <c r="Z18" s="266">
        <f t="shared" si="14"/>
        <v>44</v>
      </c>
      <c r="AA18" s="267">
        <v>0</v>
      </c>
      <c r="AB18" s="267">
        <v>0</v>
      </c>
      <c r="AC18" s="267">
        <v>0</v>
      </c>
      <c r="AD18" s="267">
        <v>0</v>
      </c>
      <c r="AE18" s="268">
        <f t="shared" ref="AE18:AE33" si="27">AA18+AD18</f>
        <v>0</v>
      </c>
      <c r="AF18" s="222"/>
      <c r="AG18" s="269">
        <v>0</v>
      </c>
      <c r="AH18" s="266">
        <f t="shared" ref="AH18:AH33" si="28">IF(Z18&gt;AG18,Z18-AG18,0)</f>
        <v>44</v>
      </c>
      <c r="AI18" s="267">
        <v>0</v>
      </c>
      <c r="AJ18" s="267">
        <v>0</v>
      </c>
      <c r="AK18" s="267">
        <v>0</v>
      </c>
      <c r="AL18" s="267">
        <v>0</v>
      </c>
      <c r="AM18" s="268">
        <f t="shared" ref="AM18:AM33" si="29">AI18+AL18</f>
        <v>0</v>
      </c>
      <c r="AN18" s="222"/>
      <c r="AO18" s="269">
        <v>0</v>
      </c>
      <c r="AP18" s="266">
        <f t="shared" ref="AP18:AP33" si="30">IF(AH18&gt;AO18,AH18-AO18,0)</f>
        <v>44</v>
      </c>
      <c r="AQ18" s="267">
        <v>0</v>
      </c>
      <c r="AR18" s="267">
        <v>0</v>
      </c>
      <c r="AS18" s="267">
        <v>0</v>
      </c>
      <c r="AT18" s="267">
        <v>0</v>
      </c>
      <c r="AU18" s="268">
        <f>AQ18+AT18</f>
        <v>0</v>
      </c>
      <c r="AV18" s="222"/>
      <c r="AW18" s="269">
        <v>0</v>
      </c>
      <c r="AX18" s="266">
        <f t="shared" ref="AX18:AX33" si="31">IF(AP18&gt;AW18,AP18-AW18,0)</f>
        <v>44</v>
      </c>
      <c r="AY18" s="267">
        <v>0</v>
      </c>
      <c r="AZ18" s="267">
        <v>0</v>
      </c>
      <c r="BA18" s="267">
        <v>0</v>
      </c>
      <c r="BB18" s="267">
        <v>0</v>
      </c>
      <c r="BC18" s="268">
        <f t="shared" ref="BC18:BC33" si="32">SUM(AY18:BB18)</f>
        <v>0</v>
      </c>
      <c r="BD18" s="222"/>
      <c r="BE18" s="269">
        <v>0</v>
      </c>
      <c r="BF18" s="266">
        <f t="shared" ref="BF18:BF33" si="33">IF(AX18&gt;BE18,AX18-BE18,0)</f>
        <v>44</v>
      </c>
      <c r="BG18" s="267">
        <v>0</v>
      </c>
      <c r="BH18" s="267">
        <v>0</v>
      </c>
      <c r="BI18" s="267">
        <v>0</v>
      </c>
      <c r="BJ18" s="267">
        <v>0</v>
      </c>
      <c r="BK18" s="268">
        <f>BG18+BJ18</f>
        <v>0</v>
      </c>
      <c r="BL18" s="222"/>
      <c r="BM18" s="269">
        <v>0</v>
      </c>
      <c r="BN18" s="266">
        <f t="shared" ref="BN18:BN33" si="34">IF(BF18&gt;BM18,BF18-BM18,0)</f>
        <v>44</v>
      </c>
      <c r="BO18" s="267">
        <v>0</v>
      </c>
      <c r="BP18" s="267">
        <v>0</v>
      </c>
      <c r="BQ18" s="267">
        <v>0</v>
      </c>
      <c r="BR18" s="267">
        <f>SUM(BP18:BQ18)</f>
        <v>0</v>
      </c>
      <c r="BS18" s="268">
        <f t="shared" ref="BS18:BS33" si="35">SUM(BO18:BR18)</f>
        <v>0</v>
      </c>
      <c r="BT18" s="222"/>
      <c r="BU18" s="269">
        <v>0</v>
      </c>
      <c r="BV18" s="266">
        <f t="shared" si="15"/>
        <v>44</v>
      </c>
      <c r="BW18" s="267"/>
      <c r="BX18" s="267">
        <v>0</v>
      </c>
      <c r="BY18" s="267">
        <v>0</v>
      </c>
      <c r="BZ18" s="267">
        <f>SUM(BX18:BY18)</f>
        <v>0</v>
      </c>
      <c r="CA18" s="268">
        <f t="shared" ref="CA18:CA33" si="36">SUM(BW18:BZ18)</f>
        <v>0</v>
      </c>
      <c r="CB18" s="222"/>
      <c r="CC18" s="269"/>
      <c r="CD18" s="266">
        <f t="shared" si="16"/>
        <v>44</v>
      </c>
      <c r="CE18" s="267"/>
      <c r="CF18" s="267"/>
      <c r="CG18" s="267"/>
      <c r="CH18" s="267">
        <f>SUM(CF18:CG18)</f>
        <v>0</v>
      </c>
      <c r="CI18" s="268">
        <f t="shared" ref="CI18:CI33" si="37">SUM(CE18:CH18)</f>
        <v>0</v>
      </c>
      <c r="CJ18" s="222"/>
      <c r="CK18" s="269">
        <v>0</v>
      </c>
      <c r="CL18" s="266">
        <f t="shared" si="17"/>
        <v>44</v>
      </c>
      <c r="CM18" s="267"/>
      <c r="CN18" s="267">
        <v>0</v>
      </c>
      <c r="CO18" s="267">
        <v>0</v>
      </c>
      <c r="CP18" s="267">
        <f>SUM(CN18:CO18)</f>
        <v>0</v>
      </c>
      <c r="CQ18" s="268">
        <f t="shared" ref="CQ18:CQ33" si="38">SUM(CM18:CP18)</f>
        <v>0</v>
      </c>
      <c r="CR18" s="222"/>
      <c r="CS18" s="269">
        <v>0</v>
      </c>
      <c r="CT18" s="266">
        <f t="shared" si="18"/>
        <v>44</v>
      </c>
      <c r="CU18" s="267">
        <v>0</v>
      </c>
      <c r="CV18" s="267">
        <v>0</v>
      </c>
      <c r="CW18" s="267">
        <v>0</v>
      </c>
      <c r="CX18" s="267">
        <f>SUM(CV18:CW18)</f>
        <v>0</v>
      </c>
      <c r="CY18" s="268">
        <f t="shared" ref="CY18:CY33" si="39">SUM(CU18:CX18)</f>
        <v>0</v>
      </c>
      <c r="CZ18" s="222"/>
      <c r="DA18" s="269">
        <v>0</v>
      </c>
      <c r="DB18" s="266">
        <f t="shared" si="19"/>
        <v>44</v>
      </c>
      <c r="DC18" s="267">
        <v>0</v>
      </c>
      <c r="DD18" s="267">
        <v>0</v>
      </c>
      <c r="DE18" s="267">
        <v>0</v>
      </c>
      <c r="DF18" s="267">
        <f>SUM(DD18:DE18)</f>
        <v>0</v>
      </c>
      <c r="DG18" s="268">
        <f t="shared" ref="DG18:DG33" si="40">SUM(DC18:DF18)</f>
        <v>0</v>
      </c>
      <c r="DH18" s="222"/>
      <c r="DI18" s="269">
        <f t="shared" ref="DI18:DI33" si="41">Q18+Y18+AG18+AO18+AW18+BE18+BM18+BU18+CC18+CK18+CS18+DA18</f>
        <v>0</v>
      </c>
      <c r="DJ18" s="266">
        <f t="shared" si="20"/>
        <v>44</v>
      </c>
      <c r="DK18" s="267">
        <f t="shared" ref="DK18:DK33" si="42">S18+AA18+AI18+AQ18+AY18+BG18+BO18+BW18+CE18+CM18+CU18+DC18</f>
        <v>0</v>
      </c>
      <c r="DL18" s="1769">
        <f t="shared" ref="DL18:DM33" si="43">T18+AB18+AJ18+AR18+AZ18+BH18+BP18+BX18+CF18+CN18+CV18+DD18</f>
        <v>0</v>
      </c>
      <c r="DM18" s="1764">
        <f t="shared" si="43"/>
        <v>0</v>
      </c>
      <c r="DN18" s="267">
        <f>SUM(DL18:DM18)</f>
        <v>0</v>
      </c>
      <c r="DO18" s="268">
        <f t="shared" ref="DO18:DO33" si="44">SUM(DK18:DN18)</f>
        <v>0</v>
      </c>
      <c r="DP18" s="222"/>
      <c r="DS18" s="311">
        <v>206.63</v>
      </c>
      <c r="DT18" s="259">
        <v>7.624949</v>
      </c>
      <c r="DU18" s="176">
        <f t="shared" si="21"/>
        <v>750373.4618959123</v>
      </c>
      <c r="DV18" s="176">
        <f t="shared" ref="DV18:DV33" si="45">EC18+EE18</f>
        <v>2790289.0405343436</v>
      </c>
      <c r="DW18" s="176">
        <f t="shared" ref="DW18:DW33" si="46">DV18-DU18</f>
        <v>2039915.5786384312</v>
      </c>
      <c r="DX18" s="177">
        <v>167.04</v>
      </c>
      <c r="DZ18" s="177">
        <f t="shared" ref="DZ18:DZ34" si="47">E18</f>
        <v>3378996.2418143437</v>
      </c>
      <c r="EA18" s="178">
        <f t="shared" ref="EA18:EA34" si="48">SUM(EC18:EE18)</f>
        <v>3378996.2418143437</v>
      </c>
      <c r="EB18" s="178">
        <f t="shared" ref="EB18:EB34" si="49">DZ18-EA18</f>
        <v>0</v>
      </c>
      <c r="EC18" s="177">
        <f t="shared" si="22"/>
        <v>2790289.0405343436</v>
      </c>
      <c r="ED18" s="177">
        <f t="shared" si="23"/>
        <v>588707.20128000004</v>
      </c>
      <c r="EE18" s="177">
        <f t="shared" si="24"/>
        <v>0</v>
      </c>
    </row>
    <row r="19" spans="1:135" x14ac:dyDescent="0.2">
      <c r="A19" s="260" t="s">
        <v>249</v>
      </c>
      <c r="B19" s="261">
        <v>28</v>
      </c>
      <c r="C19" s="262">
        <v>303.07666666666665</v>
      </c>
      <c r="D19" s="263">
        <v>7153.0942872100713</v>
      </c>
      <c r="E19" s="310">
        <v>2167935.9729200043</v>
      </c>
      <c r="J19" s="106">
        <v>250897.62</v>
      </c>
      <c r="K19" s="106">
        <v>156483.31</v>
      </c>
      <c r="L19" s="106">
        <f t="shared" si="25"/>
        <v>407380.93</v>
      </c>
      <c r="P19" s="3758"/>
      <c r="Q19" s="265">
        <v>0</v>
      </c>
      <c r="R19" s="266">
        <f t="shared" si="13"/>
        <v>28</v>
      </c>
      <c r="S19" s="267">
        <v>8042.24</v>
      </c>
      <c r="T19" s="245"/>
      <c r="U19" s="245"/>
      <c r="V19" s="267">
        <v>0</v>
      </c>
      <c r="W19" s="268">
        <f t="shared" si="26"/>
        <v>8042.24</v>
      </c>
      <c r="X19" s="222"/>
      <c r="Y19" s="269">
        <v>2</v>
      </c>
      <c r="Z19" s="266">
        <f t="shared" si="14"/>
        <v>26</v>
      </c>
      <c r="AA19" s="267">
        <v>44923.68</v>
      </c>
      <c r="AB19" s="267">
        <v>28375.13</v>
      </c>
      <c r="AC19" s="267">
        <v>27144.46</v>
      </c>
      <c r="AD19" s="267">
        <v>55519.59</v>
      </c>
      <c r="AE19" s="268">
        <f t="shared" si="27"/>
        <v>100443.26999999999</v>
      </c>
      <c r="AF19" s="222"/>
      <c r="AG19" s="269">
        <v>0</v>
      </c>
      <c r="AH19" s="266">
        <f t="shared" si="28"/>
        <v>26</v>
      </c>
      <c r="AI19" s="267">
        <v>9926.76</v>
      </c>
      <c r="AJ19" s="267">
        <v>0</v>
      </c>
      <c r="AK19" s="267">
        <v>0</v>
      </c>
      <c r="AL19" s="267">
        <v>0</v>
      </c>
      <c r="AM19" s="268">
        <f t="shared" si="29"/>
        <v>9926.76</v>
      </c>
      <c r="AN19" s="222"/>
      <c r="AO19" s="269">
        <v>1</v>
      </c>
      <c r="AP19" s="266">
        <f t="shared" si="30"/>
        <v>25</v>
      </c>
      <c r="AQ19" s="267">
        <v>0</v>
      </c>
      <c r="AR19" s="267">
        <v>14488.3</v>
      </c>
      <c r="AS19" s="267">
        <v>13859.92</v>
      </c>
      <c r="AT19" s="267">
        <v>28348.22</v>
      </c>
      <c r="AU19" s="268">
        <f t="shared" ref="AU19:AU33" si="50">AQ19+AT19</f>
        <v>28348.22</v>
      </c>
      <c r="AV19" s="222"/>
      <c r="AW19" s="269">
        <v>0</v>
      </c>
      <c r="AX19" s="266">
        <f t="shared" si="31"/>
        <v>25</v>
      </c>
      <c r="AY19" s="267">
        <v>0</v>
      </c>
      <c r="AZ19" s="267">
        <v>0</v>
      </c>
      <c r="BA19" s="267">
        <v>0</v>
      </c>
      <c r="BB19" s="267">
        <v>0</v>
      </c>
      <c r="BC19" s="268">
        <f t="shared" si="32"/>
        <v>0</v>
      </c>
      <c r="BD19" s="222"/>
      <c r="BE19" s="269">
        <v>0</v>
      </c>
      <c r="BF19" s="266">
        <f t="shared" si="33"/>
        <v>25</v>
      </c>
      <c r="BG19" s="267">
        <v>78886.81</v>
      </c>
      <c r="BH19" s="267">
        <v>0</v>
      </c>
      <c r="BI19" s="267">
        <v>0</v>
      </c>
      <c r="BJ19" s="267">
        <v>0</v>
      </c>
      <c r="BK19" s="268">
        <f t="shared" ref="BK19:BK32" si="51">BG19+BJ19</f>
        <v>78886.81</v>
      </c>
      <c r="BL19" s="222"/>
      <c r="BM19" s="269">
        <v>0</v>
      </c>
      <c r="BN19" s="266">
        <f t="shared" si="34"/>
        <v>25</v>
      </c>
      <c r="BO19" s="267">
        <v>0</v>
      </c>
      <c r="BP19" s="267">
        <v>0</v>
      </c>
      <c r="BQ19" s="267">
        <v>0</v>
      </c>
      <c r="BR19" s="267">
        <f t="shared" ref="BR19:BR32" si="52">SUM(BP19:BQ19)</f>
        <v>0</v>
      </c>
      <c r="BS19" s="268">
        <f t="shared" si="35"/>
        <v>0</v>
      </c>
      <c r="BT19" s="222"/>
      <c r="BU19" s="269">
        <v>0</v>
      </c>
      <c r="BV19" s="266">
        <f t="shared" si="15"/>
        <v>25</v>
      </c>
      <c r="BW19" s="267"/>
      <c r="BX19" s="267">
        <v>0</v>
      </c>
      <c r="BY19" s="267">
        <v>0</v>
      </c>
      <c r="BZ19" s="267">
        <f t="shared" ref="BZ19:BZ32" si="53">SUM(BX19:BY19)</f>
        <v>0</v>
      </c>
      <c r="CA19" s="268">
        <f t="shared" si="36"/>
        <v>0</v>
      </c>
      <c r="CB19" s="222"/>
      <c r="CC19" s="269"/>
      <c r="CD19" s="266">
        <f t="shared" si="16"/>
        <v>25</v>
      </c>
      <c r="CE19" s="267"/>
      <c r="CF19" s="267"/>
      <c r="CG19" s="267"/>
      <c r="CH19" s="267">
        <f t="shared" ref="CH19:CH32" si="54">SUM(CF19:CG19)</f>
        <v>0</v>
      </c>
      <c r="CI19" s="268">
        <f t="shared" si="37"/>
        <v>0</v>
      </c>
      <c r="CJ19" s="222"/>
      <c r="CK19" s="269">
        <v>0</v>
      </c>
      <c r="CL19" s="266">
        <f t="shared" si="17"/>
        <v>25</v>
      </c>
      <c r="CM19" s="267"/>
      <c r="CN19" s="267">
        <v>0</v>
      </c>
      <c r="CO19" s="267">
        <v>0</v>
      </c>
      <c r="CP19" s="267">
        <f t="shared" ref="CP19:CP32" si="55">SUM(CN19:CO19)</f>
        <v>0</v>
      </c>
      <c r="CQ19" s="268">
        <f t="shared" si="38"/>
        <v>0</v>
      </c>
      <c r="CR19" s="222"/>
      <c r="CS19" s="269">
        <v>0</v>
      </c>
      <c r="CT19" s="266">
        <f t="shared" si="18"/>
        <v>25</v>
      </c>
      <c r="CU19" s="267">
        <v>0</v>
      </c>
      <c r="CV19" s="267">
        <v>0</v>
      </c>
      <c r="CW19" s="267">
        <v>0</v>
      </c>
      <c r="CX19" s="267">
        <f t="shared" ref="CX19:CX32" si="56">SUM(CV19:CW19)</f>
        <v>0</v>
      </c>
      <c r="CY19" s="268">
        <f t="shared" si="39"/>
        <v>0</v>
      </c>
      <c r="CZ19" s="222"/>
      <c r="DA19" s="269">
        <v>0</v>
      </c>
      <c r="DB19" s="266">
        <f t="shared" si="19"/>
        <v>25</v>
      </c>
      <c r="DC19" s="267">
        <v>0</v>
      </c>
      <c r="DD19" s="267">
        <v>0</v>
      </c>
      <c r="DE19" s="267">
        <v>0</v>
      </c>
      <c r="DF19" s="267">
        <f t="shared" ref="DF19:DF32" si="57">SUM(DD19:DE19)</f>
        <v>0</v>
      </c>
      <c r="DG19" s="268">
        <f t="shared" si="40"/>
        <v>0</v>
      </c>
      <c r="DH19" s="222"/>
      <c r="DI19" s="269">
        <f t="shared" si="41"/>
        <v>3</v>
      </c>
      <c r="DJ19" s="266">
        <f t="shared" si="20"/>
        <v>22</v>
      </c>
      <c r="DK19" s="267">
        <f t="shared" si="42"/>
        <v>141779.49</v>
      </c>
      <c r="DL19" s="1769">
        <f t="shared" si="43"/>
        <v>42863.43</v>
      </c>
      <c r="DM19" s="1764">
        <f t="shared" si="43"/>
        <v>41004.379999999997</v>
      </c>
      <c r="DN19" s="267">
        <f t="shared" ref="DN19:DN32" si="58">SUM(DL19:DM19)</f>
        <v>83867.81</v>
      </c>
      <c r="DO19" s="268">
        <f t="shared" si="44"/>
        <v>309515.11</v>
      </c>
      <c r="DP19" s="222"/>
      <c r="DS19" s="311">
        <v>186.52</v>
      </c>
      <c r="DT19" s="259">
        <v>7.624949</v>
      </c>
      <c r="DU19" s="176">
        <f t="shared" si="21"/>
        <v>431037.29846048012</v>
      </c>
      <c r="DV19" s="176">
        <f t="shared" si="45"/>
        <v>1792317.2999333376</v>
      </c>
      <c r="DW19" s="176">
        <f t="shared" si="46"/>
        <v>1361280.0014728575</v>
      </c>
      <c r="DX19" s="177">
        <v>167.48</v>
      </c>
      <c r="DZ19" s="177">
        <f t="shared" si="47"/>
        <v>2167935.9729200043</v>
      </c>
      <c r="EA19" s="178">
        <f t="shared" si="48"/>
        <v>2167935.9729200043</v>
      </c>
      <c r="EB19" s="178">
        <f t="shared" si="49"/>
        <v>0</v>
      </c>
      <c r="EC19" s="177">
        <f t="shared" si="22"/>
        <v>1792317.2999333376</v>
      </c>
      <c r="ED19" s="177">
        <f t="shared" si="23"/>
        <v>375618.67298666661</v>
      </c>
      <c r="EE19" s="177">
        <f t="shared" si="24"/>
        <v>0</v>
      </c>
    </row>
    <row r="20" spans="1:135" x14ac:dyDescent="0.2">
      <c r="A20" s="260" t="s">
        <v>250</v>
      </c>
      <c r="B20" s="261">
        <v>36</v>
      </c>
      <c r="C20" s="262">
        <v>483.48</v>
      </c>
      <c r="D20" s="263">
        <v>7153.0942872100713</v>
      </c>
      <c r="E20" s="310">
        <v>3493085.3495542053</v>
      </c>
      <c r="J20" s="106">
        <v>268069.40999999997</v>
      </c>
      <c r="K20" s="106">
        <v>39970.269999999997</v>
      </c>
      <c r="L20" s="106">
        <f t="shared" si="25"/>
        <v>308039.67999999999</v>
      </c>
      <c r="P20" s="3758"/>
      <c r="Q20" s="265">
        <v>0</v>
      </c>
      <c r="R20" s="266">
        <f t="shared" si="13"/>
        <v>36</v>
      </c>
      <c r="S20" s="267">
        <v>0</v>
      </c>
      <c r="T20" s="245"/>
      <c r="U20" s="245"/>
      <c r="V20" s="267">
        <v>0</v>
      </c>
      <c r="W20" s="268">
        <f t="shared" si="26"/>
        <v>0</v>
      </c>
      <c r="X20" s="222"/>
      <c r="Y20" s="269">
        <v>0</v>
      </c>
      <c r="Z20" s="266">
        <f t="shared" si="14"/>
        <v>36</v>
      </c>
      <c r="AA20" s="267">
        <v>0</v>
      </c>
      <c r="AB20" s="267">
        <v>0</v>
      </c>
      <c r="AC20" s="267">
        <v>0</v>
      </c>
      <c r="AD20" s="267">
        <v>0</v>
      </c>
      <c r="AE20" s="268">
        <f t="shared" si="27"/>
        <v>0</v>
      </c>
      <c r="AF20" s="222"/>
      <c r="AG20" s="269">
        <v>0</v>
      </c>
      <c r="AH20" s="266">
        <f t="shared" si="28"/>
        <v>36</v>
      </c>
      <c r="AI20" s="267">
        <v>0</v>
      </c>
      <c r="AJ20" s="267">
        <v>0</v>
      </c>
      <c r="AK20" s="267">
        <v>0</v>
      </c>
      <c r="AL20" s="267">
        <v>0</v>
      </c>
      <c r="AM20" s="268">
        <f t="shared" si="29"/>
        <v>0</v>
      </c>
      <c r="AN20" s="222"/>
      <c r="AO20" s="269">
        <v>0</v>
      </c>
      <c r="AP20" s="266">
        <f t="shared" si="30"/>
        <v>36</v>
      </c>
      <c r="AQ20" s="267">
        <v>0</v>
      </c>
      <c r="AR20" s="267">
        <v>0</v>
      </c>
      <c r="AS20" s="267">
        <v>0</v>
      </c>
      <c r="AT20" s="267">
        <v>0</v>
      </c>
      <c r="AU20" s="268">
        <f t="shared" si="50"/>
        <v>0</v>
      </c>
      <c r="AV20" s="222"/>
      <c r="AW20" s="269">
        <v>0</v>
      </c>
      <c r="AX20" s="266">
        <f t="shared" si="31"/>
        <v>36</v>
      </c>
      <c r="AY20" s="267">
        <v>0</v>
      </c>
      <c r="AZ20" s="267">
        <v>0</v>
      </c>
      <c r="BA20" s="267">
        <v>0</v>
      </c>
      <c r="BB20" s="267">
        <v>0</v>
      </c>
      <c r="BC20" s="268">
        <f t="shared" si="32"/>
        <v>0</v>
      </c>
      <c r="BD20" s="222"/>
      <c r="BE20" s="269">
        <v>0</v>
      </c>
      <c r="BF20" s="266">
        <f t="shared" si="33"/>
        <v>36</v>
      </c>
      <c r="BG20" s="267">
        <v>0</v>
      </c>
      <c r="BH20" s="267">
        <v>0</v>
      </c>
      <c r="BI20" s="267">
        <v>0</v>
      </c>
      <c r="BJ20" s="267">
        <v>0</v>
      </c>
      <c r="BK20" s="268">
        <f t="shared" si="51"/>
        <v>0</v>
      </c>
      <c r="BL20" s="222"/>
      <c r="BM20" s="269">
        <v>0</v>
      </c>
      <c r="BN20" s="266">
        <f t="shared" si="34"/>
        <v>36</v>
      </c>
      <c r="BO20" s="267">
        <v>0</v>
      </c>
      <c r="BP20" s="267">
        <v>0</v>
      </c>
      <c r="BQ20" s="267">
        <v>0</v>
      </c>
      <c r="BR20" s="267">
        <f t="shared" si="52"/>
        <v>0</v>
      </c>
      <c r="BS20" s="268">
        <f t="shared" si="35"/>
        <v>0</v>
      </c>
      <c r="BT20" s="222"/>
      <c r="BU20" s="269">
        <v>0</v>
      </c>
      <c r="BV20" s="266">
        <f t="shared" si="15"/>
        <v>36</v>
      </c>
      <c r="BW20" s="267"/>
      <c r="BX20" s="267">
        <v>0</v>
      </c>
      <c r="BY20" s="267">
        <v>0</v>
      </c>
      <c r="BZ20" s="267">
        <f t="shared" si="53"/>
        <v>0</v>
      </c>
      <c r="CA20" s="268">
        <f t="shared" si="36"/>
        <v>0</v>
      </c>
      <c r="CB20" s="222"/>
      <c r="CC20" s="269"/>
      <c r="CD20" s="266">
        <f t="shared" si="16"/>
        <v>36</v>
      </c>
      <c r="CE20" s="267"/>
      <c r="CF20" s="267"/>
      <c r="CG20" s="267"/>
      <c r="CH20" s="267">
        <f t="shared" si="54"/>
        <v>0</v>
      </c>
      <c r="CI20" s="268">
        <f t="shared" si="37"/>
        <v>0</v>
      </c>
      <c r="CJ20" s="222"/>
      <c r="CK20" s="269">
        <v>0</v>
      </c>
      <c r="CL20" s="266">
        <f t="shared" si="17"/>
        <v>36</v>
      </c>
      <c r="CM20" s="267"/>
      <c r="CN20" s="267">
        <v>0</v>
      </c>
      <c r="CO20" s="267">
        <v>0</v>
      </c>
      <c r="CP20" s="267">
        <f t="shared" si="55"/>
        <v>0</v>
      </c>
      <c r="CQ20" s="268">
        <f t="shared" si="38"/>
        <v>0</v>
      </c>
      <c r="CR20" s="222"/>
      <c r="CS20" s="269">
        <v>0</v>
      </c>
      <c r="CT20" s="266">
        <f t="shared" si="18"/>
        <v>36</v>
      </c>
      <c r="CU20" s="267">
        <v>0</v>
      </c>
      <c r="CV20" s="267">
        <v>0</v>
      </c>
      <c r="CW20" s="267">
        <v>0</v>
      </c>
      <c r="CX20" s="267">
        <f t="shared" si="56"/>
        <v>0</v>
      </c>
      <c r="CY20" s="268">
        <f t="shared" si="39"/>
        <v>0</v>
      </c>
      <c r="CZ20" s="222"/>
      <c r="DA20" s="269">
        <v>0</v>
      </c>
      <c r="DB20" s="266">
        <f t="shared" si="19"/>
        <v>36</v>
      </c>
      <c r="DC20" s="267">
        <v>0</v>
      </c>
      <c r="DD20" s="267">
        <v>0</v>
      </c>
      <c r="DE20" s="267">
        <v>0</v>
      </c>
      <c r="DF20" s="267">
        <f t="shared" si="57"/>
        <v>0</v>
      </c>
      <c r="DG20" s="268">
        <f t="shared" si="40"/>
        <v>0</v>
      </c>
      <c r="DH20" s="222"/>
      <c r="DI20" s="1761">
        <f t="shared" si="41"/>
        <v>0</v>
      </c>
      <c r="DJ20" s="266">
        <f t="shared" si="20"/>
        <v>36</v>
      </c>
      <c r="DK20" s="267">
        <f t="shared" si="42"/>
        <v>0</v>
      </c>
      <c r="DL20" s="1770">
        <f t="shared" si="43"/>
        <v>0</v>
      </c>
      <c r="DM20" s="1765">
        <f t="shared" si="43"/>
        <v>0</v>
      </c>
      <c r="DN20" s="267">
        <f t="shared" si="58"/>
        <v>0</v>
      </c>
      <c r="DO20" s="268">
        <f t="shared" si="44"/>
        <v>0</v>
      </c>
      <c r="DP20" s="222"/>
      <c r="DS20" s="311">
        <v>177.5</v>
      </c>
      <c r="DT20" s="259">
        <v>7.4936920000000002</v>
      </c>
      <c r="DU20" s="176">
        <f t="shared" si="21"/>
        <v>643091.41194839997</v>
      </c>
      <c r="DV20" s="176">
        <f t="shared" si="45"/>
        <v>2820646.8611542052</v>
      </c>
      <c r="DW20" s="176">
        <f t="shared" si="46"/>
        <v>2177555.4492058051</v>
      </c>
      <c r="DX20" s="177">
        <v>187.95</v>
      </c>
      <c r="DZ20" s="177">
        <f t="shared" si="47"/>
        <v>3493085.3495542053</v>
      </c>
      <c r="EA20" s="178">
        <f t="shared" si="48"/>
        <v>3493085.3495542053</v>
      </c>
      <c r="EB20" s="178">
        <f t="shared" si="49"/>
        <v>0</v>
      </c>
      <c r="EC20" s="177">
        <f t="shared" si="22"/>
        <v>2820646.8611542052</v>
      </c>
      <c r="ED20" s="177">
        <f t="shared" si="23"/>
        <v>672438.48839999991</v>
      </c>
      <c r="EE20" s="177">
        <f t="shared" si="24"/>
        <v>0</v>
      </c>
    </row>
    <row r="21" spans="1:135" x14ac:dyDescent="0.2">
      <c r="A21" s="1781" t="s">
        <v>251</v>
      </c>
      <c r="B21" s="261">
        <v>4</v>
      </c>
      <c r="C21" s="262">
        <v>48.62</v>
      </c>
      <c r="D21" s="263">
        <v>7153.0942872100713</v>
      </c>
      <c r="E21" s="310">
        <v>348811.64304465015</v>
      </c>
      <c r="J21" s="106">
        <v>248102.1</v>
      </c>
      <c r="K21" s="106">
        <v>167546.81</v>
      </c>
      <c r="L21" s="106">
        <f t="shared" si="25"/>
        <v>415648.91000000003</v>
      </c>
      <c r="P21" s="3758"/>
      <c r="Q21" s="265">
        <v>0</v>
      </c>
      <c r="R21" s="266">
        <f t="shared" si="13"/>
        <v>4</v>
      </c>
      <c r="S21" s="267">
        <v>0</v>
      </c>
      <c r="T21" s="245"/>
      <c r="U21" s="245"/>
      <c r="V21" s="267">
        <v>0</v>
      </c>
      <c r="W21" s="268">
        <f t="shared" si="26"/>
        <v>0</v>
      </c>
      <c r="X21" s="222"/>
      <c r="Y21" s="269">
        <v>0</v>
      </c>
      <c r="Z21" s="266">
        <f t="shared" si="14"/>
        <v>4</v>
      </c>
      <c r="AA21" s="267">
        <v>0</v>
      </c>
      <c r="AB21" s="267">
        <v>0</v>
      </c>
      <c r="AC21" s="267">
        <v>0</v>
      </c>
      <c r="AD21" s="267">
        <v>0</v>
      </c>
      <c r="AE21" s="268">
        <f t="shared" si="27"/>
        <v>0</v>
      </c>
      <c r="AF21" s="222"/>
      <c r="AG21" s="269">
        <v>0</v>
      </c>
      <c r="AH21" s="266">
        <f t="shared" si="28"/>
        <v>4</v>
      </c>
      <c r="AI21" s="267">
        <v>0</v>
      </c>
      <c r="AJ21" s="267">
        <v>0</v>
      </c>
      <c r="AK21" s="267">
        <v>0</v>
      </c>
      <c r="AL21" s="267">
        <v>0</v>
      </c>
      <c r="AM21" s="268">
        <f t="shared" si="29"/>
        <v>0</v>
      </c>
      <c r="AN21" s="222"/>
      <c r="AO21" s="269">
        <v>0</v>
      </c>
      <c r="AP21" s="266">
        <f t="shared" si="30"/>
        <v>4</v>
      </c>
      <c r="AQ21" s="267">
        <v>0</v>
      </c>
      <c r="AR21" s="267">
        <v>0</v>
      </c>
      <c r="AS21" s="267">
        <v>0</v>
      </c>
      <c r="AT21" s="267">
        <v>0</v>
      </c>
      <c r="AU21" s="268">
        <f t="shared" si="50"/>
        <v>0</v>
      </c>
      <c r="AV21" s="222"/>
      <c r="AW21" s="269">
        <v>0</v>
      </c>
      <c r="AX21" s="266">
        <f t="shared" si="31"/>
        <v>4</v>
      </c>
      <c r="AY21" s="267">
        <v>0</v>
      </c>
      <c r="AZ21" s="267">
        <v>0</v>
      </c>
      <c r="BA21" s="267">
        <v>0</v>
      </c>
      <c r="BB21" s="267">
        <v>0</v>
      </c>
      <c r="BC21" s="268">
        <f t="shared" si="32"/>
        <v>0</v>
      </c>
      <c r="BD21" s="222"/>
      <c r="BE21" s="269">
        <v>0</v>
      </c>
      <c r="BF21" s="266">
        <f t="shared" si="33"/>
        <v>4</v>
      </c>
      <c r="BG21" s="267">
        <v>0</v>
      </c>
      <c r="BH21" s="267">
        <v>0</v>
      </c>
      <c r="BI21" s="267">
        <v>0</v>
      </c>
      <c r="BJ21" s="267">
        <v>0</v>
      </c>
      <c r="BK21" s="268">
        <f t="shared" si="51"/>
        <v>0</v>
      </c>
      <c r="BL21" s="222"/>
      <c r="BM21" s="269">
        <v>0</v>
      </c>
      <c r="BN21" s="266">
        <f t="shared" si="34"/>
        <v>4</v>
      </c>
      <c r="BO21" s="267">
        <v>0</v>
      </c>
      <c r="BP21" s="267">
        <v>0</v>
      </c>
      <c r="BQ21" s="267">
        <v>0</v>
      </c>
      <c r="BR21" s="267">
        <f t="shared" si="52"/>
        <v>0</v>
      </c>
      <c r="BS21" s="268">
        <f t="shared" si="35"/>
        <v>0</v>
      </c>
      <c r="BT21" s="222"/>
      <c r="BU21" s="269">
        <v>0</v>
      </c>
      <c r="BV21" s="266">
        <f t="shared" si="15"/>
        <v>4</v>
      </c>
      <c r="BW21" s="267"/>
      <c r="BX21" s="267">
        <v>0</v>
      </c>
      <c r="BY21" s="267">
        <v>0</v>
      </c>
      <c r="BZ21" s="267">
        <f t="shared" si="53"/>
        <v>0</v>
      </c>
      <c r="CA21" s="268">
        <f t="shared" si="36"/>
        <v>0</v>
      </c>
      <c r="CB21" s="222"/>
      <c r="CC21" s="269"/>
      <c r="CD21" s="266">
        <f t="shared" si="16"/>
        <v>4</v>
      </c>
      <c r="CE21" s="267"/>
      <c r="CF21" s="267"/>
      <c r="CG21" s="267"/>
      <c r="CH21" s="267">
        <f t="shared" si="54"/>
        <v>0</v>
      </c>
      <c r="CI21" s="268">
        <f t="shared" si="37"/>
        <v>0</v>
      </c>
      <c r="CJ21" s="222"/>
      <c r="CK21" s="269">
        <v>0</v>
      </c>
      <c r="CL21" s="266">
        <f t="shared" si="17"/>
        <v>4</v>
      </c>
      <c r="CM21" s="267"/>
      <c r="CN21" s="267">
        <v>0</v>
      </c>
      <c r="CO21" s="267">
        <v>0</v>
      </c>
      <c r="CP21" s="267">
        <f t="shared" si="55"/>
        <v>0</v>
      </c>
      <c r="CQ21" s="268">
        <f t="shared" si="38"/>
        <v>0</v>
      </c>
      <c r="CR21" s="222"/>
      <c r="CS21" s="269">
        <v>0</v>
      </c>
      <c r="CT21" s="266">
        <f t="shared" si="18"/>
        <v>4</v>
      </c>
      <c r="CU21" s="267">
        <v>0</v>
      </c>
      <c r="CV21" s="267">
        <v>0</v>
      </c>
      <c r="CW21" s="267">
        <v>0</v>
      </c>
      <c r="CX21" s="267">
        <f t="shared" si="56"/>
        <v>0</v>
      </c>
      <c r="CY21" s="268">
        <f t="shared" si="39"/>
        <v>0</v>
      </c>
      <c r="CZ21" s="222"/>
      <c r="DA21" s="269">
        <v>0</v>
      </c>
      <c r="DB21" s="266">
        <f t="shared" si="19"/>
        <v>4</v>
      </c>
      <c r="DC21" s="267">
        <v>0</v>
      </c>
      <c r="DD21" s="267">
        <v>0</v>
      </c>
      <c r="DE21" s="267">
        <v>0</v>
      </c>
      <c r="DF21" s="267">
        <f t="shared" si="57"/>
        <v>0</v>
      </c>
      <c r="DG21" s="268">
        <f t="shared" si="40"/>
        <v>0</v>
      </c>
      <c r="DH21" s="222"/>
      <c r="DI21" s="1761">
        <f t="shared" si="41"/>
        <v>0</v>
      </c>
      <c r="DJ21" s="266">
        <f t="shared" si="20"/>
        <v>4</v>
      </c>
      <c r="DK21" s="267">
        <f t="shared" si="42"/>
        <v>0</v>
      </c>
      <c r="DL21" s="1770">
        <f t="shared" si="43"/>
        <v>0</v>
      </c>
      <c r="DM21" s="1765">
        <f t="shared" si="43"/>
        <v>0</v>
      </c>
      <c r="DN21" s="267">
        <f t="shared" si="58"/>
        <v>0</v>
      </c>
      <c r="DO21" s="268">
        <f t="shared" si="44"/>
        <v>0</v>
      </c>
      <c r="DP21" s="222"/>
      <c r="DS21" s="311">
        <v>193.14</v>
      </c>
      <c r="DT21" s="259">
        <v>7.4936920000000002</v>
      </c>
      <c r="DU21" s="176">
        <f t="shared" si="21"/>
        <v>70369.265935425588</v>
      </c>
      <c r="DV21" s="176">
        <f t="shared" si="45"/>
        <v>289518.58064465015</v>
      </c>
      <c r="DW21" s="176">
        <f t="shared" si="46"/>
        <v>219149.31470922456</v>
      </c>
      <c r="DX21" s="177">
        <v>164.8</v>
      </c>
      <c r="DZ21" s="177">
        <f t="shared" si="47"/>
        <v>348811.64304465015</v>
      </c>
      <c r="EA21" s="178">
        <f t="shared" si="48"/>
        <v>348811.64304465015</v>
      </c>
      <c r="EB21" s="178">
        <f t="shared" si="49"/>
        <v>0</v>
      </c>
      <c r="EC21" s="177">
        <f t="shared" si="22"/>
        <v>289518.58064465015</v>
      </c>
      <c r="ED21" s="177">
        <f t="shared" si="23"/>
        <v>59293.062400000003</v>
      </c>
      <c r="EE21" s="177">
        <f t="shared" si="24"/>
        <v>0</v>
      </c>
    </row>
    <row r="22" spans="1:135" x14ac:dyDescent="0.2">
      <c r="A22" s="260" t="s">
        <v>252</v>
      </c>
      <c r="B22" s="261">
        <v>32</v>
      </c>
      <c r="C22" s="262">
        <v>389.5</v>
      </c>
      <c r="D22" s="263">
        <v>7153.0942872100713</v>
      </c>
      <c r="E22" s="310">
        <v>2918036.3580614836</v>
      </c>
      <c r="J22" s="106">
        <v>516885.84</v>
      </c>
      <c r="K22" s="106">
        <v>308575.87</v>
      </c>
      <c r="L22" s="106">
        <f t="shared" si="25"/>
        <v>825461.71</v>
      </c>
      <c r="P22" s="3758"/>
      <c r="Q22" s="265">
        <v>0</v>
      </c>
      <c r="R22" s="266">
        <f t="shared" si="13"/>
        <v>32</v>
      </c>
      <c r="S22" s="267">
        <v>0</v>
      </c>
      <c r="T22" s="245"/>
      <c r="U22" s="245"/>
      <c r="V22" s="267">
        <v>0</v>
      </c>
      <c r="W22" s="268">
        <f t="shared" si="26"/>
        <v>0</v>
      </c>
      <c r="X22" s="222"/>
      <c r="Y22" s="269">
        <v>0</v>
      </c>
      <c r="Z22" s="266">
        <f t="shared" si="14"/>
        <v>32</v>
      </c>
      <c r="AA22" s="267">
        <v>0</v>
      </c>
      <c r="AB22" s="267">
        <v>0</v>
      </c>
      <c r="AC22" s="267">
        <v>0</v>
      </c>
      <c r="AD22" s="267">
        <v>0</v>
      </c>
      <c r="AE22" s="268">
        <f t="shared" si="27"/>
        <v>0</v>
      </c>
      <c r="AF22" s="222"/>
      <c r="AG22" s="269">
        <v>0</v>
      </c>
      <c r="AH22" s="266">
        <f t="shared" si="28"/>
        <v>32</v>
      </c>
      <c r="AI22" s="267">
        <v>0</v>
      </c>
      <c r="AJ22" s="267">
        <v>0</v>
      </c>
      <c r="AK22" s="267">
        <v>0</v>
      </c>
      <c r="AL22" s="267">
        <v>0</v>
      </c>
      <c r="AM22" s="268">
        <f t="shared" si="29"/>
        <v>0</v>
      </c>
      <c r="AN22" s="222"/>
      <c r="AO22" s="269">
        <v>0</v>
      </c>
      <c r="AP22" s="266">
        <f t="shared" si="30"/>
        <v>32</v>
      </c>
      <c r="AQ22" s="267">
        <v>0</v>
      </c>
      <c r="AR22" s="267">
        <v>0</v>
      </c>
      <c r="AS22" s="267">
        <v>0</v>
      </c>
      <c r="AT22" s="267">
        <v>0</v>
      </c>
      <c r="AU22" s="268">
        <f t="shared" si="50"/>
        <v>0</v>
      </c>
      <c r="AV22" s="222"/>
      <c r="AW22" s="269">
        <v>0</v>
      </c>
      <c r="AX22" s="266">
        <f t="shared" si="31"/>
        <v>32</v>
      </c>
      <c r="AY22" s="267">
        <v>0</v>
      </c>
      <c r="AZ22" s="267">
        <v>0</v>
      </c>
      <c r="BA22" s="267">
        <v>0</v>
      </c>
      <c r="BB22" s="267">
        <v>0</v>
      </c>
      <c r="BC22" s="268">
        <f t="shared" si="32"/>
        <v>0</v>
      </c>
      <c r="BD22" s="222"/>
      <c r="BE22" s="269">
        <v>0</v>
      </c>
      <c r="BF22" s="266">
        <f t="shared" si="33"/>
        <v>32</v>
      </c>
      <c r="BG22" s="267">
        <v>0</v>
      </c>
      <c r="BH22" s="267">
        <v>0</v>
      </c>
      <c r="BI22" s="267">
        <v>0</v>
      </c>
      <c r="BJ22" s="267">
        <v>0</v>
      </c>
      <c r="BK22" s="268">
        <f t="shared" si="51"/>
        <v>0</v>
      </c>
      <c r="BL22" s="222"/>
      <c r="BM22" s="269">
        <v>0</v>
      </c>
      <c r="BN22" s="266">
        <f t="shared" si="34"/>
        <v>32</v>
      </c>
      <c r="BO22" s="267">
        <v>0</v>
      </c>
      <c r="BP22" s="267">
        <v>0</v>
      </c>
      <c r="BQ22" s="267">
        <v>0</v>
      </c>
      <c r="BR22" s="267">
        <f t="shared" si="52"/>
        <v>0</v>
      </c>
      <c r="BS22" s="268">
        <f t="shared" si="35"/>
        <v>0</v>
      </c>
      <c r="BT22" s="222"/>
      <c r="BU22" s="269">
        <v>0</v>
      </c>
      <c r="BV22" s="266">
        <f t="shared" si="15"/>
        <v>32</v>
      </c>
      <c r="BW22" s="267"/>
      <c r="BX22" s="267">
        <v>0</v>
      </c>
      <c r="BY22" s="267">
        <v>0</v>
      </c>
      <c r="BZ22" s="267">
        <f t="shared" si="53"/>
        <v>0</v>
      </c>
      <c r="CA22" s="268">
        <f t="shared" si="36"/>
        <v>0</v>
      </c>
      <c r="CB22" s="222"/>
      <c r="CC22" s="269"/>
      <c r="CD22" s="266">
        <f t="shared" si="16"/>
        <v>32</v>
      </c>
      <c r="CE22" s="267"/>
      <c r="CF22" s="267"/>
      <c r="CG22" s="267"/>
      <c r="CH22" s="267">
        <f t="shared" si="54"/>
        <v>0</v>
      </c>
      <c r="CI22" s="268">
        <f t="shared" si="37"/>
        <v>0</v>
      </c>
      <c r="CJ22" s="222"/>
      <c r="CK22" s="269">
        <v>0</v>
      </c>
      <c r="CL22" s="266">
        <f t="shared" si="17"/>
        <v>32</v>
      </c>
      <c r="CM22" s="267"/>
      <c r="CN22" s="267">
        <v>0</v>
      </c>
      <c r="CO22" s="267">
        <v>0</v>
      </c>
      <c r="CP22" s="267">
        <f t="shared" si="55"/>
        <v>0</v>
      </c>
      <c r="CQ22" s="268">
        <f t="shared" si="38"/>
        <v>0</v>
      </c>
      <c r="CR22" s="222"/>
      <c r="CS22" s="269">
        <v>0</v>
      </c>
      <c r="CT22" s="266">
        <f t="shared" si="18"/>
        <v>32</v>
      </c>
      <c r="CU22" s="267">
        <v>0</v>
      </c>
      <c r="CV22" s="267">
        <v>0</v>
      </c>
      <c r="CW22" s="267">
        <v>0</v>
      </c>
      <c r="CX22" s="267">
        <f t="shared" si="56"/>
        <v>0</v>
      </c>
      <c r="CY22" s="268">
        <f t="shared" si="39"/>
        <v>0</v>
      </c>
      <c r="CZ22" s="222"/>
      <c r="DA22" s="269">
        <v>0</v>
      </c>
      <c r="DB22" s="266">
        <f t="shared" si="19"/>
        <v>32</v>
      </c>
      <c r="DC22" s="267">
        <v>0</v>
      </c>
      <c r="DD22" s="267">
        <v>0</v>
      </c>
      <c r="DE22" s="267">
        <v>0</v>
      </c>
      <c r="DF22" s="267">
        <f t="shared" si="57"/>
        <v>0</v>
      </c>
      <c r="DG22" s="268">
        <f t="shared" si="40"/>
        <v>0</v>
      </c>
      <c r="DH22" s="222"/>
      <c r="DI22" s="1761">
        <f t="shared" si="41"/>
        <v>0</v>
      </c>
      <c r="DJ22" s="266">
        <f t="shared" si="20"/>
        <v>32</v>
      </c>
      <c r="DK22" s="267">
        <f t="shared" si="42"/>
        <v>0</v>
      </c>
      <c r="DL22" s="1770">
        <f t="shared" si="43"/>
        <v>0</v>
      </c>
      <c r="DM22" s="1765">
        <f t="shared" si="43"/>
        <v>0</v>
      </c>
      <c r="DN22" s="267">
        <f t="shared" si="58"/>
        <v>0</v>
      </c>
      <c r="DO22" s="268">
        <f t="shared" si="44"/>
        <v>0</v>
      </c>
      <c r="DP22" s="222"/>
      <c r="DS22" s="311">
        <v>165.22</v>
      </c>
      <c r="DT22" s="259">
        <v>7.3835319999999998</v>
      </c>
      <c r="DU22" s="176">
        <f t="shared" si="21"/>
        <v>475153.83766707999</v>
      </c>
      <c r="DV22" s="176">
        <f t="shared" si="45"/>
        <v>2346159.2150614839</v>
      </c>
      <c r="DW22" s="176">
        <f t="shared" si="46"/>
        <v>1871005.3773944038</v>
      </c>
      <c r="DX22" s="177">
        <v>198.41</v>
      </c>
      <c r="DZ22" s="177">
        <f t="shared" si="47"/>
        <v>2918036.3580614836</v>
      </c>
      <c r="EA22" s="178">
        <f t="shared" si="48"/>
        <v>2918036.3580614841</v>
      </c>
      <c r="EB22" s="178">
        <f t="shared" si="49"/>
        <v>0</v>
      </c>
      <c r="EC22" s="177">
        <f t="shared" si="22"/>
        <v>2346159.2150614839</v>
      </c>
      <c r="ED22" s="177">
        <f t="shared" si="23"/>
        <v>571877.14299999992</v>
      </c>
      <c r="EE22" s="177">
        <f t="shared" si="24"/>
        <v>0</v>
      </c>
    </row>
    <row r="23" spans="1:135" x14ac:dyDescent="0.2">
      <c r="A23" s="260" t="s">
        <v>253</v>
      </c>
      <c r="B23" s="261">
        <v>32</v>
      </c>
      <c r="C23" s="262">
        <v>406.04404494382021</v>
      </c>
      <c r="D23" s="263">
        <v>7153.0942872100713</v>
      </c>
      <c r="E23" s="310">
        <v>3096490.253101842</v>
      </c>
      <c r="J23" s="106">
        <v>725302.16</v>
      </c>
      <c r="K23" s="106">
        <v>564310.15</v>
      </c>
      <c r="L23" s="106">
        <f t="shared" si="25"/>
        <v>1289612.31</v>
      </c>
      <c r="P23" s="3758"/>
      <c r="Q23" s="265">
        <v>1</v>
      </c>
      <c r="R23" s="266">
        <f t="shared" si="13"/>
        <v>31</v>
      </c>
      <c r="S23" s="267">
        <v>60396.68</v>
      </c>
      <c r="T23" s="245">
        <v>14883.79</v>
      </c>
      <c r="U23" s="245">
        <v>15006.26</v>
      </c>
      <c r="V23" s="267">
        <v>29890.04</v>
      </c>
      <c r="W23" s="268">
        <f t="shared" si="26"/>
        <v>120176.76999999999</v>
      </c>
      <c r="X23" s="222"/>
      <c r="Y23" s="269">
        <v>0</v>
      </c>
      <c r="Z23" s="266">
        <f t="shared" si="14"/>
        <v>31</v>
      </c>
      <c r="AA23" s="267">
        <v>0</v>
      </c>
      <c r="AB23" s="267">
        <v>0</v>
      </c>
      <c r="AC23" s="267">
        <v>0</v>
      </c>
      <c r="AD23" s="267">
        <v>0</v>
      </c>
      <c r="AE23" s="268">
        <f t="shared" si="27"/>
        <v>0</v>
      </c>
      <c r="AF23" s="222"/>
      <c r="AG23" s="269">
        <v>0</v>
      </c>
      <c r="AH23" s="266">
        <f t="shared" si="28"/>
        <v>31</v>
      </c>
      <c r="AI23" s="267">
        <v>0</v>
      </c>
      <c r="AJ23" s="267">
        <v>0</v>
      </c>
      <c r="AK23" s="267">
        <v>0</v>
      </c>
      <c r="AL23" s="267">
        <v>0</v>
      </c>
      <c r="AM23" s="268">
        <f t="shared" si="29"/>
        <v>0</v>
      </c>
      <c r="AN23" s="222"/>
      <c r="AO23" s="269">
        <v>1</v>
      </c>
      <c r="AP23" s="266">
        <f t="shared" si="30"/>
        <v>30</v>
      </c>
      <c r="AQ23" s="267">
        <v>37383.65</v>
      </c>
      <c r="AR23" s="267">
        <v>14945.32</v>
      </c>
      <c r="AS23" s="267">
        <v>15068.29</v>
      </c>
      <c r="AT23" s="267">
        <v>30013.61</v>
      </c>
      <c r="AU23" s="268">
        <f t="shared" si="50"/>
        <v>67397.260000000009</v>
      </c>
      <c r="AV23" s="222"/>
      <c r="AW23" s="269">
        <v>0</v>
      </c>
      <c r="AX23" s="266">
        <f t="shared" si="31"/>
        <v>30</v>
      </c>
      <c r="AY23" s="267">
        <v>0</v>
      </c>
      <c r="AZ23" s="267">
        <v>0</v>
      </c>
      <c r="BA23" s="267">
        <v>0</v>
      </c>
      <c r="BB23" s="267">
        <v>0</v>
      </c>
      <c r="BC23" s="268">
        <f t="shared" si="32"/>
        <v>0</v>
      </c>
      <c r="BD23" s="222"/>
      <c r="BE23" s="269">
        <v>0</v>
      </c>
      <c r="BF23" s="266">
        <f t="shared" si="33"/>
        <v>30</v>
      </c>
      <c r="BG23" s="267">
        <v>0</v>
      </c>
      <c r="BH23" s="267">
        <v>0</v>
      </c>
      <c r="BI23" s="267">
        <v>0</v>
      </c>
      <c r="BJ23" s="267">
        <v>0</v>
      </c>
      <c r="BK23" s="268">
        <f t="shared" si="51"/>
        <v>0</v>
      </c>
      <c r="BL23" s="222"/>
      <c r="BM23" s="269">
        <v>0</v>
      </c>
      <c r="BN23" s="266">
        <f t="shared" si="34"/>
        <v>30</v>
      </c>
      <c r="BO23" s="267">
        <v>0</v>
      </c>
      <c r="BP23" s="267">
        <v>0</v>
      </c>
      <c r="BQ23" s="267">
        <v>0</v>
      </c>
      <c r="BR23" s="267">
        <f t="shared" si="52"/>
        <v>0</v>
      </c>
      <c r="BS23" s="268">
        <f t="shared" si="35"/>
        <v>0</v>
      </c>
      <c r="BT23" s="222"/>
      <c r="BU23" s="269">
        <v>0</v>
      </c>
      <c r="BV23" s="266">
        <f t="shared" si="15"/>
        <v>30</v>
      </c>
      <c r="BW23" s="267"/>
      <c r="BX23" s="267">
        <v>0</v>
      </c>
      <c r="BY23" s="267">
        <v>0</v>
      </c>
      <c r="BZ23" s="267">
        <f t="shared" si="53"/>
        <v>0</v>
      </c>
      <c r="CA23" s="268">
        <f t="shared" si="36"/>
        <v>0</v>
      </c>
      <c r="CB23" s="222"/>
      <c r="CC23" s="269"/>
      <c r="CD23" s="266">
        <f t="shared" si="16"/>
        <v>30</v>
      </c>
      <c r="CE23" s="267"/>
      <c r="CF23" s="267"/>
      <c r="CG23" s="267"/>
      <c r="CH23" s="267">
        <f t="shared" si="54"/>
        <v>0</v>
      </c>
      <c r="CI23" s="268">
        <f t="shared" si="37"/>
        <v>0</v>
      </c>
      <c r="CJ23" s="222"/>
      <c r="CK23" s="269">
        <v>0</v>
      </c>
      <c r="CL23" s="266">
        <f t="shared" si="17"/>
        <v>30</v>
      </c>
      <c r="CM23" s="267"/>
      <c r="CN23" s="267">
        <v>0</v>
      </c>
      <c r="CO23" s="267">
        <v>0</v>
      </c>
      <c r="CP23" s="267">
        <f t="shared" si="55"/>
        <v>0</v>
      </c>
      <c r="CQ23" s="268">
        <f t="shared" si="38"/>
        <v>0</v>
      </c>
      <c r="CR23" s="222"/>
      <c r="CS23" s="269">
        <v>0</v>
      </c>
      <c r="CT23" s="266">
        <f t="shared" si="18"/>
        <v>30</v>
      </c>
      <c r="CU23" s="267">
        <v>0</v>
      </c>
      <c r="CV23" s="267">
        <v>0</v>
      </c>
      <c r="CW23" s="267">
        <v>0</v>
      </c>
      <c r="CX23" s="267">
        <f t="shared" si="56"/>
        <v>0</v>
      </c>
      <c r="CY23" s="268">
        <f t="shared" si="39"/>
        <v>0</v>
      </c>
      <c r="CZ23" s="222"/>
      <c r="DA23" s="269">
        <v>0</v>
      </c>
      <c r="DB23" s="266">
        <f t="shared" si="19"/>
        <v>30</v>
      </c>
      <c r="DC23" s="267">
        <v>0</v>
      </c>
      <c r="DD23" s="267">
        <v>0</v>
      </c>
      <c r="DE23" s="267">
        <v>0</v>
      </c>
      <c r="DF23" s="267">
        <f t="shared" si="57"/>
        <v>0</v>
      </c>
      <c r="DG23" s="268">
        <f t="shared" si="40"/>
        <v>0</v>
      </c>
      <c r="DH23" s="222"/>
      <c r="DI23" s="1761">
        <f t="shared" si="41"/>
        <v>2</v>
      </c>
      <c r="DJ23" s="266">
        <f t="shared" si="20"/>
        <v>28</v>
      </c>
      <c r="DK23" s="267">
        <f t="shared" si="42"/>
        <v>97780.33</v>
      </c>
      <c r="DL23" s="1770">
        <f t="shared" si="43"/>
        <v>29829.11</v>
      </c>
      <c r="DM23" s="1765">
        <f t="shared" si="43"/>
        <v>30074.550000000003</v>
      </c>
      <c r="DN23" s="267">
        <f t="shared" si="58"/>
        <v>59903.66</v>
      </c>
      <c r="DO23" s="268">
        <f t="shared" si="44"/>
        <v>217587.65</v>
      </c>
      <c r="DP23" s="222"/>
      <c r="DS23" s="311">
        <v>169.64</v>
      </c>
      <c r="DT23" s="259">
        <v>7.3932549999999999</v>
      </c>
      <c r="DU23" s="176">
        <f t="shared" si="21"/>
        <v>509257.10275561054</v>
      </c>
      <c r="DV23" s="176">
        <f t="shared" si="45"/>
        <v>2475353.3083180217</v>
      </c>
      <c r="DW23" s="176">
        <f t="shared" si="46"/>
        <v>1966096.2055624111</v>
      </c>
      <c r="DX23" s="177">
        <v>206.72</v>
      </c>
      <c r="DZ23" s="177">
        <f t="shared" si="47"/>
        <v>3096490.253101842</v>
      </c>
      <c r="EA23" s="178">
        <f t="shared" si="48"/>
        <v>3096490.253101842</v>
      </c>
      <c r="EB23" s="178">
        <f t="shared" si="49"/>
        <v>0</v>
      </c>
      <c r="EC23" s="177">
        <f t="shared" si="22"/>
        <v>2475353.3083180217</v>
      </c>
      <c r="ED23" s="177">
        <f t="shared" si="23"/>
        <v>621136.94478382019</v>
      </c>
      <c r="EE23" s="177">
        <f t="shared" si="24"/>
        <v>0</v>
      </c>
    </row>
    <row r="24" spans="1:135" x14ac:dyDescent="0.2">
      <c r="A24" s="260" t="s">
        <v>254</v>
      </c>
      <c r="B24" s="261">
        <v>27</v>
      </c>
      <c r="C24" s="262">
        <v>280.54670103092781</v>
      </c>
      <c r="D24" s="263">
        <v>7153.0942872100713</v>
      </c>
      <c r="E24" s="310">
        <v>2022828.8477130025</v>
      </c>
      <c r="J24" s="106">
        <v>253639.21</v>
      </c>
      <c r="K24" s="106">
        <v>436668.81</v>
      </c>
      <c r="L24" s="106">
        <f t="shared" si="25"/>
        <v>690308.02</v>
      </c>
      <c r="P24" s="3758"/>
      <c r="Q24" s="265">
        <v>0</v>
      </c>
      <c r="R24" s="266">
        <f t="shared" si="13"/>
        <v>27</v>
      </c>
      <c r="S24" s="267">
        <v>0</v>
      </c>
      <c r="T24" s="245"/>
      <c r="U24" s="245"/>
      <c r="V24" s="267">
        <v>0</v>
      </c>
      <c r="W24" s="268">
        <f t="shared" si="26"/>
        <v>0</v>
      </c>
      <c r="X24" s="222"/>
      <c r="Y24" s="269">
        <v>0</v>
      </c>
      <c r="Z24" s="266">
        <f t="shared" si="14"/>
        <v>27</v>
      </c>
      <c r="AA24" s="267">
        <v>0</v>
      </c>
      <c r="AB24" s="267">
        <v>0</v>
      </c>
      <c r="AC24" s="267">
        <v>0</v>
      </c>
      <c r="AD24" s="267">
        <v>0</v>
      </c>
      <c r="AE24" s="268">
        <f t="shared" si="27"/>
        <v>0</v>
      </c>
      <c r="AF24" s="222"/>
      <c r="AG24" s="269">
        <v>0</v>
      </c>
      <c r="AH24" s="266">
        <f t="shared" si="28"/>
        <v>27</v>
      </c>
      <c r="AI24" s="267">
        <v>0</v>
      </c>
      <c r="AJ24" s="267">
        <v>0</v>
      </c>
      <c r="AK24" s="267">
        <v>0</v>
      </c>
      <c r="AL24" s="267">
        <v>0</v>
      </c>
      <c r="AM24" s="268">
        <f t="shared" si="29"/>
        <v>0</v>
      </c>
      <c r="AN24" s="222"/>
      <c r="AO24" s="269">
        <v>0</v>
      </c>
      <c r="AP24" s="266">
        <f t="shared" si="30"/>
        <v>27</v>
      </c>
      <c r="AQ24" s="267">
        <v>0</v>
      </c>
      <c r="AR24" s="267">
        <v>0</v>
      </c>
      <c r="AS24" s="267">
        <v>0</v>
      </c>
      <c r="AT24" s="267">
        <v>0</v>
      </c>
      <c r="AU24" s="268">
        <f t="shared" si="50"/>
        <v>0</v>
      </c>
      <c r="AV24" s="222"/>
      <c r="AW24" s="269">
        <v>0</v>
      </c>
      <c r="AX24" s="266">
        <f t="shared" si="31"/>
        <v>27</v>
      </c>
      <c r="AY24" s="267">
        <v>0</v>
      </c>
      <c r="AZ24" s="267">
        <v>0</v>
      </c>
      <c r="BA24" s="267">
        <v>0</v>
      </c>
      <c r="BB24" s="267">
        <v>0</v>
      </c>
      <c r="BC24" s="268">
        <f t="shared" si="32"/>
        <v>0</v>
      </c>
      <c r="BD24" s="222"/>
      <c r="BE24" s="269">
        <v>0</v>
      </c>
      <c r="BF24" s="266">
        <f t="shared" si="33"/>
        <v>27</v>
      </c>
      <c r="BG24" s="267">
        <v>0</v>
      </c>
      <c r="BH24" s="267">
        <v>0</v>
      </c>
      <c r="BI24" s="267">
        <v>0</v>
      </c>
      <c r="BJ24" s="267">
        <v>0</v>
      </c>
      <c r="BK24" s="268">
        <f t="shared" si="51"/>
        <v>0</v>
      </c>
      <c r="BL24" s="222"/>
      <c r="BM24" s="269">
        <v>0</v>
      </c>
      <c r="BN24" s="266">
        <f t="shared" si="34"/>
        <v>27</v>
      </c>
      <c r="BO24" s="267">
        <v>24140.46</v>
      </c>
      <c r="BP24" s="267">
        <v>0</v>
      </c>
      <c r="BQ24" s="267">
        <v>0</v>
      </c>
      <c r="BR24" s="267">
        <f t="shared" si="52"/>
        <v>0</v>
      </c>
      <c r="BS24" s="268">
        <f t="shared" si="35"/>
        <v>24140.46</v>
      </c>
      <c r="BT24" s="222"/>
      <c r="BU24" s="269">
        <v>0</v>
      </c>
      <c r="BV24" s="266">
        <f t="shared" si="15"/>
        <v>27</v>
      </c>
      <c r="BW24" s="267"/>
      <c r="BX24" s="267">
        <v>0</v>
      </c>
      <c r="BY24" s="267">
        <v>0</v>
      </c>
      <c r="BZ24" s="267">
        <f t="shared" si="53"/>
        <v>0</v>
      </c>
      <c r="CA24" s="268">
        <f t="shared" si="36"/>
        <v>0</v>
      </c>
      <c r="CB24" s="222"/>
      <c r="CC24" s="269">
        <v>1</v>
      </c>
      <c r="CD24" s="266">
        <f t="shared" si="16"/>
        <v>26</v>
      </c>
      <c r="CE24" s="267"/>
      <c r="CF24" s="267">
        <v>13004.91</v>
      </c>
      <c r="CG24" s="267">
        <v>13412.89</v>
      </c>
      <c r="CH24" s="267">
        <f t="shared" si="54"/>
        <v>26417.8</v>
      </c>
      <c r="CI24" s="268">
        <f t="shared" si="37"/>
        <v>52835.6</v>
      </c>
      <c r="CJ24" s="222"/>
      <c r="CK24" s="269">
        <v>0</v>
      </c>
      <c r="CL24" s="266">
        <f t="shared" si="17"/>
        <v>26</v>
      </c>
      <c r="CM24" s="267"/>
      <c r="CN24" s="267">
        <v>0</v>
      </c>
      <c r="CO24" s="267">
        <v>0</v>
      </c>
      <c r="CP24" s="267">
        <f t="shared" si="55"/>
        <v>0</v>
      </c>
      <c r="CQ24" s="268">
        <f t="shared" si="38"/>
        <v>0</v>
      </c>
      <c r="CR24" s="222"/>
      <c r="CS24" s="269">
        <v>0</v>
      </c>
      <c r="CT24" s="266">
        <f t="shared" si="18"/>
        <v>26</v>
      </c>
      <c r="CU24" s="267">
        <v>0</v>
      </c>
      <c r="CV24" s="267">
        <v>0</v>
      </c>
      <c r="CW24" s="267">
        <v>0</v>
      </c>
      <c r="CX24" s="267">
        <f t="shared" si="56"/>
        <v>0</v>
      </c>
      <c r="CY24" s="268">
        <f t="shared" si="39"/>
        <v>0</v>
      </c>
      <c r="CZ24" s="222"/>
      <c r="DA24" s="269">
        <v>0</v>
      </c>
      <c r="DB24" s="266">
        <f t="shared" si="19"/>
        <v>26</v>
      </c>
      <c r="DC24" s="267">
        <v>0</v>
      </c>
      <c r="DD24" s="267">
        <v>0</v>
      </c>
      <c r="DE24" s="267">
        <v>0</v>
      </c>
      <c r="DF24" s="267">
        <f t="shared" si="57"/>
        <v>0</v>
      </c>
      <c r="DG24" s="268">
        <f t="shared" si="40"/>
        <v>0</v>
      </c>
      <c r="DH24" s="222"/>
      <c r="DI24" s="1761">
        <f t="shared" si="41"/>
        <v>1</v>
      </c>
      <c r="DJ24" s="266">
        <f t="shared" si="20"/>
        <v>25</v>
      </c>
      <c r="DK24" s="267">
        <f t="shared" si="42"/>
        <v>24140.46</v>
      </c>
      <c r="DL24" s="1770">
        <f t="shared" si="43"/>
        <v>13004.91</v>
      </c>
      <c r="DM24" s="1765">
        <f t="shared" si="43"/>
        <v>13412.89</v>
      </c>
      <c r="DN24" s="267">
        <f t="shared" si="58"/>
        <v>26417.8</v>
      </c>
      <c r="DO24" s="268">
        <f t="shared" si="44"/>
        <v>76976.06</v>
      </c>
      <c r="DP24" s="222"/>
      <c r="DS24" s="311">
        <v>191.03</v>
      </c>
      <c r="DT24" s="259">
        <v>7.3897389999999996</v>
      </c>
      <c r="DU24" s="176">
        <f t="shared" si="21"/>
        <v>396037.0725114891</v>
      </c>
      <c r="DV24" s="176">
        <f t="shared" si="45"/>
        <v>1638075.3189577446</v>
      </c>
      <c r="DW24" s="176">
        <f t="shared" si="46"/>
        <v>1242038.2464462556</v>
      </c>
      <c r="DX24" s="177">
        <v>185.33</v>
      </c>
      <c r="DZ24" s="177">
        <f t="shared" si="47"/>
        <v>2022828.8477130025</v>
      </c>
      <c r="EA24" s="178">
        <f t="shared" si="48"/>
        <v>2022828.8477130025</v>
      </c>
      <c r="EB24" s="178">
        <f t="shared" si="49"/>
        <v>0</v>
      </c>
      <c r="EC24" s="177">
        <f t="shared" si="22"/>
        <v>1638075.3189577446</v>
      </c>
      <c r="ED24" s="177">
        <f t="shared" si="23"/>
        <v>384753.52875525772</v>
      </c>
      <c r="EE24" s="177">
        <f t="shared" si="24"/>
        <v>0</v>
      </c>
    </row>
    <row r="25" spans="1:135" x14ac:dyDescent="0.2">
      <c r="A25" s="260" t="s">
        <v>256</v>
      </c>
      <c r="B25" s="261">
        <v>7</v>
      </c>
      <c r="C25" s="262">
        <v>80.962000000000003</v>
      </c>
      <c r="D25" s="263">
        <v>7153.0942872100713</v>
      </c>
      <c r="E25" s="310">
        <v>586944.49726110534</v>
      </c>
      <c r="P25" s="3758"/>
      <c r="Q25" s="265">
        <v>2</v>
      </c>
      <c r="R25" s="266">
        <f t="shared" si="13"/>
        <v>5</v>
      </c>
      <c r="S25" s="267">
        <v>0</v>
      </c>
      <c r="T25" s="245">
        <f>19315.31+20371.05</f>
        <v>39686.36</v>
      </c>
      <c r="U25" s="245">
        <f>19083.98+22038.86</f>
        <v>41122.839999999997</v>
      </c>
      <c r="V25" s="267">
        <v>80809.210000000006</v>
      </c>
      <c r="W25" s="268">
        <f t="shared" si="26"/>
        <v>161618.41</v>
      </c>
      <c r="X25" s="222"/>
      <c r="Y25" s="269">
        <v>1</v>
      </c>
      <c r="Z25" s="266">
        <f t="shared" si="14"/>
        <v>4</v>
      </c>
      <c r="AA25" s="267">
        <v>-5546.24</v>
      </c>
      <c r="AB25" s="267">
        <v>0</v>
      </c>
      <c r="AC25" s="267">
        <v>0</v>
      </c>
      <c r="AD25" s="267">
        <v>0</v>
      </c>
      <c r="AE25" s="268">
        <f t="shared" si="27"/>
        <v>-5546.24</v>
      </c>
      <c r="AF25" s="222"/>
      <c r="AG25" s="269">
        <v>0</v>
      </c>
      <c r="AH25" s="266">
        <f t="shared" si="28"/>
        <v>4</v>
      </c>
      <c r="AI25" s="267">
        <v>33163.72</v>
      </c>
      <c r="AJ25" s="267">
        <v>0</v>
      </c>
      <c r="AK25" s="267">
        <v>0</v>
      </c>
      <c r="AL25" s="267">
        <v>0</v>
      </c>
      <c r="AM25" s="268">
        <f t="shared" si="29"/>
        <v>33163.72</v>
      </c>
      <c r="AN25" s="222"/>
      <c r="AO25" s="269">
        <v>1</v>
      </c>
      <c r="AP25" s="266">
        <f t="shared" si="30"/>
        <v>3</v>
      </c>
      <c r="AQ25" s="267">
        <v>0</v>
      </c>
      <c r="AR25" s="267">
        <v>13098.45</v>
      </c>
      <c r="AS25" s="267">
        <v>13902.6</v>
      </c>
      <c r="AT25" s="267">
        <v>27001.05</v>
      </c>
      <c r="AU25" s="268">
        <f t="shared" si="50"/>
        <v>27001.05</v>
      </c>
      <c r="AV25" s="222"/>
      <c r="AW25" s="269">
        <v>0</v>
      </c>
      <c r="AX25" s="266">
        <f t="shared" si="31"/>
        <v>3</v>
      </c>
      <c r="AY25" s="267">
        <v>0</v>
      </c>
      <c r="AZ25" s="267">
        <v>0</v>
      </c>
      <c r="BA25" s="267">
        <v>0</v>
      </c>
      <c r="BB25" s="267">
        <v>0</v>
      </c>
      <c r="BC25" s="268">
        <f t="shared" si="32"/>
        <v>0</v>
      </c>
      <c r="BD25" s="222"/>
      <c r="BE25" s="269">
        <v>0</v>
      </c>
      <c r="BF25" s="266">
        <f t="shared" si="33"/>
        <v>3</v>
      </c>
      <c r="BG25" s="267">
        <v>0</v>
      </c>
      <c r="BH25" s="267">
        <v>0</v>
      </c>
      <c r="BI25" s="267">
        <v>0</v>
      </c>
      <c r="BJ25" s="267">
        <v>0</v>
      </c>
      <c r="BK25" s="268">
        <f t="shared" si="51"/>
        <v>0</v>
      </c>
      <c r="BL25" s="222"/>
      <c r="BM25" s="269">
        <v>0</v>
      </c>
      <c r="BN25" s="266">
        <f t="shared" si="34"/>
        <v>3</v>
      </c>
      <c r="BO25" s="267">
        <v>0</v>
      </c>
      <c r="BP25" s="267">
        <v>0</v>
      </c>
      <c r="BQ25" s="267">
        <v>0</v>
      </c>
      <c r="BR25" s="267">
        <f t="shared" si="52"/>
        <v>0</v>
      </c>
      <c r="BS25" s="268">
        <f t="shared" si="35"/>
        <v>0</v>
      </c>
      <c r="BT25" s="222"/>
      <c r="BU25" s="269">
        <v>0</v>
      </c>
      <c r="BV25" s="266">
        <f t="shared" si="15"/>
        <v>3</v>
      </c>
      <c r="BW25" s="267"/>
      <c r="BX25" s="267">
        <v>0</v>
      </c>
      <c r="BY25" s="267">
        <v>0</v>
      </c>
      <c r="BZ25" s="267">
        <f t="shared" si="53"/>
        <v>0</v>
      </c>
      <c r="CA25" s="268">
        <f t="shared" si="36"/>
        <v>0</v>
      </c>
      <c r="CB25" s="222"/>
      <c r="CC25" s="269"/>
      <c r="CD25" s="266">
        <f t="shared" si="16"/>
        <v>3</v>
      </c>
      <c r="CE25" s="267"/>
      <c r="CF25" s="267"/>
      <c r="CG25" s="267"/>
      <c r="CH25" s="267">
        <f t="shared" si="54"/>
        <v>0</v>
      </c>
      <c r="CI25" s="268">
        <f t="shared" si="37"/>
        <v>0</v>
      </c>
      <c r="CJ25" s="222"/>
      <c r="CK25" s="269">
        <v>0</v>
      </c>
      <c r="CL25" s="266">
        <f t="shared" si="17"/>
        <v>3</v>
      </c>
      <c r="CM25" s="267"/>
      <c r="CN25" s="267">
        <v>0</v>
      </c>
      <c r="CO25" s="267">
        <v>0</v>
      </c>
      <c r="CP25" s="267">
        <f t="shared" si="55"/>
        <v>0</v>
      </c>
      <c r="CQ25" s="268">
        <f t="shared" si="38"/>
        <v>0</v>
      </c>
      <c r="CR25" s="222"/>
      <c r="CS25" s="269">
        <v>0</v>
      </c>
      <c r="CT25" s="266">
        <f t="shared" si="18"/>
        <v>3</v>
      </c>
      <c r="CU25" s="267">
        <v>0</v>
      </c>
      <c r="CV25" s="267">
        <v>0</v>
      </c>
      <c r="CW25" s="267">
        <v>0</v>
      </c>
      <c r="CX25" s="267">
        <f t="shared" si="56"/>
        <v>0</v>
      </c>
      <c r="CY25" s="268">
        <f t="shared" si="39"/>
        <v>0</v>
      </c>
      <c r="CZ25" s="222"/>
      <c r="DA25" s="269">
        <v>0</v>
      </c>
      <c r="DB25" s="266">
        <f t="shared" si="19"/>
        <v>3</v>
      </c>
      <c r="DC25" s="267">
        <v>0</v>
      </c>
      <c r="DD25" s="267">
        <v>0</v>
      </c>
      <c r="DE25" s="267">
        <v>0</v>
      </c>
      <c r="DF25" s="267">
        <f t="shared" si="57"/>
        <v>0</v>
      </c>
      <c r="DG25" s="268">
        <f t="shared" si="40"/>
        <v>0</v>
      </c>
      <c r="DH25" s="222"/>
      <c r="DI25" s="1761">
        <f t="shared" si="41"/>
        <v>4</v>
      </c>
      <c r="DJ25" s="266">
        <f t="shared" si="20"/>
        <v>0</v>
      </c>
      <c r="DK25" s="267">
        <f t="shared" si="42"/>
        <v>27617.480000000003</v>
      </c>
      <c r="DL25" s="1770">
        <f t="shared" si="43"/>
        <v>52784.81</v>
      </c>
      <c r="DM25" s="1765">
        <f t="shared" si="43"/>
        <v>55025.439999999995</v>
      </c>
      <c r="DN25" s="267">
        <f t="shared" si="58"/>
        <v>107810.25</v>
      </c>
      <c r="DO25" s="268">
        <f t="shared" si="44"/>
        <v>243237.98</v>
      </c>
      <c r="DP25" s="222"/>
      <c r="DS25" s="258">
        <v>168.85</v>
      </c>
      <c r="DT25" s="259">
        <v>7.2569790000000003</v>
      </c>
      <c r="DU25" s="176">
        <f t="shared" si="21"/>
        <v>99206.050281792297</v>
      </c>
      <c r="DV25" s="176">
        <f t="shared" si="45"/>
        <v>483374.83030510531</v>
      </c>
      <c r="DW25" s="176">
        <f t="shared" si="46"/>
        <v>384168.78002331301</v>
      </c>
      <c r="DX25" s="177">
        <v>172.87</v>
      </c>
      <c r="DZ25" s="177">
        <f t="shared" si="47"/>
        <v>586944.49726110534</v>
      </c>
      <c r="EA25" s="178">
        <f t="shared" si="48"/>
        <v>586944.49726110534</v>
      </c>
      <c r="EB25" s="178">
        <f t="shared" si="49"/>
        <v>0</v>
      </c>
      <c r="EC25" s="177">
        <f t="shared" si="22"/>
        <v>483374.83030510531</v>
      </c>
      <c r="ED25" s="177">
        <f t="shared" si="23"/>
        <v>103569.66695600002</v>
      </c>
      <c r="EE25" s="177">
        <f t="shared" si="24"/>
        <v>0</v>
      </c>
    </row>
    <row r="26" spans="1:135" x14ac:dyDescent="0.2">
      <c r="A26" s="260" t="s">
        <v>257</v>
      </c>
      <c r="B26" s="261">
        <v>2</v>
      </c>
      <c r="C26" s="262">
        <v>19.48</v>
      </c>
      <c r="D26" s="263">
        <v>7153.0942872100713</v>
      </c>
      <c r="E26" s="310">
        <v>149639.53862327849</v>
      </c>
      <c r="J26" s="106">
        <v>165578.65</v>
      </c>
      <c r="K26" s="106">
        <v>92255.07</v>
      </c>
      <c r="L26" s="106">
        <f>J26+K26</f>
        <v>257833.72</v>
      </c>
      <c r="P26" s="3758"/>
      <c r="Q26" s="265">
        <v>0</v>
      </c>
      <c r="R26" s="266">
        <f t="shared" si="13"/>
        <v>2</v>
      </c>
      <c r="S26" s="267">
        <v>0</v>
      </c>
      <c r="T26" s="245"/>
      <c r="U26" s="245"/>
      <c r="V26" s="267">
        <v>0</v>
      </c>
      <c r="W26" s="268">
        <f t="shared" si="26"/>
        <v>0</v>
      </c>
      <c r="X26" s="222"/>
      <c r="Y26" s="269">
        <v>0</v>
      </c>
      <c r="Z26" s="266">
        <f t="shared" si="14"/>
        <v>2</v>
      </c>
      <c r="AA26" s="267">
        <v>5000</v>
      </c>
      <c r="AB26" s="267">
        <v>0</v>
      </c>
      <c r="AC26" s="267">
        <v>0</v>
      </c>
      <c r="AD26" s="267">
        <v>0</v>
      </c>
      <c r="AE26" s="268">
        <f t="shared" si="27"/>
        <v>5000</v>
      </c>
      <c r="AF26" s="222"/>
      <c r="AG26" s="269">
        <v>0</v>
      </c>
      <c r="AH26" s="266">
        <f t="shared" si="28"/>
        <v>2</v>
      </c>
      <c r="AI26" s="267">
        <v>0</v>
      </c>
      <c r="AJ26" s="267">
        <v>0</v>
      </c>
      <c r="AK26" s="267">
        <v>0</v>
      </c>
      <c r="AL26" s="267">
        <v>0</v>
      </c>
      <c r="AM26" s="268">
        <f t="shared" si="29"/>
        <v>0</v>
      </c>
      <c r="AN26" s="222"/>
      <c r="AO26" s="269">
        <v>1</v>
      </c>
      <c r="AP26" s="266">
        <f t="shared" si="30"/>
        <v>1</v>
      </c>
      <c r="AQ26" s="267">
        <v>88001</v>
      </c>
      <c r="AR26" s="267">
        <v>0</v>
      </c>
      <c r="AS26" s="267">
        <v>0</v>
      </c>
      <c r="AT26" s="267">
        <v>0</v>
      </c>
      <c r="AU26" s="268">
        <f t="shared" si="50"/>
        <v>88001</v>
      </c>
      <c r="AV26" s="222"/>
      <c r="AW26" s="269">
        <v>0</v>
      </c>
      <c r="AX26" s="266">
        <f t="shared" si="31"/>
        <v>1</v>
      </c>
      <c r="AY26" s="267">
        <v>0</v>
      </c>
      <c r="AZ26" s="267">
        <v>0</v>
      </c>
      <c r="BA26" s="267">
        <v>0</v>
      </c>
      <c r="BB26" s="267">
        <v>0</v>
      </c>
      <c r="BC26" s="268">
        <f t="shared" si="32"/>
        <v>0</v>
      </c>
      <c r="BD26" s="222"/>
      <c r="BE26" s="269">
        <v>0</v>
      </c>
      <c r="BF26" s="266">
        <f t="shared" si="33"/>
        <v>1</v>
      </c>
      <c r="BG26" s="267">
        <v>0</v>
      </c>
      <c r="BH26" s="267">
        <v>0</v>
      </c>
      <c r="BI26" s="267">
        <v>0</v>
      </c>
      <c r="BJ26" s="267">
        <v>0</v>
      </c>
      <c r="BK26" s="268">
        <f t="shared" si="51"/>
        <v>0</v>
      </c>
      <c r="BL26" s="222"/>
      <c r="BM26" s="269">
        <v>0</v>
      </c>
      <c r="BN26" s="266">
        <f t="shared" si="34"/>
        <v>1</v>
      </c>
      <c r="BO26" s="267">
        <v>0</v>
      </c>
      <c r="BP26" s="267">
        <v>0</v>
      </c>
      <c r="BQ26" s="267">
        <v>0</v>
      </c>
      <c r="BR26" s="267">
        <f t="shared" si="52"/>
        <v>0</v>
      </c>
      <c r="BS26" s="268">
        <f t="shared" si="35"/>
        <v>0</v>
      </c>
      <c r="BT26" s="222"/>
      <c r="BU26" s="269">
        <v>0</v>
      </c>
      <c r="BV26" s="266">
        <f t="shared" si="15"/>
        <v>1</v>
      </c>
      <c r="BW26" s="267"/>
      <c r="BX26" s="267">
        <v>0</v>
      </c>
      <c r="BY26" s="267">
        <v>0</v>
      </c>
      <c r="BZ26" s="267">
        <f t="shared" si="53"/>
        <v>0</v>
      </c>
      <c r="CA26" s="268">
        <f t="shared" si="36"/>
        <v>0</v>
      </c>
      <c r="CB26" s="222"/>
      <c r="CC26" s="269"/>
      <c r="CD26" s="266">
        <f t="shared" si="16"/>
        <v>1</v>
      </c>
      <c r="CE26" s="267"/>
      <c r="CF26" s="267"/>
      <c r="CG26" s="267"/>
      <c r="CH26" s="267">
        <f t="shared" si="54"/>
        <v>0</v>
      </c>
      <c r="CI26" s="268">
        <f t="shared" si="37"/>
        <v>0</v>
      </c>
      <c r="CJ26" s="222"/>
      <c r="CK26" s="269">
        <v>0</v>
      </c>
      <c r="CL26" s="266">
        <f t="shared" si="17"/>
        <v>1</v>
      </c>
      <c r="CM26" s="267"/>
      <c r="CN26" s="267">
        <v>0</v>
      </c>
      <c r="CO26" s="267">
        <v>0</v>
      </c>
      <c r="CP26" s="267">
        <f t="shared" si="55"/>
        <v>0</v>
      </c>
      <c r="CQ26" s="268">
        <f t="shared" si="38"/>
        <v>0</v>
      </c>
      <c r="CR26" s="222"/>
      <c r="CS26" s="269">
        <v>0</v>
      </c>
      <c r="CT26" s="266">
        <f t="shared" si="18"/>
        <v>1</v>
      </c>
      <c r="CU26" s="267">
        <v>0</v>
      </c>
      <c r="CV26" s="267">
        <v>0</v>
      </c>
      <c r="CW26" s="267">
        <v>0</v>
      </c>
      <c r="CX26" s="267">
        <f t="shared" si="56"/>
        <v>0</v>
      </c>
      <c r="CY26" s="268">
        <f t="shared" si="39"/>
        <v>0</v>
      </c>
      <c r="CZ26" s="222"/>
      <c r="DA26" s="269">
        <v>0</v>
      </c>
      <c r="DB26" s="266">
        <f t="shared" si="19"/>
        <v>1</v>
      </c>
      <c r="DC26" s="267">
        <v>0</v>
      </c>
      <c r="DD26" s="267">
        <v>0</v>
      </c>
      <c r="DE26" s="267">
        <v>0</v>
      </c>
      <c r="DF26" s="267">
        <f t="shared" si="57"/>
        <v>0</v>
      </c>
      <c r="DG26" s="268">
        <f t="shared" si="40"/>
        <v>0</v>
      </c>
      <c r="DH26" s="222"/>
      <c r="DI26" s="1761">
        <f t="shared" si="41"/>
        <v>1</v>
      </c>
      <c r="DJ26" s="266">
        <f t="shared" si="20"/>
        <v>0</v>
      </c>
      <c r="DK26" s="267">
        <f t="shared" si="42"/>
        <v>93001</v>
      </c>
      <c r="DL26" s="1770">
        <f t="shared" si="43"/>
        <v>0</v>
      </c>
      <c r="DM26" s="1765">
        <f t="shared" si="43"/>
        <v>0</v>
      </c>
      <c r="DN26" s="267">
        <f t="shared" si="58"/>
        <v>0</v>
      </c>
      <c r="DO26" s="268">
        <f t="shared" si="44"/>
        <v>93001</v>
      </c>
      <c r="DP26" s="222"/>
      <c r="DS26" s="311">
        <v>166.58</v>
      </c>
      <c r="DT26" s="259">
        <v>7.3932549999999999</v>
      </c>
      <c r="DU26" s="176">
        <f t="shared" si="21"/>
        <v>23990.952780692001</v>
      </c>
      <c r="DV26" s="176">
        <f t="shared" si="45"/>
        <v>119834.6711032785</v>
      </c>
      <c r="DW26" s="176">
        <f t="shared" si="46"/>
        <v>95843.718322586501</v>
      </c>
      <c r="DX26" s="177">
        <v>206.76</v>
      </c>
      <c r="DZ26" s="177">
        <f t="shared" si="47"/>
        <v>149639.53862327849</v>
      </c>
      <c r="EA26" s="178">
        <f t="shared" si="48"/>
        <v>149639.53862327849</v>
      </c>
      <c r="EB26" s="178">
        <f t="shared" si="49"/>
        <v>0</v>
      </c>
      <c r="EC26" s="177">
        <f t="shared" si="22"/>
        <v>119834.6711032785</v>
      </c>
      <c r="ED26" s="177">
        <f t="shared" si="23"/>
        <v>29804.86752</v>
      </c>
      <c r="EE26" s="177">
        <f t="shared" si="24"/>
        <v>0</v>
      </c>
    </row>
    <row r="27" spans="1:135" x14ac:dyDescent="0.2">
      <c r="A27" s="260" t="s">
        <v>258</v>
      </c>
      <c r="B27" s="261">
        <v>6</v>
      </c>
      <c r="C27" s="262">
        <v>63.12</v>
      </c>
      <c r="D27" s="263">
        <v>7153.0942872100713</v>
      </c>
      <c r="E27" s="310">
        <v>486537.44601449778</v>
      </c>
      <c r="J27" s="106">
        <v>169730.38</v>
      </c>
      <c r="K27" s="106">
        <v>0</v>
      </c>
      <c r="L27" s="106">
        <f>J27+K27</f>
        <v>169730.38</v>
      </c>
      <c r="P27" s="3758"/>
      <c r="Q27" s="265">
        <v>1</v>
      </c>
      <c r="R27" s="266">
        <f t="shared" si="13"/>
        <v>5</v>
      </c>
      <c r="S27" s="267">
        <v>0</v>
      </c>
      <c r="T27" s="245">
        <v>12695.95</v>
      </c>
      <c r="U27" s="245">
        <v>12575.52</v>
      </c>
      <c r="V27" s="267">
        <v>25271.46</v>
      </c>
      <c r="W27" s="268">
        <f t="shared" si="26"/>
        <v>50542.93</v>
      </c>
      <c r="X27" s="222"/>
      <c r="Y27" s="269">
        <v>0</v>
      </c>
      <c r="Z27" s="266">
        <f t="shared" si="14"/>
        <v>5</v>
      </c>
      <c r="AA27" s="267">
        <v>0</v>
      </c>
      <c r="AB27" s="267">
        <v>0</v>
      </c>
      <c r="AC27" s="267">
        <v>0</v>
      </c>
      <c r="AD27" s="267">
        <v>0</v>
      </c>
      <c r="AE27" s="268">
        <f t="shared" si="27"/>
        <v>0</v>
      </c>
      <c r="AF27" s="222"/>
      <c r="AG27" s="269">
        <v>0</v>
      </c>
      <c r="AH27" s="266">
        <f t="shared" si="28"/>
        <v>5</v>
      </c>
      <c r="AI27" s="267">
        <v>0</v>
      </c>
      <c r="AJ27" s="267">
        <v>0</v>
      </c>
      <c r="AK27" s="267">
        <v>0</v>
      </c>
      <c r="AL27" s="267">
        <v>0</v>
      </c>
      <c r="AM27" s="268">
        <f t="shared" si="29"/>
        <v>0</v>
      </c>
      <c r="AN27" s="222"/>
      <c r="AO27" s="269">
        <v>0</v>
      </c>
      <c r="AP27" s="266">
        <f t="shared" si="30"/>
        <v>5</v>
      </c>
      <c r="AQ27" s="267">
        <v>0</v>
      </c>
      <c r="AR27" s="267">
        <v>0</v>
      </c>
      <c r="AS27" s="267">
        <v>0</v>
      </c>
      <c r="AT27" s="267">
        <v>0</v>
      </c>
      <c r="AU27" s="268">
        <f t="shared" si="50"/>
        <v>0</v>
      </c>
      <c r="AV27" s="222"/>
      <c r="AW27" s="269">
        <v>0</v>
      </c>
      <c r="AX27" s="266">
        <f t="shared" si="31"/>
        <v>5</v>
      </c>
      <c r="AY27" s="267">
        <v>0</v>
      </c>
      <c r="AZ27" s="267">
        <v>0</v>
      </c>
      <c r="BA27" s="267">
        <v>0</v>
      </c>
      <c r="BB27" s="267">
        <v>0</v>
      </c>
      <c r="BC27" s="268">
        <f t="shared" si="32"/>
        <v>0</v>
      </c>
      <c r="BD27" s="222"/>
      <c r="BE27" s="269">
        <v>0</v>
      </c>
      <c r="BF27" s="266">
        <f t="shared" si="33"/>
        <v>5</v>
      </c>
      <c r="BG27" s="267">
        <v>0</v>
      </c>
      <c r="BH27" s="267">
        <v>0</v>
      </c>
      <c r="BI27" s="267">
        <v>0</v>
      </c>
      <c r="BJ27" s="267">
        <v>0</v>
      </c>
      <c r="BK27" s="268">
        <f t="shared" si="51"/>
        <v>0</v>
      </c>
      <c r="BL27" s="222"/>
      <c r="BM27" s="269">
        <v>0</v>
      </c>
      <c r="BN27" s="266">
        <f t="shared" si="34"/>
        <v>5</v>
      </c>
      <c r="BO27" s="267">
        <v>0</v>
      </c>
      <c r="BP27" s="267">
        <v>0</v>
      </c>
      <c r="BQ27" s="267">
        <v>0</v>
      </c>
      <c r="BR27" s="267">
        <f t="shared" si="52"/>
        <v>0</v>
      </c>
      <c r="BS27" s="268">
        <f t="shared" si="35"/>
        <v>0</v>
      </c>
      <c r="BT27" s="222"/>
      <c r="BU27" s="269">
        <v>0</v>
      </c>
      <c r="BV27" s="266">
        <f t="shared" si="15"/>
        <v>5</v>
      </c>
      <c r="BW27" s="267"/>
      <c r="BX27" s="267">
        <v>0</v>
      </c>
      <c r="BY27" s="267">
        <v>0</v>
      </c>
      <c r="BZ27" s="267">
        <f t="shared" si="53"/>
        <v>0</v>
      </c>
      <c r="CA27" s="268">
        <f t="shared" si="36"/>
        <v>0</v>
      </c>
      <c r="CB27" s="222"/>
      <c r="CC27" s="269"/>
      <c r="CD27" s="266">
        <f t="shared" si="16"/>
        <v>5</v>
      </c>
      <c r="CE27" s="267"/>
      <c r="CF27" s="267"/>
      <c r="CG27" s="267"/>
      <c r="CH27" s="267">
        <f t="shared" si="54"/>
        <v>0</v>
      </c>
      <c r="CI27" s="268">
        <f t="shared" si="37"/>
        <v>0</v>
      </c>
      <c r="CJ27" s="222"/>
      <c r="CK27" s="269">
        <v>0</v>
      </c>
      <c r="CL27" s="266">
        <f t="shared" si="17"/>
        <v>5</v>
      </c>
      <c r="CM27" s="267"/>
      <c r="CN27" s="267">
        <v>0</v>
      </c>
      <c r="CO27" s="267">
        <v>0</v>
      </c>
      <c r="CP27" s="267">
        <f t="shared" si="55"/>
        <v>0</v>
      </c>
      <c r="CQ27" s="268">
        <f t="shared" si="38"/>
        <v>0</v>
      </c>
      <c r="CR27" s="222"/>
      <c r="CS27" s="269">
        <v>0</v>
      </c>
      <c r="CT27" s="266">
        <f t="shared" si="18"/>
        <v>5</v>
      </c>
      <c r="CU27" s="267">
        <v>0</v>
      </c>
      <c r="CV27" s="267">
        <v>0</v>
      </c>
      <c r="CW27" s="267">
        <v>0</v>
      </c>
      <c r="CX27" s="267">
        <f t="shared" si="56"/>
        <v>0</v>
      </c>
      <c r="CY27" s="268">
        <f t="shared" si="39"/>
        <v>0</v>
      </c>
      <c r="CZ27" s="222"/>
      <c r="DA27" s="269">
        <v>0</v>
      </c>
      <c r="DB27" s="266">
        <f t="shared" si="19"/>
        <v>5</v>
      </c>
      <c r="DC27" s="267">
        <v>0</v>
      </c>
      <c r="DD27" s="267">
        <v>0</v>
      </c>
      <c r="DE27" s="267">
        <v>0</v>
      </c>
      <c r="DF27" s="267">
        <f t="shared" si="57"/>
        <v>0</v>
      </c>
      <c r="DG27" s="268">
        <f t="shared" si="40"/>
        <v>0</v>
      </c>
      <c r="DH27" s="222"/>
      <c r="DI27" s="1761">
        <f t="shared" si="41"/>
        <v>1</v>
      </c>
      <c r="DJ27" s="266">
        <f t="shared" si="20"/>
        <v>4</v>
      </c>
      <c r="DK27" s="267">
        <f t="shared" si="42"/>
        <v>0</v>
      </c>
      <c r="DL27" s="1770">
        <f t="shared" si="43"/>
        <v>12695.95</v>
      </c>
      <c r="DM27" s="1765">
        <f t="shared" si="43"/>
        <v>12575.52</v>
      </c>
      <c r="DN27" s="267">
        <f t="shared" si="58"/>
        <v>25271.47</v>
      </c>
      <c r="DO27" s="268">
        <f t="shared" si="44"/>
        <v>50542.94</v>
      </c>
      <c r="DP27" s="222"/>
      <c r="DS27" s="311">
        <v>166.22</v>
      </c>
      <c r="DT27" s="259">
        <v>7.3932549999999999</v>
      </c>
      <c r="DU27" s="176">
        <f t="shared" si="21"/>
        <v>77568.600125831988</v>
      </c>
      <c r="DV27" s="176">
        <f t="shared" si="45"/>
        <v>389934.30585449777</v>
      </c>
      <c r="DW27" s="176">
        <f t="shared" si="46"/>
        <v>312365.70572866581</v>
      </c>
      <c r="DX27" s="177">
        <v>206.82</v>
      </c>
      <c r="DZ27" s="177">
        <f t="shared" si="47"/>
        <v>486537.44601449778</v>
      </c>
      <c r="EA27" s="178">
        <f t="shared" si="48"/>
        <v>486537.44601449778</v>
      </c>
      <c r="EB27" s="178">
        <f t="shared" si="49"/>
        <v>0</v>
      </c>
      <c r="EC27" s="177">
        <f t="shared" si="22"/>
        <v>389934.30585449777</v>
      </c>
      <c r="ED27" s="177">
        <f t="shared" si="23"/>
        <v>96603.140159999995</v>
      </c>
      <c r="EE27" s="177">
        <f t="shared" si="24"/>
        <v>0</v>
      </c>
    </row>
    <row r="28" spans="1:135" x14ac:dyDescent="0.2">
      <c r="A28" s="260" t="s">
        <v>259</v>
      </c>
      <c r="B28" s="261">
        <v>1</v>
      </c>
      <c r="C28" s="262">
        <v>17.05857142857143</v>
      </c>
      <c r="D28" s="263">
        <v>7153.0942872100713</v>
      </c>
      <c r="E28" s="310">
        <v>121640.56824072296</v>
      </c>
      <c r="P28" s="3758"/>
      <c r="Q28" s="265">
        <v>1</v>
      </c>
      <c r="R28" s="266">
        <f t="shared" si="13"/>
        <v>0</v>
      </c>
      <c r="S28" s="267">
        <v>55644.34</v>
      </c>
      <c r="T28" s="245">
        <v>25841.69</v>
      </c>
      <c r="U28" s="245">
        <v>22240.1</v>
      </c>
      <c r="V28" s="267">
        <v>48081.79</v>
      </c>
      <c r="W28" s="268">
        <f t="shared" si="26"/>
        <v>151807.92000000001</v>
      </c>
      <c r="X28" s="222"/>
      <c r="Y28" s="269">
        <v>0</v>
      </c>
      <c r="Z28" s="266">
        <f t="shared" si="14"/>
        <v>0</v>
      </c>
      <c r="AA28" s="267">
        <v>0</v>
      </c>
      <c r="AB28" s="267">
        <v>0</v>
      </c>
      <c r="AC28" s="267">
        <v>0</v>
      </c>
      <c r="AD28" s="267">
        <v>0</v>
      </c>
      <c r="AE28" s="268">
        <f t="shared" si="27"/>
        <v>0</v>
      </c>
      <c r="AF28" s="222"/>
      <c r="AG28" s="269">
        <v>0</v>
      </c>
      <c r="AH28" s="266">
        <f t="shared" si="28"/>
        <v>0</v>
      </c>
      <c r="AI28" s="267">
        <v>0</v>
      </c>
      <c r="AJ28" s="267">
        <v>0</v>
      </c>
      <c r="AK28" s="267">
        <v>0</v>
      </c>
      <c r="AL28" s="267">
        <v>0</v>
      </c>
      <c r="AM28" s="268">
        <f t="shared" si="29"/>
        <v>0</v>
      </c>
      <c r="AN28" s="222"/>
      <c r="AO28" s="269">
        <v>0</v>
      </c>
      <c r="AP28" s="266">
        <f t="shared" si="30"/>
        <v>0</v>
      </c>
      <c r="AQ28" s="267">
        <v>0</v>
      </c>
      <c r="AR28" s="267">
        <v>0</v>
      </c>
      <c r="AS28" s="267">
        <v>0</v>
      </c>
      <c r="AT28" s="267">
        <v>0</v>
      </c>
      <c r="AU28" s="268">
        <f t="shared" si="50"/>
        <v>0</v>
      </c>
      <c r="AV28" s="222"/>
      <c r="AW28" s="269">
        <v>0</v>
      </c>
      <c r="AX28" s="266">
        <f t="shared" si="31"/>
        <v>0</v>
      </c>
      <c r="AY28" s="267">
        <v>0</v>
      </c>
      <c r="AZ28" s="267">
        <v>0</v>
      </c>
      <c r="BA28" s="267">
        <v>0</v>
      </c>
      <c r="BB28" s="267">
        <v>0</v>
      </c>
      <c r="BC28" s="268">
        <f t="shared" si="32"/>
        <v>0</v>
      </c>
      <c r="BD28" s="222"/>
      <c r="BE28" s="269">
        <v>0</v>
      </c>
      <c r="BF28" s="266">
        <f t="shared" si="33"/>
        <v>0</v>
      </c>
      <c r="BG28" s="267">
        <v>0</v>
      </c>
      <c r="BH28" s="267">
        <v>0</v>
      </c>
      <c r="BI28" s="267">
        <v>0</v>
      </c>
      <c r="BJ28" s="267">
        <v>0</v>
      </c>
      <c r="BK28" s="268">
        <f t="shared" si="51"/>
        <v>0</v>
      </c>
      <c r="BL28" s="222"/>
      <c r="BM28" s="269">
        <v>0</v>
      </c>
      <c r="BN28" s="266">
        <f t="shared" si="34"/>
        <v>0</v>
      </c>
      <c r="BO28" s="267">
        <v>0</v>
      </c>
      <c r="BP28" s="267">
        <v>0</v>
      </c>
      <c r="BQ28" s="267">
        <v>0</v>
      </c>
      <c r="BR28" s="267">
        <f t="shared" si="52"/>
        <v>0</v>
      </c>
      <c r="BS28" s="268">
        <f t="shared" si="35"/>
        <v>0</v>
      </c>
      <c r="BT28" s="222"/>
      <c r="BU28" s="269">
        <v>0</v>
      </c>
      <c r="BV28" s="266">
        <f t="shared" si="15"/>
        <v>0</v>
      </c>
      <c r="BW28" s="267"/>
      <c r="BX28" s="267">
        <v>0</v>
      </c>
      <c r="BY28" s="267">
        <v>0</v>
      </c>
      <c r="BZ28" s="267">
        <f t="shared" si="53"/>
        <v>0</v>
      </c>
      <c r="CA28" s="268">
        <f t="shared" si="36"/>
        <v>0</v>
      </c>
      <c r="CB28" s="222"/>
      <c r="CC28" s="269"/>
      <c r="CD28" s="266">
        <f t="shared" si="16"/>
        <v>0</v>
      </c>
      <c r="CE28" s="267"/>
      <c r="CF28" s="267"/>
      <c r="CG28" s="267"/>
      <c r="CH28" s="267">
        <f t="shared" si="54"/>
        <v>0</v>
      </c>
      <c r="CI28" s="268">
        <f t="shared" si="37"/>
        <v>0</v>
      </c>
      <c r="CJ28" s="222"/>
      <c r="CK28" s="269">
        <v>0</v>
      </c>
      <c r="CL28" s="266">
        <f t="shared" si="17"/>
        <v>0</v>
      </c>
      <c r="CM28" s="267"/>
      <c r="CN28" s="267">
        <v>0</v>
      </c>
      <c r="CO28" s="267">
        <v>0</v>
      </c>
      <c r="CP28" s="267">
        <f t="shared" si="55"/>
        <v>0</v>
      </c>
      <c r="CQ28" s="268">
        <f t="shared" si="38"/>
        <v>0</v>
      </c>
      <c r="CR28" s="222"/>
      <c r="CS28" s="269">
        <v>0</v>
      </c>
      <c r="CT28" s="266">
        <f t="shared" si="18"/>
        <v>0</v>
      </c>
      <c r="CU28" s="267">
        <v>0</v>
      </c>
      <c r="CV28" s="267">
        <v>0</v>
      </c>
      <c r="CW28" s="267">
        <v>0</v>
      </c>
      <c r="CX28" s="267">
        <f t="shared" si="56"/>
        <v>0</v>
      </c>
      <c r="CY28" s="268">
        <f t="shared" si="39"/>
        <v>0</v>
      </c>
      <c r="CZ28" s="222"/>
      <c r="DA28" s="269">
        <v>0</v>
      </c>
      <c r="DB28" s="266">
        <f t="shared" si="19"/>
        <v>0</v>
      </c>
      <c r="DC28" s="267">
        <v>0</v>
      </c>
      <c r="DD28" s="267">
        <v>0</v>
      </c>
      <c r="DE28" s="267">
        <v>0</v>
      </c>
      <c r="DF28" s="267">
        <f t="shared" si="57"/>
        <v>0</v>
      </c>
      <c r="DG28" s="268">
        <f t="shared" si="40"/>
        <v>0</v>
      </c>
      <c r="DH28" s="222"/>
      <c r="DI28" s="1761">
        <f t="shared" si="41"/>
        <v>1</v>
      </c>
      <c r="DJ28" s="266">
        <f t="shared" si="20"/>
        <v>0</v>
      </c>
      <c r="DK28" s="267">
        <f t="shared" si="42"/>
        <v>55644.34</v>
      </c>
      <c r="DL28" s="1770">
        <f t="shared" si="43"/>
        <v>25841.69</v>
      </c>
      <c r="DM28" s="1765">
        <f t="shared" si="43"/>
        <v>22240.1</v>
      </c>
      <c r="DN28" s="267">
        <f t="shared" si="58"/>
        <v>48081.789999999994</v>
      </c>
      <c r="DO28" s="268">
        <f t="shared" si="44"/>
        <v>151807.91999999998</v>
      </c>
      <c r="DP28" s="222"/>
      <c r="DS28" s="311">
        <v>191.63</v>
      </c>
      <c r="DT28" s="259">
        <v>7.4936920000000002</v>
      </c>
      <c r="DU28" s="176">
        <f t="shared" si="21"/>
        <v>24496.38488548623</v>
      </c>
      <c r="DV28" s="176">
        <f t="shared" si="45"/>
        <v>95580.93924643725</v>
      </c>
      <c r="DW28" s="176">
        <f t="shared" si="46"/>
        <v>71084.55436095102</v>
      </c>
      <c r="DX28" s="177">
        <v>206.44</v>
      </c>
      <c r="DZ28" s="177">
        <f t="shared" si="47"/>
        <v>121640.56824072296</v>
      </c>
      <c r="EA28" s="178">
        <f t="shared" si="48"/>
        <v>121640.56824072296</v>
      </c>
      <c r="EB28" s="178">
        <f t="shared" si="49"/>
        <v>0</v>
      </c>
      <c r="EC28" s="177">
        <f t="shared" si="22"/>
        <v>95580.93924643725</v>
      </c>
      <c r="ED28" s="177">
        <f t="shared" si="23"/>
        <v>26059.628994285715</v>
      </c>
      <c r="EE28" s="177">
        <f t="shared" si="24"/>
        <v>0</v>
      </c>
    </row>
    <row r="29" spans="1:135" x14ac:dyDescent="0.2">
      <c r="A29" s="260" t="s">
        <v>260</v>
      </c>
      <c r="B29" s="261">
        <v>15</v>
      </c>
      <c r="C29" s="262">
        <v>147.63</v>
      </c>
      <c r="D29" s="263">
        <v>7153.0942872100713</v>
      </c>
      <c r="E29" s="310">
        <v>1060874.1635728015</v>
      </c>
      <c r="J29" s="106">
        <v>134471</v>
      </c>
      <c r="K29" s="106">
        <v>23722.59</v>
      </c>
      <c r="L29" s="106">
        <f>J29+K29</f>
        <v>158193.59</v>
      </c>
      <c r="P29" s="3758"/>
      <c r="Q29" s="265">
        <v>0</v>
      </c>
      <c r="R29" s="266">
        <f t="shared" si="13"/>
        <v>15</v>
      </c>
      <c r="S29" s="267">
        <v>0</v>
      </c>
      <c r="T29" s="245"/>
      <c r="U29" s="245"/>
      <c r="V29" s="267">
        <v>0</v>
      </c>
      <c r="W29" s="268">
        <f t="shared" si="26"/>
        <v>0</v>
      </c>
      <c r="X29" s="222"/>
      <c r="Y29" s="269">
        <v>0</v>
      </c>
      <c r="Z29" s="266">
        <f t="shared" si="14"/>
        <v>15</v>
      </c>
      <c r="AA29" s="267">
        <v>0</v>
      </c>
      <c r="AB29" s="267">
        <v>0</v>
      </c>
      <c r="AC29" s="267">
        <v>0</v>
      </c>
      <c r="AD29" s="267">
        <v>0</v>
      </c>
      <c r="AE29" s="268">
        <f t="shared" si="27"/>
        <v>0</v>
      </c>
      <c r="AF29" s="222"/>
      <c r="AG29" s="269">
        <v>0</v>
      </c>
      <c r="AH29" s="266">
        <f t="shared" si="28"/>
        <v>15</v>
      </c>
      <c r="AI29" s="267">
        <v>0</v>
      </c>
      <c r="AJ29" s="267">
        <v>0</v>
      </c>
      <c r="AK29" s="267">
        <v>0</v>
      </c>
      <c r="AL29" s="267">
        <v>0</v>
      </c>
      <c r="AM29" s="268">
        <f t="shared" si="29"/>
        <v>0</v>
      </c>
      <c r="AN29" s="222"/>
      <c r="AO29" s="269">
        <v>0</v>
      </c>
      <c r="AP29" s="266">
        <f t="shared" si="30"/>
        <v>15</v>
      </c>
      <c r="AQ29" s="267">
        <v>0</v>
      </c>
      <c r="AR29" s="267">
        <v>0</v>
      </c>
      <c r="AS29" s="267">
        <v>0</v>
      </c>
      <c r="AT29" s="267">
        <v>0</v>
      </c>
      <c r="AU29" s="268">
        <f t="shared" si="50"/>
        <v>0</v>
      </c>
      <c r="AV29" s="222"/>
      <c r="AW29" s="269">
        <v>0</v>
      </c>
      <c r="AX29" s="266">
        <f t="shared" si="31"/>
        <v>15</v>
      </c>
      <c r="AY29" s="267">
        <v>0</v>
      </c>
      <c r="AZ29" s="267">
        <v>0</v>
      </c>
      <c r="BA29" s="267">
        <v>0</v>
      </c>
      <c r="BB29" s="267">
        <v>0</v>
      </c>
      <c r="BC29" s="268">
        <f t="shared" si="32"/>
        <v>0</v>
      </c>
      <c r="BD29" s="222"/>
      <c r="BE29" s="269">
        <v>0</v>
      </c>
      <c r="BF29" s="266">
        <f t="shared" si="33"/>
        <v>15</v>
      </c>
      <c r="BG29" s="267">
        <v>0</v>
      </c>
      <c r="BH29" s="267">
        <v>0</v>
      </c>
      <c r="BI29" s="267">
        <v>0</v>
      </c>
      <c r="BJ29" s="267">
        <v>0</v>
      </c>
      <c r="BK29" s="268">
        <f t="shared" si="51"/>
        <v>0</v>
      </c>
      <c r="BL29" s="222"/>
      <c r="BM29" s="269">
        <v>0</v>
      </c>
      <c r="BN29" s="266">
        <f t="shared" si="34"/>
        <v>15</v>
      </c>
      <c r="BO29" s="267">
        <v>0</v>
      </c>
      <c r="BP29" s="267">
        <v>0</v>
      </c>
      <c r="BQ29" s="267">
        <v>0</v>
      </c>
      <c r="BR29" s="267">
        <f t="shared" si="52"/>
        <v>0</v>
      </c>
      <c r="BS29" s="268">
        <f t="shared" si="35"/>
        <v>0</v>
      </c>
      <c r="BT29" s="222"/>
      <c r="BU29" s="269">
        <v>0</v>
      </c>
      <c r="BV29" s="266">
        <f t="shared" si="15"/>
        <v>15</v>
      </c>
      <c r="BW29" s="267"/>
      <c r="BX29" s="267">
        <v>0</v>
      </c>
      <c r="BY29" s="267">
        <v>0</v>
      </c>
      <c r="BZ29" s="267">
        <f t="shared" si="53"/>
        <v>0</v>
      </c>
      <c r="CA29" s="268">
        <f t="shared" si="36"/>
        <v>0</v>
      </c>
      <c r="CB29" s="222"/>
      <c r="CC29" s="269"/>
      <c r="CD29" s="266">
        <f t="shared" si="16"/>
        <v>15</v>
      </c>
      <c r="CE29" s="267"/>
      <c r="CF29" s="267"/>
      <c r="CG29" s="267"/>
      <c r="CH29" s="267">
        <f t="shared" si="54"/>
        <v>0</v>
      </c>
      <c r="CI29" s="268">
        <f t="shared" si="37"/>
        <v>0</v>
      </c>
      <c r="CJ29" s="222"/>
      <c r="CK29" s="269">
        <v>0</v>
      </c>
      <c r="CL29" s="266">
        <f t="shared" si="17"/>
        <v>15</v>
      </c>
      <c r="CM29" s="267"/>
      <c r="CN29" s="267">
        <v>0</v>
      </c>
      <c r="CO29" s="267">
        <v>0</v>
      </c>
      <c r="CP29" s="267">
        <f t="shared" si="55"/>
        <v>0</v>
      </c>
      <c r="CQ29" s="268">
        <f t="shared" si="38"/>
        <v>0</v>
      </c>
      <c r="CR29" s="222"/>
      <c r="CS29" s="269">
        <v>0</v>
      </c>
      <c r="CT29" s="266">
        <f t="shared" si="18"/>
        <v>15</v>
      </c>
      <c r="CU29" s="267">
        <v>0</v>
      </c>
      <c r="CV29" s="267">
        <v>0</v>
      </c>
      <c r="CW29" s="267">
        <v>0</v>
      </c>
      <c r="CX29" s="267">
        <f t="shared" si="56"/>
        <v>0</v>
      </c>
      <c r="CY29" s="268">
        <f t="shared" si="39"/>
        <v>0</v>
      </c>
      <c r="CZ29" s="222"/>
      <c r="DA29" s="269">
        <v>0</v>
      </c>
      <c r="DB29" s="266">
        <f t="shared" si="19"/>
        <v>15</v>
      </c>
      <c r="DC29" s="267">
        <v>0</v>
      </c>
      <c r="DD29" s="267">
        <v>0</v>
      </c>
      <c r="DE29" s="267">
        <v>0</v>
      </c>
      <c r="DF29" s="267">
        <f t="shared" si="57"/>
        <v>0</v>
      </c>
      <c r="DG29" s="268">
        <f t="shared" si="40"/>
        <v>0</v>
      </c>
      <c r="DH29" s="222"/>
      <c r="DI29" s="1761">
        <f t="shared" si="41"/>
        <v>0</v>
      </c>
      <c r="DJ29" s="266">
        <f t="shared" si="20"/>
        <v>15</v>
      </c>
      <c r="DK29" s="267">
        <f t="shared" si="42"/>
        <v>0</v>
      </c>
      <c r="DL29" s="1770">
        <f t="shared" si="43"/>
        <v>0</v>
      </c>
      <c r="DM29" s="1765">
        <f t="shared" si="43"/>
        <v>0</v>
      </c>
      <c r="DN29" s="267">
        <f t="shared" si="58"/>
        <v>0</v>
      </c>
      <c r="DO29" s="268">
        <f t="shared" si="44"/>
        <v>0</v>
      </c>
      <c r="DP29" s="222"/>
      <c r="DS29" s="311">
        <v>164.73</v>
      </c>
      <c r="DT29" s="259">
        <v>7.582624</v>
      </c>
      <c r="DU29" s="176">
        <f t="shared" si="21"/>
        <v>184402.51473389758</v>
      </c>
      <c r="DV29" s="176">
        <f t="shared" si="45"/>
        <v>881360.80773280154</v>
      </c>
      <c r="DW29" s="176">
        <f t="shared" si="46"/>
        <v>696958.2929989039</v>
      </c>
      <c r="DX29" s="177">
        <v>164.32</v>
      </c>
      <c r="DZ29" s="177">
        <f t="shared" si="47"/>
        <v>1060874.1635728015</v>
      </c>
      <c r="EA29" s="178">
        <f t="shared" si="48"/>
        <v>1060874.1635728015</v>
      </c>
      <c r="EB29" s="178">
        <f t="shared" si="49"/>
        <v>0</v>
      </c>
      <c r="EC29" s="177">
        <f t="shared" si="22"/>
        <v>881360.80773280154</v>
      </c>
      <c r="ED29" s="177">
        <f t="shared" si="23"/>
        <v>179513.35583999997</v>
      </c>
      <c r="EE29" s="177">
        <f t="shared" si="24"/>
        <v>0</v>
      </c>
    </row>
    <row r="30" spans="1:135" x14ac:dyDescent="0.2">
      <c r="A30" s="260" t="s">
        <v>261</v>
      </c>
      <c r="B30" s="261">
        <v>13</v>
      </c>
      <c r="C30" s="262">
        <v>174.72</v>
      </c>
      <c r="D30" s="263">
        <v>7153.0942872100713</v>
      </c>
      <c r="E30" s="310">
        <v>1266436.1395711903</v>
      </c>
      <c r="J30" s="106">
        <v>54234.95</v>
      </c>
      <c r="K30" s="106">
        <v>0</v>
      </c>
      <c r="L30" s="106">
        <f>J30+K30</f>
        <v>54234.95</v>
      </c>
      <c r="P30" s="3758"/>
      <c r="Q30" s="265">
        <v>0</v>
      </c>
      <c r="R30" s="266">
        <f t="shared" si="13"/>
        <v>13</v>
      </c>
      <c r="S30" s="267">
        <v>0</v>
      </c>
      <c r="T30" s="245"/>
      <c r="U30" s="245"/>
      <c r="V30" s="267">
        <v>0</v>
      </c>
      <c r="W30" s="268">
        <f t="shared" si="26"/>
        <v>0</v>
      </c>
      <c r="X30" s="222"/>
      <c r="Y30" s="269">
        <v>0</v>
      </c>
      <c r="Z30" s="266">
        <f t="shared" si="14"/>
        <v>13</v>
      </c>
      <c r="AA30" s="267">
        <v>8290</v>
      </c>
      <c r="AB30" s="267">
        <v>0</v>
      </c>
      <c r="AC30" s="267">
        <v>0</v>
      </c>
      <c r="AD30" s="267">
        <v>0</v>
      </c>
      <c r="AE30" s="268">
        <f t="shared" si="27"/>
        <v>8290</v>
      </c>
      <c r="AF30" s="222"/>
      <c r="AG30" s="269">
        <v>0</v>
      </c>
      <c r="AH30" s="266">
        <f t="shared" si="28"/>
        <v>13</v>
      </c>
      <c r="AI30" s="267">
        <v>16921.240000000002</v>
      </c>
      <c r="AJ30" s="267">
        <v>0</v>
      </c>
      <c r="AK30" s="267">
        <v>0</v>
      </c>
      <c r="AL30" s="267">
        <v>0</v>
      </c>
      <c r="AM30" s="268">
        <f t="shared" si="29"/>
        <v>16921.240000000002</v>
      </c>
      <c r="AN30" s="222"/>
      <c r="AO30" s="269">
        <v>1</v>
      </c>
      <c r="AP30" s="266">
        <f t="shared" si="30"/>
        <v>12</v>
      </c>
      <c r="AQ30" s="267">
        <v>0</v>
      </c>
      <c r="AR30" s="267">
        <v>15202.72</v>
      </c>
      <c r="AS30" s="267">
        <v>14933.73</v>
      </c>
      <c r="AT30" s="267">
        <v>30136.45</v>
      </c>
      <c r="AU30" s="268">
        <f t="shared" si="50"/>
        <v>30136.45</v>
      </c>
      <c r="AV30" s="222"/>
      <c r="AW30" s="269">
        <v>0</v>
      </c>
      <c r="AX30" s="266">
        <f t="shared" si="31"/>
        <v>12</v>
      </c>
      <c r="AY30" s="267">
        <v>0</v>
      </c>
      <c r="AZ30" s="267">
        <v>0</v>
      </c>
      <c r="BA30" s="267">
        <v>0</v>
      </c>
      <c r="BB30" s="267">
        <v>0</v>
      </c>
      <c r="BC30" s="268">
        <f t="shared" si="32"/>
        <v>0</v>
      </c>
      <c r="BD30" s="222"/>
      <c r="BE30" s="269">
        <v>0</v>
      </c>
      <c r="BF30" s="266">
        <f t="shared" si="33"/>
        <v>12</v>
      </c>
      <c r="BG30" s="267">
        <v>0</v>
      </c>
      <c r="BH30" s="267">
        <v>0</v>
      </c>
      <c r="BI30" s="267">
        <v>0</v>
      </c>
      <c r="BJ30" s="267">
        <v>0</v>
      </c>
      <c r="BK30" s="268">
        <f t="shared" si="51"/>
        <v>0</v>
      </c>
      <c r="BL30" s="222"/>
      <c r="BM30" s="269">
        <v>0</v>
      </c>
      <c r="BN30" s="266">
        <f t="shared" si="34"/>
        <v>12</v>
      </c>
      <c r="BO30" s="267">
        <v>0</v>
      </c>
      <c r="BP30" s="267">
        <v>0</v>
      </c>
      <c r="BQ30" s="267">
        <v>0</v>
      </c>
      <c r="BR30" s="267">
        <f t="shared" si="52"/>
        <v>0</v>
      </c>
      <c r="BS30" s="268">
        <f t="shared" si="35"/>
        <v>0</v>
      </c>
      <c r="BT30" s="222"/>
      <c r="BU30" s="269">
        <v>0</v>
      </c>
      <c r="BV30" s="266">
        <f t="shared" si="15"/>
        <v>12</v>
      </c>
      <c r="BW30" s="267"/>
      <c r="BX30" s="267">
        <v>0</v>
      </c>
      <c r="BY30" s="267">
        <v>0</v>
      </c>
      <c r="BZ30" s="267">
        <f t="shared" si="53"/>
        <v>0</v>
      </c>
      <c r="CA30" s="268">
        <f t="shared" si="36"/>
        <v>0</v>
      </c>
      <c r="CB30" s="222"/>
      <c r="CC30" s="269"/>
      <c r="CD30" s="266">
        <f t="shared" si="16"/>
        <v>12</v>
      </c>
      <c r="CE30" s="267"/>
      <c r="CF30" s="267"/>
      <c r="CG30" s="267"/>
      <c r="CH30" s="267">
        <f t="shared" si="54"/>
        <v>0</v>
      </c>
      <c r="CI30" s="268">
        <f t="shared" si="37"/>
        <v>0</v>
      </c>
      <c r="CJ30" s="222"/>
      <c r="CK30" s="269">
        <v>0</v>
      </c>
      <c r="CL30" s="266">
        <f t="shared" si="17"/>
        <v>12</v>
      </c>
      <c r="CM30" s="267"/>
      <c r="CN30" s="267">
        <v>0</v>
      </c>
      <c r="CO30" s="267">
        <v>0</v>
      </c>
      <c r="CP30" s="267">
        <f t="shared" si="55"/>
        <v>0</v>
      </c>
      <c r="CQ30" s="268">
        <f t="shared" si="38"/>
        <v>0</v>
      </c>
      <c r="CR30" s="222"/>
      <c r="CS30" s="269">
        <v>0</v>
      </c>
      <c r="CT30" s="266">
        <f t="shared" si="18"/>
        <v>12</v>
      </c>
      <c r="CU30" s="267">
        <v>0</v>
      </c>
      <c r="CV30" s="267">
        <v>0</v>
      </c>
      <c r="CW30" s="267">
        <v>0</v>
      </c>
      <c r="CX30" s="267">
        <f t="shared" si="56"/>
        <v>0</v>
      </c>
      <c r="CY30" s="268">
        <f t="shared" si="39"/>
        <v>0</v>
      </c>
      <c r="CZ30" s="222"/>
      <c r="DA30" s="269">
        <v>0</v>
      </c>
      <c r="DB30" s="266">
        <f t="shared" si="19"/>
        <v>12</v>
      </c>
      <c r="DC30" s="267">
        <v>0</v>
      </c>
      <c r="DD30" s="267">
        <v>0</v>
      </c>
      <c r="DE30" s="267">
        <v>0</v>
      </c>
      <c r="DF30" s="267">
        <f t="shared" si="57"/>
        <v>0</v>
      </c>
      <c r="DG30" s="268">
        <f t="shared" si="40"/>
        <v>0</v>
      </c>
      <c r="DH30" s="222"/>
      <c r="DI30" s="1761">
        <f t="shared" si="41"/>
        <v>1</v>
      </c>
      <c r="DJ30" s="266">
        <f t="shared" si="20"/>
        <v>11</v>
      </c>
      <c r="DK30" s="267">
        <f t="shared" si="42"/>
        <v>25211.24</v>
      </c>
      <c r="DL30" s="1770">
        <f t="shared" si="43"/>
        <v>15202.72</v>
      </c>
      <c r="DM30" s="1765">
        <f t="shared" si="43"/>
        <v>14933.73</v>
      </c>
      <c r="DN30" s="267">
        <f t="shared" si="58"/>
        <v>30136.449999999997</v>
      </c>
      <c r="DO30" s="268">
        <f t="shared" si="44"/>
        <v>85484.14</v>
      </c>
      <c r="DP30" s="222"/>
      <c r="DS30" s="311">
        <v>184</v>
      </c>
      <c r="DT30" s="259">
        <v>7.5251929999999998</v>
      </c>
      <c r="DU30" s="176">
        <f t="shared" si="21"/>
        <v>241923.51665663999</v>
      </c>
      <c r="DV30" s="176">
        <f t="shared" si="45"/>
        <v>1041608.8896511904</v>
      </c>
      <c r="DW30" s="176">
        <f t="shared" si="46"/>
        <v>799685.37299455039</v>
      </c>
      <c r="DX30" s="177">
        <v>173.89</v>
      </c>
      <c r="DZ30" s="177">
        <f t="shared" si="47"/>
        <v>1266436.1395711903</v>
      </c>
      <c r="EA30" s="178">
        <f t="shared" si="48"/>
        <v>1266436.1395711903</v>
      </c>
      <c r="EB30" s="178">
        <f t="shared" si="49"/>
        <v>0</v>
      </c>
      <c r="EC30" s="177">
        <f t="shared" si="22"/>
        <v>1041608.8896511904</v>
      </c>
      <c r="ED30" s="177">
        <f t="shared" si="23"/>
        <v>224827.24991999997</v>
      </c>
      <c r="EE30" s="177">
        <f t="shared" si="24"/>
        <v>0</v>
      </c>
    </row>
    <row r="31" spans="1:135" x14ac:dyDescent="0.2">
      <c r="A31" s="260" t="s">
        <v>262</v>
      </c>
      <c r="B31" s="261">
        <v>4</v>
      </c>
      <c r="C31" s="262">
        <v>46.911999999999999</v>
      </c>
      <c r="D31" s="263">
        <v>7153.0942872100713</v>
      </c>
      <c r="E31" s="310">
        <v>324199.45105271984</v>
      </c>
      <c r="J31" s="106">
        <v>256581.04</v>
      </c>
      <c r="K31" s="106">
        <v>480364.22</v>
      </c>
      <c r="L31" s="106">
        <f>J31+K31</f>
        <v>736945.26</v>
      </c>
      <c r="P31" s="3758"/>
      <c r="Q31" s="265">
        <v>1</v>
      </c>
      <c r="R31" s="266">
        <f t="shared" si="13"/>
        <v>3</v>
      </c>
      <c r="S31" s="267">
        <v>0</v>
      </c>
      <c r="T31" s="245">
        <v>14135.89</v>
      </c>
      <c r="U31" s="245">
        <v>15194.06</v>
      </c>
      <c r="V31" s="267">
        <v>29329.95</v>
      </c>
      <c r="W31" s="268">
        <f t="shared" si="26"/>
        <v>58659.899999999994</v>
      </c>
      <c r="X31" s="222"/>
      <c r="Y31" s="269">
        <v>1</v>
      </c>
      <c r="Z31" s="266">
        <f t="shared" si="14"/>
        <v>2</v>
      </c>
      <c r="AA31" s="267">
        <v>35347.949999999997</v>
      </c>
      <c r="AB31" s="267">
        <v>15144.59</v>
      </c>
      <c r="AC31" s="267">
        <v>16277.45</v>
      </c>
      <c r="AD31" s="267">
        <v>31422.04</v>
      </c>
      <c r="AE31" s="268">
        <f t="shared" si="27"/>
        <v>66769.989999999991</v>
      </c>
      <c r="AF31" s="222"/>
      <c r="AG31" s="269">
        <v>0</v>
      </c>
      <c r="AH31" s="266">
        <f t="shared" si="28"/>
        <v>2</v>
      </c>
      <c r="AI31" s="267">
        <v>0</v>
      </c>
      <c r="AJ31" s="267">
        <v>0</v>
      </c>
      <c r="AK31" s="267">
        <v>0</v>
      </c>
      <c r="AL31" s="267">
        <v>0</v>
      </c>
      <c r="AM31" s="268">
        <f t="shared" si="29"/>
        <v>0</v>
      </c>
      <c r="AN31" s="222"/>
      <c r="AO31" s="269">
        <v>0</v>
      </c>
      <c r="AP31" s="266">
        <f t="shared" si="30"/>
        <v>2</v>
      </c>
      <c r="AQ31" s="267">
        <v>0</v>
      </c>
      <c r="AR31" s="267">
        <v>0</v>
      </c>
      <c r="AS31" s="267">
        <v>0</v>
      </c>
      <c r="AT31" s="267">
        <v>0</v>
      </c>
      <c r="AU31" s="268">
        <f t="shared" si="50"/>
        <v>0</v>
      </c>
      <c r="AV31" s="222"/>
      <c r="AW31" s="269">
        <v>0</v>
      </c>
      <c r="AX31" s="266">
        <f t="shared" si="31"/>
        <v>2</v>
      </c>
      <c r="AY31" s="267">
        <v>0</v>
      </c>
      <c r="AZ31" s="267">
        <v>0</v>
      </c>
      <c r="BA31" s="267">
        <v>0</v>
      </c>
      <c r="BB31" s="267">
        <v>0</v>
      </c>
      <c r="BC31" s="268">
        <f t="shared" si="32"/>
        <v>0</v>
      </c>
      <c r="BD31" s="222"/>
      <c r="BE31" s="269">
        <v>0</v>
      </c>
      <c r="BF31" s="266">
        <f t="shared" si="33"/>
        <v>2</v>
      </c>
      <c r="BG31" s="267">
        <v>0</v>
      </c>
      <c r="BH31" s="267">
        <v>0</v>
      </c>
      <c r="BI31" s="267">
        <v>0</v>
      </c>
      <c r="BJ31" s="267">
        <v>0</v>
      </c>
      <c r="BK31" s="268">
        <f t="shared" si="51"/>
        <v>0</v>
      </c>
      <c r="BL31" s="222"/>
      <c r="BM31" s="269">
        <v>0</v>
      </c>
      <c r="BN31" s="266">
        <f t="shared" si="34"/>
        <v>2</v>
      </c>
      <c r="BO31" s="267">
        <v>0</v>
      </c>
      <c r="BP31" s="267">
        <v>0</v>
      </c>
      <c r="BQ31" s="267">
        <v>0</v>
      </c>
      <c r="BR31" s="267">
        <f t="shared" si="52"/>
        <v>0</v>
      </c>
      <c r="BS31" s="268">
        <f t="shared" si="35"/>
        <v>0</v>
      </c>
      <c r="BT31" s="222"/>
      <c r="BU31" s="269">
        <v>0</v>
      </c>
      <c r="BV31" s="266">
        <f t="shared" si="15"/>
        <v>2</v>
      </c>
      <c r="BW31" s="267"/>
      <c r="BX31" s="267">
        <v>0</v>
      </c>
      <c r="BY31" s="267">
        <v>0</v>
      </c>
      <c r="BZ31" s="267">
        <f t="shared" si="53"/>
        <v>0</v>
      </c>
      <c r="CA31" s="268">
        <f t="shared" si="36"/>
        <v>0</v>
      </c>
      <c r="CB31" s="222"/>
      <c r="CC31" s="269"/>
      <c r="CD31" s="266">
        <f t="shared" si="16"/>
        <v>2</v>
      </c>
      <c r="CE31" s="267"/>
      <c r="CF31" s="267"/>
      <c r="CG31" s="267"/>
      <c r="CH31" s="267">
        <f t="shared" si="54"/>
        <v>0</v>
      </c>
      <c r="CI31" s="268">
        <f t="shared" si="37"/>
        <v>0</v>
      </c>
      <c r="CJ31" s="222"/>
      <c r="CK31" s="269">
        <v>0</v>
      </c>
      <c r="CL31" s="266">
        <f t="shared" si="17"/>
        <v>2</v>
      </c>
      <c r="CM31" s="267"/>
      <c r="CN31" s="267">
        <v>0</v>
      </c>
      <c r="CO31" s="267">
        <v>0</v>
      </c>
      <c r="CP31" s="267">
        <f t="shared" si="55"/>
        <v>0</v>
      </c>
      <c r="CQ31" s="268">
        <f t="shared" si="38"/>
        <v>0</v>
      </c>
      <c r="CR31" s="222"/>
      <c r="CS31" s="269">
        <v>0</v>
      </c>
      <c r="CT31" s="266">
        <f t="shared" si="18"/>
        <v>2</v>
      </c>
      <c r="CU31" s="267">
        <v>0</v>
      </c>
      <c r="CV31" s="267">
        <v>0</v>
      </c>
      <c r="CW31" s="267">
        <v>0</v>
      </c>
      <c r="CX31" s="267">
        <f t="shared" si="56"/>
        <v>0</v>
      </c>
      <c r="CY31" s="268">
        <f t="shared" si="39"/>
        <v>0</v>
      </c>
      <c r="CZ31" s="222"/>
      <c r="DA31" s="269">
        <v>0</v>
      </c>
      <c r="DB31" s="266">
        <f t="shared" si="19"/>
        <v>2</v>
      </c>
      <c r="DC31" s="267">
        <v>0</v>
      </c>
      <c r="DD31" s="267">
        <v>0</v>
      </c>
      <c r="DE31" s="267">
        <v>0</v>
      </c>
      <c r="DF31" s="267">
        <f t="shared" si="57"/>
        <v>0</v>
      </c>
      <c r="DG31" s="268">
        <f t="shared" si="40"/>
        <v>0</v>
      </c>
      <c r="DH31" s="222"/>
      <c r="DI31" s="1761">
        <f t="shared" si="41"/>
        <v>2</v>
      </c>
      <c r="DJ31" s="266">
        <f t="shared" si="20"/>
        <v>0</v>
      </c>
      <c r="DK31" s="267">
        <f t="shared" si="42"/>
        <v>35347.949999999997</v>
      </c>
      <c r="DL31" s="1770">
        <f t="shared" si="43"/>
        <v>29280.48</v>
      </c>
      <c r="DM31" s="1765">
        <f t="shared" si="43"/>
        <v>31471.510000000002</v>
      </c>
      <c r="DN31" s="267">
        <f t="shared" si="58"/>
        <v>60751.990000000005</v>
      </c>
      <c r="DO31" s="268">
        <f t="shared" si="44"/>
        <v>156851.93</v>
      </c>
      <c r="DP31" s="222"/>
      <c r="DS31" s="311">
        <v>182.49</v>
      </c>
      <c r="DT31" s="259">
        <v>7.4345850000000002</v>
      </c>
      <c r="DU31" s="176">
        <f t="shared" si="21"/>
        <v>63647.265689884807</v>
      </c>
      <c r="DV31" s="176">
        <f t="shared" si="45"/>
        <v>261889.71294071985</v>
      </c>
      <c r="DW31" s="176">
        <f t="shared" si="46"/>
        <v>198242.44725083504</v>
      </c>
      <c r="DX31" s="177">
        <v>179.49</v>
      </c>
      <c r="DZ31" s="177">
        <f t="shared" si="47"/>
        <v>324199.45105271984</v>
      </c>
      <c r="EA31" s="178">
        <f t="shared" si="48"/>
        <v>324199.45105271984</v>
      </c>
      <c r="EB31" s="178">
        <f t="shared" si="49"/>
        <v>0</v>
      </c>
      <c r="EC31" s="177">
        <f t="shared" si="22"/>
        <v>261889.71294071985</v>
      </c>
      <c r="ED31" s="177">
        <f t="shared" si="23"/>
        <v>62309.738112000006</v>
      </c>
      <c r="EE31" s="177">
        <f t="shared" si="24"/>
        <v>0</v>
      </c>
    </row>
    <row r="32" spans="1:135" x14ac:dyDescent="0.2">
      <c r="A32" s="260" t="s">
        <v>264</v>
      </c>
      <c r="B32" s="261">
        <v>6</v>
      </c>
      <c r="C32" s="262">
        <v>72.034999999999997</v>
      </c>
      <c r="D32" s="263">
        <v>7153.0942872100713</v>
      </c>
      <c r="E32" s="310">
        <v>491370.94940190943</v>
      </c>
      <c r="P32" s="3758"/>
      <c r="Q32" s="265">
        <v>0</v>
      </c>
      <c r="R32" s="266">
        <f t="shared" si="13"/>
        <v>6</v>
      </c>
      <c r="S32" s="267">
        <v>0</v>
      </c>
      <c r="T32" s="267"/>
      <c r="U32" s="312"/>
      <c r="V32" s="267">
        <v>0</v>
      </c>
      <c r="W32" s="268">
        <f t="shared" si="26"/>
        <v>0</v>
      </c>
      <c r="X32" s="222"/>
      <c r="Y32" s="269">
        <v>1</v>
      </c>
      <c r="Z32" s="266">
        <f t="shared" si="14"/>
        <v>5</v>
      </c>
      <c r="AA32" s="267">
        <v>39300.82</v>
      </c>
      <c r="AB32" s="267">
        <v>17101.75</v>
      </c>
      <c r="AC32" s="267">
        <v>17480.009999999998</v>
      </c>
      <c r="AD32" s="267">
        <v>34581.760000000002</v>
      </c>
      <c r="AE32" s="268">
        <f t="shared" si="27"/>
        <v>73882.58</v>
      </c>
      <c r="AF32" s="222"/>
      <c r="AG32" s="269">
        <v>0</v>
      </c>
      <c r="AH32" s="266">
        <f t="shared" si="28"/>
        <v>5</v>
      </c>
      <c r="AI32" s="267">
        <v>0</v>
      </c>
      <c r="AJ32" s="267">
        <v>0</v>
      </c>
      <c r="AK32" s="267">
        <v>0</v>
      </c>
      <c r="AL32" s="267">
        <v>0</v>
      </c>
      <c r="AM32" s="268">
        <f t="shared" si="29"/>
        <v>0</v>
      </c>
      <c r="AN32" s="222"/>
      <c r="AO32" s="269">
        <v>1</v>
      </c>
      <c r="AP32" s="266">
        <f t="shared" si="30"/>
        <v>4</v>
      </c>
      <c r="AQ32" s="267">
        <v>45910.66</v>
      </c>
      <c r="AR32" s="267">
        <v>14857.72</v>
      </c>
      <c r="AS32" s="267">
        <v>15271.19</v>
      </c>
      <c r="AT32" s="267">
        <v>30128.91</v>
      </c>
      <c r="AU32" s="268">
        <f t="shared" si="50"/>
        <v>76039.570000000007</v>
      </c>
      <c r="AV32" s="222"/>
      <c r="AW32" s="269">
        <v>1</v>
      </c>
      <c r="AX32" s="266">
        <f t="shared" si="31"/>
        <v>3</v>
      </c>
      <c r="AY32" s="267">
        <v>45672.44</v>
      </c>
      <c r="AZ32" s="267">
        <v>14833.91</v>
      </c>
      <c r="BA32" s="267">
        <v>15245.91</v>
      </c>
      <c r="BB32" s="267">
        <f>SUM(AZ32:BA32)</f>
        <v>30079.82</v>
      </c>
      <c r="BC32" s="268">
        <f t="shared" si="32"/>
        <v>105832.08000000002</v>
      </c>
      <c r="BD32" s="222"/>
      <c r="BE32" s="269">
        <v>0</v>
      </c>
      <c r="BF32" s="266">
        <f t="shared" si="33"/>
        <v>3</v>
      </c>
      <c r="BG32" s="267">
        <v>0</v>
      </c>
      <c r="BH32" s="267">
        <v>0</v>
      </c>
      <c r="BI32" s="267">
        <v>0</v>
      </c>
      <c r="BJ32" s="267">
        <v>0</v>
      </c>
      <c r="BK32" s="268">
        <f t="shared" si="51"/>
        <v>0</v>
      </c>
      <c r="BL32" s="222"/>
      <c r="BM32" s="269">
        <v>0</v>
      </c>
      <c r="BN32" s="266">
        <f t="shared" si="34"/>
        <v>3</v>
      </c>
      <c r="BO32" s="267">
        <v>0</v>
      </c>
      <c r="BP32" s="267">
        <v>0</v>
      </c>
      <c r="BQ32" s="267">
        <v>0</v>
      </c>
      <c r="BR32" s="267">
        <f t="shared" si="52"/>
        <v>0</v>
      </c>
      <c r="BS32" s="268">
        <f t="shared" si="35"/>
        <v>0</v>
      </c>
      <c r="BT32" s="222"/>
      <c r="BU32" s="269">
        <v>0</v>
      </c>
      <c r="BV32" s="266">
        <f t="shared" si="15"/>
        <v>3</v>
      </c>
      <c r="BW32" s="267"/>
      <c r="BX32" s="267">
        <v>0</v>
      </c>
      <c r="BY32" s="267">
        <v>0</v>
      </c>
      <c r="BZ32" s="267">
        <f t="shared" si="53"/>
        <v>0</v>
      </c>
      <c r="CA32" s="268">
        <f t="shared" si="36"/>
        <v>0</v>
      </c>
      <c r="CB32" s="222"/>
      <c r="CC32" s="269"/>
      <c r="CD32" s="266">
        <f t="shared" si="16"/>
        <v>3</v>
      </c>
      <c r="CE32" s="267"/>
      <c r="CF32" s="267"/>
      <c r="CG32" s="267"/>
      <c r="CH32" s="267">
        <f t="shared" si="54"/>
        <v>0</v>
      </c>
      <c r="CI32" s="268">
        <f t="shared" si="37"/>
        <v>0</v>
      </c>
      <c r="CJ32" s="222"/>
      <c r="CK32" s="269">
        <v>0</v>
      </c>
      <c r="CL32" s="266">
        <f t="shared" si="17"/>
        <v>3</v>
      </c>
      <c r="CM32" s="267"/>
      <c r="CN32" s="267">
        <v>0</v>
      </c>
      <c r="CO32" s="267">
        <v>0</v>
      </c>
      <c r="CP32" s="267">
        <f t="shared" si="55"/>
        <v>0</v>
      </c>
      <c r="CQ32" s="268">
        <f t="shared" si="38"/>
        <v>0</v>
      </c>
      <c r="CR32" s="222"/>
      <c r="CS32" s="269">
        <v>0</v>
      </c>
      <c r="CT32" s="266">
        <f t="shared" si="18"/>
        <v>3</v>
      </c>
      <c r="CU32" s="267">
        <v>0</v>
      </c>
      <c r="CV32" s="267">
        <v>0</v>
      </c>
      <c r="CW32" s="267">
        <v>0</v>
      </c>
      <c r="CX32" s="267">
        <f t="shared" si="56"/>
        <v>0</v>
      </c>
      <c r="CY32" s="268">
        <f t="shared" si="39"/>
        <v>0</v>
      </c>
      <c r="CZ32" s="222"/>
      <c r="DA32" s="269">
        <v>0</v>
      </c>
      <c r="DB32" s="266">
        <f t="shared" si="19"/>
        <v>3</v>
      </c>
      <c r="DC32" s="267">
        <v>0</v>
      </c>
      <c r="DD32" s="267">
        <v>0</v>
      </c>
      <c r="DE32" s="267">
        <v>0</v>
      </c>
      <c r="DF32" s="267">
        <f t="shared" si="57"/>
        <v>0</v>
      </c>
      <c r="DG32" s="268">
        <f t="shared" si="40"/>
        <v>0</v>
      </c>
      <c r="DH32" s="222"/>
      <c r="DI32" s="1761">
        <f t="shared" si="41"/>
        <v>3</v>
      </c>
      <c r="DJ32" s="266">
        <f t="shared" si="20"/>
        <v>0</v>
      </c>
      <c r="DK32" s="267">
        <f t="shared" si="42"/>
        <v>130883.92000000001</v>
      </c>
      <c r="DL32" s="1770">
        <f t="shared" si="43"/>
        <v>46793.380000000005</v>
      </c>
      <c r="DM32" s="1765">
        <f t="shared" si="43"/>
        <v>47997.11</v>
      </c>
      <c r="DN32" s="267">
        <f t="shared" si="58"/>
        <v>94790.49</v>
      </c>
      <c r="DO32" s="268">
        <f t="shared" si="44"/>
        <v>320464.90000000002</v>
      </c>
      <c r="DP32" s="222"/>
      <c r="DS32" s="259">
        <v>167.81</v>
      </c>
      <c r="DT32" s="259">
        <v>7.2569790000000003</v>
      </c>
      <c r="DU32" s="176">
        <f t="shared" si="21"/>
        <v>87723.765288889655</v>
      </c>
      <c r="DV32" s="176">
        <f t="shared" si="45"/>
        <v>395489.62707190943</v>
      </c>
      <c r="DW32" s="176">
        <f t="shared" si="46"/>
        <v>307765.86178301979</v>
      </c>
      <c r="DX32" s="177">
        <v>179.87</v>
      </c>
      <c r="DZ32" s="177">
        <f t="shared" si="47"/>
        <v>491370.94940190943</v>
      </c>
      <c r="EA32" s="178">
        <f t="shared" si="48"/>
        <v>491370.94940190943</v>
      </c>
      <c r="EB32" s="178">
        <f t="shared" si="49"/>
        <v>0</v>
      </c>
      <c r="EC32" s="177">
        <f t="shared" si="22"/>
        <v>395489.62707190943</v>
      </c>
      <c r="ED32" s="177">
        <f t="shared" si="23"/>
        <v>95881.322329999995</v>
      </c>
      <c r="EE32" s="177">
        <f t="shared" si="24"/>
        <v>0</v>
      </c>
    </row>
    <row r="33" spans="1:156" ht="13.5" thickBot="1" x14ac:dyDescent="0.25">
      <c r="A33" s="260" t="s">
        <v>265</v>
      </c>
      <c r="B33" s="261">
        <v>9</v>
      </c>
      <c r="C33" s="262">
        <v>99.36</v>
      </c>
      <c r="D33" s="263">
        <v>7153.0942872100713</v>
      </c>
      <c r="E33" s="310">
        <v>736690.93030080851</v>
      </c>
      <c r="J33" s="106">
        <v>23748.43</v>
      </c>
      <c r="K33" s="106">
        <v>26079.78</v>
      </c>
      <c r="L33" s="106">
        <f>J33+K33</f>
        <v>49828.21</v>
      </c>
      <c r="P33" s="3758"/>
      <c r="Q33" s="275">
        <v>0</v>
      </c>
      <c r="R33" s="266">
        <f t="shared" si="13"/>
        <v>9</v>
      </c>
      <c r="S33" s="276">
        <v>0</v>
      </c>
      <c r="T33" s="276"/>
      <c r="U33" s="276"/>
      <c r="V33" s="276">
        <v>0</v>
      </c>
      <c r="W33" s="278">
        <f t="shared" si="26"/>
        <v>0</v>
      </c>
      <c r="X33" s="222"/>
      <c r="Y33" s="279">
        <v>0</v>
      </c>
      <c r="Z33" s="266">
        <f t="shared" si="14"/>
        <v>9</v>
      </c>
      <c r="AA33" s="276">
        <v>0</v>
      </c>
      <c r="AB33" s="276">
        <v>0</v>
      </c>
      <c r="AC33" s="276">
        <v>0</v>
      </c>
      <c r="AD33" s="276">
        <v>0</v>
      </c>
      <c r="AE33" s="268">
        <f t="shared" si="27"/>
        <v>0</v>
      </c>
      <c r="AF33" s="222"/>
      <c r="AG33" s="279">
        <v>0</v>
      </c>
      <c r="AH33" s="266">
        <f t="shared" si="28"/>
        <v>9</v>
      </c>
      <c r="AI33" s="276">
        <v>0</v>
      </c>
      <c r="AJ33" s="267">
        <v>0</v>
      </c>
      <c r="AK33" s="267">
        <v>0</v>
      </c>
      <c r="AL33" s="267">
        <v>0</v>
      </c>
      <c r="AM33" s="268">
        <f t="shared" si="29"/>
        <v>0</v>
      </c>
      <c r="AN33" s="222"/>
      <c r="AO33" s="279">
        <v>0</v>
      </c>
      <c r="AP33" s="266">
        <f t="shared" si="30"/>
        <v>9</v>
      </c>
      <c r="AQ33" s="276">
        <v>0</v>
      </c>
      <c r="AR33" s="267">
        <v>0</v>
      </c>
      <c r="AS33" s="267">
        <v>0</v>
      </c>
      <c r="AT33" s="276">
        <v>0</v>
      </c>
      <c r="AU33" s="268">
        <f t="shared" si="50"/>
        <v>0</v>
      </c>
      <c r="AV33" s="222"/>
      <c r="AW33" s="279">
        <v>0</v>
      </c>
      <c r="AX33" s="266">
        <f t="shared" si="31"/>
        <v>9</v>
      </c>
      <c r="AY33" s="276">
        <v>0</v>
      </c>
      <c r="AZ33" s="276">
        <v>0</v>
      </c>
      <c r="BA33" s="276">
        <v>0</v>
      </c>
      <c r="BB33" s="276"/>
      <c r="BC33" s="278">
        <f t="shared" si="32"/>
        <v>0</v>
      </c>
      <c r="BD33" s="222"/>
      <c r="BE33" s="279">
        <v>0</v>
      </c>
      <c r="BF33" s="266">
        <f t="shared" si="33"/>
        <v>9</v>
      </c>
      <c r="BG33" s="276">
        <v>0</v>
      </c>
      <c r="BH33" s="276">
        <v>0</v>
      </c>
      <c r="BI33" s="276">
        <v>0</v>
      </c>
      <c r="BJ33" s="276">
        <v>0</v>
      </c>
      <c r="BK33" s="278">
        <f>BG33+BJ33</f>
        <v>0</v>
      </c>
      <c r="BL33" s="222"/>
      <c r="BM33" s="279">
        <v>0</v>
      </c>
      <c r="BN33" s="266">
        <f t="shared" si="34"/>
        <v>9</v>
      </c>
      <c r="BO33" s="276">
        <v>0</v>
      </c>
      <c r="BP33" s="276">
        <v>0</v>
      </c>
      <c r="BQ33" s="276">
        <v>0</v>
      </c>
      <c r="BR33" s="276">
        <f>SUM(BP33:BQ33)</f>
        <v>0</v>
      </c>
      <c r="BS33" s="278">
        <f t="shared" si="35"/>
        <v>0</v>
      </c>
      <c r="BT33" s="222"/>
      <c r="BU33" s="279">
        <v>0</v>
      </c>
      <c r="BV33" s="266">
        <f t="shared" si="15"/>
        <v>9</v>
      </c>
      <c r="BW33" s="276"/>
      <c r="BX33" s="276">
        <v>0</v>
      </c>
      <c r="BY33" s="276">
        <v>0</v>
      </c>
      <c r="BZ33" s="276">
        <f>SUM(BX33:BY33)</f>
        <v>0</v>
      </c>
      <c r="CA33" s="278">
        <f t="shared" si="36"/>
        <v>0</v>
      </c>
      <c r="CB33" s="222"/>
      <c r="CC33" s="279"/>
      <c r="CD33" s="266">
        <f t="shared" si="16"/>
        <v>9</v>
      </c>
      <c r="CE33" s="276"/>
      <c r="CF33" s="276"/>
      <c r="CG33" s="276"/>
      <c r="CH33" s="276">
        <f>SUM(CF33:CG33)</f>
        <v>0</v>
      </c>
      <c r="CI33" s="278">
        <f t="shared" si="37"/>
        <v>0</v>
      </c>
      <c r="CJ33" s="222"/>
      <c r="CK33" s="279">
        <v>0</v>
      </c>
      <c r="CL33" s="266">
        <f t="shared" si="17"/>
        <v>9</v>
      </c>
      <c r="CM33" s="276"/>
      <c r="CN33" s="276">
        <v>0</v>
      </c>
      <c r="CO33" s="276">
        <v>0</v>
      </c>
      <c r="CP33" s="276">
        <f>SUM(CN33:CO33)</f>
        <v>0</v>
      </c>
      <c r="CQ33" s="278">
        <f t="shared" si="38"/>
        <v>0</v>
      </c>
      <c r="CR33" s="222"/>
      <c r="CS33" s="279">
        <v>0</v>
      </c>
      <c r="CT33" s="266">
        <f t="shared" si="18"/>
        <v>9</v>
      </c>
      <c r="CU33" s="276">
        <v>0</v>
      </c>
      <c r="CV33" s="276">
        <v>0</v>
      </c>
      <c r="CW33" s="276">
        <v>0</v>
      </c>
      <c r="CX33" s="276">
        <f>SUM(CV33:CW33)</f>
        <v>0</v>
      </c>
      <c r="CY33" s="278">
        <f t="shared" si="39"/>
        <v>0</v>
      </c>
      <c r="CZ33" s="222"/>
      <c r="DA33" s="279">
        <v>0</v>
      </c>
      <c r="DB33" s="266">
        <f t="shared" si="19"/>
        <v>9</v>
      </c>
      <c r="DC33" s="267">
        <v>0</v>
      </c>
      <c r="DD33" s="276">
        <v>0</v>
      </c>
      <c r="DE33" s="276">
        <v>0</v>
      </c>
      <c r="DF33" s="276">
        <f>SUM(DD33:DE33)</f>
        <v>0</v>
      </c>
      <c r="DG33" s="278">
        <f t="shared" si="40"/>
        <v>0</v>
      </c>
      <c r="DH33" s="222"/>
      <c r="DI33" s="1772">
        <f t="shared" si="41"/>
        <v>0</v>
      </c>
      <c r="DJ33" s="266">
        <f t="shared" si="20"/>
        <v>9</v>
      </c>
      <c r="DK33" s="1780">
        <f t="shared" si="42"/>
        <v>0</v>
      </c>
      <c r="DL33" s="1773">
        <f t="shared" si="43"/>
        <v>0</v>
      </c>
      <c r="DM33" s="1773">
        <f t="shared" si="43"/>
        <v>0</v>
      </c>
      <c r="DN33" s="276">
        <f>SUM(DL33:DM33)</f>
        <v>0</v>
      </c>
      <c r="DO33" s="278">
        <f t="shared" si="44"/>
        <v>0</v>
      </c>
      <c r="DP33" s="222"/>
      <c r="DS33" s="311">
        <v>184.25</v>
      </c>
      <c r="DT33" s="259">
        <v>7.3541590000000001</v>
      </c>
      <c r="DU33" s="176">
        <f t="shared" si="21"/>
        <v>134633.17714571999</v>
      </c>
      <c r="DV33" s="176">
        <f t="shared" si="45"/>
        <v>585410.36230080854</v>
      </c>
      <c r="DW33" s="176">
        <f t="shared" si="46"/>
        <v>450777.18515508855</v>
      </c>
      <c r="DX33" s="177">
        <v>205.75</v>
      </c>
      <c r="DZ33" s="177">
        <f t="shared" si="47"/>
        <v>736690.93030080851</v>
      </c>
      <c r="EA33" s="178">
        <f t="shared" si="48"/>
        <v>736690.93030080851</v>
      </c>
      <c r="EB33" s="178">
        <f t="shared" si="49"/>
        <v>0</v>
      </c>
      <c r="EC33" s="177">
        <f t="shared" si="22"/>
        <v>585410.36230080854</v>
      </c>
      <c r="ED33" s="177">
        <f t="shared" si="23"/>
        <v>151280.568</v>
      </c>
      <c r="EE33" s="177">
        <f t="shared" si="24"/>
        <v>0</v>
      </c>
    </row>
    <row r="34" spans="1:156" s="100" customFormat="1" ht="13.5" thickBot="1" x14ac:dyDescent="0.25">
      <c r="A34" s="313" t="s">
        <v>309</v>
      </c>
      <c r="B34" s="314">
        <f>SUM(B18:B33)</f>
        <v>266</v>
      </c>
      <c r="C34" s="315">
        <f>SUM(C18:C33)</f>
        <v>3108.8083174033191</v>
      </c>
      <c r="D34" s="316">
        <f>E34/C34</f>
        <v>7285.9166721374986</v>
      </c>
      <c r="E34" s="317">
        <f>SUM(E18:E33)</f>
        <v>22650518.350248568</v>
      </c>
      <c r="F34" s="285"/>
      <c r="G34" s="285"/>
      <c r="H34" s="285"/>
      <c r="I34" s="285"/>
      <c r="J34" s="285"/>
      <c r="K34" s="285"/>
      <c r="L34" s="285"/>
      <c r="P34" s="3758"/>
      <c r="Q34" s="318">
        <f t="shared" ref="Q34:AE34" si="59">SUM(Q18:Q33)</f>
        <v>6</v>
      </c>
      <c r="R34" s="319">
        <f t="shared" si="59"/>
        <v>260</v>
      </c>
      <c r="S34" s="290">
        <f t="shared" si="59"/>
        <v>124083.26</v>
      </c>
      <c r="T34" s="290">
        <f>SUM(T18:T33)</f>
        <v>107243.68000000001</v>
      </c>
      <c r="U34" s="290">
        <f>SUM(U18:U33)</f>
        <v>106138.78</v>
      </c>
      <c r="V34" s="290">
        <f t="shared" si="59"/>
        <v>213382.45</v>
      </c>
      <c r="W34" s="291">
        <f t="shared" si="59"/>
        <v>550848.17000000004</v>
      </c>
      <c r="X34" s="222"/>
      <c r="Y34" s="286">
        <f t="shared" si="59"/>
        <v>5</v>
      </c>
      <c r="Z34" s="287">
        <f t="shared" si="59"/>
        <v>255</v>
      </c>
      <c r="AA34" s="290">
        <f t="shared" si="59"/>
        <v>127316.20999999999</v>
      </c>
      <c r="AB34" s="290">
        <f>SUM(AB18:AB33)</f>
        <v>60621.47</v>
      </c>
      <c r="AC34" s="290">
        <f>SUM(AC18:AC33)</f>
        <v>60901.919999999998</v>
      </c>
      <c r="AD34" s="290">
        <f t="shared" si="59"/>
        <v>121523.39000000001</v>
      </c>
      <c r="AE34" s="291">
        <f t="shared" si="59"/>
        <v>248839.59999999998</v>
      </c>
      <c r="AF34" s="222"/>
      <c r="AG34" s="286">
        <f t="shared" ref="AG34:AM34" si="60">SUM(AG18:AG33)</f>
        <v>0</v>
      </c>
      <c r="AH34" s="287">
        <f t="shared" si="60"/>
        <v>255</v>
      </c>
      <c r="AI34" s="290">
        <f t="shared" si="60"/>
        <v>60011.72</v>
      </c>
      <c r="AJ34" s="290">
        <f t="shared" si="60"/>
        <v>0</v>
      </c>
      <c r="AK34" s="290">
        <f t="shared" si="60"/>
        <v>0</v>
      </c>
      <c r="AL34" s="290">
        <f t="shared" si="60"/>
        <v>0</v>
      </c>
      <c r="AM34" s="291">
        <f t="shared" si="60"/>
        <v>60011.72</v>
      </c>
      <c r="AN34" s="222"/>
      <c r="AO34" s="286">
        <f t="shared" ref="AO34:AU34" si="61">SUM(AO18:AO33)</f>
        <v>6</v>
      </c>
      <c r="AP34" s="287">
        <f t="shared" si="61"/>
        <v>249</v>
      </c>
      <c r="AQ34" s="290">
        <f t="shared" si="61"/>
        <v>171295.31</v>
      </c>
      <c r="AR34" s="290">
        <f t="shared" si="61"/>
        <v>72592.509999999995</v>
      </c>
      <c r="AS34" s="290">
        <f t="shared" si="61"/>
        <v>73035.73</v>
      </c>
      <c r="AT34" s="290">
        <f t="shared" si="61"/>
        <v>145628.24</v>
      </c>
      <c r="AU34" s="291">
        <f t="shared" si="61"/>
        <v>316923.55000000005</v>
      </c>
      <c r="AV34" s="222"/>
      <c r="AW34" s="286">
        <f t="shared" ref="AW34:BC34" si="62">SUM(AW18:AW33)</f>
        <v>1</v>
      </c>
      <c r="AX34" s="287">
        <f t="shared" si="62"/>
        <v>248</v>
      </c>
      <c r="AY34" s="290">
        <f t="shared" si="62"/>
        <v>45672.44</v>
      </c>
      <c r="AZ34" s="290">
        <f t="shared" si="62"/>
        <v>14833.91</v>
      </c>
      <c r="BA34" s="290">
        <f t="shared" si="62"/>
        <v>15245.91</v>
      </c>
      <c r="BB34" s="290">
        <f t="shared" si="62"/>
        <v>30079.82</v>
      </c>
      <c r="BC34" s="291">
        <f t="shared" si="62"/>
        <v>105832.08000000002</v>
      </c>
      <c r="BD34" s="222"/>
      <c r="BE34" s="286">
        <f t="shared" ref="BE34:BK34" si="63">SUM(BE18:BE33)</f>
        <v>0</v>
      </c>
      <c r="BF34" s="287">
        <f t="shared" si="63"/>
        <v>248</v>
      </c>
      <c r="BG34" s="290">
        <f t="shared" si="63"/>
        <v>78886.81</v>
      </c>
      <c r="BH34" s="290">
        <f t="shared" si="63"/>
        <v>0</v>
      </c>
      <c r="BI34" s="290">
        <f t="shared" si="63"/>
        <v>0</v>
      </c>
      <c r="BJ34" s="290">
        <f t="shared" si="63"/>
        <v>0</v>
      </c>
      <c r="BK34" s="291">
        <f t="shared" si="63"/>
        <v>78886.81</v>
      </c>
      <c r="BL34" s="222"/>
      <c r="BM34" s="286">
        <f t="shared" ref="BM34:BS34" si="64">SUM(BM18:BM33)</f>
        <v>0</v>
      </c>
      <c r="BN34" s="287">
        <f t="shared" si="64"/>
        <v>248</v>
      </c>
      <c r="BO34" s="290">
        <f t="shared" si="64"/>
        <v>24140.46</v>
      </c>
      <c r="BP34" s="290">
        <f t="shared" si="64"/>
        <v>0</v>
      </c>
      <c r="BQ34" s="290">
        <f t="shared" si="64"/>
        <v>0</v>
      </c>
      <c r="BR34" s="290">
        <f t="shared" si="64"/>
        <v>0</v>
      </c>
      <c r="BS34" s="291">
        <f t="shared" si="64"/>
        <v>24140.46</v>
      </c>
      <c r="BT34" s="222"/>
      <c r="BU34" s="286">
        <f t="shared" ref="BU34:CA34" si="65">SUM(BU18:BU33)</f>
        <v>0</v>
      </c>
      <c r="BV34" s="287">
        <f t="shared" si="65"/>
        <v>248</v>
      </c>
      <c r="BW34" s="290">
        <f t="shared" si="65"/>
        <v>0</v>
      </c>
      <c r="BX34" s="290">
        <f t="shared" si="65"/>
        <v>0</v>
      </c>
      <c r="BY34" s="290">
        <f t="shared" si="65"/>
        <v>0</v>
      </c>
      <c r="BZ34" s="290">
        <f t="shared" si="65"/>
        <v>0</v>
      </c>
      <c r="CA34" s="291">
        <f t="shared" si="65"/>
        <v>0</v>
      </c>
      <c r="CB34" s="222"/>
      <c r="CC34" s="286">
        <f t="shared" ref="CC34:CI34" si="66">SUM(CC18:CC33)</f>
        <v>1</v>
      </c>
      <c r="CD34" s="287">
        <f t="shared" si="66"/>
        <v>247</v>
      </c>
      <c r="CE34" s="290">
        <f t="shared" si="66"/>
        <v>0</v>
      </c>
      <c r="CF34" s="290">
        <f t="shared" si="66"/>
        <v>13004.91</v>
      </c>
      <c r="CG34" s="290">
        <f t="shared" si="66"/>
        <v>13412.89</v>
      </c>
      <c r="CH34" s="290">
        <f t="shared" si="66"/>
        <v>26417.8</v>
      </c>
      <c r="CI34" s="291">
        <f t="shared" si="66"/>
        <v>52835.6</v>
      </c>
      <c r="CJ34" s="222"/>
      <c r="CK34" s="286">
        <f t="shared" ref="CK34:CQ34" si="67">SUM(CK18:CK33)</f>
        <v>0</v>
      </c>
      <c r="CL34" s="287">
        <f t="shared" si="67"/>
        <v>247</v>
      </c>
      <c r="CM34" s="290">
        <f t="shared" si="67"/>
        <v>0</v>
      </c>
      <c r="CN34" s="290">
        <f t="shared" si="67"/>
        <v>0</v>
      </c>
      <c r="CO34" s="290">
        <f t="shared" si="67"/>
        <v>0</v>
      </c>
      <c r="CP34" s="290">
        <f t="shared" si="67"/>
        <v>0</v>
      </c>
      <c r="CQ34" s="291">
        <f t="shared" si="67"/>
        <v>0</v>
      </c>
      <c r="CR34" s="222"/>
      <c r="CS34" s="286">
        <f t="shared" ref="CS34:CY34" si="68">SUM(CS18:CS33)</f>
        <v>0</v>
      </c>
      <c r="CT34" s="287">
        <f t="shared" si="68"/>
        <v>247</v>
      </c>
      <c r="CU34" s="290">
        <f t="shared" si="68"/>
        <v>0</v>
      </c>
      <c r="CV34" s="290">
        <f t="shared" si="68"/>
        <v>0</v>
      </c>
      <c r="CW34" s="290">
        <f t="shared" si="68"/>
        <v>0</v>
      </c>
      <c r="CX34" s="290">
        <f t="shared" si="68"/>
        <v>0</v>
      </c>
      <c r="CY34" s="291">
        <f t="shared" si="68"/>
        <v>0</v>
      </c>
      <c r="CZ34" s="222"/>
      <c r="DA34" s="286">
        <f t="shared" ref="DA34:DG34" si="69">SUM(DA18:DA33)</f>
        <v>0</v>
      </c>
      <c r="DB34" s="287">
        <f t="shared" si="69"/>
        <v>247</v>
      </c>
      <c r="DC34" s="290">
        <f t="shared" si="69"/>
        <v>0</v>
      </c>
      <c r="DD34" s="290">
        <f t="shared" si="69"/>
        <v>0</v>
      </c>
      <c r="DE34" s="290">
        <f t="shared" si="69"/>
        <v>0</v>
      </c>
      <c r="DF34" s="290">
        <f t="shared" si="69"/>
        <v>0</v>
      </c>
      <c r="DG34" s="291">
        <f t="shared" si="69"/>
        <v>0</v>
      </c>
      <c r="DH34" s="222"/>
      <c r="DI34" s="286">
        <f t="shared" ref="DI34:DO34" si="70">SUM(DI18:DI33)</f>
        <v>19</v>
      </c>
      <c r="DJ34" s="287">
        <f t="shared" si="70"/>
        <v>230</v>
      </c>
      <c r="DK34" s="290">
        <f t="shared" si="70"/>
        <v>631406.21</v>
      </c>
      <c r="DL34" s="290">
        <f t="shared" si="70"/>
        <v>268296.48000000004</v>
      </c>
      <c r="DM34" s="290">
        <f t="shared" si="70"/>
        <v>268735.23</v>
      </c>
      <c r="DN34" s="290">
        <f t="shared" si="70"/>
        <v>537031.71</v>
      </c>
      <c r="DO34" s="291">
        <f t="shared" si="70"/>
        <v>1705469.63</v>
      </c>
      <c r="DP34" s="222"/>
      <c r="DQ34" s="104"/>
      <c r="DR34" s="104"/>
      <c r="DS34" s="292"/>
      <c r="DT34" s="292"/>
      <c r="DU34" s="293">
        <f>SUM(DU18:DU33)</f>
        <v>4212911.6787632322</v>
      </c>
      <c r="DV34" s="293">
        <f>SUM(DV18:DV33)</f>
        <v>18406843.770810533</v>
      </c>
      <c r="DW34" s="293">
        <f>SUM(DW18:DW33)</f>
        <v>14193932.0920473</v>
      </c>
      <c r="DX34" s="294"/>
      <c r="DY34" s="294"/>
      <c r="DZ34" s="294">
        <f t="shared" si="47"/>
        <v>22650518.350248568</v>
      </c>
      <c r="EA34" s="295">
        <f t="shared" si="48"/>
        <v>22650518.350248564</v>
      </c>
      <c r="EB34" s="295">
        <f t="shared" si="49"/>
        <v>0</v>
      </c>
      <c r="EC34" s="294">
        <f>SUM(EC18:EC33)</f>
        <v>18406843.770810533</v>
      </c>
      <c r="ED34" s="294">
        <f>SUM(ED18:ED33)</f>
        <v>4243674.5794380298</v>
      </c>
      <c r="EE34" s="294">
        <f>SUM(EE18:EE33)</f>
        <v>0</v>
      </c>
      <c r="EF34" s="104"/>
      <c r="EG34" s="104"/>
      <c r="EH34" s="104"/>
      <c r="EI34" s="104"/>
      <c r="EJ34" s="104"/>
      <c r="EK34" s="104"/>
      <c r="EL34" s="104"/>
      <c r="EM34" s="104"/>
      <c r="EN34" s="104"/>
      <c r="EO34" s="104"/>
      <c r="EP34" s="104"/>
      <c r="EQ34" s="104"/>
      <c r="ER34" s="104"/>
      <c r="ES34" s="104"/>
      <c r="ET34" s="104"/>
      <c r="EU34" s="104"/>
      <c r="EV34" s="104"/>
      <c r="EW34" s="104"/>
      <c r="EX34" s="104"/>
      <c r="EY34" s="104"/>
      <c r="EZ34" s="104"/>
    </row>
    <row r="35" spans="1:156" s="100" customFormat="1" ht="13.5" thickBot="1" x14ac:dyDescent="0.25">
      <c r="A35" s="320" t="s">
        <v>310</v>
      </c>
      <c r="B35" s="321">
        <f>B34+B17</f>
        <v>523</v>
      </c>
      <c r="C35" s="322">
        <f>C34+C17</f>
        <v>5183.1583874558582</v>
      </c>
      <c r="D35" s="323">
        <v>7306.6933477580315</v>
      </c>
      <c r="E35" s="324">
        <f>E34+E17</f>
        <v>37871748.909999967</v>
      </c>
      <c r="F35" s="285"/>
      <c r="G35" s="285"/>
      <c r="H35" s="285"/>
      <c r="I35" s="285"/>
      <c r="J35" s="285"/>
      <c r="K35" s="285"/>
      <c r="L35" s="285"/>
      <c r="P35" s="3759"/>
      <c r="Q35" s="318">
        <f t="shared" ref="Q35:W35" si="71">Q34+Q17</f>
        <v>9</v>
      </c>
      <c r="R35" s="319">
        <f t="shared" si="71"/>
        <v>514</v>
      </c>
      <c r="S35" s="290">
        <f t="shared" si="71"/>
        <v>124083.26</v>
      </c>
      <c r="T35" s="290">
        <f t="shared" si="71"/>
        <v>144204.04</v>
      </c>
      <c r="U35" s="290">
        <f t="shared" si="71"/>
        <v>126826.34</v>
      </c>
      <c r="V35" s="290">
        <f t="shared" si="71"/>
        <v>271030.37</v>
      </c>
      <c r="W35" s="291">
        <f t="shared" si="71"/>
        <v>666144.01</v>
      </c>
      <c r="X35" s="325"/>
      <c r="Y35" s="286">
        <f t="shared" ref="Y35:AE35" si="72">Y34+Y17</f>
        <v>18</v>
      </c>
      <c r="Z35" s="287">
        <f t="shared" si="72"/>
        <v>496</v>
      </c>
      <c r="AA35" s="290">
        <f t="shared" si="72"/>
        <v>151720.21</v>
      </c>
      <c r="AB35" s="290">
        <f t="shared" si="72"/>
        <v>277431.33999999997</v>
      </c>
      <c r="AC35" s="290">
        <f t="shared" si="72"/>
        <v>156141.84999999998</v>
      </c>
      <c r="AD35" s="290">
        <f t="shared" si="72"/>
        <v>433573.19</v>
      </c>
      <c r="AE35" s="291">
        <f t="shared" si="72"/>
        <v>585293.39999999991</v>
      </c>
      <c r="AF35" s="222"/>
      <c r="AG35" s="286">
        <f t="shared" ref="AG35:AM35" si="73">AG34+AG17</f>
        <v>1</v>
      </c>
      <c r="AH35" s="287">
        <f t="shared" si="73"/>
        <v>495</v>
      </c>
      <c r="AI35" s="290">
        <f t="shared" si="73"/>
        <v>78033.56</v>
      </c>
      <c r="AJ35" s="290">
        <f t="shared" si="73"/>
        <v>9187.51</v>
      </c>
      <c r="AK35" s="290">
        <f t="shared" si="73"/>
        <v>5164.88</v>
      </c>
      <c r="AL35" s="290">
        <f t="shared" si="73"/>
        <v>14352.39</v>
      </c>
      <c r="AM35" s="291">
        <f t="shared" si="73"/>
        <v>92385.95</v>
      </c>
      <c r="AN35" s="222"/>
      <c r="AO35" s="286">
        <f t="shared" ref="AO35:AU35" si="74">AO34+AO17</f>
        <v>12</v>
      </c>
      <c r="AP35" s="287">
        <f t="shared" si="74"/>
        <v>483</v>
      </c>
      <c r="AQ35" s="290">
        <f t="shared" si="74"/>
        <v>279721.83999999997</v>
      </c>
      <c r="AR35" s="290">
        <f t="shared" si="74"/>
        <v>86353.61</v>
      </c>
      <c r="AS35" s="290">
        <f t="shared" si="74"/>
        <v>80771.72</v>
      </c>
      <c r="AT35" s="290">
        <f t="shared" si="74"/>
        <v>167125.32999999999</v>
      </c>
      <c r="AU35" s="291">
        <f t="shared" si="74"/>
        <v>446847.17000000004</v>
      </c>
      <c r="AV35" s="222"/>
      <c r="AW35" s="286">
        <f t="shared" ref="AW35:BC35" si="75">AW34+AW17</f>
        <v>2</v>
      </c>
      <c r="AX35" s="287">
        <f t="shared" si="75"/>
        <v>481</v>
      </c>
      <c r="AY35" s="290">
        <f t="shared" si="75"/>
        <v>53927.94</v>
      </c>
      <c r="AZ35" s="290">
        <f t="shared" si="75"/>
        <v>28631.72</v>
      </c>
      <c r="BA35" s="290">
        <f t="shared" si="75"/>
        <v>22997.67</v>
      </c>
      <c r="BB35" s="290">
        <f t="shared" si="75"/>
        <v>51629.39</v>
      </c>
      <c r="BC35" s="291">
        <f t="shared" si="75"/>
        <v>157186.72000000003</v>
      </c>
      <c r="BD35" s="222"/>
      <c r="BE35" s="286">
        <f t="shared" ref="BE35:BK35" si="76">BE34+BE17</f>
        <v>0</v>
      </c>
      <c r="BF35" s="287">
        <f t="shared" si="76"/>
        <v>481</v>
      </c>
      <c r="BG35" s="290">
        <f t="shared" si="76"/>
        <v>78886.81</v>
      </c>
      <c r="BH35" s="290">
        <f t="shared" si="76"/>
        <v>0</v>
      </c>
      <c r="BI35" s="290">
        <f t="shared" si="76"/>
        <v>0</v>
      </c>
      <c r="BJ35" s="290">
        <f t="shared" si="76"/>
        <v>0</v>
      </c>
      <c r="BK35" s="291">
        <f t="shared" si="76"/>
        <v>78886.81</v>
      </c>
      <c r="BL35" s="222"/>
      <c r="BM35" s="286">
        <f t="shared" ref="BM35:BS35" si="77">BM34+BM17</f>
        <v>0</v>
      </c>
      <c r="BN35" s="287">
        <f t="shared" si="77"/>
        <v>481</v>
      </c>
      <c r="BO35" s="290">
        <f t="shared" si="77"/>
        <v>24140.46</v>
      </c>
      <c r="BP35" s="290">
        <f t="shared" si="77"/>
        <v>0</v>
      </c>
      <c r="BQ35" s="290">
        <f t="shared" si="77"/>
        <v>0</v>
      </c>
      <c r="BR35" s="290">
        <f t="shared" si="77"/>
        <v>0</v>
      </c>
      <c r="BS35" s="291">
        <f t="shared" si="77"/>
        <v>24140.46</v>
      </c>
      <c r="BT35" s="222"/>
      <c r="BU35" s="286">
        <f t="shared" ref="BU35:CA35" si="78">BU34+BU17</f>
        <v>0</v>
      </c>
      <c r="BV35" s="287">
        <f t="shared" si="78"/>
        <v>481</v>
      </c>
      <c r="BW35" s="290">
        <f t="shared" si="78"/>
        <v>0</v>
      </c>
      <c r="BX35" s="290">
        <f t="shared" si="78"/>
        <v>0</v>
      </c>
      <c r="BY35" s="290">
        <f t="shared" si="78"/>
        <v>0</v>
      </c>
      <c r="BZ35" s="290">
        <f t="shared" si="78"/>
        <v>0</v>
      </c>
      <c r="CA35" s="291">
        <f t="shared" si="78"/>
        <v>0</v>
      </c>
      <c r="CB35" s="222"/>
      <c r="CC35" s="286">
        <f t="shared" ref="CC35:CI35" si="79">CC34+CC17</f>
        <v>1</v>
      </c>
      <c r="CD35" s="287">
        <f t="shared" si="79"/>
        <v>480</v>
      </c>
      <c r="CE35" s="290">
        <f t="shared" si="79"/>
        <v>14000</v>
      </c>
      <c r="CF35" s="290">
        <f t="shared" si="79"/>
        <v>13004.91</v>
      </c>
      <c r="CG35" s="290">
        <f t="shared" si="79"/>
        <v>13412.89</v>
      </c>
      <c r="CH35" s="290">
        <f t="shared" si="79"/>
        <v>26417.8</v>
      </c>
      <c r="CI35" s="291">
        <f t="shared" si="79"/>
        <v>66835.600000000006</v>
      </c>
      <c r="CJ35" s="222"/>
      <c r="CK35" s="286">
        <f t="shared" ref="CK35:CQ35" si="80">CK34+CK17</f>
        <v>1</v>
      </c>
      <c r="CL35" s="287">
        <f t="shared" si="80"/>
        <v>479</v>
      </c>
      <c r="CM35" s="290">
        <f t="shared" si="80"/>
        <v>7560</v>
      </c>
      <c r="CN35" s="290">
        <f t="shared" si="80"/>
        <v>13571.96</v>
      </c>
      <c r="CO35" s="290">
        <f t="shared" si="80"/>
        <v>7629.65</v>
      </c>
      <c r="CP35" s="290">
        <f t="shared" si="80"/>
        <v>21201.61</v>
      </c>
      <c r="CQ35" s="291">
        <f t="shared" si="80"/>
        <v>49963.22</v>
      </c>
      <c r="CR35" s="222"/>
      <c r="CS35" s="286">
        <f t="shared" ref="CS35:CY35" si="81">CS34+CS17</f>
        <v>0</v>
      </c>
      <c r="CT35" s="287">
        <f t="shared" si="81"/>
        <v>479</v>
      </c>
      <c r="CU35" s="290">
        <f t="shared" si="81"/>
        <v>0</v>
      </c>
      <c r="CV35" s="290">
        <f t="shared" si="81"/>
        <v>0</v>
      </c>
      <c r="CW35" s="290">
        <f t="shared" si="81"/>
        <v>0</v>
      </c>
      <c r="CX35" s="290">
        <f t="shared" si="81"/>
        <v>0</v>
      </c>
      <c r="CY35" s="291">
        <f t="shared" si="81"/>
        <v>0</v>
      </c>
      <c r="CZ35" s="222"/>
      <c r="DA35" s="286">
        <f t="shared" ref="DA35:DG35" si="82">DA34+DA17</f>
        <v>0</v>
      </c>
      <c r="DB35" s="287">
        <f t="shared" si="82"/>
        <v>479</v>
      </c>
      <c r="DC35" s="290">
        <f t="shared" si="82"/>
        <v>0</v>
      </c>
      <c r="DD35" s="290">
        <f t="shared" si="82"/>
        <v>0</v>
      </c>
      <c r="DE35" s="290">
        <f t="shared" si="82"/>
        <v>0</v>
      </c>
      <c r="DF35" s="290">
        <f t="shared" si="82"/>
        <v>0</v>
      </c>
      <c r="DG35" s="291">
        <f t="shared" si="82"/>
        <v>0</v>
      </c>
      <c r="DH35" s="222"/>
      <c r="DI35" s="286">
        <f t="shared" ref="DI35:DO35" si="83">DI34+DI17</f>
        <v>44</v>
      </c>
      <c r="DJ35" s="287">
        <f t="shared" si="83"/>
        <v>437</v>
      </c>
      <c r="DK35" s="290">
        <f t="shared" si="83"/>
        <v>812074.08</v>
      </c>
      <c r="DL35" s="290">
        <f t="shared" si="83"/>
        <v>572385.08000000007</v>
      </c>
      <c r="DM35" s="290">
        <f t="shared" si="83"/>
        <v>412945</v>
      </c>
      <c r="DN35" s="290">
        <f t="shared" si="83"/>
        <v>985330.08</v>
      </c>
      <c r="DO35" s="291">
        <f t="shared" si="83"/>
        <v>2782734.2399999998</v>
      </c>
      <c r="DP35" s="222"/>
      <c r="DQ35" s="104"/>
      <c r="DR35" s="104"/>
      <c r="DS35" s="292"/>
      <c r="DT35" s="292"/>
      <c r="DU35" s="293"/>
      <c r="DV35" s="293"/>
      <c r="DW35" s="293"/>
      <c r="DX35" s="294"/>
      <c r="DY35" s="294"/>
      <c r="DZ35" s="294"/>
      <c r="EA35" s="178"/>
      <c r="EB35" s="178"/>
      <c r="EC35" s="294"/>
      <c r="ED35" s="294"/>
      <c r="EE35" s="294"/>
      <c r="EF35" s="104"/>
      <c r="EG35" s="104"/>
      <c r="EH35" s="104"/>
      <c r="EI35" s="104"/>
      <c r="EJ35" s="104"/>
      <c r="EK35" s="104"/>
      <c r="EL35" s="104"/>
      <c r="EM35" s="104"/>
      <c r="EN35" s="104"/>
      <c r="EO35" s="104"/>
      <c r="EP35" s="104"/>
      <c r="EQ35" s="104"/>
      <c r="ER35" s="104"/>
      <c r="ES35" s="104"/>
      <c r="ET35" s="104"/>
      <c r="EU35" s="104"/>
      <c r="EV35" s="104"/>
      <c r="EW35" s="104"/>
      <c r="EX35" s="104"/>
      <c r="EY35" s="104"/>
      <c r="EZ35" s="104"/>
    </row>
    <row r="36" spans="1:156" ht="13.5" thickBot="1" x14ac:dyDescent="0.25">
      <c r="B36" s="326"/>
      <c r="I36" s="229"/>
      <c r="O36" s="106"/>
      <c r="P36" s="199"/>
      <c r="Q36" s="230"/>
      <c r="R36" s="230"/>
      <c r="S36" s="242"/>
      <c r="T36" s="242"/>
      <c r="U36" s="242"/>
      <c r="V36" s="242"/>
      <c r="W36" s="242"/>
      <c r="X36" s="199"/>
      <c r="Y36" s="327"/>
      <c r="Z36" s="328"/>
      <c r="AA36" s="329"/>
      <c r="AB36" s="329"/>
      <c r="AC36" s="329"/>
      <c r="AD36" s="329"/>
      <c r="AE36" s="330"/>
      <c r="AF36" s="222"/>
      <c r="AG36" s="236"/>
      <c r="AH36" s="236"/>
      <c r="AI36" s="242"/>
      <c r="AJ36" s="242"/>
      <c r="AK36" s="242"/>
      <c r="AL36" s="242"/>
      <c r="AM36" s="242"/>
      <c r="AN36" s="222"/>
      <c r="AO36" s="236"/>
      <c r="AP36" s="236"/>
      <c r="AQ36" s="242"/>
      <c r="AR36" s="329"/>
      <c r="AS36" s="242"/>
      <c r="AT36" s="242"/>
      <c r="AU36" s="242"/>
      <c r="AV36" s="222"/>
      <c r="AW36" s="236"/>
      <c r="AX36" s="236"/>
      <c r="AY36" s="242"/>
      <c r="AZ36" s="242"/>
      <c r="BA36" s="242"/>
      <c r="BB36" s="242"/>
      <c r="BC36" s="242"/>
      <c r="BD36" s="222"/>
      <c r="BE36" s="236"/>
      <c r="BF36" s="236"/>
      <c r="BG36" s="242"/>
      <c r="BH36" s="242"/>
      <c r="BI36" s="242"/>
      <c r="BJ36" s="242"/>
      <c r="BK36" s="242"/>
      <c r="BL36" s="222"/>
      <c r="BM36" s="236"/>
      <c r="BN36" s="236"/>
      <c r="BO36" s="242"/>
      <c r="BP36" s="242"/>
      <c r="BQ36" s="242"/>
      <c r="BR36" s="242"/>
      <c r="BS36" s="242"/>
      <c r="BT36" s="222"/>
      <c r="BU36" s="236"/>
      <c r="BV36" s="236"/>
      <c r="BW36" s="242"/>
      <c r="BX36" s="242"/>
      <c r="BY36" s="242"/>
      <c r="BZ36" s="242"/>
      <c r="CA36" s="242"/>
      <c r="CB36" s="222"/>
      <c r="CC36" s="236"/>
      <c r="CD36" s="236"/>
      <c r="CE36" s="242"/>
      <c r="CF36" s="242"/>
      <c r="CG36" s="242"/>
      <c r="CH36" s="242"/>
      <c r="CI36" s="242"/>
      <c r="CJ36" s="222"/>
      <c r="CK36" s="236"/>
      <c r="CL36" s="236"/>
      <c r="CM36" s="242"/>
      <c r="CN36" s="242"/>
      <c r="CO36" s="242"/>
      <c r="CP36" s="242"/>
      <c r="CQ36" s="242"/>
      <c r="CR36" s="222"/>
      <c r="CS36" s="236"/>
      <c r="CT36" s="236"/>
      <c r="CU36" s="242"/>
      <c r="CV36" s="242"/>
      <c r="CW36" s="242"/>
      <c r="CX36" s="242"/>
      <c r="CY36" s="242"/>
      <c r="CZ36" s="222"/>
      <c r="DA36" s="236"/>
      <c r="DB36" s="236"/>
      <c r="DC36" s="242"/>
      <c r="DD36" s="242"/>
      <c r="DE36" s="242"/>
      <c r="DF36" s="242"/>
      <c r="DG36" s="242"/>
      <c r="DH36" s="222"/>
      <c r="DI36" s="236"/>
      <c r="DJ36" s="236"/>
      <c r="DK36" s="242"/>
      <c r="DL36" s="242"/>
      <c r="DM36" s="242"/>
      <c r="DN36" s="242"/>
      <c r="DO36" s="242"/>
      <c r="DP36" s="222"/>
      <c r="DS36" s="258"/>
      <c r="DT36" s="258"/>
    </row>
    <row r="37" spans="1:156" s="102" customFormat="1" ht="16.5" thickBot="1" x14ac:dyDescent="0.25">
      <c r="A37" s="331"/>
      <c r="B37" s="3764" t="s">
        <v>266</v>
      </c>
      <c r="C37" s="3764"/>
      <c r="D37" s="3764"/>
      <c r="E37" s="3764"/>
      <c r="F37" s="108"/>
      <c r="G37" s="108"/>
      <c r="H37" s="108"/>
      <c r="I37" s="108"/>
      <c r="J37" s="108"/>
      <c r="K37" s="108"/>
      <c r="L37" s="108"/>
      <c r="P37" s="332"/>
      <c r="Q37" s="333">
        <f t="shared" ref="Q37:W37" si="84">Q35+Q12</f>
        <v>15</v>
      </c>
      <c r="R37" s="334">
        <f t="shared" si="84"/>
        <v>518</v>
      </c>
      <c r="S37" s="335">
        <f t="shared" si="84"/>
        <v>124083.26</v>
      </c>
      <c r="T37" s="335">
        <f t="shared" si="84"/>
        <v>740355.72000000009</v>
      </c>
      <c r="U37" s="335">
        <f t="shared" si="84"/>
        <v>751516.17999999993</v>
      </c>
      <c r="V37" s="335">
        <f t="shared" si="84"/>
        <v>1491871.8900000001</v>
      </c>
      <c r="W37" s="336">
        <f t="shared" si="84"/>
        <v>3107827.05</v>
      </c>
      <c r="X37" s="325"/>
      <c r="Y37" s="333">
        <f t="shared" ref="Y37:AE37" si="85">Y35+Y12</f>
        <v>19</v>
      </c>
      <c r="Z37" s="337">
        <f t="shared" si="85"/>
        <v>499</v>
      </c>
      <c r="AA37" s="335">
        <f t="shared" si="85"/>
        <v>151720.21</v>
      </c>
      <c r="AB37" s="335">
        <f t="shared" si="85"/>
        <v>381493.25</v>
      </c>
      <c r="AC37" s="335">
        <f t="shared" si="85"/>
        <v>281030.42</v>
      </c>
      <c r="AD37" s="335">
        <f t="shared" si="85"/>
        <v>662523.67000000004</v>
      </c>
      <c r="AE37" s="336">
        <f t="shared" si="85"/>
        <v>814243.87999999989</v>
      </c>
      <c r="AF37" s="332"/>
      <c r="AG37" s="333">
        <f t="shared" ref="AG37:AM37" si="86">AG35+AG12</f>
        <v>2</v>
      </c>
      <c r="AH37" s="334">
        <f t="shared" si="86"/>
        <v>497</v>
      </c>
      <c r="AI37" s="335">
        <f t="shared" si="86"/>
        <v>78033.56</v>
      </c>
      <c r="AJ37" s="335">
        <f t="shared" si="86"/>
        <v>106625.28</v>
      </c>
      <c r="AK37" s="335">
        <f t="shared" si="86"/>
        <v>122076.84000000001</v>
      </c>
      <c r="AL37" s="335">
        <f t="shared" si="86"/>
        <v>228702.12</v>
      </c>
      <c r="AM37" s="336">
        <f t="shared" si="86"/>
        <v>306735.68</v>
      </c>
      <c r="AN37" s="332"/>
      <c r="AO37" s="333">
        <f t="shared" ref="AO37:AU37" si="87">AO35+AO12</f>
        <v>13</v>
      </c>
      <c r="AP37" s="334">
        <f t="shared" si="87"/>
        <v>484</v>
      </c>
      <c r="AQ37" s="335">
        <f t="shared" si="87"/>
        <v>279721.83999999997</v>
      </c>
      <c r="AR37" s="335">
        <f t="shared" si="87"/>
        <v>209945.03999999998</v>
      </c>
      <c r="AS37" s="335">
        <f t="shared" si="87"/>
        <v>150250.28</v>
      </c>
      <c r="AT37" s="335">
        <f t="shared" si="87"/>
        <v>360195.31999999995</v>
      </c>
      <c r="AU37" s="336">
        <f t="shared" si="87"/>
        <v>639917.16</v>
      </c>
      <c r="AV37" s="332"/>
      <c r="AW37" s="333">
        <f t="shared" ref="AW37:CA37" si="88">AW35+AW12</f>
        <v>2</v>
      </c>
      <c r="AX37" s="334">
        <f t="shared" si="88"/>
        <v>482</v>
      </c>
      <c r="AY37" s="335">
        <f t="shared" si="88"/>
        <v>53927.94</v>
      </c>
      <c r="AZ37" s="335">
        <f t="shared" si="88"/>
        <v>28631.72</v>
      </c>
      <c r="BA37" s="335">
        <f t="shared" si="88"/>
        <v>22997.67</v>
      </c>
      <c r="BB37" s="335">
        <f t="shared" si="88"/>
        <v>51629.39</v>
      </c>
      <c r="BC37" s="336">
        <f t="shared" si="88"/>
        <v>157186.72000000003</v>
      </c>
      <c r="BD37" s="338"/>
      <c r="BE37" s="333">
        <f t="shared" si="88"/>
        <v>1</v>
      </c>
      <c r="BF37" s="334">
        <f t="shared" si="88"/>
        <v>481</v>
      </c>
      <c r="BG37" s="335">
        <f t="shared" si="88"/>
        <v>78886.81</v>
      </c>
      <c r="BH37" s="335">
        <f t="shared" si="88"/>
        <v>87525.15</v>
      </c>
      <c r="BI37" s="335">
        <f t="shared" si="88"/>
        <v>113915.14</v>
      </c>
      <c r="BJ37" s="335">
        <f t="shared" si="88"/>
        <v>201440.29</v>
      </c>
      <c r="BK37" s="336">
        <f t="shared" si="88"/>
        <v>280327.09999999998</v>
      </c>
      <c r="BL37" s="325"/>
      <c r="BM37" s="333">
        <f t="shared" si="88"/>
        <v>0</v>
      </c>
      <c r="BN37" s="334">
        <f t="shared" si="88"/>
        <v>481</v>
      </c>
      <c r="BO37" s="335">
        <f t="shared" si="88"/>
        <v>24140.46</v>
      </c>
      <c r="BP37" s="335">
        <f t="shared" si="88"/>
        <v>0</v>
      </c>
      <c r="BQ37" s="335">
        <f t="shared" si="88"/>
        <v>0</v>
      </c>
      <c r="BR37" s="335">
        <f t="shared" si="88"/>
        <v>0</v>
      </c>
      <c r="BS37" s="336">
        <f t="shared" si="88"/>
        <v>24140.46</v>
      </c>
      <c r="BT37" s="325"/>
      <c r="BU37" s="333">
        <f t="shared" si="88"/>
        <v>0</v>
      </c>
      <c r="BV37" s="334">
        <f t="shared" si="88"/>
        <v>481</v>
      </c>
      <c r="BW37" s="335">
        <f t="shared" si="88"/>
        <v>0</v>
      </c>
      <c r="BX37" s="335">
        <f t="shared" si="88"/>
        <v>0</v>
      </c>
      <c r="BY37" s="335">
        <f t="shared" si="88"/>
        <v>0</v>
      </c>
      <c r="BZ37" s="335">
        <f t="shared" si="88"/>
        <v>0</v>
      </c>
      <c r="CA37" s="336">
        <f t="shared" si="88"/>
        <v>0</v>
      </c>
      <c r="CB37" s="325"/>
      <c r="CC37" s="333">
        <f t="shared" ref="CC37:CI37" si="89">CC35+CC12</f>
        <v>1</v>
      </c>
      <c r="CD37" s="334">
        <f t="shared" si="89"/>
        <v>480</v>
      </c>
      <c r="CE37" s="335">
        <f t="shared" si="89"/>
        <v>14000</v>
      </c>
      <c r="CF37" s="335">
        <f t="shared" si="89"/>
        <v>13004.91</v>
      </c>
      <c r="CG37" s="335">
        <f t="shared" si="89"/>
        <v>13412.89</v>
      </c>
      <c r="CH37" s="335">
        <f t="shared" si="89"/>
        <v>26417.8</v>
      </c>
      <c r="CI37" s="336">
        <f t="shared" si="89"/>
        <v>66835.600000000006</v>
      </c>
      <c r="CJ37" s="325"/>
      <c r="CK37" s="333">
        <f t="shared" ref="CK37:CQ37" si="90">CK35+CK12</f>
        <v>1</v>
      </c>
      <c r="CL37" s="334">
        <f t="shared" si="90"/>
        <v>479</v>
      </c>
      <c r="CM37" s="335">
        <f t="shared" si="90"/>
        <v>7560</v>
      </c>
      <c r="CN37" s="335">
        <f t="shared" si="90"/>
        <v>13571.96</v>
      </c>
      <c r="CO37" s="335">
        <f t="shared" si="90"/>
        <v>7629.65</v>
      </c>
      <c r="CP37" s="335">
        <f t="shared" si="90"/>
        <v>21201.61</v>
      </c>
      <c r="CQ37" s="336">
        <f t="shared" si="90"/>
        <v>49963.22</v>
      </c>
      <c r="CR37" s="325"/>
      <c r="CS37" s="333">
        <f t="shared" ref="CS37:CY37" si="91">CS35+CS12</f>
        <v>0</v>
      </c>
      <c r="CT37" s="334">
        <f t="shared" si="91"/>
        <v>479</v>
      </c>
      <c r="CU37" s="335">
        <f t="shared" si="91"/>
        <v>0</v>
      </c>
      <c r="CV37" s="335">
        <f t="shared" si="91"/>
        <v>0</v>
      </c>
      <c r="CW37" s="335">
        <f t="shared" si="91"/>
        <v>0</v>
      </c>
      <c r="CX37" s="335">
        <f t="shared" si="91"/>
        <v>0</v>
      </c>
      <c r="CY37" s="336">
        <f t="shared" si="91"/>
        <v>0</v>
      </c>
      <c r="CZ37" s="325"/>
      <c r="DA37" s="333">
        <f t="shared" ref="DA37:DG37" si="92">DA35+DA12</f>
        <v>0</v>
      </c>
      <c r="DB37" s="334">
        <f t="shared" si="92"/>
        <v>479</v>
      </c>
      <c r="DC37" s="335">
        <f t="shared" si="92"/>
        <v>0</v>
      </c>
      <c r="DD37" s="335">
        <f t="shared" si="92"/>
        <v>0</v>
      </c>
      <c r="DE37" s="335">
        <f t="shared" si="92"/>
        <v>0</v>
      </c>
      <c r="DF37" s="335">
        <f t="shared" si="92"/>
        <v>0</v>
      </c>
      <c r="DG37" s="336">
        <f t="shared" si="92"/>
        <v>0</v>
      </c>
      <c r="DH37" s="325"/>
      <c r="DI37" s="333">
        <f t="shared" ref="DI37:DO37" si="93">DI35+DI12</f>
        <v>54</v>
      </c>
      <c r="DJ37" s="334">
        <f t="shared" si="93"/>
        <v>437</v>
      </c>
      <c r="DK37" s="335">
        <f t="shared" si="93"/>
        <v>812074.08</v>
      </c>
      <c r="DL37" s="335">
        <f t="shared" si="93"/>
        <v>1581153.01</v>
      </c>
      <c r="DM37" s="335">
        <f t="shared" si="93"/>
        <v>1462829.07</v>
      </c>
      <c r="DN37" s="335">
        <f t="shared" si="93"/>
        <v>3043982.08</v>
      </c>
      <c r="DO37" s="336">
        <f t="shared" si="93"/>
        <v>6900038.2400000002</v>
      </c>
      <c r="DP37" s="325"/>
      <c r="DQ37" s="339"/>
      <c r="DR37" s="339"/>
      <c r="DS37" s="340"/>
      <c r="DT37" s="340"/>
      <c r="DU37" s="341"/>
      <c r="DV37" s="341"/>
      <c r="DW37" s="341"/>
      <c r="DX37" s="342"/>
      <c r="DY37" s="342"/>
      <c r="DZ37" s="342"/>
      <c r="EA37" s="343"/>
      <c r="EB37" s="343"/>
      <c r="EC37" s="342"/>
      <c r="ED37" s="342"/>
      <c r="EE37" s="342"/>
      <c r="EF37" s="339"/>
      <c r="EG37" s="339"/>
      <c r="EH37" s="339"/>
      <c r="EI37" s="339"/>
      <c r="EJ37" s="339"/>
      <c r="EK37" s="339"/>
      <c r="EL37" s="339"/>
      <c r="EM37" s="339"/>
      <c r="EN37" s="339"/>
      <c r="EO37" s="339"/>
      <c r="EP37" s="339"/>
      <c r="EQ37" s="339"/>
      <c r="ER37" s="339"/>
      <c r="ES37" s="339"/>
      <c r="ET37" s="339"/>
      <c r="EU37" s="339"/>
      <c r="EV37" s="339"/>
      <c r="EW37" s="339"/>
      <c r="EX37" s="339"/>
      <c r="EY37" s="339"/>
      <c r="EZ37" s="339"/>
    </row>
    <row r="38" spans="1:156" ht="15.75" x14ac:dyDescent="0.25">
      <c r="A38" s="217"/>
      <c r="D38" s="344"/>
      <c r="P38" s="345"/>
      <c r="Q38" s="230"/>
      <c r="R38" s="230"/>
      <c r="S38" s="242"/>
      <c r="T38" s="242"/>
      <c r="U38" s="242"/>
      <c r="V38" s="242"/>
      <c r="W38" s="242"/>
      <c r="X38" s="345"/>
      <c r="Y38" s="236"/>
      <c r="Z38" s="236"/>
      <c r="AA38" s="242"/>
      <c r="AB38" s="242"/>
      <c r="AC38" s="242"/>
      <c r="AD38" s="242"/>
      <c r="AE38" s="242"/>
      <c r="AF38" s="345"/>
      <c r="AG38" s="236"/>
      <c r="AH38" s="236"/>
      <c r="AI38" s="242"/>
      <c r="AJ38" s="242"/>
      <c r="AK38" s="242"/>
      <c r="AL38" s="242"/>
      <c r="AM38" s="242"/>
      <c r="AN38" s="345"/>
      <c r="AO38" s="236"/>
      <c r="AP38" s="236"/>
      <c r="AQ38" s="242"/>
      <c r="AR38" s="242"/>
      <c r="AS38" s="242"/>
      <c r="AT38" s="242"/>
      <c r="AU38" s="242"/>
      <c r="AV38" s="345"/>
      <c r="AW38" s="236"/>
      <c r="AX38" s="236"/>
      <c r="AY38" s="242"/>
      <c r="AZ38" s="242"/>
      <c r="BA38" s="242"/>
      <c r="BB38" s="242"/>
      <c r="BC38" s="242"/>
      <c r="BD38" s="345"/>
      <c r="BE38" s="236"/>
      <c r="BF38" s="236"/>
      <c r="BG38" s="242"/>
      <c r="BH38" s="242"/>
      <c r="BI38" s="242"/>
      <c r="BJ38" s="242"/>
      <c r="BK38" s="242"/>
      <c r="BL38" s="345"/>
      <c r="BM38" s="236"/>
      <c r="BN38" s="236"/>
      <c r="BO38" s="242"/>
      <c r="BP38" s="242"/>
      <c r="BQ38" s="242"/>
      <c r="BR38" s="242"/>
      <c r="BS38" s="242"/>
      <c r="BT38" s="345"/>
      <c r="BU38" s="236"/>
      <c r="BV38" s="236"/>
      <c r="BW38" s="242"/>
      <c r="BX38" s="242"/>
      <c r="BY38" s="242"/>
      <c r="BZ38" s="242"/>
      <c r="CA38" s="242"/>
      <c r="CB38" s="345"/>
      <c r="CC38" s="236"/>
      <c r="CD38" s="236"/>
      <c r="CE38" s="242"/>
      <c r="CF38" s="242"/>
      <c r="CG38" s="242"/>
      <c r="CH38" s="242"/>
      <c r="CI38" s="242"/>
      <c r="CJ38" s="345"/>
      <c r="CK38" s="236"/>
      <c r="CL38" s="236"/>
      <c r="CM38" s="242"/>
      <c r="CN38" s="242"/>
      <c r="CO38" s="242"/>
      <c r="CP38" s="242"/>
      <c r="CQ38" s="242"/>
      <c r="CR38" s="345"/>
      <c r="CS38" s="236"/>
      <c r="CT38" s="236"/>
      <c r="CU38" s="242"/>
      <c r="CV38" s="242"/>
      <c r="CW38" s="242"/>
      <c r="CX38" s="242"/>
      <c r="CY38" s="242"/>
      <c r="CZ38" s="345"/>
      <c r="DA38" s="236"/>
      <c r="DB38" s="236"/>
      <c r="DC38" s="242"/>
      <c r="DD38" s="242"/>
      <c r="DE38" s="242"/>
      <c r="DF38" s="242"/>
      <c r="DG38" s="242"/>
      <c r="DH38" s="345"/>
      <c r="DI38" s="236"/>
      <c r="DJ38" s="236"/>
      <c r="DK38" s="242"/>
      <c r="DL38" s="242"/>
      <c r="DM38" s="242"/>
      <c r="DN38" s="242"/>
      <c r="DO38" s="242"/>
      <c r="DP38" s="345"/>
      <c r="DS38" s="258"/>
      <c r="DT38" s="258"/>
    </row>
    <row r="39" spans="1:156" x14ac:dyDescent="0.2">
      <c r="A39" s="100"/>
      <c r="B39" s="225" t="s">
        <v>305</v>
      </c>
      <c r="C39" s="226" t="s">
        <v>303</v>
      </c>
      <c r="D39" s="227" t="s">
        <v>304</v>
      </c>
      <c r="E39" s="228" t="s">
        <v>241</v>
      </c>
      <c r="P39" s="345"/>
      <c r="Q39" s="230"/>
      <c r="R39" s="230"/>
      <c r="S39" s="242"/>
      <c r="T39" s="242"/>
      <c r="U39" s="242"/>
      <c r="V39" s="242"/>
      <c r="W39" s="242"/>
      <c r="X39" s="345"/>
      <c r="Y39" s="236"/>
      <c r="Z39" s="236"/>
      <c r="AA39" s="242"/>
      <c r="AB39" s="242"/>
      <c r="AC39" s="242"/>
      <c r="AD39" s="242"/>
      <c r="AE39" s="242"/>
      <c r="AF39" s="345"/>
      <c r="AG39" s="242"/>
      <c r="AH39" s="242"/>
      <c r="AI39" s="242"/>
      <c r="AJ39" s="242"/>
      <c r="AK39" s="242"/>
      <c r="AN39" s="345"/>
      <c r="AO39" s="242"/>
      <c r="AP39" s="242"/>
      <c r="AQ39" s="242"/>
      <c r="AR39" s="242"/>
      <c r="AS39" s="242"/>
      <c r="AV39" s="345"/>
      <c r="AW39" s="242"/>
      <c r="AX39" s="242"/>
      <c r="AY39" s="242"/>
      <c r="AZ39" s="242"/>
      <c r="BA39" s="242"/>
      <c r="BD39" s="345"/>
      <c r="BE39" s="242"/>
      <c r="BF39" s="242"/>
      <c r="BG39" s="242"/>
      <c r="BH39" s="242"/>
      <c r="BI39" s="242"/>
      <c r="BL39" s="345"/>
      <c r="BM39" s="242"/>
      <c r="BN39" s="242"/>
      <c r="BO39" s="242"/>
      <c r="BP39" s="242"/>
      <c r="BQ39" s="242"/>
      <c r="BT39" s="345"/>
      <c r="BU39" s="242"/>
      <c r="BV39" s="242"/>
      <c r="BW39" s="242"/>
      <c r="BX39" s="242"/>
      <c r="BY39" s="242"/>
      <c r="CB39" s="345"/>
      <c r="CC39" s="242"/>
      <c r="CD39" s="242"/>
      <c r="CE39" s="242"/>
      <c r="CF39" s="242"/>
      <c r="CG39" s="242"/>
      <c r="CJ39" s="345"/>
      <c r="CK39" s="242"/>
      <c r="CL39" s="242"/>
      <c r="CM39" s="242"/>
      <c r="CN39" s="242"/>
      <c r="CO39" s="242"/>
      <c r="CR39" s="345"/>
      <c r="CS39" s="242"/>
      <c r="CT39" s="242"/>
      <c r="CU39" s="242"/>
      <c r="CV39" s="242"/>
      <c r="CW39" s="242"/>
      <c r="CZ39" s="345"/>
      <c r="DA39" s="242"/>
      <c r="DB39" s="242"/>
      <c r="DC39" s="242"/>
      <c r="DD39" s="242"/>
      <c r="DE39" s="242"/>
      <c r="DH39" s="345"/>
      <c r="DI39" s="242"/>
      <c r="DJ39" s="242"/>
      <c r="DK39" s="242"/>
      <c r="DL39" s="242"/>
      <c r="DM39" s="242"/>
      <c r="DP39" s="345"/>
      <c r="DS39" s="258"/>
      <c r="DT39" s="258"/>
    </row>
    <row r="40" spans="1:156" x14ac:dyDescent="0.2">
      <c r="A40" s="346" t="s">
        <v>267</v>
      </c>
      <c r="B40" s="347">
        <v>1</v>
      </c>
      <c r="C40" s="248">
        <v>54.9</v>
      </c>
      <c r="D40" s="249">
        <f>E40/C40</f>
        <v>6281.5193078324219</v>
      </c>
      <c r="E40" s="250">
        <v>344855.41</v>
      </c>
      <c r="G40" s="106">
        <v>174133.22</v>
      </c>
      <c r="H40" s="106">
        <v>0</v>
      </c>
      <c r="I40" s="106">
        <f>SUM(G40:H40)</f>
        <v>174133.22</v>
      </c>
      <c r="P40" s="345"/>
      <c r="Q40" s="236"/>
      <c r="R40" s="230"/>
      <c r="S40" s="242"/>
      <c r="T40" s="242"/>
      <c r="U40" s="242"/>
      <c r="V40" s="242"/>
      <c r="W40" s="242"/>
      <c r="X40" s="345"/>
      <c r="Y40" s="236"/>
      <c r="Z40" s="236"/>
      <c r="AA40" s="242"/>
      <c r="AB40" s="242"/>
      <c r="AC40" s="242"/>
      <c r="AD40" s="242"/>
      <c r="AE40" s="242"/>
      <c r="AF40" s="345"/>
      <c r="AG40" s="242"/>
      <c r="AH40" s="242"/>
      <c r="AI40" s="242"/>
      <c r="AJ40" s="242"/>
      <c r="AK40" s="242"/>
      <c r="AN40" s="345"/>
      <c r="AO40" s="242"/>
      <c r="AP40" s="242"/>
      <c r="AQ40" s="242"/>
      <c r="AR40" s="242"/>
      <c r="AS40" s="242"/>
      <c r="AV40" s="345"/>
      <c r="AW40" s="242"/>
      <c r="AX40" s="242"/>
      <c r="AY40" s="242"/>
      <c r="AZ40" s="242"/>
      <c r="BA40" s="242"/>
      <c r="BD40" s="345"/>
      <c r="BE40" s="242"/>
      <c r="BF40" s="242"/>
      <c r="BG40" s="242"/>
      <c r="BH40" s="242"/>
      <c r="BI40" s="242"/>
      <c r="BL40" s="345"/>
      <c r="BM40" s="242"/>
      <c r="BN40" s="242"/>
      <c r="BO40" s="242"/>
      <c r="BP40" s="242"/>
      <c r="BQ40" s="242"/>
      <c r="BT40" s="345"/>
      <c r="BU40" s="242"/>
      <c r="BV40" s="242"/>
      <c r="BW40" s="242"/>
      <c r="BX40" s="242"/>
      <c r="BY40" s="242"/>
      <c r="CB40" s="345"/>
      <c r="CC40" s="242"/>
      <c r="CD40" s="242"/>
      <c r="CE40" s="242"/>
      <c r="CF40" s="242"/>
      <c r="CG40" s="242"/>
      <c r="CJ40" s="345"/>
      <c r="CK40" s="242"/>
      <c r="CL40" s="242"/>
      <c r="CM40" s="242"/>
      <c r="CN40" s="242"/>
      <c r="CO40" s="242"/>
      <c r="CR40" s="345"/>
      <c r="CS40" s="242"/>
      <c r="CT40" s="242"/>
      <c r="CU40" s="242"/>
      <c r="CV40" s="242"/>
      <c r="CW40" s="242"/>
      <c r="CZ40" s="345"/>
      <c r="DA40" s="242"/>
      <c r="DB40" s="242"/>
      <c r="DC40" s="242"/>
      <c r="DD40" s="242"/>
      <c r="DE40" s="242"/>
      <c r="DH40" s="345"/>
      <c r="DI40" s="242"/>
      <c r="DJ40" s="242"/>
      <c r="DK40" s="242"/>
      <c r="DL40" s="242"/>
      <c r="DM40" s="242"/>
      <c r="DP40" s="345"/>
      <c r="DS40" s="311">
        <v>215.88</v>
      </c>
      <c r="DT40" s="259">
        <v>7.5540979999999998</v>
      </c>
      <c r="DU40" s="176">
        <f>DS40*C40*DT40</f>
        <v>89529.749325575991</v>
      </c>
      <c r="DV40" s="176">
        <v>170949.36</v>
      </c>
      <c r="DW40" s="176">
        <f>DV40-DU40</f>
        <v>81419.610674423995</v>
      </c>
      <c r="DX40" s="177">
        <v>210</v>
      </c>
      <c r="DZ40" s="177">
        <f>E40</f>
        <v>344855.41</v>
      </c>
      <c r="EA40" s="178">
        <f>SUM(EC40:EE40)</f>
        <v>344855.41</v>
      </c>
      <c r="EB40" s="178">
        <f>DZ40-EA40</f>
        <v>0</v>
      </c>
      <c r="EC40" s="177">
        <f>E40-ED40-EE40</f>
        <v>259540.80999999997</v>
      </c>
      <c r="ED40" s="177">
        <f>DX40*C40*7.4</f>
        <v>85314.6</v>
      </c>
      <c r="EE40" s="177">
        <f>DY40*C40*7.4</f>
        <v>0</v>
      </c>
    </row>
    <row r="41" spans="1:156" x14ac:dyDescent="0.2">
      <c r="A41" s="260" t="s">
        <v>268</v>
      </c>
      <c r="B41" s="261">
        <v>1</v>
      </c>
      <c r="C41" s="262">
        <v>75.05</v>
      </c>
      <c r="D41" s="263">
        <f>E41/C41</f>
        <v>6566.4843437708196</v>
      </c>
      <c r="E41" s="264">
        <v>492814.65</v>
      </c>
      <c r="G41" s="106">
        <v>262978.62</v>
      </c>
      <c r="H41" s="106">
        <v>0</v>
      </c>
      <c r="I41" s="106">
        <f>SUM(G41:H41)</f>
        <v>262978.62</v>
      </c>
      <c r="P41" s="345"/>
      <c r="Q41" s="230"/>
      <c r="R41" s="230"/>
      <c r="S41" s="242"/>
      <c r="T41" s="242"/>
      <c r="U41" s="242"/>
      <c r="V41" s="242"/>
      <c r="W41" s="242"/>
      <c r="X41" s="345"/>
      <c r="Y41" s="236"/>
      <c r="Z41" s="236"/>
      <c r="AA41" s="242"/>
      <c r="AB41" s="242"/>
      <c r="AC41" s="242"/>
      <c r="AD41" s="242"/>
      <c r="AE41" s="242"/>
      <c r="AF41" s="345"/>
      <c r="AG41" s="242"/>
      <c r="AH41" s="242"/>
      <c r="AI41" s="242"/>
      <c r="AJ41" s="242"/>
      <c r="AK41" s="242"/>
      <c r="AN41" s="345"/>
      <c r="AO41" s="242"/>
      <c r="AP41" s="242"/>
      <c r="AQ41" s="242"/>
      <c r="AR41" s="242"/>
      <c r="AS41" s="242"/>
      <c r="AV41" s="345"/>
      <c r="AW41" s="242"/>
      <c r="AX41" s="242"/>
      <c r="AY41" s="242"/>
      <c r="AZ41" s="242"/>
      <c r="BA41" s="242"/>
      <c r="BD41" s="345"/>
      <c r="BE41" s="242"/>
      <c r="BF41" s="242"/>
      <c r="BG41" s="242"/>
      <c r="BH41" s="242"/>
      <c r="BI41" s="242"/>
      <c r="BL41" s="345"/>
      <c r="BM41" s="242"/>
      <c r="BN41" s="242"/>
      <c r="BO41" s="242"/>
      <c r="BP41" s="242"/>
      <c r="BQ41" s="242"/>
      <c r="BT41" s="345"/>
      <c r="BU41" s="242"/>
      <c r="BV41" s="242"/>
      <c r="BW41" s="242"/>
      <c r="BX41" s="242"/>
      <c r="BY41" s="242"/>
      <c r="CB41" s="345"/>
      <c r="CC41" s="242"/>
      <c r="CD41" s="242"/>
      <c r="CE41" s="242"/>
      <c r="CF41" s="242"/>
      <c r="CG41" s="242"/>
      <c r="CJ41" s="345"/>
      <c r="CK41" s="242"/>
      <c r="CL41" s="242"/>
      <c r="CM41" s="242"/>
      <c r="CN41" s="242"/>
      <c r="CO41" s="242"/>
      <c r="CR41" s="345"/>
      <c r="CS41" s="242"/>
      <c r="CT41" s="242"/>
      <c r="CU41" s="242"/>
      <c r="CV41" s="242"/>
      <c r="CW41" s="242"/>
      <c r="CZ41" s="345"/>
      <c r="DA41" s="242"/>
      <c r="DB41" s="242"/>
      <c r="DC41" s="242"/>
      <c r="DD41" s="242"/>
      <c r="DE41" s="242"/>
      <c r="DH41" s="345"/>
      <c r="DI41" s="242"/>
      <c r="DJ41" s="242"/>
      <c r="DK41" s="242"/>
      <c r="DL41" s="242"/>
      <c r="DM41" s="242"/>
      <c r="DP41" s="345"/>
      <c r="DS41" s="311">
        <v>208.39</v>
      </c>
      <c r="DT41" s="259">
        <v>7.5314839999999998</v>
      </c>
      <c r="DU41" s="176">
        <f>DS41*C41*DT41</f>
        <v>117789.92060453798</v>
      </c>
      <c r="DV41" s="176">
        <v>229639.83</v>
      </c>
      <c r="DW41" s="176">
        <f>DV41-DU41</f>
        <v>111849.909395462</v>
      </c>
      <c r="DX41" s="177">
        <v>210</v>
      </c>
      <c r="DZ41" s="177">
        <f>E41</f>
        <v>492814.65</v>
      </c>
      <c r="EA41" s="178">
        <f>SUM(EC41:EE41)</f>
        <v>492814.65</v>
      </c>
      <c r="EB41" s="178">
        <f>DZ41-EA41</f>
        <v>0</v>
      </c>
      <c r="EC41" s="177">
        <f>E41-ED41-EE41</f>
        <v>376186.95</v>
      </c>
      <c r="ED41" s="177">
        <f>DX41*C41*7.4</f>
        <v>116627.70000000001</v>
      </c>
      <c r="EE41" s="177">
        <f>DY41*C41*7.4</f>
        <v>0</v>
      </c>
    </row>
    <row r="42" spans="1:156" x14ac:dyDescent="0.2">
      <c r="A42" s="270" t="s">
        <v>269</v>
      </c>
      <c r="B42" s="271">
        <v>1</v>
      </c>
      <c r="C42" s="272">
        <v>65.489999999999995</v>
      </c>
      <c r="D42" s="273">
        <f>E42/C42</f>
        <v>6389.9627424034206</v>
      </c>
      <c r="E42" s="274">
        <v>418478.66</v>
      </c>
      <c r="G42" s="106">
        <v>212803.05</v>
      </c>
      <c r="H42" s="106">
        <v>0</v>
      </c>
      <c r="I42" s="106">
        <f>SUM(G42:H42)</f>
        <v>212803.05</v>
      </c>
      <c r="P42" s="345"/>
      <c r="Q42" s="230"/>
      <c r="R42" s="230"/>
      <c r="S42" s="242"/>
      <c r="T42" s="242"/>
      <c r="U42" s="242"/>
      <c r="V42" s="242"/>
      <c r="W42" s="242"/>
      <c r="X42" s="345"/>
      <c r="Y42" s="236"/>
      <c r="Z42" s="236"/>
      <c r="AA42" s="242"/>
      <c r="AB42" s="242"/>
      <c r="AC42" s="242"/>
      <c r="AD42" s="242"/>
      <c r="AE42" s="242"/>
      <c r="AF42" s="345"/>
      <c r="AG42" s="242"/>
      <c r="AH42" s="242"/>
      <c r="AI42" s="242"/>
      <c r="AJ42" s="242"/>
      <c r="AK42" s="242"/>
      <c r="AN42" s="345"/>
      <c r="AO42" s="242"/>
      <c r="AP42" s="242"/>
      <c r="AQ42" s="242"/>
      <c r="AR42" s="242"/>
      <c r="AS42" s="242"/>
      <c r="AV42" s="345"/>
      <c r="AW42" s="242"/>
      <c r="AX42" s="242"/>
      <c r="AY42" s="242"/>
      <c r="AZ42" s="242"/>
      <c r="BA42" s="242"/>
      <c r="BD42" s="345"/>
      <c r="BE42" s="242"/>
      <c r="BF42" s="242"/>
      <c r="BG42" s="242"/>
      <c r="BH42" s="242"/>
      <c r="BI42" s="242"/>
      <c r="BL42" s="345"/>
      <c r="BM42" s="242"/>
      <c r="BN42" s="242"/>
      <c r="BO42" s="242"/>
      <c r="BP42" s="242"/>
      <c r="BQ42" s="242"/>
      <c r="BT42" s="345"/>
      <c r="BU42" s="242"/>
      <c r="BV42" s="242"/>
      <c r="BW42" s="242"/>
      <c r="BX42" s="242"/>
      <c r="BY42" s="242"/>
      <c r="CB42" s="345"/>
      <c r="CC42" s="242"/>
      <c r="CD42" s="242"/>
      <c r="CE42" s="242"/>
      <c r="CF42" s="242"/>
      <c r="CG42" s="242"/>
      <c r="CJ42" s="345"/>
      <c r="CK42" s="242"/>
      <c r="CL42" s="242"/>
      <c r="CM42" s="242"/>
      <c r="CN42" s="242"/>
      <c r="CO42" s="242"/>
      <c r="CR42" s="345"/>
      <c r="CS42" s="242"/>
      <c r="CT42" s="242"/>
      <c r="CU42" s="242"/>
      <c r="CV42" s="242"/>
      <c r="CW42" s="242"/>
      <c r="CZ42" s="345"/>
      <c r="DA42" s="242"/>
      <c r="DB42" s="242"/>
      <c r="DC42" s="242"/>
      <c r="DD42" s="242"/>
      <c r="DE42" s="242"/>
      <c r="DH42" s="345"/>
      <c r="DI42" s="242"/>
      <c r="DJ42" s="242"/>
      <c r="DK42" s="242"/>
      <c r="DL42" s="242"/>
      <c r="DM42" s="242"/>
      <c r="DP42" s="345"/>
      <c r="DS42" s="311">
        <v>231.97</v>
      </c>
      <c r="DT42" s="259">
        <v>7.4697849999999999</v>
      </c>
      <c r="DU42" s="176">
        <f>DS42*C42*DT42</f>
        <v>113478.84707221048</v>
      </c>
      <c r="DV42" s="176">
        <v>211800.04</v>
      </c>
      <c r="DW42" s="176">
        <f>DV42-DU42</f>
        <v>98321.192927789525</v>
      </c>
      <c r="DX42" s="177">
        <v>210</v>
      </c>
      <c r="DZ42" s="177">
        <f>E42</f>
        <v>418478.66</v>
      </c>
      <c r="EA42" s="178">
        <f>SUM(EC42:EE42)</f>
        <v>418478.66</v>
      </c>
      <c r="EB42" s="178">
        <f>DZ42-EA42</f>
        <v>0</v>
      </c>
      <c r="EC42" s="177">
        <f>E42-ED42-EE42</f>
        <v>316707.19999999995</v>
      </c>
      <c r="ED42" s="177">
        <f>DX42*C42*7.4</f>
        <v>101771.46</v>
      </c>
      <c r="EE42" s="177">
        <f>DY42*C42*7.4</f>
        <v>0</v>
      </c>
    </row>
    <row r="43" spans="1:156" s="100" customFormat="1" x14ac:dyDescent="0.2">
      <c r="A43" s="320" t="s">
        <v>296</v>
      </c>
      <c r="B43" s="321">
        <f>SUM(B40:B42)</f>
        <v>3</v>
      </c>
      <c r="C43" s="322">
        <f>SUM(C40:C42)</f>
        <v>195.44</v>
      </c>
      <c r="D43" s="323">
        <v>6427.2857142857138</v>
      </c>
      <c r="E43" s="324">
        <f>SUM(E40:E42)</f>
        <v>1256148.72</v>
      </c>
      <c r="F43" s="285"/>
      <c r="G43" s="285">
        <f>SUM(G40:G42)</f>
        <v>649914.8899999999</v>
      </c>
      <c r="H43" s="285">
        <f>SUM(H40:H42)</f>
        <v>0</v>
      </c>
      <c r="I43" s="285">
        <f>SUM(I40:I42)</f>
        <v>649914.8899999999</v>
      </c>
      <c r="J43" s="285"/>
      <c r="K43" s="285"/>
      <c r="L43" s="285"/>
      <c r="P43" s="345"/>
      <c r="Q43" s="348"/>
      <c r="R43" s="224"/>
      <c r="S43" s="349"/>
      <c r="T43" s="349"/>
      <c r="U43" s="349"/>
      <c r="V43" s="349"/>
      <c r="W43" s="349"/>
      <c r="X43" s="345"/>
      <c r="Y43" s="348"/>
      <c r="Z43" s="348"/>
      <c r="AA43" s="349"/>
      <c r="AB43" s="349"/>
      <c r="AC43" s="349"/>
      <c r="AD43" s="349"/>
      <c r="AE43" s="349"/>
      <c r="AF43" s="345"/>
      <c r="AG43" s="349"/>
      <c r="AH43" s="349"/>
      <c r="AI43" s="349"/>
      <c r="AJ43" s="349"/>
      <c r="AK43" s="349"/>
      <c r="AL43" s="104"/>
      <c r="AM43" s="104"/>
      <c r="AN43" s="345"/>
      <c r="AO43" s="349"/>
      <c r="AP43" s="349"/>
      <c r="AQ43" s="349"/>
      <c r="AR43" s="349"/>
      <c r="AS43" s="349"/>
      <c r="AT43" s="104"/>
      <c r="AU43" s="104"/>
      <c r="AV43" s="345"/>
      <c r="AW43" s="349"/>
      <c r="AX43" s="349"/>
      <c r="AY43" s="349"/>
      <c r="AZ43" s="349"/>
      <c r="BA43" s="349"/>
      <c r="BB43" s="349"/>
      <c r="BC43" s="104"/>
      <c r="BD43" s="345"/>
      <c r="BE43" s="349"/>
      <c r="BF43" s="349"/>
      <c r="BG43" s="349"/>
      <c r="BH43" s="349"/>
      <c r="BI43" s="349"/>
      <c r="BJ43" s="104"/>
      <c r="BK43" s="104"/>
      <c r="BL43" s="345"/>
      <c r="BM43" s="349"/>
      <c r="BN43" s="349"/>
      <c r="BO43" s="349"/>
      <c r="BP43" s="349"/>
      <c r="BQ43" s="349"/>
      <c r="BR43" s="104"/>
      <c r="BS43" s="104"/>
      <c r="BT43" s="345"/>
      <c r="BU43" s="349"/>
      <c r="BV43" s="349"/>
      <c r="BW43" s="349"/>
      <c r="BX43" s="349"/>
      <c r="BY43" s="349"/>
      <c r="BZ43" s="104"/>
      <c r="CA43" s="104"/>
      <c r="CB43" s="345"/>
      <c r="CC43" s="349"/>
      <c r="CD43" s="349"/>
      <c r="CE43" s="349"/>
      <c r="CF43" s="349"/>
      <c r="CG43" s="349"/>
      <c r="CH43" s="104"/>
      <c r="CI43" s="104"/>
      <c r="CJ43" s="345"/>
      <c r="CK43" s="349"/>
      <c r="CL43" s="349"/>
      <c r="CM43" s="349"/>
      <c r="CN43" s="349"/>
      <c r="CO43" s="349"/>
      <c r="CP43" s="104"/>
      <c r="CQ43" s="104"/>
      <c r="CR43" s="345"/>
      <c r="CS43" s="349"/>
      <c r="CT43" s="349"/>
      <c r="CU43" s="349"/>
      <c r="CV43" s="349"/>
      <c r="CW43" s="349"/>
      <c r="CX43" s="104"/>
      <c r="CY43" s="104"/>
      <c r="CZ43" s="345"/>
      <c r="DA43" s="349"/>
      <c r="DB43" s="349"/>
      <c r="DC43" s="349"/>
      <c r="DD43" s="349"/>
      <c r="DE43" s="349"/>
      <c r="DF43" s="104"/>
      <c r="DG43" s="104"/>
      <c r="DH43" s="345"/>
      <c r="DI43" s="349"/>
      <c r="DJ43" s="349"/>
      <c r="DK43" s="349"/>
      <c r="DL43" s="349"/>
      <c r="DM43" s="349"/>
      <c r="DN43" s="104"/>
      <c r="DO43" s="104"/>
      <c r="DP43" s="345"/>
      <c r="DQ43" s="104"/>
      <c r="DR43" s="104"/>
      <c r="DS43" s="292"/>
      <c r="DT43" s="292"/>
      <c r="DU43" s="293">
        <f>SUM(DU40:DU42)</f>
        <v>320798.51700232446</v>
      </c>
      <c r="DV43" s="293">
        <f>SUM(DV40:DV42)</f>
        <v>612389.23</v>
      </c>
      <c r="DW43" s="293">
        <f>SUM(DW40:DW42)</f>
        <v>291590.71299767552</v>
      </c>
      <c r="DX43" s="294"/>
      <c r="DY43" s="294"/>
      <c r="DZ43" s="294">
        <f>E43</f>
        <v>1256148.72</v>
      </c>
      <c r="EA43" s="295">
        <f>SUM(EC43:EE43)</f>
        <v>1256148.72</v>
      </c>
      <c r="EB43" s="295">
        <f>DZ43-EA43</f>
        <v>0</v>
      </c>
      <c r="EC43" s="294">
        <f>SUM(EC40:EC42)</f>
        <v>952434.96</v>
      </c>
      <c r="ED43" s="294">
        <f>SUM(ED40:ED42)</f>
        <v>303713.76</v>
      </c>
      <c r="EE43" s="294">
        <f>SUM(EE40:EE42)</f>
        <v>0</v>
      </c>
      <c r="EF43" s="104"/>
      <c r="EG43" s="104"/>
      <c r="EH43" s="104"/>
      <c r="EI43" s="104"/>
      <c r="EJ43" s="104"/>
      <c r="EK43" s="104"/>
      <c r="EL43" s="104"/>
      <c r="EM43" s="104"/>
      <c r="EN43" s="104"/>
      <c r="EO43" s="104"/>
      <c r="EP43" s="104"/>
      <c r="EQ43" s="104"/>
      <c r="ER43" s="104"/>
      <c r="ES43" s="104"/>
      <c r="ET43" s="104"/>
      <c r="EU43" s="104"/>
      <c r="EV43" s="104"/>
      <c r="EW43" s="104"/>
      <c r="EX43" s="104"/>
      <c r="EY43" s="104"/>
      <c r="EZ43" s="104"/>
    </row>
    <row r="44" spans="1:156" x14ac:dyDescent="0.2">
      <c r="P44" s="345"/>
      <c r="Q44" s="230"/>
      <c r="R44" s="230"/>
      <c r="S44" s="242"/>
      <c r="T44" s="242"/>
      <c r="U44" s="242"/>
      <c r="V44" s="242"/>
      <c r="W44" s="242"/>
      <c r="X44" s="345"/>
      <c r="Y44" s="236"/>
      <c r="Z44" s="236"/>
      <c r="AA44" s="242"/>
      <c r="AB44" s="242"/>
      <c r="AC44" s="242"/>
      <c r="AD44" s="242"/>
      <c r="AE44" s="242"/>
      <c r="AF44" s="345"/>
      <c r="AG44" s="242"/>
      <c r="AH44" s="242"/>
      <c r="AI44" s="242"/>
      <c r="AJ44" s="242"/>
      <c r="AK44" s="242"/>
      <c r="AN44" s="345"/>
      <c r="AO44" s="242"/>
      <c r="AP44" s="242"/>
      <c r="AQ44" s="242"/>
      <c r="AR44" s="242"/>
      <c r="AS44" s="242"/>
      <c r="AV44" s="345"/>
      <c r="AW44" s="242"/>
      <c r="AX44" s="242"/>
      <c r="AY44" s="242"/>
      <c r="AZ44" s="242"/>
      <c r="BA44" s="242"/>
      <c r="BD44" s="345"/>
      <c r="BE44" s="242"/>
      <c r="BF44" s="242"/>
      <c r="BG44" s="242"/>
      <c r="BH44" s="242"/>
      <c r="BI44" s="242"/>
      <c r="BL44" s="345"/>
      <c r="BM44" s="242"/>
      <c r="BN44" s="242"/>
      <c r="BO44" s="242"/>
      <c r="BP44" s="242"/>
      <c r="BQ44" s="242"/>
      <c r="BT44" s="345"/>
      <c r="BU44" s="242"/>
      <c r="BV44" s="242"/>
      <c r="BW44" s="242"/>
      <c r="BX44" s="242"/>
      <c r="BY44" s="242"/>
      <c r="CB44" s="345"/>
      <c r="CC44" s="242"/>
      <c r="CD44" s="242"/>
      <c r="CE44" s="242"/>
      <c r="CF44" s="242"/>
      <c r="CG44" s="242"/>
      <c r="CJ44" s="345"/>
      <c r="CK44" s="242"/>
      <c r="CL44" s="242"/>
      <c r="CM44" s="242"/>
      <c r="CN44" s="242"/>
      <c r="CO44" s="242"/>
      <c r="CR44" s="345"/>
      <c r="CS44" s="242"/>
      <c r="CT44" s="242"/>
      <c r="CU44" s="242"/>
      <c r="CV44" s="242"/>
      <c r="CW44" s="242"/>
      <c r="CZ44" s="345"/>
      <c r="DA44" s="242"/>
      <c r="DB44" s="242"/>
      <c r="DC44" s="242"/>
      <c r="DD44" s="242"/>
      <c r="DE44" s="242"/>
      <c r="DH44" s="345"/>
      <c r="DI44" s="242"/>
      <c r="DJ44" s="242"/>
      <c r="DK44" s="242"/>
      <c r="DL44" s="242"/>
      <c r="DM44" s="242"/>
      <c r="DP44" s="345"/>
      <c r="DS44" s="258"/>
      <c r="DT44" s="258"/>
    </row>
    <row r="45" spans="1:156" ht="15.75" x14ac:dyDescent="0.25">
      <c r="A45" s="192"/>
      <c r="B45" s="3765" t="s">
        <v>270</v>
      </c>
      <c r="C45" s="3765"/>
      <c r="D45" s="3765"/>
      <c r="E45" s="3765"/>
      <c r="P45" s="345"/>
      <c r="Q45" s="230"/>
      <c r="R45" s="230"/>
      <c r="S45" s="242"/>
      <c r="T45" s="242"/>
      <c r="U45" s="242"/>
      <c r="V45" s="242"/>
      <c r="W45" s="242"/>
      <c r="X45" s="345"/>
      <c r="Y45" s="236"/>
      <c r="Z45" s="236"/>
      <c r="AA45" s="242"/>
      <c r="AB45" s="242"/>
      <c r="AC45" s="242"/>
      <c r="AD45" s="242"/>
      <c r="AE45" s="242"/>
      <c r="AF45" s="345"/>
      <c r="AG45" s="242"/>
      <c r="AH45" s="242"/>
      <c r="AI45" s="242"/>
      <c r="AJ45" s="242"/>
      <c r="AK45" s="242"/>
      <c r="AN45" s="345"/>
      <c r="AO45" s="242"/>
      <c r="AP45" s="242"/>
      <c r="AQ45" s="242"/>
      <c r="AR45" s="242"/>
      <c r="AS45" s="242"/>
      <c r="AV45" s="345"/>
      <c r="AW45" s="242"/>
      <c r="AX45" s="242"/>
      <c r="AY45" s="242"/>
      <c r="AZ45" s="242"/>
      <c r="BA45" s="242"/>
      <c r="BD45" s="345"/>
      <c r="BE45" s="242"/>
      <c r="BF45" s="242"/>
      <c r="BG45" s="242"/>
      <c r="BH45" s="242"/>
      <c r="BI45" s="242"/>
      <c r="BL45" s="345"/>
      <c r="BM45" s="242"/>
      <c r="BN45" s="242"/>
      <c r="BO45" s="242"/>
      <c r="BP45" s="242"/>
      <c r="BQ45" s="242"/>
      <c r="BT45" s="345"/>
      <c r="BU45" s="242"/>
      <c r="BV45" s="242"/>
      <c r="BW45" s="242"/>
      <c r="BX45" s="242"/>
      <c r="BY45" s="242"/>
      <c r="CB45" s="345"/>
      <c r="CC45" s="242"/>
      <c r="CD45" s="242"/>
      <c r="CE45" s="242"/>
      <c r="CF45" s="242"/>
      <c r="CG45" s="242"/>
      <c r="CJ45" s="345"/>
      <c r="CK45" s="242"/>
      <c r="CL45" s="242"/>
      <c r="CM45" s="242"/>
      <c r="CN45" s="242"/>
      <c r="CO45" s="242"/>
      <c r="CR45" s="345"/>
      <c r="CS45" s="242"/>
      <c r="CT45" s="242"/>
      <c r="CU45" s="242"/>
      <c r="CV45" s="242"/>
      <c r="CW45" s="242"/>
      <c r="CZ45" s="345"/>
      <c r="DA45" s="242"/>
      <c r="DB45" s="242"/>
      <c r="DC45" s="242"/>
      <c r="DD45" s="242"/>
      <c r="DE45" s="242"/>
      <c r="DH45" s="345"/>
      <c r="DI45" s="242"/>
      <c r="DJ45" s="242"/>
      <c r="DK45" s="242"/>
      <c r="DL45" s="242"/>
      <c r="DM45" s="242"/>
      <c r="DP45" s="345"/>
      <c r="DS45" s="258"/>
      <c r="DT45" s="258"/>
    </row>
    <row r="46" spans="1:156" ht="15.75" x14ac:dyDescent="0.25">
      <c r="A46" s="217"/>
      <c r="D46" s="344"/>
      <c r="P46" s="345"/>
      <c r="Q46" s="230"/>
      <c r="R46" s="230"/>
      <c r="S46" s="242"/>
      <c r="T46" s="242"/>
      <c r="U46" s="242"/>
      <c r="V46" s="242"/>
      <c r="W46" s="242"/>
      <c r="X46" s="345"/>
      <c r="Y46" s="236"/>
      <c r="Z46" s="236"/>
      <c r="AA46" s="242"/>
      <c r="AB46" s="242"/>
      <c r="AC46" s="242"/>
      <c r="AD46" s="242"/>
      <c r="AE46" s="242"/>
      <c r="AF46" s="345"/>
      <c r="AG46" s="242"/>
      <c r="AH46" s="242"/>
      <c r="AI46" s="242"/>
      <c r="AJ46" s="242"/>
      <c r="AK46" s="242"/>
      <c r="AN46" s="345"/>
      <c r="AO46" s="242"/>
      <c r="AP46" s="242"/>
      <c r="AQ46" s="242"/>
      <c r="AR46" s="242"/>
      <c r="AS46" s="242"/>
      <c r="AV46" s="345"/>
      <c r="AW46" s="242"/>
      <c r="AX46" s="242"/>
      <c r="AY46" s="242"/>
      <c r="AZ46" s="242"/>
      <c r="BA46" s="242"/>
      <c r="BD46" s="345"/>
      <c r="BE46" s="242"/>
      <c r="BF46" s="242"/>
      <c r="BG46" s="242"/>
      <c r="BH46" s="242"/>
      <c r="BI46" s="242"/>
      <c r="BL46" s="345"/>
      <c r="BM46" s="242"/>
      <c r="BN46" s="242"/>
      <c r="BO46" s="242"/>
      <c r="BP46" s="242"/>
      <c r="BQ46" s="242"/>
      <c r="BT46" s="345"/>
      <c r="BU46" s="242"/>
      <c r="BV46" s="242"/>
      <c r="BW46" s="242"/>
      <c r="BX46" s="242"/>
      <c r="BY46" s="242"/>
      <c r="CB46" s="345"/>
      <c r="CC46" s="242"/>
      <c r="CD46" s="242"/>
      <c r="CE46" s="242"/>
      <c r="CF46" s="242"/>
      <c r="CG46" s="242"/>
      <c r="CJ46" s="345"/>
      <c r="CK46" s="242"/>
      <c r="CL46" s="242"/>
      <c r="CM46" s="242"/>
      <c r="CN46" s="242"/>
      <c r="CO46" s="242"/>
      <c r="CR46" s="345"/>
      <c r="CS46" s="242"/>
      <c r="CT46" s="242"/>
      <c r="CU46" s="242"/>
      <c r="CV46" s="242"/>
      <c r="CW46" s="242"/>
      <c r="CZ46" s="345"/>
      <c r="DA46" s="242"/>
      <c r="DB46" s="242"/>
      <c r="DC46" s="242"/>
      <c r="DD46" s="242"/>
      <c r="DE46" s="242"/>
      <c r="DH46" s="345"/>
      <c r="DI46" s="242"/>
      <c r="DJ46" s="242"/>
      <c r="DK46" s="242"/>
      <c r="DL46" s="242"/>
      <c r="DM46" s="242"/>
      <c r="DP46" s="345"/>
      <c r="DS46" s="258"/>
      <c r="DT46" s="258"/>
    </row>
    <row r="47" spans="1:156" x14ac:dyDescent="0.2">
      <c r="A47" s="100"/>
      <c r="B47" s="225" t="s">
        <v>305</v>
      </c>
      <c r="C47" s="226" t="s">
        <v>303</v>
      </c>
      <c r="D47" s="227" t="s">
        <v>304</v>
      </c>
      <c r="E47" s="228" t="s">
        <v>241</v>
      </c>
      <c r="P47" s="345"/>
      <c r="Q47" s="230"/>
      <c r="R47" s="230"/>
      <c r="S47" s="242"/>
      <c r="T47" s="242"/>
      <c r="U47" s="242"/>
      <c r="V47" s="242"/>
      <c r="W47" s="242"/>
      <c r="X47" s="345"/>
      <c r="Y47" s="236"/>
      <c r="Z47" s="236"/>
      <c r="AA47" s="242"/>
      <c r="AB47" s="242"/>
      <c r="AC47" s="242"/>
      <c r="AD47" s="242"/>
      <c r="AE47" s="242"/>
      <c r="AF47" s="345"/>
      <c r="AG47" s="242"/>
      <c r="AH47" s="242"/>
      <c r="AI47" s="242"/>
      <c r="AJ47" s="242"/>
      <c r="AK47" s="242"/>
      <c r="AN47" s="345"/>
      <c r="AO47" s="242"/>
      <c r="AP47" s="242"/>
      <c r="AQ47" s="242"/>
      <c r="AR47" s="242"/>
      <c r="AS47" s="242"/>
      <c r="AV47" s="345"/>
      <c r="AW47" s="242"/>
      <c r="AX47" s="242"/>
      <c r="AY47" s="242"/>
      <c r="AZ47" s="242"/>
      <c r="BA47" s="242"/>
      <c r="BD47" s="345"/>
      <c r="BE47" s="242"/>
      <c r="BF47" s="242"/>
      <c r="BG47" s="242"/>
      <c r="BH47" s="242"/>
      <c r="BI47" s="242"/>
      <c r="BL47" s="345"/>
      <c r="BM47" s="242"/>
      <c r="BN47" s="242"/>
      <c r="BO47" s="242"/>
      <c r="BP47" s="242"/>
      <c r="BQ47" s="242"/>
      <c r="BT47" s="345"/>
      <c r="BU47" s="242"/>
      <c r="BV47" s="242"/>
      <c r="BW47" s="242"/>
      <c r="BX47" s="242"/>
      <c r="BY47" s="242"/>
      <c r="CB47" s="345"/>
      <c r="CC47" s="242"/>
      <c r="CD47" s="242"/>
      <c r="CE47" s="242"/>
      <c r="CF47" s="242"/>
      <c r="CG47" s="242"/>
      <c r="CJ47" s="345"/>
      <c r="CK47" s="242"/>
      <c r="CL47" s="242"/>
      <c r="CM47" s="242"/>
      <c r="CN47" s="242"/>
      <c r="CO47" s="242"/>
      <c r="CR47" s="345"/>
      <c r="CS47" s="242"/>
      <c r="CT47" s="242"/>
      <c r="CU47" s="242"/>
      <c r="CV47" s="242"/>
      <c r="CW47" s="242"/>
      <c r="CZ47" s="345"/>
      <c r="DA47" s="242"/>
      <c r="DB47" s="242"/>
      <c r="DC47" s="242"/>
      <c r="DD47" s="242"/>
      <c r="DE47" s="242"/>
      <c r="DH47" s="345"/>
      <c r="DI47" s="242"/>
      <c r="DJ47" s="242"/>
      <c r="DK47" s="242"/>
      <c r="DL47" s="242"/>
      <c r="DM47" s="242"/>
      <c r="DP47" s="345"/>
      <c r="DS47" s="258"/>
      <c r="DT47" s="258"/>
    </row>
    <row r="48" spans="1:156" x14ac:dyDescent="0.2">
      <c r="A48" s="346" t="s">
        <v>271</v>
      </c>
      <c r="B48" s="347">
        <v>1</v>
      </c>
      <c r="C48" s="248">
        <v>49.16</v>
      </c>
      <c r="D48" s="249">
        <f>E48/C48</f>
        <v>5996.6700569568757</v>
      </c>
      <c r="E48" s="250">
        <v>294796.3</v>
      </c>
      <c r="P48" s="345"/>
      <c r="Q48" s="230"/>
      <c r="R48" s="230"/>
      <c r="S48" s="242"/>
      <c r="T48" s="242"/>
      <c r="U48" s="242"/>
      <c r="V48" s="242"/>
      <c r="W48" s="242"/>
      <c r="X48" s="345"/>
      <c r="Y48" s="236"/>
      <c r="Z48" s="236"/>
      <c r="AA48" s="242"/>
      <c r="AB48" s="242"/>
      <c r="AC48" s="242"/>
      <c r="AD48" s="242"/>
      <c r="AE48" s="242"/>
      <c r="AF48" s="345"/>
      <c r="AG48" s="242"/>
      <c r="AH48" s="242"/>
      <c r="AI48" s="242"/>
      <c r="AJ48" s="242"/>
      <c r="AK48" s="242"/>
      <c r="AN48" s="345"/>
      <c r="AO48" s="242"/>
      <c r="AP48" s="242"/>
      <c r="AQ48" s="242"/>
      <c r="AR48" s="242"/>
      <c r="AS48" s="242"/>
      <c r="AV48" s="345"/>
      <c r="AW48" s="242"/>
      <c r="AX48" s="242"/>
      <c r="AY48" s="242"/>
      <c r="AZ48" s="242"/>
      <c r="BA48" s="242"/>
      <c r="BD48" s="345"/>
      <c r="BE48" s="242"/>
      <c r="BF48" s="242"/>
      <c r="BG48" s="242"/>
      <c r="BH48" s="242"/>
      <c r="BI48" s="242"/>
      <c r="BL48" s="345"/>
      <c r="BM48" s="242"/>
      <c r="BN48" s="242"/>
      <c r="BO48" s="242"/>
      <c r="BP48" s="242"/>
      <c r="BQ48" s="242"/>
      <c r="BT48" s="345"/>
      <c r="BU48" s="242"/>
      <c r="BV48" s="242"/>
      <c r="BW48" s="242"/>
      <c r="BX48" s="242"/>
      <c r="BY48" s="242"/>
      <c r="CB48" s="345"/>
      <c r="CC48" s="242"/>
      <c r="CD48" s="242"/>
      <c r="CE48" s="242"/>
      <c r="CF48" s="242"/>
      <c r="CG48" s="242"/>
      <c r="CJ48" s="345"/>
      <c r="CK48" s="242"/>
      <c r="CL48" s="242"/>
      <c r="CM48" s="242"/>
      <c r="CN48" s="242"/>
      <c r="CO48" s="242"/>
      <c r="CR48" s="345"/>
      <c r="CS48" s="242"/>
      <c r="CT48" s="242"/>
      <c r="CU48" s="242"/>
      <c r="CV48" s="242"/>
      <c r="CW48" s="242"/>
      <c r="CZ48" s="345"/>
      <c r="DA48" s="242"/>
      <c r="DB48" s="242"/>
      <c r="DC48" s="242"/>
      <c r="DD48" s="242"/>
      <c r="DE48" s="242"/>
      <c r="DH48" s="345"/>
      <c r="DI48" s="242"/>
      <c r="DJ48" s="242"/>
      <c r="DK48" s="242"/>
      <c r="DL48" s="242"/>
      <c r="DM48" s="242"/>
      <c r="DP48" s="345"/>
      <c r="DS48" s="311">
        <v>219</v>
      </c>
      <c r="DT48" s="259">
        <v>7.688815</v>
      </c>
      <c r="DU48" s="176">
        <f>DS48*C48*DT48</f>
        <v>82778.089842599991</v>
      </c>
      <c r="DV48" s="176">
        <f>EC48+EE48</f>
        <v>294796.3</v>
      </c>
      <c r="DW48" s="176">
        <f>DV48-DU48</f>
        <v>212018.2101574</v>
      </c>
      <c r="DY48" s="177">
        <v>67.14</v>
      </c>
      <c r="DZ48" s="177">
        <f>E48</f>
        <v>294796.3</v>
      </c>
      <c r="EA48" s="178">
        <f>SUM(EC48:EE48)</f>
        <v>294796.3</v>
      </c>
      <c r="EB48" s="178">
        <f>DZ48-EA48</f>
        <v>0</v>
      </c>
      <c r="EC48" s="177">
        <f>E48-ED48-EE48</f>
        <v>270371.84223999997</v>
      </c>
      <c r="ED48" s="177">
        <f>DX48*C48*7.4</f>
        <v>0</v>
      </c>
      <c r="EE48" s="177">
        <f>DY48*C48*7.4</f>
        <v>24424.457760000001</v>
      </c>
    </row>
    <row r="49" spans="1:156" x14ac:dyDescent="0.2">
      <c r="A49" s="260" t="s">
        <v>272</v>
      </c>
      <c r="B49" s="261">
        <v>1</v>
      </c>
      <c r="C49" s="262">
        <v>81.59</v>
      </c>
      <c r="D49" s="263">
        <f>E49/C49</f>
        <v>7015.1399681333496</v>
      </c>
      <c r="E49" s="264">
        <v>572365.27</v>
      </c>
      <c r="P49" s="345"/>
      <c r="Q49" s="230"/>
      <c r="R49" s="230"/>
      <c r="S49" s="242"/>
      <c r="T49" s="242"/>
      <c r="U49" s="242"/>
      <c r="V49" s="242"/>
      <c r="W49" s="242"/>
      <c r="X49" s="345"/>
      <c r="Y49" s="236"/>
      <c r="Z49" s="236"/>
      <c r="AA49" s="242"/>
      <c r="AB49" s="242"/>
      <c r="AC49" s="242"/>
      <c r="AD49" s="242"/>
      <c r="AE49" s="242"/>
      <c r="AF49" s="345"/>
      <c r="AG49" s="242"/>
      <c r="AH49" s="242"/>
      <c r="AI49" s="242"/>
      <c r="AJ49" s="242"/>
      <c r="AK49" s="242"/>
      <c r="AN49" s="345"/>
      <c r="AO49" s="242"/>
      <c r="AP49" s="242"/>
      <c r="AQ49" s="242"/>
      <c r="AR49" s="242"/>
      <c r="AS49" s="242"/>
      <c r="AV49" s="345"/>
      <c r="AW49" s="242"/>
      <c r="AX49" s="242"/>
      <c r="AY49" s="242"/>
      <c r="AZ49" s="242"/>
      <c r="BA49" s="242"/>
      <c r="BD49" s="345"/>
      <c r="BE49" s="242"/>
      <c r="BF49" s="242"/>
      <c r="BG49" s="242"/>
      <c r="BH49" s="242"/>
      <c r="BI49" s="242"/>
      <c r="BL49" s="345"/>
      <c r="BM49" s="242"/>
      <c r="BN49" s="242"/>
      <c r="BO49" s="242"/>
      <c r="BP49" s="242"/>
      <c r="BQ49" s="242"/>
      <c r="BT49" s="345"/>
      <c r="BU49" s="242"/>
      <c r="BV49" s="242"/>
      <c r="BW49" s="242"/>
      <c r="BX49" s="242"/>
      <c r="BY49" s="242"/>
      <c r="CB49" s="345"/>
      <c r="CC49" s="242"/>
      <c r="CD49" s="242"/>
      <c r="CE49" s="242"/>
      <c r="CF49" s="242"/>
      <c r="CG49" s="242"/>
      <c r="CJ49" s="345"/>
      <c r="CK49" s="242"/>
      <c r="CL49" s="242"/>
      <c r="CM49" s="242"/>
      <c r="CN49" s="242"/>
      <c r="CO49" s="242"/>
      <c r="CR49" s="345"/>
      <c r="CS49" s="242"/>
      <c r="CT49" s="242"/>
      <c r="CU49" s="242"/>
      <c r="CV49" s="242"/>
      <c r="CW49" s="242"/>
      <c r="CZ49" s="345"/>
      <c r="DA49" s="242"/>
      <c r="DB49" s="242"/>
      <c r="DC49" s="242"/>
      <c r="DD49" s="242"/>
      <c r="DE49" s="242"/>
      <c r="DH49" s="345"/>
      <c r="DI49" s="242"/>
      <c r="DJ49" s="242"/>
      <c r="DK49" s="242"/>
      <c r="DL49" s="242"/>
      <c r="DM49" s="242"/>
      <c r="DP49" s="345"/>
      <c r="DS49" s="311">
        <v>174.5</v>
      </c>
      <c r="DT49" s="259">
        <v>7.4901</v>
      </c>
      <c r="DU49" s="176">
        <f>DS49*C49*DT49</f>
        <v>106639.96169549999</v>
      </c>
      <c r="DV49" s="176">
        <f>EC49+EE49</f>
        <v>479807.94219999999</v>
      </c>
      <c r="DW49" s="176">
        <f>DV49-DU49</f>
        <v>373167.98050449998</v>
      </c>
      <c r="DX49" s="177">
        <v>153.30000000000001</v>
      </c>
      <c r="DZ49" s="177">
        <f>E49</f>
        <v>572365.27</v>
      </c>
      <c r="EA49" s="178">
        <f>SUM(EC49:EE49)</f>
        <v>572365.27</v>
      </c>
      <c r="EB49" s="178">
        <f>DZ49-EA49</f>
        <v>0</v>
      </c>
      <c r="EC49" s="177">
        <f>E49-ED49-EE49</f>
        <v>479807.94219999999</v>
      </c>
      <c r="ED49" s="177">
        <f>DX49*C49*7.4</f>
        <v>92557.327800000014</v>
      </c>
      <c r="EE49" s="177">
        <f>DY49*C49*7.4</f>
        <v>0</v>
      </c>
    </row>
    <row r="50" spans="1:156" x14ac:dyDescent="0.2">
      <c r="A50" s="270" t="s">
        <v>273</v>
      </c>
      <c r="B50" s="271">
        <v>1</v>
      </c>
      <c r="C50" s="272">
        <v>86.99</v>
      </c>
      <c r="D50" s="273">
        <f>E50/C50</f>
        <v>6206.4900563283136</v>
      </c>
      <c r="E50" s="274">
        <v>539902.56999999995</v>
      </c>
      <c r="P50" s="345"/>
      <c r="Q50" s="230"/>
      <c r="R50" s="230"/>
      <c r="S50" s="242"/>
      <c r="T50" s="242"/>
      <c r="U50" s="242"/>
      <c r="V50" s="242"/>
      <c r="W50" s="242"/>
      <c r="X50" s="345"/>
      <c r="Y50" s="236"/>
      <c r="Z50" s="236"/>
      <c r="AA50" s="242"/>
      <c r="AB50" s="242"/>
      <c r="AC50" s="242"/>
      <c r="AD50" s="242"/>
      <c r="AE50" s="242"/>
      <c r="AF50" s="345"/>
      <c r="AG50" s="242"/>
      <c r="AH50" s="242"/>
      <c r="AI50" s="242"/>
      <c r="AJ50" s="242"/>
      <c r="AK50" s="242"/>
      <c r="AN50" s="345"/>
      <c r="AO50" s="242"/>
      <c r="AP50" s="242"/>
      <c r="AQ50" s="242"/>
      <c r="AR50" s="242"/>
      <c r="AS50" s="242"/>
      <c r="AV50" s="345"/>
      <c r="AW50" s="242"/>
      <c r="AX50" s="242"/>
      <c r="AY50" s="242"/>
      <c r="AZ50" s="242"/>
      <c r="BA50" s="242"/>
      <c r="BD50" s="345"/>
      <c r="BE50" s="242"/>
      <c r="BF50" s="242"/>
      <c r="BG50" s="242"/>
      <c r="BH50" s="242"/>
      <c r="BI50" s="242"/>
      <c r="BL50" s="345"/>
      <c r="BM50" s="242"/>
      <c r="BN50" s="242"/>
      <c r="BO50" s="242"/>
      <c r="BP50" s="242"/>
      <c r="BQ50" s="242"/>
      <c r="BT50" s="345"/>
      <c r="BU50" s="242"/>
      <c r="BV50" s="242"/>
      <c r="BW50" s="242"/>
      <c r="BX50" s="242"/>
      <c r="BY50" s="242"/>
      <c r="CB50" s="345"/>
      <c r="CC50" s="242"/>
      <c r="CD50" s="242"/>
      <c r="CE50" s="242"/>
      <c r="CF50" s="242"/>
      <c r="CG50" s="242"/>
      <c r="CJ50" s="345"/>
      <c r="CK50" s="242"/>
      <c r="CL50" s="242"/>
      <c r="CM50" s="242"/>
      <c r="CN50" s="242"/>
      <c r="CO50" s="242"/>
      <c r="CR50" s="345"/>
      <c r="CS50" s="242"/>
      <c r="CT50" s="242"/>
      <c r="CU50" s="242"/>
      <c r="CV50" s="242"/>
      <c r="CW50" s="242"/>
      <c r="CZ50" s="345"/>
      <c r="DA50" s="242"/>
      <c r="DB50" s="242"/>
      <c r="DC50" s="242"/>
      <c r="DD50" s="242"/>
      <c r="DE50" s="242"/>
      <c r="DH50" s="345"/>
      <c r="DI50" s="242"/>
      <c r="DJ50" s="242"/>
      <c r="DK50" s="242"/>
      <c r="DL50" s="242"/>
      <c r="DM50" s="242"/>
      <c r="DP50" s="345"/>
      <c r="DS50" s="311">
        <v>245</v>
      </c>
      <c r="DT50" s="259">
        <v>7.5015020000000003</v>
      </c>
      <c r="DU50" s="176">
        <f>DS50*C50*DT50</f>
        <v>159876.13645009999</v>
      </c>
      <c r="DV50" s="176">
        <f>EC50+EE50</f>
        <v>480036.05199999997</v>
      </c>
      <c r="DW50" s="176">
        <f>DV50-DU50</f>
        <v>320159.91554989998</v>
      </c>
      <c r="DX50" s="177">
        <v>93</v>
      </c>
      <c r="DY50" s="177">
        <v>68.22</v>
      </c>
      <c r="DZ50" s="177">
        <f>E50</f>
        <v>539902.56999999995</v>
      </c>
      <c r="EA50" s="178">
        <f>SUM(EC50:EE50)</f>
        <v>539902.56999999995</v>
      </c>
      <c r="EB50" s="178">
        <f>DZ50-EA50</f>
        <v>0</v>
      </c>
      <c r="EC50" s="177">
        <f>E50-ED50-EE50</f>
        <v>436121.06427999999</v>
      </c>
      <c r="ED50" s="177">
        <f>DX50*C50*7.4</f>
        <v>59866.518000000004</v>
      </c>
      <c r="EE50" s="177">
        <f>DY50*C50*7.4</f>
        <v>43914.987719999997</v>
      </c>
    </row>
    <row r="51" spans="1:156" s="100" customFormat="1" x14ac:dyDescent="0.2">
      <c r="A51" s="320" t="s">
        <v>296</v>
      </c>
      <c r="B51" s="321">
        <f>SUM(B48:B50)</f>
        <v>3</v>
      </c>
      <c r="C51" s="322">
        <f>SUM(C48:C50)</f>
        <v>217.74</v>
      </c>
      <c r="D51" s="323">
        <f>E51/C51</f>
        <v>6462.1297878203368</v>
      </c>
      <c r="E51" s="324">
        <f>SUM(E48:E50)</f>
        <v>1407064.1400000001</v>
      </c>
      <c r="F51" s="285"/>
      <c r="G51" s="285"/>
      <c r="H51" s="285"/>
      <c r="I51" s="285"/>
      <c r="J51" s="285"/>
      <c r="K51" s="285"/>
      <c r="L51" s="285"/>
      <c r="P51" s="345"/>
      <c r="Q51" s="224"/>
      <c r="R51" s="224"/>
      <c r="S51" s="349"/>
      <c r="T51" s="349"/>
      <c r="U51" s="349"/>
      <c r="V51" s="349"/>
      <c r="W51" s="349"/>
      <c r="X51" s="345"/>
      <c r="Y51" s="348"/>
      <c r="Z51" s="348"/>
      <c r="AA51" s="349"/>
      <c r="AB51" s="349"/>
      <c r="AC51" s="349"/>
      <c r="AD51" s="349"/>
      <c r="AE51" s="349"/>
      <c r="AF51" s="345"/>
      <c r="AG51" s="349"/>
      <c r="AH51" s="349"/>
      <c r="AI51" s="349"/>
      <c r="AJ51" s="349"/>
      <c r="AK51" s="349"/>
      <c r="AL51" s="104"/>
      <c r="AM51" s="104"/>
      <c r="AN51" s="345"/>
      <c r="AO51" s="349"/>
      <c r="AP51" s="349"/>
      <c r="AQ51" s="349"/>
      <c r="AR51" s="349"/>
      <c r="AS51" s="349"/>
      <c r="AT51" s="104"/>
      <c r="AU51" s="104"/>
      <c r="AV51" s="345"/>
      <c r="AW51" s="349"/>
      <c r="AX51" s="349"/>
      <c r="AY51" s="349"/>
      <c r="AZ51" s="349"/>
      <c r="BA51" s="349"/>
      <c r="BB51" s="104"/>
      <c r="BC51" s="104"/>
      <c r="BD51" s="345"/>
      <c r="BE51" s="349"/>
      <c r="BF51" s="349"/>
      <c r="BG51" s="349"/>
      <c r="BH51" s="349"/>
      <c r="BI51" s="349"/>
      <c r="BJ51" s="104"/>
      <c r="BK51" s="104"/>
      <c r="BL51" s="345"/>
      <c r="BM51" s="349"/>
      <c r="BN51" s="349"/>
      <c r="BO51" s="349"/>
      <c r="BP51" s="349"/>
      <c r="BQ51" s="349"/>
      <c r="BR51" s="104"/>
      <c r="BS51" s="104"/>
      <c r="BT51" s="345"/>
      <c r="BU51" s="349"/>
      <c r="BV51" s="349"/>
      <c r="BW51" s="349"/>
      <c r="BX51" s="349"/>
      <c r="BY51" s="349"/>
      <c r="BZ51" s="104"/>
      <c r="CA51" s="104"/>
      <c r="CB51" s="345"/>
      <c r="CC51" s="349"/>
      <c r="CD51" s="349"/>
      <c r="CE51" s="349"/>
      <c r="CF51" s="349"/>
      <c r="CG51" s="349"/>
      <c r="CH51" s="104"/>
      <c r="CI51" s="104"/>
      <c r="CJ51" s="345"/>
      <c r="CK51" s="349"/>
      <c r="CL51" s="349"/>
      <c r="CM51" s="349"/>
      <c r="CN51" s="349"/>
      <c r="CO51" s="349"/>
      <c r="CP51" s="104"/>
      <c r="CQ51" s="104"/>
      <c r="CR51" s="345"/>
      <c r="CS51" s="349"/>
      <c r="CT51" s="349"/>
      <c r="CU51" s="349"/>
      <c r="CV51" s="349"/>
      <c r="CW51" s="349"/>
      <c r="CX51" s="104"/>
      <c r="CY51" s="104"/>
      <c r="CZ51" s="345"/>
      <c r="DA51" s="349"/>
      <c r="DB51" s="349"/>
      <c r="DC51" s="349"/>
      <c r="DD51" s="349"/>
      <c r="DE51" s="349"/>
      <c r="DF51" s="104"/>
      <c r="DG51" s="104"/>
      <c r="DH51" s="345"/>
      <c r="DI51" s="349"/>
      <c r="DJ51" s="349"/>
      <c r="DK51" s="349"/>
      <c r="DL51" s="349"/>
      <c r="DM51" s="349"/>
      <c r="DN51" s="104"/>
      <c r="DO51" s="104"/>
      <c r="DP51" s="345"/>
      <c r="DQ51" s="104"/>
      <c r="DR51" s="104"/>
      <c r="DS51" s="292"/>
      <c r="DT51" s="292"/>
      <c r="DU51" s="293">
        <f>SUM(DU48:DU50)</f>
        <v>349294.18798819999</v>
      </c>
      <c r="DV51" s="293">
        <f>SUM(DV48:DV50)</f>
        <v>1254640.2941999999</v>
      </c>
      <c r="DW51" s="293">
        <f>SUM(DW48:DW50)</f>
        <v>905346.1062117999</v>
      </c>
      <c r="DX51" s="294"/>
      <c r="DY51" s="294"/>
      <c r="DZ51" s="294">
        <f>E51</f>
        <v>1407064.1400000001</v>
      </c>
      <c r="EA51" s="295">
        <f>SUM(EC51:EE51)</f>
        <v>1407064.14</v>
      </c>
      <c r="EB51" s="295">
        <f>DZ51-EA51</f>
        <v>0</v>
      </c>
      <c r="EC51" s="294">
        <f>SUM(EC48:EC50)</f>
        <v>1186300.8487199999</v>
      </c>
      <c r="ED51" s="294">
        <f>SUM(ED48:ED50)</f>
        <v>152423.84580000001</v>
      </c>
      <c r="EE51" s="294">
        <f>SUM(EE48:EE50)</f>
        <v>68339.445479999995</v>
      </c>
      <c r="EF51" s="104"/>
      <c r="EG51" s="104"/>
      <c r="EH51" s="104"/>
      <c r="EI51" s="104"/>
      <c r="EJ51" s="104"/>
      <c r="EK51" s="104"/>
      <c r="EL51" s="104"/>
      <c r="EM51" s="104"/>
      <c r="EN51" s="104"/>
      <c r="EO51" s="104"/>
      <c r="EP51" s="104"/>
      <c r="EQ51" s="104"/>
      <c r="ER51" s="104"/>
      <c r="ES51" s="104"/>
      <c r="ET51" s="104"/>
      <c r="EU51" s="104"/>
      <c r="EV51" s="104"/>
      <c r="EW51" s="104"/>
      <c r="EX51" s="104"/>
      <c r="EY51" s="104"/>
      <c r="EZ51" s="104"/>
    </row>
    <row r="52" spans="1:156" x14ac:dyDescent="0.2">
      <c r="B52" s="326"/>
      <c r="P52" s="345"/>
      <c r="Q52" s="230"/>
      <c r="R52" s="230"/>
      <c r="S52" s="242"/>
      <c r="T52" s="242"/>
      <c r="U52" s="242"/>
      <c r="V52" s="242"/>
      <c r="W52" s="242"/>
      <c r="X52" s="345"/>
      <c r="Y52" s="236"/>
      <c r="Z52" s="236"/>
      <c r="AA52" s="242"/>
      <c r="AB52" s="242"/>
      <c r="AC52" s="242"/>
      <c r="AD52" s="242"/>
      <c r="AE52" s="242"/>
      <c r="AF52" s="345"/>
      <c r="AG52" s="242"/>
      <c r="AH52" s="242"/>
      <c r="AI52" s="242"/>
      <c r="AJ52" s="242"/>
      <c r="AK52" s="242"/>
      <c r="AN52" s="345"/>
      <c r="AO52" s="242"/>
      <c r="AP52" s="242"/>
      <c r="AQ52" s="242"/>
      <c r="AR52" s="242"/>
      <c r="AS52" s="242"/>
      <c r="AV52" s="345"/>
      <c r="AW52" s="242"/>
      <c r="AX52" s="242"/>
      <c r="AY52" s="242"/>
      <c r="AZ52" s="242"/>
      <c r="BA52" s="242"/>
      <c r="BD52" s="345"/>
      <c r="BE52" s="242"/>
      <c r="BF52" s="242"/>
      <c r="BG52" s="242"/>
      <c r="BH52" s="242"/>
      <c r="BI52" s="242"/>
      <c r="BL52" s="345"/>
      <c r="BM52" s="242"/>
      <c r="BN52" s="242"/>
      <c r="BO52" s="242"/>
      <c r="BP52" s="242"/>
      <c r="BQ52" s="242"/>
      <c r="BT52" s="345"/>
      <c r="BU52" s="242"/>
      <c r="BV52" s="242"/>
      <c r="BW52" s="242"/>
      <c r="BX52" s="242"/>
      <c r="BY52" s="242"/>
      <c r="CB52" s="345"/>
      <c r="CC52" s="242"/>
      <c r="CD52" s="242"/>
      <c r="CE52" s="242"/>
      <c r="CF52" s="242"/>
      <c r="CG52" s="242"/>
      <c r="CJ52" s="345"/>
      <c r="CK52" s="242"/>
      <c r="CL52" s="242"/>
      <c r="CM52" s="242"/>
      <c r="CN52" s="242"/>
      <c r="CO52" s="242"/>
      <c r="CR52" s="345"/>
      <c r="CS52" s="242"/>
      <c r="CT52" s="242"/>
      <c r="CU52" s="242"/>
      <c r="CV52" s="242"/>
      <c r="CW52" s="242"/>
      <c r="CZ52" s="345"/>
      <c r="DA52" s="242"/>
      <c r="DB52" s="242"/>
      <c r="DC52" s="242"/>
      <c r="DD52" s="242"/>
      <c r="DE52" s="242"/>
      <c r="DH52" s="345"/>
      <c r="DI52" s="242"/>
      <c r="DJ52" s="242"/>
      <c r="DK52" s="242"/>
      <c r="DL52" s="242"/>
      <c r="DM52" s="242"/>
      <c r="DP52" s="345"/>
      <c r="DS52" s="258"/>
      <c r="DT52" s="258"/>
    </row>
    <row r="53" spans="1:156" ht="15.75" x14ac:dyDescent="0.25">
      <c r="A53" s="192"/>
      <c r="B53" s="3765" t="s">
        <v>274</v>
      </c>
      <c r="C53" s="3765"/>
      <c r="D53" s="3765"/>
      <c r="E53" s="3765"/>
      <c r="P53" s="345"/>
      <c r="Q53" s="230"/>
      <c r="R53" s="230"/>
      <c r="S53" s="242"/>
      <c r="T53" s="242"/>
      <c r="U53" s="242"/>
      <c r="V53" s="242"/>
      <c r="W53" s="242"/>
      <c r="X53" s="345"/>
      <c r="Y53" s="236"/>
      <c r="Z53" s="236"/>
      <c r="AA53" s="242"/>
      <c r="AB53" s="242"/>
      <c r="AC53" s="242"/>
      <c r="AD53" s="242"/>
      <c r="AE53" s="242"/>
      <c r="AF53" s="345"/>
      <c r="AG53" s="242"/>
      <c r="AH53" s="242"/>
      <c r="AI53" s="242"/>
      <c r="AJ53" s="242"/>
      <c r="AK53" s="242"/>
      <c r="AN53" s="345"/>
      <c r="AO53" s="242"/>
      <c r="AP53" s="242"/>
      <c r="AQ53" s="242"/>
      <c r="AR53" s="242"/>
      <c r="AS53" s="242"/>
      <c r="AV53" s="345"/>
      <c r="AW53" s="242"/>
      <c r="AX53" s="242"/>
      <c r="AY53" s="242"/>
      <c r="AZ53" s="242"/>
      <c r="BA53" s="242"/>
      <c r="BD53" s="345"/>
      <c r="BE53" s="242"/>
      <c r="BF53" s="242"/>
      <c r="BG53" s="242"/>
      <c r="BH53" s="242"/>
      <c r="BI53" s="242"/>
      <c r="BL53" s="345"/>
      <c r="BM53" s="242"/>
      <c r="BN53" s="242"/>
      <c r="BO53" s="242"/>
      <c r="BP53" s="242"/>
      <c r="BQ53" s="242"/>
      <c r="BT53" s="345"/>
      <c r="BU53" s="242"/>
      <c r="BV53" s="242"/>
      <c r="BW53" s="242"/>
      <c r="BX53" s="242"/>
      <c r="BY53" s="242"/>
      <c r="CB53" s="345"/>
      <c r="CC53" s="242"/>
      <c r="CD53" s="242"/>
      <c r="CE53" s="242"/>
      <c r="CF53" s="242"/>
      <c r="CG53" s="242"/>
      <c r="CJ53" s="345"/>
      <c r="CK53" s="242"/>
      <c r="CL53" s="242"/>
      <c r="CM53" s="242"/>
      <c r="CN53" s="242"/>
      <c r="CO53" s="242"/>
      <c r="CR53" s="345"/>
      <c r="CS53" s="242"/>
      <c r="CT53" s="242"/>
      <c r="CU53" s="242"/>
      <c r="CV53" s="242"/>
      <c r="CW53" s="242"/>
      <c r="CZ53" s="345"/>
      <c r="DA53" s="242"/>
      <c r="DB53" s="242"/>
      <c r="DC53" s="242"/>
      <c r="DD53" s="242"/>
      <c r="DE53" s="242"/>
      <c r="DH53" s="345"/>
      <c r="DI53" s="242"/>
      <c r="DJ53" s="242"/>
      <c r="DK53" s="242"/>
      <c r="DL53" s="242"/>
      <c r="DM53" s="242"/>
      <c r="DP53" s="345"/>
      <c r="DS53" s="258"/>
      <c r="DT53" s="258"/>
    </row>
    <row r="54" spans="1:156" ht="15.75" x14ac:dyDescent="0.25">
      <c r="A54" s="217"/>
      <c r="D54" s="344"/>
      <c r="P54" s="345"/>
      <c r="Q54" s="230"/>
      <c r="R54" s="230"/>
      <c r="S54" s="242"/>
      <c r="T54" s="242"/>
      <c r="U54" s="242"/>
      <c r="V54" s="242"/>
      <c r="W54" s="242"/>
      <c r="X54" s="345"/>
      <c r="Y54" s="236"/>
      <c r="Z54" s="236"/>
      <c r="AA54" s="242"/>
      <c r="AB54" s="242"/>
      <c r="AC54" s="242"/>
      <c r="AD54" s="242"/>
      <c r="AE54" s="242"/>
      <c r="AF54" s="345"/>
      <c r="AG54" s="242"/>
      <c r="AH54" s="242"/>
      <c r="AI54" s="242"/>
      <c r="AJ54" s="242"/>
      <c r="AK54" s="242"/>
      <c r="AN54" s="345"/>
      <c r="AO54" s="242"/>
      <c r="AP54" s="242"/>
      <c r="AQ54" s="242"/>
      <c r="AR54" s="242"/>
      <c r="AS54" s="242"/>
      <c r="AV54" s="345"/>
      <c r="AW54" s="242"/>
      <c r="AX54" s="242"/>
      <c r="AY54" s="242"/>
      <c r="AZ54" s="242"/>
      <c r="BA54" s="242"/>
      <c r="BD54" s="345"/>
      <c r="BE54" s="242"/>
      <c r="BF54" s="242"/>
      <c r="BG54" s="242"/>
      <c r="BH54" s="242"/>
      <c r="BI54" s="242"/>
      <c r="BL54" s="345"/>
      <c r="BM54" s="242"/>
      <c r="BN54" s="242"/>
      <c r="BO54" s="242"/>
      <c r="BP54" s="242"/>
      <c r="BQ54" s="242"/>
      <c r="BT54" s="345"/>
      <c r="BU54" s="242"/>
      <c r="BV54" s="242"/>
      <c r="BW54" s="242"/>
      <c r="BX54" s="242"/>
      <c r="BY54" s="242"/>
      <c r="CB54" s="345"/>
      <c r="CC54" s="242"/>
      <c r="CD54" s="242"/>
      <c r="CE54" s="242"/>
      <c r="CF54" s="242"/>
      <c r="CG54" s="242"/>
      <c r="CJ54" s="345"/>
      <c r="CK54" s="242"/>
      <c r="CL54" s="242"/>
      <c r="CM54" s="242"/>
      <c r="CN54" s="242"/>
      <c r="CO54" s="242"/>
      <c r="CR54" s="345"/>
      <c r="CS54" s="242"/>
      <c r="CT54" s="242"/>
      <c r="CU54" s="242"/>
      <c r="CV54" s="242"/>
      <c r="CW54" s="242"/>
      <c r="CZ54" s="345"/>
      <c r="DA54" s="242"/>
      <c r="DB54" s="242"/>
      <c r="DC54" s="242"/>
      <c r="DD54" s="242"/>
      <c r="DE54" s="242"/>
      <c r="DH54" s="345"/>
      <c r="DI54" s="242"/>
      <c r="DJ54" s="242"/>
      <c r="DK54" s="242"/>
      <c r="DL54" s="242"/>
      <c r="DM54" s="242"/>
      <c r="DP54" s="345"/>
      <c r="DS54" s="258"/>
      <c r="DT54" s="258"/>
    </row>
    <row r="55" spans="1:156" x14ac:dyDescent="0.2">
      <c r="A55" s="100"/>
      <c r="B55" s="225" t="s">
        <v>308</v>
      </c>
      <c r="C55" s="226" t="s">
        <v>303</v>
      </c>
      <c r="D55" s="227" t="s">
        <v>304</v>
      </c>
      <c r="E55" s="228" t="s">
        <v>241</v>
      </c>
      <c r="P55" s="345"/>
      <c r="Q55" s="230"/>
      <c r="R55" s="230"/>
      <c r="S55" s="242"/>
      <c r="T55" s="242"/>
      <c r="U55" s="242"/>
      <c r="V55" s="242"/>
      <c r="W55" s="242"/>
      <c r="X55" s="345"/>
      <c r="Y55" s="236"/>
      <c r="Z55" s="236"/>
      <c r="AA55" s="242"/>
      <c r="AB55" s="242"/>
      <c r="AC55" s="242"/>
      <c r="AD55" s="242"/>
      <c r="AE55" s="242"/>
      <c r="AF55" s="345"/>
      <c r="AG55" s="242"/>
      <c r="AH55" s="242"/>
      <c r="AI55" s="242"/>
      <c r="AJ55" s="242"/>
      <c r="AK55" s="242"/>
      <c r="AN55" s="345"/>
      <c r="AO55" s="242"/>
      <c r="AP55" s="242"/>
      <c r="AQ55" s="242"/>
      <c r="AR55" s="242"/>
      <c r="AS55" s="242"/>
      <c r="AV55" s="345"/>
      <c r="AW55" s="242"/>
      <c r="AX55" s="242"/>
      <c r="AY55" s="242"/>
      <c r="AZ55" s="242"/>
      <c r="BA55" s="242"/>
      <c r="BD55" s="345"/>
      <c r="BE55" s="242"/>
      <c r="BF55" s="242"/>
      <c r="BG55" s="242"/>
      <c r="BH55" s="242"/>
      <c r="BI55" s="242"/>
      <c r="BL55" s="345"/>
      <c r="BM55" s="242"/>
      <c r="BN55" s="242"/>
      <c r="BO55" s="242"/>
      <c r="BP55" s="242"/>
      <c r="BQ55" s="242"/>
      <c r="BT55" s="345"/>
      <c r="BU55" s="242"/>
      <c r="BV55" s="242"/>
      <c r="BW55" s="242"/>
      <c r="BX55" s="242"/>
      <c r="BY55" s="242"/>
      <c r="CB55" s="345"/>
      <c r="CC55" s="242"/>
      <c r="CD55" s="242"/>
      <c r="CE55" s="242"/>
      <c r="CF55" s="242"/>
      <c r="CG55" s="242"/>
      <c r="CJ55" s="345"/>
      <c r="CK55" s="242"/>
      <c r="CL55" s="242"/>
      <c r="CM55" s="242"/>
      <c r="CN55" s="242"/>
      <c r="CO55" s="242"/>
      <c r="CR55" s="345"/>
      <c r="CS55" s="242"/>
      <c r="CT55" s="242"/>
      <c r="CU55" s="242"/>
      <c r="CV55" s="242"/>
      <c r="CW55" s="242"/>
      <c r="CZ55" s="345"/>
      <c r="DA55" s="242"/>
      <c r="DB55" s="242"/>
      <c r="DC55" s="242"/>
      <c r="DD55" s="242"/>
      <c r="DE55" s="242"/>
      <c r="DH55" s="345"/>
      <c r="DI55" s="242"/>
      <c r="DJ55" s="242"/>
      <c r="DK55" s="242"/>
      <c r="DL55" s="242"/>
      <c r="DM55" s="242"/>
      <c r="DP55" s="345"/>
      <c r="DS55" s="258"/>
      <c r="DT55" s="258"/>
    </row>
    <row r="56" spans="1:156" x14ac:dyDescent="0.2">
      <c r="A56" s="350" t="s">
        <v>79</v>
      </c>
      <c r="B56" s="351">
        <v>1</v>
      </c>
      <c r="C56" s="352">
        <v>437.88</v>
      </c>
      <c r="D56" s="353">
        <f>E56/C56</f>
        <v>4578.3799899515852</v>
      </c>
      <c r="E56" s="354">
        <v>2004781.03</v>
      </c>
      <c r="P56" s="345"/>
      <c r="Q56" s="230"/>
      <c r="R56" s="230"/>
      <c r="S56" s="242"/>
      <c r="T56" s="242"/>
      <c r="U56" s="242"/>
      <c r="V56" s="242"/>
      <c r="W56" s="242"/>
      <c r="X56" s="345"/>
      <c r="Y56" s="236"/>
      <c r="Z56" s="236"/>
      <c r="AA56" s="242"/>
      <c r="AB56" s="242"/>
      <c r="AC56" s="242"/>
      <c r="AD56" s="242"/>
      <c r="AE56" s="242"/>
      <c r="AF56" s="345"/>
      <c r="AG56" s="242"/>
      <c r="AH56" s="242"/>
      <c r="AI56" s="242"/>
      <c r="AJ56" s="242"/>
      <c r="AK56" s="242"/>
      <c r="AN56" s="345"/>
      <c r="AO56" s="242"/>
      <c r="AP56" s="242"/>
      <c r="AQ56" s="242"/>
      <c r="AR56" s="242"/>
      <c r="AS56" s="242"/>
      <c r="AV56" s="345"/>
      <c r="AW56" s="242"/>
      <c r="AX56" s="242"/>
      <c r="AY56" s="242"/>
      <c r="AZ56" s="242"/>
      <c r="BA56" s="242"/>
      <c r="BD56" s="345"/>
      <c r="BE56" s="242"/>
      <c r="BF56" s="242"/>
      <c r="BG56" s="242"/>
      <c r="BH56" s="242"/>
      <c r="BI56" s="242"/>
      <c r="BL56" s="345"/>
      <c r="BM56" s="242"/>
      <c r="BN56" s="242"/>
      <c r="BO56" s="242"/>
      <c r="BP56" s="242"/>
      <c r="BQ56" s="242"/>
      <c r="BT56" s="345"/>
      <c r="BU56" s="242"/>
      <c r="BV56" s="242"/>
      <c r="BW56" s="242"/>
      <c r="BX56" s="242"/>
      <c r="BY56" s="242"/>
      <c r="CB56" s="345"/>
      <c r="CC56" s="242"/>
      <c r="CD56" s="242"/>
      <c r="CE56" s="242"/>
      <c r="CF56" s="242"/>
      <c r="CG56" s="242"/>
      <c r="CJ56" s="345"/>
      <c r="CK56" s="242"/>
      <c r="CL56" s="242"/>
      <c r="CM56" s="242"/>
      <c r="CN56" s="242"/>
      <c r="CO56" s="242"/>
      <c r="CR56" s="345"/>
      <c r="CS56" s="242"/>
      <c r="CT56" s="242"/>
      <c r="CU56" s="242"/>
      <c r="CV56" s="242"/>
      <c r="CW56" s="242"/>
      <c r="CZ56" s="345"/>
      <c r="DA56" s="242"/>
      <c r="DB56" s="242"/>
      <c r="DC56" s="242"/>
      <c r="DD56" s="242"/>
      <c r="DE56" s="242"/>
      <c r="DH56" s="345"/>
      <c r="DI56" s="242"/>
      <c r="DJ56" s="242"/>
      <c r="DK56" s="242"/>
      <c r="DL56" s="242"/>
      <c r="DM56" s="242"/>
      <c r="DP56" s="345"/>
      <c r="DS56" s="258">
        <v>0</v>
      </c>
      <c r="DT56" s="258"/>
      <c r="DU56" s="176">
        <v>0</v>
      </c>
      <c r="DV56" s="176">
        <f>EC56+EE56</f>
        <v>1919722.84</v>
      </c>
      <c r="DW56" s="293">
        <f>DV56-DU56</f>
        <v>1919722.84</v>
      </c>
      <c r="DX56" s="177">
        <v>26.25</v>
      </c>
      <c r="DZ56" s="177">
        <f>E56</f>
        <v>2004781.03</v>
      </c>
      <c r="EA56" s="178">
        <f>SUM(EC56:EE56)</f>
        <v>2004781.03</v>
      </c>
      <c r="EB56" s="178">
        <f>DZ56-EA56</f>
        <v>0</v>
      </c>
      <c r="EC56" s="177">
        <f>E56-ED56-EE56</f>
        <v>1919722.84</v>
      </c>
      <c r="ED56" s="177">
        <f>DX56*C56*7.4</f>
        <v>85058.19</v>
      </c>
      <c r="EE56" s="177">
        <f>DY56*C56*7.4</f>
        <v>0</v>
      </c>
    </row>
    <row r="57" spans="1:156" ht="13.5" thickBot="1" x14ac:dyDescent="0.25">
      <c r="A57" s="230"/>
      <c r="B57" s="355"/>
      <c r="C57" s="356"/>
      <c r="D57" s="357"/>
      <c r="E57" s="229"/>
      <c r="P57" s="345"/>
      <c r="Q57" s="230"/>
      <c r="R57" s="230"/>
      <c r="S57" s="242"/>
      <c r="T57" s="242"/>
      <c r="U57" s="242"/>
      <c r="V57" s="242"/>
      <c r="W57" s="242"/>
      <c r="X57" s="345"/>
      <c r="Y57" s="236"/>
      <c r="Z57" s="236"/>
      <c r="AA57" s="242"/>
      <c r="AB57" s="242"/>
      <c r="AC57" s="242"/>
      <c r="AD57" s="242"/>
      <c r="AE57" s="242"/>
      <c r="AF57" s="345"/>
      <c r="AG57" s="242"/>
      <c r="AH57" s="242"/>
      <c r="AI57" s="242"/>
      <c r="AJ57" s="242"/>
      <c r="AK57" s="242"/>
      <c r="AN57" s="345"/>
      <c r="AO57" s="242"/>
      <c r="AP57" s="242"/>
      <c r="AQ57" s="242"/>
      <c r="AR57" s="242"/>
      <c r="AS57" s="242"/>
      <c r="AV57" s="345"/>
      <c r="AW57" s="242"/>
      <c r="AX57" s="242"/>
      <c r="AY57" s="242"/>
      <c r="AZ57" s="242"/>
      <c r="BA57" s="242"/>
      <c r="BD57" s="345"/>
      <c r="BE57" s="242"/>
      <c r="BF57" s="242"/>
      <c r="BG57" s="242"/>
      <c r="BH57" s="242"/>
      <c r="BI57" s="242"/>
      <c r="BL57" s="345"/>
      <c r="BM57" s="242"/>
      <c r="BN57" s="242"/>
      <c r="BO57" s="242"/>
      <c r="BP57" s="242"/>
      <c r="BQ57" s="242"/>
      <c r="BT57" s="345"/>
      <c r="BU57" s="242"/>
      <c r="BV57" s="242"/>
      <c r="BW57" s="242"/>
      <c r="BX57" s="242"/>
      <c r="BY57" s="242"/>
      <c r="CB57" s="345"/>
      <c r="CC57" s="242"/>
      <c r="CD57" s="242"/>
      <c r="CE57" s="242"/>
      <c r="CF57" s="242"/>
      <c r="CG57" s="242"/>
      <c r="CJ57" s="345"/>
      <c r="CK57" s="242"/>
      <c r="CL57" s="242"/>
      <c r="CM57" s="242"/>
      <c r="CN57" s="242"/>
      <c r="CO57" s="242"/>
      <c r="CR57" s="345"/>
      <c r="CS57" s="242"/>
      <c r="CT57" s="242"/>
      <c r="CU57" s="242"/>
      <c r="CV57" s="242"/>
      <c r="CW57" s="242"/>
      <c r="CZ57" s="345"/>
      <c r="DA57" s="242"/>
      <c r="DB57" s="242"/>
      <c r="DC57" s="242"/>
      <c r="DD57" s="242"/>
      <c r="DE57" s="242"/>
      <c r="DH57" s="345"/>
      <c r="DI57" s="242"/>
      <c r="DJ57" s="242"/>
      <c r="DK57" s="242"/>
      <c r="DL57" s="242"/>
      <c r="DM57" s="242"/>
      <c r="DP57" s="345"/>
      <c r="DS57" s="258"/>
      <c r="DT57" s="258"/>
    </row>
    <row r="58" spans="1:156" ht="13.5" thickBot="1" x14ac:dyDescent="0.25">
      <c r="A58" s="358" t="s">
        <v>301</v>
      </c>
      <c r="B58" s="359">
        <f>B56+B51+B43+B35+B12</f>
        <v>540</v>
      </c>
      <c r="C58" s="360">
        <f>C51+C56+C43+C35+C12</f>
        <v>6786.3283874558574</v>
      </c>
      <c r="D58" s="361" t="s">
        <v>298</v>
      </c>
      <c r="E58" s="362">
        <f>E51+E56+E43+E35+E12</f>
        <v>47433692.059999965</v>
      </c>
      <c r="P58" s="345"/>
      <c r="Q58" s="230"/>
      <c r="R58" s="230"/>
      <c r="S58" s="242"/>
      <c r="T58" s="242"/>
      <c r="U58" s="242"/>
      <c r="V58" s="242"/>
      <c r="W58" s="242"/>
      <c r="X58" s="345"/>
      <c r="Y58" s="236"/>
      <c r="Z58" s="236"/>
      <c r="AA58" s="242"/>
      <c r="AB58" s="242"/>
      <c r="AC58" s="242"/>
      <c r="AD58" s="242"/>
      <c r="AE58" s="242"/>
      <c r="AF58" s="345"/>
      <c r="AG58" s="242"/>
      <c r="AH58" s="242"/>
      <c r="AI58" s="242"/>
      <c r="AJ58" s="242"/>
      <c r="AK58" s="242"/>
      <c r="AN58" s="345"/>
      <c r="AO58" s="242"/>
      <c r="AP58" s="242"/>
      <c r="AQ58" s="242"/>
      <c r="AR58" s="242"/>
      <c r="AS58" s="242"/>
      <c r="AV58" s="345"/>
      <c r="AW58" s="242"/>
      <c r="AX58" s="242"/>
      <c r="AY58" s="242"/>
      <c r="AZ58" s="242"/>
      <c r="BA58" s="242"/>
      <c r="BD58" s="345"/>
      <c r="BE58" s="242"/>
      <c r="BF58" s="242"/>
      <c r="BG58" s="242"/>
      <c r="BH58" s="242"/>
      <c r="BI58" s="242"/>
      <c r="BL58" s="345"/>
      <c r="BM58" s="242"/>
      <c r="BN58" s="242"/>
      <c r="BO58" s="242"/>
      <c r="BP58" s="242"/>
      <c r="BQ58" s="242"/>
      <c r="BT58" s="345"/>
      <c r="BU58" s="242"/>
      <c r="BV58" s="242"/>
      <c r="BW58" s="242"/>
      <c r="BX58" s="242"/>
      <c r="BY58" s="242"/>
      <c r="CB58" s="345"/>
      <c r="CC58" s="242"/>
      <c r="CD58" s="242"/>
      <c r="CE58" s="242"/>
      <c r="CF58" s="242"/>
      <c r="CG58" s="242"/>
      <c r="CJ58" s="345"/>
      <c r="CK58" s="242"/>
      <c r="CL58" s="242"/>
      <c r="CM58" s="242"/>
      <c r="CN58" s="242"/>
      <c r="CO58" s="242"/>
      <c r="CR58" s="345"/>
      <c r="CS58" s="242"/>
      <c r="CT58" s="242"/>
      <c r="CU58" s="242"/>
      <c r="CV58" s="242"/>
      <c r="CW58" s="242"/>
      <c r="CZ58" s="345"/>
      <c r="DA58" s="242"/>
      <c r="DB58" s="242"/>
      <c r="DC58" s="242"/>
      <c r="DD58" s="242"/>
      <c r="DE58" s="242"/>
      <c r="DH58" s="345"/>
      <c r="DI58" s="242"/>
      <c r="DJ58" s="242"/>
      <c r="DK58" s="242"/>
      <c r="DL58" s="242"/>
      <c r="DM58" s="242"/>
      <c r="DP58" s="345"/>
      <c r="DU58" s="363"/>
      <c r="DV58" s="363"/>
      <c r="DW58" s="364"/>
    </row>
    <row r="59" spans="1:156" ht="13.5" thickBot="1" x14ac:dyDescent="0.25">
      <c r="B59" s="326"/>
      <c r="P59" s="365"/>
      <c r="Q59" s="230"/>
      <c r="R59" s="230"/>
      <c r="S59" s="242"/>
      <c r="T59" s="242"/>
      <c r="U59" s="242"/>
      <c r="V59" s="242"/>
      <c r="W59" s="242"/>
      <c r="X59" s="104"/>
      <c r="Y59" s="236"/>
      <c r="Z59" s="236"/>
      <c r="AA59" s="242"/>
      <c r="AB59" s="242"/>
      <c r="AC59" s="242"/>
      <c r="AD59" s="242"/>
      <c r="AE59" s="242"/>
      <c r="AF59" s="104"/>
      <c r="AG59" s="242"/>
      <c r="AH59" s="242"/>
      <c r="AI59" s="242"/>
      <c r="AJ59" s="242"/>
      <c r="AK59" s="242"/>
      <c r="AN59" s="104"/>
      <c r="AO59" s="242"/>
      <c r="AP59" s="242"/>
      <c r="AQ59" s="242"/>
      <c r="AR59" s="242"/>
      <c r="AS59" s="242"/>
      <c r="AV59" s="365"/>
      <c r="AW59" s="366"/>
      <c r="AX59" s="242"/>
      <c r="AY59" s="242"/>
      <c r="AZ59" s="242"/>
      <c r="BA59" s="242"/>
      <c r="BD59" s="365"/>
      <c r="BE59" s="242"/>
      <c r="BF59" s="242"/>
      <c r="BG59" s="242"/>
      <c r="BH59" s="242"/>
      <c r="BI59" s="242"/>
      <c r="BL59" s="365"/>
      <c r="BM59" s="242"/>
      <c r="BN59" s="242"/>
      <c r="BO59" s="242"/>
      <c r="BP59" s="242"/>
      <c r="BQ59" s="242"/>
      <c r="BT59" s="365"/>
      <c r="BU59" s="242"/>
      <c r="BV59" s="242"/>
      <c r="BW59" s="242"/>
      <c r="BX59" s="242"/>
      <c r="BY59" s="242"/>
      <c r="CB59" s="365"/>
      <c r="CC59" s="242"/>
      <c r="CD59" s="242"/>
      <c r="CE59" s="242"/>
      <c r="CF59" s="242"/>
      <c r="CG59" s="242"/>
      <c r="CJ59" s="365"/>
      <c r="CK59" s="242"/>
      <c r="CL59" s="242"/>
      <c r="CM59" s="242"/>
      <c r="CN59" s="242"/>
      <c r="CO59" s="242"/>
      <c r="CR59" s="365"/>
      <c r="CS59" s="242"/>
      <c r="CT59" s="242"/>
      <c r="CU59" s="242"/>
      <c r="CV59" s="242"/>
      <c r="CW59" s="242"/>
      <c r="CZ59" s="365"/>
      <c r="DA59" s="242"/>
      <c r="DB59" s="242"/>
      <c r="DC59" s="242"/>
      <c r="DD59" s="242"/>
      <c r="DE59" s="242"/>
      <c r="DH59" s="365"/>
      <c r="DI59" s="242"/>
      <c r="DJ59" s="242"/>
      <c r="DK59" s="242"/>
      <c r="DL59" s="242"/>
      <c r="DM59" s="242"/>
      <c r="DP59" s="365"/>
      <c r="DU59" s="367">
        <f>DU56+DU51+DU43+DU34+DU17+DU12</f>
        <v>9835197.6825107858</v>
      </c>
      <c r="DV59" s="367">
        <f>DV56+DV51+DV43+DV34+DV17+DV12</f>
        <v>39127497.212337412</v>
      </c>
      <c r="DW59" s="367">
        <f>DW56+DW51+DW43+DW34+DW17+DW12</f>
        <v>29292299.52982663</v>
      </c>
      <c r="DX59" s="368"/>
      <c r="EC59" s="367">
        <f>EC56+EC51+EC43+EC34+EC17+EC12</f>
        <v>38233691.205921374</v>
      </c>
      <c r="ED59" s="367">
        <f>ED56+ED51+ED43+ED34+ED17+ED12</f>
        <v>7966149.1176625481</v>
      </c>
      <c r="EE59" s="367">
        <f>EE56+EE51+EE43+EE34+EE17+EE12</f>
        <v>1233851.7364160423</v>
      </c>
    </row>
    <row r="60" spans="1:156" x14ac:dyDescent="0.2">
      <c r="B60" s="326"/>
      <c r="P60" s="365"/>
      <c r="Q60" s="230"/>
      <c r="R60" s="230"/>
      <c r="S60" s="242"/>
      <c r="T60" s="242"/>
      <c r="U60" s="242"/>
      <c r="V60" s="242"/>
      <c r="W60" s="242"/>
      <c r="X60" s="104"/>
      <c r="Y60" s="236"/>
      <c r="Z60" s="236"/>
      <c r="AA60" s="242"/>
      <c r="AB60" s="242"/>
      <c r="AC60" s="242"/>
      <c r="AD60" s="242"/>
      <c r="AE60" s="242"/>
      <c r="AF60" s="104"/>
      <c r="AG60" s="242"/>
      <c r="AH60" s="242"/>
      <c r="AI60" s="242"/>
      <c r="AJ60" s="242"/>
      <c r="AK60" s="242"/>
      <c r="AN60" s="104"/>
      <c r="AO60" s="242"/>
      <c r="AP60" s="242"/>
      <c r="AQ60" s="242"/>
      <c r="AR60" s="242"/>
      <c r="AS60" s="242"/>
      <c r="AV60" s="365"/>
      <c r="AW60" s="366"/>
      <c r="AX60" s="242"/>
      <c r="AY60" s="242"/>
      <c r="AZ60" s="242"/>
      <c r="BA60" s="242"/>
      <c r="BD60" s="365"/>
      <c r="BE60" s="242"/>
      <c r="BF60" s="242"/>
      <c r="BG60" s="242"/>
      <c r="BH60" s="242"/>
      <c r="BI60" s="242"/>
      <c r="BL60" s="365"/>
      <c r="BM60" s="242"/>
      <c r="BN60" s="242"/>
      <c r="BO60" s="242"/>
      <c r="BP60" s="242"/>
      <c r="BQ60" s="242"/>
      <c r="BT60" s="365"/>
      <c r="BU60" s="242"/>
      <c r="BV60" s="242"/>
      <c r="BW60" s="242"/>
      <c r="BX60" s="242"/>
      <c r="BY60" s="242"/>
      <c r="CB60" s="365"/>
      <c r="CC60" s="242"/>
      <c r="CD60" s="242"/>
      <c r="CE60" s="242"/>
      <c r="CF60" s="242"/>
      <c r="CG60" s="242"/>
      <c r="CJ60" s="365"/>
      <c r="CK60" s="242"/>
      <c r="CL60" s="242"/>
      <c r="CM60" s="242"/>
      <c r="CN60" s="242"/>
      <c r="CO60" s="242"/>
      <c r="CR60" s="365"/>
      <c r="CS60" s="242"/>
      <c r="CT60" s="242"/>
      <c r="CU60" s="242"/>
      <c r="CV60" s="242"/>
      <c r="CW60" s="242"/>
      <c r="CZ60" s="365"/>
      <c r="DA60" s="242"/>
      <c r="DB60" s="242"/>
      <c r="DC60" s="242"/>
      <c r="DD60" s="242"/>
      <c r="DE60" s="242"/>
      <c r="DH60" s="365"/>
      <c r="DI60" s="242"/>
      <c r="DJ60" s="242"/>
      <c r="DK60" s="242"/>
      <c r="DL60" s="242"/>
      <c r="DM60" s="242"/>
      <c r="DP60" s="365"/>
      <c r="DW60" s="363"/>
    </row>
    <row r="61" spans="1:156" x14ac:dyDescent="0.2">
      <c r="B61" s="326"/>
      <c r="P61" s="365"/>
      <c r="Q61" s="230"/>
      <c r="R61" s="230"/>
      <c r="S61" s="242"/>
      <c r="T61" s="242"/>
      <c r="U61" s="242"/>
      <c r="V61" s="242"/>
      <c r="W61" s="242"/>
      <c r="X61" s="104"/>
      <c r="Y61" s="236"/>
      <c r="Z61" s="236"/>
      <c r="AA61" s="242"/>
      <c r="AB61" s="242"/>
      <c r="AC61" s="242"/>
      <c r="AD61" s="242"/>
      <c r="AE61" s="242"/>
      <c r="AF61" s="104"/>
      <c r="AG61" s="242"/>
      <c r="AH61" s="242"/>
      <c r="AI61" s="242"/>
      <c r="AJ61" s="242"/>
      <c r="AK61" s="242"/>
      <c r="AN61" s="104"/>
      <c r="AO61" s="242"/>
      <c r="AP61" s="242"/>
      <c r="AQ61" s="242"/>
      <c r="AR61" s="242"/>
      <c r="AS61" s="242"/>
      <c r="AV61" s="365"/>
      <c r="AW61" s="366"/>
      <c r="AX61" s="242"/>
      <c r="AY61" s="242"/>
      <c r="AZ61" s="242"/>
      <c r="BA61" s="242"/>
      <c r="BD61" s="365"/>
      <c r="BE61" s="242"/>
      <c r="BF61" s="242"/>
      <c r="BG61" s="242"/>
      <c r="BH61" s="242"/>
      <c r="BI61" s="242"/>
      <c r="BL61" s="365"/>
      <c r="BM61" s="242"/>
      <c r="BN61" s="242"/>
      <c r="BO61" s="242"/>
      <c r="BP61" s="242"/>
      <c r="BQ61" s="242"/>
      <c r="BT61" s="365"/>
      <c r="BU61" s="242"/>
      <c r="BV61" s="242"/>
      <c r="BW61" s="242"/>
      <c r="BX61" s="242"/>
      <c r="BY61" s="242"/>
      <c r="CB61" s="365"/>
      <c r="CC61" s="242"/>
      <c r="CD61" s="242"/>
      <c r="CE61" s="242"/>
      <c r="CF61" s="242"/>
      <c r="CG61" s="242"/>
      <c r="CJ61" s="365"/>
      <c r="CK61" s="242"/>
      <c r="CL61" s="242"/>
      <c r="CM61" s="242"/>
      <c r="CN61" s="242"/>
      <c r="CO61" s="242"/>
      <c r="CR61" s="365"/>
      <c r="CS61" s="242"/>
      <c r="CT61" s="242"/>
      <c r="CU61" s="242"/>
      <c r="CV61" s="242"/>
      <c r="CW61" s="242"/>
      <c r="CZ61" s="365"/>
      <c r="DA61" s="242"/>
      <c r="DB61" s="242"/>
      <c r="DC61" s="242"/>
      <c r="DD61" s="242"/>
      <c r="DE61" s="242"/>
      <c r="DH61" s="365"/>
      <c r="DI61" s="242"/>
      <c r="DJ61" s="242"/>
      <c r="DK61" s="242"/>
      <c r="DL61" s="242"/>
      <c r="DM61" s="242"/>
      <c r="DP61" s="365"/>
    </row>
    <row r="62" spans="1:156" x14ac:dyDescent="0.2">
      <c r="P62" s="365"/>
      <c r="Q62" s="230"/>
      <c r="R62" s="230"/>
      <c r="S62" s="242"/>
      <c r="T62" s="242"/>
      <c r="U62" s="242"/>
      <c r="V62" s="242"/>
      <c r="W62" s="242"/>
      <c r="X62" s="104"/>
      <c r="Y62" s="236"/>
      <c r="Z62" s="236"/>
      <c r="AA62" s="242"/>
      <c r="AB62" s="242"/>
      <c r="AC62" s="242"/>
      <c r="AD62" s="242"/>
      <c r="AE62" s="242"/>
      <c r="AF62" s="104"/>
      <c r="AG62" s="242"/>
      <c r="AH62" s="242"/>
      <c r="AI62" s="242"/>
      <c r="AJ62" s="242"/>
      <c r="AK62" s="242"/>
      <c r="AN62" s="104"/>
      <c r="AO62" s="242"/>
      <c r="AP62" s="242"/>
      <c r="AQ62" s="242"/>
      <c r="AR62" s="242"/>
      <c r="AS62" s="242"/>
      <c r="AV62" s="365"/>
      <c r="AW62" s="242"/>
      <c r="AX62" s="242"/>
      <c r="AY62" s="242"/>
      <c r="AZ62" s="242"/>
      <c r="BA62" s="242"/>
      <c r="BD62" s="365"/>
      <c r="BE62" s="242"/>
      <c r="BF62" s="242"/>
      <c r="BG62" s="242"/>
      <c r="BH62" s="242"/>
      <c r="BI62" s="242"/>
      <c r="BL62" s="365"/>
      <c r="BM62" s="242"/>
      <c r="BN62" s="242"/>
      <c r="BO62" s="242"/>
      <c r="BP62" s="242"/>
      <c r="BQ62" s="242"/>
      <c r="BT62" s="365"/>
      <c r="BU62" s="242"/>
      <c r="BV62" s="242"/>
      <c r="BW62" s="242"/>
      <c r="BX62" s="242"/>
      <c r="BY62" s="242"/>
      <c r="CB62" s="365"/>
      <c r="CC62" s="242"/>
      <c r="CD62" s="242"/>
      <c r="CE62" s="242"/>
      <c r="CF62" s="242"/>
      <c r="CG62" s="242"/>
      <c r="CJ62" s="365"/>
      <c r="CK62" s="242"/>
      <c r="CL62" s="242"/>
      <c r="CM62" s="242"/>
      <c r="CN62" s="242"/>
      <c r="CO62" s="242"/>
      <c r="CR62" s="365"/>
      <c r="CS62" s="242"/>
      <c r="CT62" s="242"/>
      <c r="CU62" s="242"/>
      <c r="CV62" s="242"/>
      <c r="CW62" s="242"/>
      <c r="CZ62" s="365"/>
      <c r="DA62" s="242"/>
      <c r="DB62" s="242"/>
      <c r="DC62" s="242"/>
      <c r="DD62" s="242"/>
      <c r="DE62" s="242"/>
      <c r="DH62" s="365"/>
      <c r="DI62" s="242"/>
      <c r="DJ62" s="242"/>
      <c r="DK62" s="242"/>
      <c r="DL62" s="242"/>
      <c r="DM62" s="242"/>
      <c r="DP62" s="365"/>
    </row>
    <row r="63" spans="1:156" x14ac:dyDescent="0.2">
      <c r="P63" s="365"/>
      <c r="Q63" s="230"/>
      <c r="R63" s="230"/>
      <c r="S63" s="242"/>
      <c r="T63" s="242"/>
      <c r="U63" s="242"/>
      <c r="V63" s="242"/>
      <c r="W63" s="242"/>
      <c r="X63" s="365"/>
      <c r="Y63" s="236"/>
      <c r="Z63" s="236"/>
      <c r="AA63" s="242"/>
      <c r="AB63" s="242"/>
      <c r="AC63" s="242"/>
      <c r="AD63" s="242"/>
      <c r="AE63" s="242"/>
      <c r="AF63" s="365"/>
      <c r="AG63" s="242"/>
      <c r="AH63" s="242"/>
      <c r="AI63" s="242"/>
      <c r="AJ63" s="242"/>
      <c r="AK63" s="242"/>
      <c r="AN63" s="365"/>
      <c r="AO63" s="242"/>
      <c r="AP63" s="242"/>
      <c r="AQ63" s="242"/>
      <c r="AR63" s="242"/>
      <c r="AS63" s="242"/>
      <c r="AV63" s="365"/>
      <c r="AW63" s="242"/>
      <c r="AX63" s="242"/>
      <c r="AY63" s="242"/>
      <c r="AZ63" s="242"/>
      <c r="BA63" s="242"/>
      <c r="BD63" s="365"/>
      <c r="BE63" s="242"/>
      <c r="BF63" s="242"/>
      <c r="BG63" s="242"/>
      <c r="BH63" s="242"/>
      <c r="BI63" s="242"/>
      <c r="BL63" s="365"/>
      <c r="BM63" s="242"/>
      <c r="BN63" s="242"/>
      <c r="BO63" s="242"/>
      <c r="BP63" s="242"/>
      <c r="BQ63" s="242"/>
      <c r="BT63" s="365"/>
      <c r="BU63" s="242"/>
      <c r="BV63" s="242"/>
      <c r="BW63" s="242"/>
      <c r="BX63" s="242"/>
      <c r="BY63" s="242"/>
      <c r="CB63" s="365"/>
      <c r="CC63" s="242"/>
      <c r="CD63" s="242"/>
      <c r="CE63" s="242"/>
      <c r="CF63" s="242"/>
      <c r="CG63" s="242"/>
      <c r="CJ63" s="365"/>
      <c r="CK63" s="242"/>
      <c r="CL63" s="242"/>
      <c r="CM63" s="242"/>
      <c r="CN63" s="242"/>
      <c r="CO63" s="242"/>
      <c r="CR63" s="365"/>
      <c r="CS63" s="242"/>
      <c r="CT63" s="242"/>
      <c r="CU63" s="242"/>
      <c r="CV63" s="242"/>
      <c r="CW63" s="242"/>
      <c r="CZ63" s="365"/>
      <c r="DA63" s="242"/>
      <c r="DB63" s="242"/>
      <c r="DC63" s="242"/>
      <c r="DD63" s="242"/>
      <c r="DE63" s="242"/>
      <c r="DH63" s="365"/>
      <c r="DI63" s="242"/>
      <c r="DJ63" s="242"/>
      <c r="DK63" s="242"/>
      <c r="DL63" s="242"/>
      <c r="DM63" s="242"/>
      <c r="DP63" s="365"/>
    </row>
    <row r="64" spans="1:156" x14ac:dyDescent="0.2">
      <c r="P64" s="365"/>
      <c r="Q64" s="230"/>
      <c r="R64" s="230"/>
      <c r="S64" s="242"/>
      <c r="T64" s="242"/>
      <c r="U64" s="242"/>
      <c r="V64" s="242"/>
      <c r="W64" s="242"/>
      <c r="X64" s="365"/>
      <c r="Y64" s="236"/>
      <c r="Z64" s="236"/>
      <c r="AA64" s="242"/>
      <c r="AB64" s="242"/>
      <c r="AC64" s="242"/>
      <c r="AD64" s="242"/>
      <c r="AE64" s="242"/>
      <c r="AF64" s="365"/>
      <c r="AG64" s="242"/>
      <c r="AH64" s="242"/>
      <c r="AI64" s="242"/>
      <c r="AJ64" s="242"/>
      <c r="AK64" s="242"/>
      <c r="AN64" s="365"/>
      <c r="AO64" s="242"/>
      <c r="AP64" s="242"/>
      <c r="AQ64" s="242"/>
      <c r="AR64" s="242"/>
      <c r="AS64" s="242"/>
      <c r="AV64" s="365"/>
      <c r="AW64" s="242"/>
      <c r="AX64" s="242"/>
      <c r="AY64" s="242"/>
      <c r="AZ64" s="242"/>
      <c r="BA64" s="242"/>
      <c r="BD64" s="365"/>
      <c r="BE64" s="242"/>
      <c r="BF64" s="242"/>
      <c r="BG64" s="242"/>
      <c r="BH64" s="242"/>
      <c r="BI64" s="242"/>
      <c r="BL64" s="365"/>
      <c r="BM64" s="242"/>
      <c r="BN64" s="242"/>
      <c r="BO64" s="242"/>
      <c r="BP64" s="242"/>
      <c r="BQ64" s="242"/>
      <c r="BT64" s="365"/>
      <c r="BU64" s="242"/>
      <c r="BV64" s="242"/>
      <c r="BW64" s="242"/>
      <c r="BX64" s="242"/>
      <c r="BY64" s="242"/>
      <c r="CB64" s="365"/>
      <c r="CC64" s="242"/>
      <c r="CD64" s="242"/>
      <c r="CE64" s="242"/>
      <c r="CF64" s="242"/>
      <c r="CG64" s="242"/>
      <c r="CJ64" s="365"/>
      <c r="CK64" s="242"/>
      <c r="CL64" s="242"/>
      <c r="CM64" s="242"/>
      <c r="CN64" s="242"/>
      <c r="CO64" s="242"/>
      <c r="CR64" s="365"/>
      <c r="CS64" s="242"/>
      <c r="CT64" s="242"/>
      <c r="CU64" s="242"/>
      <c r="CV64" s="242"/>
      <c r="CW64" s="242"/>
      <c r="CZ64" s="365"/>
      <c r="DA64" s="242"/>
      <c r="DB64" s="242"/>
      <c r="DC64" s="242"/>
      <c r="DD64" s="242"/>
      <c r="DE64" s="242"/>
      <c r="DH64" s="365"/>
      <c r="DI64" s="242"/>
      <c r="DJ64" s="242"/>
      <c r="DK64" s="242"/>
      <c r="DL64" s="242"/>
      <c r="DM64" s="242"/>
      <c r="DP64" s="365"/>
    </row>
    <row r="65" spans="1:156" ht="18" customHeight="1" x14ac:dyDescent="0.2">
      <c r="A65" s="179"/>
      <c r="B65" s="3761" t="s">
        <v>275</v>
      </c>
      <c r="C65" s="3761"/>
      <c r="D65" s="3761"/>
      <c r="E65" s="3761"/>
      <c r="F65" s="179"/>
      <c r="G65" s="369"/>
      <c r="P65" s="365"/>
      <c r="Q65" s="230"/>
      <c r="R65" s="230"/>
      <c r="S65" s="242"/>
      <c r="T65" s="242"/>
      <c r="U65" s="242"/>
      <c r="V65" s="242"/>
      <c r="W65" s="242"/>
      <c r="X65" s="365"/>
      <c r="Y65" s="236"/>
      <c r="Z65" s="236"/>
      <c r="AA65" s="242"/>
      <c r="AB65" s="242"/>
      <c r="AC65" s="242"/>
      <c r="AD65" s="242"/>
      <c r="AE65" s="242"/>
      <c r="AF65" s="365"/>
      <c r="AG65" s="242"/>
      <c r="AH65" s="242"/>
      <c r="AI65" s="242"/>
      <c r="AJ65" s="242"/>
      <c r="AK65" s="242"/>
      <c r="AN65" s="365"/>
      <c r="AO65" s="242"/>
      <c r="AP65" s="242"/>
      <c r="AQ65" s="242"/>
      <c r="AR65" s="242"/>
      <c r="AS65" s="242"/>
      <c r="AV65" s="365"/>
      <c r="AW65" s="242"/>
      <c r="AX65" s="242"/>
      <c r="AY65" s="242"/>
      <c r="AZ65" s="242"/>
      <c r="BA65" s="242"/>
      <c r="BD65" s="365"/>
      <c r="BE65" s="242"/>
      <c r="BF65" s="242"/>
      <c r="BG65" s="242"/>
      <c r="BH65" s="242"/>
      <c r="BI65" s="242"/>
      <c r="BL65" s="365"/>
      <c r="BM65" s="242"/>
      <c r="BN65" s="242"/>
      <c r="BO65" s="242"/>
      <c r="BP65" s="242"/>
      <c r="BQ65" s="242"/>
      <c r="BT65" s="365"/>
      <c r="BU65" s="242"/>
      <c r="BV65" s="242"/>
      <c r="BW65" s="242"/>
      <c r="BX65" s="242"/>
      <c r="BY65" s="242"/>
      <c r="CB65" s="365"/>
      <c r="CC65" s="242"/>
      <c r="CD65" s="242"/>
      <c r="CE65" s="242"/>
      <c r="CF65" s="242"/>
      <c r="CG65" s="242"/>
      <c r="CJ65" s="365"/>
      <c r="CK65" s="242"/>
      <c r="CL65" s="242"/>
      <c r="CM65" s="242"/>
      <c r="CN65" s="242"/>
      <c r="CO65" s="242"/>
      <c r="CR65" s="365"/>
      <c r="CS65" s="242"/>
      <c r="CT65" s="242"/>
      <c r="CU65" s="242"/>
      <c r="CV65" s="242"/>
      <c r="CW65" s="242"/>
      <c r="CZ65" s="365"/>
      <c r="DA65" s="242"/>
      <c r="DB65" s="242"/>
      <c r="DC65" s="242"/>
      <c r="DD65" s="242"/>
      <c r="DE65" s="242"/>
      <c r="DH65" s="365"/>
      <c r="DI65" s="242"/>
      <c r="DJ65" s="242"/>
      <c r="DK65" s="242"/>
      <c r="DL65" s="242"/>
      <c r="DM65" s="242"/>
      <c r="DP65" s="365"/>
    </row>
    <row r="66" spans="1:156" ht="35.25" customHeight="1" x14ac:dyDescent="0.2">
      <c r="A66" s="179"/>
      <c r="B66" s="3761"/>
      <c r="C66" s="3761"/>
      <c r="D66" s="3761"/>
      <c r="E66" s="3761"/>
      <c r="F66" s="179"/>
      <c r="G66" s="369"/>
      <c r="P66" s="365"/>
      <c r="Q66" s="230"/>
      <c r="R66" s="230"/>
      <c r="S66" s="242"/>
      <c r="T66" s="242"/>
      <c r="U66" s="242"/>
      <c r="V66" s="242"/>
      <c r="W66" s="242"/>
      <c r="X66" s="365"/>
      <c r="Y66" s="236"/>
      <c r="Z66" s="236"/>
      <c r="AA66" s="242"/>
      <c r="AB66" s="242"/>
      <c r="AC66" s="242"/>
      <c r="AD66" s="242"/>
      <c r="AE66" s="242"/>
      <c r="AF66" s="365"/>
      <c r="AG66" s="242"/>
      <c r="AH66" s="242"/>
      <c r="AI66" s="242"/>
      <c r="AJ66" s="242"/>
      <c r="AK66" s="242"/>
      <c r="AN66" s="365"/>
      <c r="AO66" s="242"/>
      <c r="AP66" s="242"/>
      <c r="AQ66" s="242"/>
      <c r="AR66" s="242"/>
      <c r="AS66" s="242"/>
      <c r="AV66" s="365"/>
      <c r="AW66" s="242"/>
      <c r="AX66" s="242"/>
      <c r="AY66" s="242"/>
      <c r="AZ66" s="242"/>
      <c r="BA66" s="242"/>
      <c r="BD66" s="365"/>
      <c r="BE66" s="242"/>
      <c r="BF66" s="242"/>
      <c r="BG66" s="242"/>
      <c r="BH66" s="242"/>
      <c r="BI66" s="242"/>
      <c r="BL66" s="365"/>
      <c r="BM66" s="242"/>
      <c r="BN66" s="242"/>
      <c r="BO66" s="242"/>
      <c r="BP66" s="242"/>
      <c r="BQ66" s="242"/>
      <c r="BT66" s="365"/>
      <c r="BU66" s="242"/>
      <c r="BV66" s="242"/>
      <c r="BW66" s="242"/>
      <c r="BX66" s="242"/>
      <c r="BY66" s="242"/>
      <c r="CB66" s="365"/>
      <c r="CC66" s="242"/>
      <c r="CD66" s="242"/>
      <c r="CE66" s="242"/>
      <c r="CF66" s="242"/>
      <c r="CG66" s="242"/>
      <c r="CJ66" s="365"/>
      <c r="CK66" s="242"/>
      <c r="CL66" s="242"/>
      <c r="CM66" s="242"/>
      <c r="CN66" s="242"/>
      <c r="CO66" s="242"/>
      <c r="CR66" s="365"/>
      <c r="CS66" s="242"/>
      <c r="CT66" s="242"/>
      <c r="CU66" s="242"/>
      <c r="CV66" s="242"/>
      <c r="CW66" s="242"/>
      <c r="CZ66" s="365"/>
      <c r="DA66" s="242"/>
      <c r="DB66" s="242"/>
      <c r="DC66" s="242"/>
      <c r="DD66" s="242"/>
      <c r="DE66" s="242"/>
      <c r="DH66" s="365"/>
      <c r="DI66" s="242"/>
      <c r="DJ66" s="242"/>
      <c r="DK66" s="242"/>
      <c r="DL66" s="242"/>
      <c r="DM66" s="242"/>
      <c r="DP66" s="365"/>
    </row>
    <row r="67" spans="1:156" ht="12.75" customHeight="1" x14ac:dyDescent="0.2">
      <c r="B67" s="109"/>
      <c r="C67" s="370"/>
      <c r="D67" s="193"/>
      <c r="E67" s="193"/>
      <c r="F67" s="193"/>
      <c r="P67" s="365"/>
      <c r="Q67" s="230"/>
      <c r="R67" s="230"/>
      <c r="S67" s="242"/>
      <c r="T67" s="242"/>
      <c r="U67" s="242"/>
      <c r="V67" s="242"/>
      <c r="W67" s="242"/>
      <c r="X67" s="365"/>
      <c r="Y67" s="236"/>
      <c r="Z67" s="236"/>
      <c r="AA67" s="242"/>
      <c r="AB67" s="242"/>
      <c r="AC67" s="242"/>
      <c r="AD67" s="242"/>
      <c r="AE67" s="242"/>
      <c r="AF67" s="365"/>
      <c r="AG67" s="242"/>
      <c r="AH67" s="242"/>
      <c r="AI67" s="242"/>
      <c r="AJ67" s="242"/>
      <c r="AK67" s="242"/>
      <c r="AN67" s="365"/>
      <c r="AO67" s="242"/>
      <c r="AP67" s="242"/>
      <c r="AQ67" s="242"/>
      <c r="AR67" s="242"/>
      <c r="AS67" s="242"/>
      <c r="AV67" s="365"/>
      <c r="AW67" s="242"/>
      <c r="AX67" s="242"/>
      <c r="AY67" s="242"/>
      <c r="AZ67" s="242"/>
      <c r="BA67" s="242"/>
      <c r="BD67" s="365"/>
      <c r="BE67" s="242"/>
      <c r="BF67" s="242"/>
      <c r="BG67" s="242"/>
      <c r="BH67" s="242"/>
      <c r="BI67" s="242"/>
      <c r="BL67" s="365"/>
      <c r="BM67" s="242"/>
      <c r="BN67" s="242"/>
      <c r="BO67" s="242"/>
      <c r="BP67" s="242"/>
      <c r="BQ67" s="242"/>
      <c r="BT67" s="365"/>
      <c r="BU67" s="242"/>
      <c r="BV67" s="242"/>
      <c r="BW67" s="242"/>
      <c r="BX67" s="242"/>
      <c r="BY67" s="242"/>
      <c r="CB67" s="365"/>
      <c r="CC67" s="242"/>
      <c r="CD67" s="242"/>
      <c r="CE67" s="242"/>
      <c r="CF67" s="242"/>
      <c r="CG67" s="242"/>
      <c r="CJ67" s="365"/>
      <c r="CK67" s="242"/>
      <c r="CL67" s="242"/>
      <c r="CM67" s="242"/>
      <c r="CN67" s="242"/>
      <c r="CO67" s="242"/>
      <c r="CR67" s="365"/>
      <c r="CS67" s="242"/>
      <c r="CT67" s="242"/>
      <c r="CU67" s="242"/>
      <c r="CV67" s="242"/>
      <c r="CW67" s="242"/>
      <c r="CZ67" s="365"/>
      <c r="DA67" s="242"/>
      <c r="DB67" s="242"/>
      <c r="DC67" s="242"/>
      <c r="DD67" s="242"/>
      <c r="DE67" s="242"/>
      <c r="DH67" s="365"/>
      <c r="DI67" s="242"/>
      <c r="DJ67" s="242"/>
      <c r="DK67" s="242"/>
      <c r="DL67" s="242"/>
      <c r="DM67" s="242"/>
      <c r="DP67" s="365"/>
    </row>
    <row r="68" spans="1:156" ht="49.5" customHeight="1" thickBot="1" x14ac:dyDescent="0.25">
      <c r="B68" s="109"/>
      <c r="C68" s="370"/>
      <c r="D68" s="193"/>
      <c r="E68" s="193"/>
      <c r="F68" s="193"/>
      <c r="P68" s="365"/>
      <c r="Q68" s="230"/>
      <c r="R68" s="230"/>
      <c r="S68" s="242"/>
      <c r="T68" s="242"/>
      <c r="U68" s="242"/>
      <c r="V68" s="242"/>
      <c r="W68" s="242"/>
      <c r="X68" s="365"/>
      <c r="Y68" s="236"/>
      <c r="Z68" s="236"/>
      <c r="AA68" s="242"/>
      <c r="AB68" s="242"/>
      <c r="AC68" s="242"/>
      <c r="AD68" s="242"/>
      <c r="AE68" s="242"/>
      <c r="AF68" s="365"/>
      <c r="AG68" s="242"/>
      <c r="AH68" s="242"/>
      <c r="AI68" s="242"/>
      <c r="AJ68" s="242"/>
      <c r="AK68" s="242"/>
      <c r="AN68" s="365"/>
      <c r="AO68" s="242"/>
      <c r="AP68" s="242"/>
      <c r="AQ68" s="242"/>
      <c r="AR68" s="242"/>
      <c r="AS68" s="242"/>
      <c r="AV68" s="365"/>
      <c r="AW68" s="242"/>
      <c r="AX68" s="242"/>
      <c r="AY68" s="242"/>
      <c r="AZ68" s="242"/>
      <c r="BA68" s="242"/>
      <c r="BD68" s="365"/>
      <c r="BE68" s="242"/>
      <c r="BF68" s="242"/>
      <c r="BG68" s="242"/>
      <c r="BH68" s="242"/>
      <c r="BI68" s="242"/>
      <c r="BL68" s="365"/>
      <c r="BM68" s="242"/>
      <c r="BN68" s="242"/>
      <c r="BO68" s="242"/>
      <c r="BP68" s="242"/>
      <c r="BQ68" s="242"/>
      <c r="BT68" s="365"/>
      <c r="BU68" s="242"/>
      <c r="BV68" s="242"/>
      <c r="BW68" s="242"/>
      <c r="BX68" s="242"/>
      <c r="BY68" s="242"/>
      <c r="CB68" s="365"/>
      <c r="CC68" s="242"/>
      <c r="CD68" s="242"/>
      <c r="CE68" s="242"/>
      <c r="CF68" s="242"/>
      <c r="CG68" s="242"/>
      <c r="CJ68" s="365"/>
      <c r="CK68" s="242"/>
      <c r="CL68" s="242"/>
      <c r="CM68" s="242"/>
      <c r="CN68" s="242"/>
      <c r="CO68" s="242"/>
      <c r="CR68" s="365"/>
      <c r="CS68" s="242"/>
      <c r="CT68" s="242"/>
      <c r="CU68" s="242"/>
      <c r="CV68" s="242"/>
      <c r="CW68" s="242"/>
      <c r="CZ68" s="365"/>
      <c r="DA68" s="242"/>
      <c r="DB68" s="242"/>
      <c r="DC68" s="242"/>
      <c r="DD68" s="242"/>
      <c r="DE68" s="242"/>
      <c r="DH68" s="365"/>
      <c r="DI68" s="242"/>
      <c r="DJ68" s="242"/>
      <c r="DK68" s="242"/>
      <c r="DL68" s="242"/>
      <c r="DM68" s="242"/>
      <c r="DP68" s="365"/>
    </row>
    <row r="69" spans="1:156" ht="21.75" thickBot="1" x14ac:dyDescent="0.25">
      <c r="A69" s="371" t="s">
        <v>226</v>
      </c>
      <c r="B69" s="372" t="s">
        <v>302</v>
      </c>
      <c r="C69" s="226" t="s">
        <v>303</v>
      </c>
      <c r="D69" s="227" t="s">
        <v>304</v>
      </c>
      <c r="E69" s="228" t="s">
        <v>241</v>
      </c>
      <c r="P69" s="3736"/>
      <c r="Q69" s="230"/>
      <c r="R69" s="230"/>
      <c r="S69" s="235" t="s">
        <v>242</v>
      </c>
      <c r="T69" s="232"/>
      <c r="U69" s="233"/>
      <c r="V69" s="234" t="s">
        <v>243</v>
      </c>
      <c r="W69" s="235" t="s">
        <v>244</v>
      </c>
      <c r="X69" s="3736"/>
      <c r="Y69" s="230"/>
      <c r="Z69" s="373"/>
      <c r="AA69" s="235" t="s">
        <v>242</v>
      </c>
      <c r="AB69" s="232"/>
      <c r="AC69" s="233"/>
      <c r="AD69" s="234" t="s">
        <v>243</v>
      </c>
      <c r="AE69" s="235" t="s">
        <v>244</v>
      </c>
      <c r="AF69" s="3736"/>
      <c r="AG69" s="230"/>
      <c r="AH69" s="373"/>
      <c r="AI69" s="235" t="s">
        <v>242</v>
      </c>
      <c r="AJ69" s="232"/>
      <c r="AK69" s="233"/>
      <c r="AL69" s="234" t="s">
        <v>243</v>
      </c>
      <c r="AM69" s="235" t="s">
        <v>244</v>
      </c>
      <c r="AN69" s="3736"/>
      <c r="AO69" s="230"/>
      <c r="AP69" s="373"/>
      <c r="AQ69" s="235" t="s">
        <v>242</v>
      </c>
      <c r="AR69" s="232"/>
      <c r="AS69" s="233"/>
      <c r="AT69" s="234" t="s">
        <v>243</v>
      </c>
      <c r="AU69" s="235" t="s">
        <v>244</v>
      </c>
      <c r="AV69" s="3736"/>
      <c r="AW69" s="374"/>
      <c r="AX69" s="374"/>
      <c r="AY69" s="277"/>
      <c r="AZ69" s="277"/>
      <c r="BA69" s="277"/>
      <c r="BB69" s="277"/>
      <c r="BC69" s="277"/>
      <c r="BD69" s="3736"/>
      <c r="BL69" s="3736"/>
      <c r="BT69" s="3736"/>
      <c r="CB69" s="3736"/>
      <c r="CJ69" s="3736"/>
      <c r="CR69" s="3736"/>
      <c r="CZ69" s="3736"/>
      <c r="DH69" s="3736"/>
      <c r="DI69" s="1774"/>
      <c r="DK69" s="657"/>
      <c r="DL69" s="657"/>
      <c r="DM69" s="657"/>
      <c r="DP69" s="3736"/>
    </row>
    <row r="70" spans="1:156" x14ac:dyDescent="0.2">
      <c r="A70" s="375" t="s">
        <v>246</v>
      </c>
      <c r="B70" s="376">
        <v>18</v>
      </c>
      <c r="C70" s="306">
        <v>1144.55</v>
      </c>
      <c r="D70" s="307">
        <f>E70/C70</f>
        <v>7111.9387444847325</v>
      </c>
      <c r="E70" s="377">
        <v>8139969.4900000002</v>
      </c>
      <c r="G70" s="106">
        <v>0</v>
      </c>
      <c r="H70" s="106">
        <v>0</v>
      </c>
      <c r="I70" s="106">
        <f>SUM(G70:H70)</f>
        <v>0</v>
      </c>
      <c r="J70" s="106">
        <v>4889250.03</v>
      </c>
      <c r="K70" s="106">
        <v>0</v>
      </c>
      <c r="L70" s="106">
        <f>SUM(J70:K70)</f>
        <v>4889250.03</v>
      </c>
      <c r="M70" s="106">
        <f t="shared" ref="M70:O71" si="94">G70+J70</f>
        <v>4889250.03</v>
      </c>
      <c r="N70" s="106">
        <f t="shared" si="94"/>
        <v>0</v>
      </c>
      <c r="O70" s="106">
        <f t="shared" si="94"/>
        <v>4889250.03</v>
      </c>
      <c r="P70" s="3737"/>
      <c r="Q70" s="251">
        <v>0</v>
      </c>
      <c r="R70" s="252">
        <f>IF(B70&gt;Q70,B70-Q70,0)</f>
        <v>18</v>
      </c>
      <c r="S70" s="253">
        <v>0</v>
      </c>
      <c r="T70" s="309">
        <v>0</v>
      </c>
      <c r="U70" s="309">
        <v>0</v>
      </c>
      <c r="V70" s="253">
        <f>SUM(T70:U70)</f>
        <v>0</v>
      </c>
      <c r="W70" s="255">
        <f>SUM(S70:V70)</f>
        <v>0</v>
      </c>
      <c r="X70" s="3737"/>
      <c r="Y70" s="251">
        <v>0</v>
      </c>
      <c r="Z70" s="378">
        <f>IF(R70&gt;Y70,R70-Y70,0)</f>
        <v>18</v>
      </c>
      <c r="AA70" s="253">
        <v>0</v>
      </c>
      <c r="AB70" s="309">
        <v>0</v>
      </c>
      <c r="AC70" s="309">
        <v>0</v>
      </c>
      <c r="AD70" s="253">
        <f>SUM(AB70:AC70)</f>
        <v>0</v>
      </c>
      <c r="AE70" s="255">
        <f>SUM(AA70:AD70)</f>
        <v>0</v>
      </c>
      <c r="AF70" s="3737"/>
      <c r="AG70" s="251">
        <v>0</v>
      </c>
      <c r="AH70" s="266">
        <f>IF(Z70&gt;AG70,Z70-AG70,0)</f>
        <v>18</v>
      </c>
      <c r="AI70" s="253">
        <v>0</v>
      </c>
      <c r="AJ70" s="309">
        <v>0</v>
      </c>
      <c r="AK70" s="309">
        <v>0</v>
      </c>
      <c r="AL70" s="253">
        <f>SUM(AJ70:AK70)</f>
        <v>0</v>
      </c>
      <c r="AM70" s="255">
        <f>SUM(AI70:AL70)</f>
        <v>0</v>
      </c>
      <c r="AN70" s="3737"/>
      <c r="AO70" s="251">
        <v>0</v>
      </c>
      <c r="AP70" s="266">
        <f>IF(AH70&gt;AO70,AH70-AO70,0)</f>
        <v>18</v>
      </c>
      <c r="AQ70" s="253">
        <v>0</v>
      </c>
      <c r="AR70" s="309">
        <v>0</v>
      </c>
      <c r="AS70" s="309">
        <v>0</v>
      </c>
      <c r="AT70" s="253">
        <f>SUM(AR70:AS70)</f>
        <v>0</v>
      </c>
      <c r="AU70" s="255">
        <f>SUM(AQ70:AT70)</f>
        <v>0</v>
      </c>
      <c r="AV70" s="3737"/>
      <c r="AW70" s="379">
        <v>18</v>
      </c>
      <c r="AX70" s="266">
        <f>IF(B70&gt;AW70,B70-AW70,0)</f>
        <v>0</v>
      </c>
      <c r="AY70" s="267">
        <v>0</v>
      </c>
      <c r="AZ70" s="267">
        <v>1908852.13</v>
      </c>
      <c r="BA70" s="267">
        <v>1347813.79</v>
      </c>
      <c r="BB70" s="267">
        <f>SUM(AZ70:BA70)</f>
        <v>3256665.92</v>
      </c>
      <c r="BC70" s="380">
        <f>AY70+BB70</f>
        <v>3256665.92</v>
      </c>
      <c r="BD70" s="3737"/>
      <c r="BE70" s="379">
        <v>0</v>
      </c>
      <c r="BF70" s="266">
        <f>IF(AX70&gt;BE70,AX70-BE70,0)</f>
        <v>0</v>
      </c>
      <c r="BG70" s="267">
        <v>0</v>
      </c>
      <c r="BH70" s="267">
        <v>0</v>
      </c>
      <c r="BI70" s="267">
        <v>0</v>
      </c>
      <c r="BJ70" s="267">
        <f>SUM(BH70:BI70)</f>
        <v>0</v>
      </c>
      <c r="BK70" s="380">
        <f>BJ70+BG70</f>
        <v>0</v>
      </c>
      <c r="BL70" s="3737"/>
      <c r="BM70" s="379">
        <v>0</v>
      </c>
      <c r="BN70" s="266">
        <f>IF(BF70&gt;BM70,BF70-BM70,0)</f>
        <v>0</v>
      </c>
      <c r="BO70" s="267">
        <v>0</v>
      </c>
      <c r="BP70" s="267">
        <v>0</v>
      </c>
      <c r="BQ70" s="267">
        <v>0</v>
      </c>
      <c r="BR70" s="267">
        <f>SUM(BP70:BQ70)</f>
        <v>0</v>
      </c>
      <c r="BS70" s="380">
        <f>BO70+BR70</f>
        <v>0</v>
      </c>
      <c r="BT70" s="3737"/>
      <c r="BU70" s="379">
        <v>0</v>
      </c>
      <c r="BV70" s="266">
        <f>IF(BN70&gt;BU70,BN70-BU70,0)</f>
        <v>0</v>
      </c>
      <c r="BW70" s="267"/>
      <c r="BX70" s="267">
        <v>0</v>
      </c>
      <c r="BY70" s="267">
        <v>0</v>
      </c>
      <c r="BZ70" s="267">
        <f>SUM(BX70:BY70)</f>
        <v>0</v>
      </c>
      <c r="CA70" s="380">
        <f>BW70+BZ70</f>
        <v>0</v>
      </c>
      <c r="CB70" s="3737"/>
      <c r="CC70" s="379"/>
      <c r="CD70" s="266">
        <f>IF(BV70&gt;CC70,BV70-CC70,0)</f>
        <v>0</v>
      </c>
      <c r="CE70" s="267"/>
      <c r="CF70" s="267"/>
      <c r="CG70" s="267"/>
      <c r="CH70" s="267">
        <f>SUM(CF70:CG70)</f>
        <v>0</v>
      </c>
      <c r="CI70" s="380">
        <f>CE70+CH70</f>
        <v>0</v>
      </c>
      <c r="CJ70" s="3737"/>
      <c r="CK70" s="379">
        <v>0</v>
      </c>
      <c r="CL70" s="266">
        <f>IF(CD70&gt;CK70,CD70-CK70,0)</f>
        <v>0</v>
      </c>
      <c r="CM70" s="267"/>
      <c r="CN70" s="267">
        <v>0</v>
      </c>
      <c r="CO70" s="267">
        <v>0</v>
      </c>
      <c r="CP70" s="267">
        <f>SUM(CN70:CO70)</f>
        <v>0</v>
      </c>
      <c r="CQ70" s="380">
        <f>CM70+CP70</f>
        <v>0</v>
      </c>
      <c r="CR70" s="3737"/>
      <c r="CS70" s="379">
        <v>0</v>
      </c>
      <c r="CT70" s="266">
        <f>IF(CL70&gt;CS70,CL70-CS70,0)</f>
        <v>0</v>
      </c>
      <c r="CU70" s="267">
        <v>0</v>
      </c>
      <c r="CV70" s="267">
        <v>0</v>
      </c>
      <c r="CW70" s="267">
        <v>0</v>
      </c>
      <c r="CX70" s="267">
        <f>SUM(CV70:CW70)</f>
        <v>0</v>
      </c>
      <c r="CY70" s="380">
        <f>CU70+CX70</f>
        <v>0</v>
      </c>
      <c r="CZ70" s="3737"/>
      <c r="DA70" s="379">
        <v>0</v>
      </c>
      <c r="DB70" s="266">
        <f>IF(CT70&gt;DA70,CT70-DA70,0)</f>
        <v>0</v>
      </c>
      <c r="DC70" s="267">
        <v>0</v>
      </c>
      <c r="DD70" s="267">
        <v>0</v>
      </c>
      <c r="DE70" s="267">
        <v>0</v>
      </c>
      <c r="DF70" s="267">
        <f>SUM(DD70:DE70)</f>
        <v>0</v>
      </c>
      <c r="DG70" s="380">
        <f>DC70+DF70</f>
        <v>0</v>
      </c>
      <c r="DH70" s="3737"/>
      <c r="DI70" s="1761">
        <f t="shared" ref="DI70:DK71" si="95">Q70+Y70+AG70+AO70+AW70+BE70+BM70+BU70+CC70+CK70+CS70+DA70</f>
        <v>18</v>
      </c>
      <c r="DJ70" s="1767">
        <f>IF(DB70&gt;DI70,DB70-DI70,0)</f>
        <v>0</v>
      </c>
      <c r="DK70" s="267">
        <f t="shared" si="95"/>
        <v>0</v>
      </c>
      <c r="DL70" s="267">
        <f>T70+AB70+AJ70+AR70+AZ70+BH70+BP70+BX70+CF70+CN70+CV70+DD70</f>
        <v>1908852.13</v>
      </c>
      <c r="DM70" s="267">
        <f>U70+AC70+AK70+AS70+BA70+BI70+BQ70+BY70+CG70+CO70+CW70+DE70</f>
        <v>1347813.79</v>
      </c>
      <c r="DN70" s="267">
        <f>SUM(DL70:DM70)</f>
        <v>3256665.92</v>
      </c>
      <c r="DO70" s="380">
        <f>DK70+DN70</f>
        <v>3256665.92</v>
      </c>
      <c r="DP70" s="3737"/>
    </row>
    <row r="71" spans="1:156" ht="13.5" thickBot="1" x14ac:dyDescent="0.25">
      <c r="A71" s="270" t="s">
        <v>276</v>
      </c>
      <c r="B71" s="381">
        <v>3</v>
      </c>
      <c r="C71" s="272">
        <v>616.66999999999996</v>
      </c>
      <c r="D71" s="273">
        <f>E71/C71</f>
        <v>4907.4171923395015</v>
      </c>
      <c r="E71" s="274">
        <v>3026256.96</v>
      </c>
      <c r="G71" s="106">
        <v>0</v>
      </c>
      <c r="H71" s="106">
        <v>0</v>
      </c>
      <c r="I71" s="106">
        <f>SUM(G71:H71)</f>
        <v>0</v>
      </c>
      <c r="J71" s="106">
        <v>0</v>
      </c>
      <c r="K71" s="106">
        <v>0</v>
      </c>
      <c r="L71" s="106">
        <f>SUM(J71:K71)</f>
        <v>0</v>
      </c>
      <c r="M71" s="106">
        <f t="shared" si="94"/>
        <v>0</v>
      </c>
      <c r="N71" s="106">
        <f t="shared" si="94"/>
        <v>0</v>
      </c>
      <c r="O71" s="106">
        <f t="shared" si="94"/>
        <v>0</v>
      </c>
      <c r="P71" s="3737"/>
      <c r="Q71" s="265">
        <v>0</v>
      </c>
      <c r="R71" s="266">
        <f>IF(B71&gt;Q71,B71-Q71,0)</f>
        <v>3</v>
      </c>
      <c r="S71" s="267">
        <v>0</v>
      </c>
      <c r="T71" s="245">
        <v>0</v>
      </c>
      <c r="U71" s="245">
        <v>0</v>
      </c>
      <c r="V71" s="267">
        <v>0</v>
      </c>
      <c r="W71" s="268">
        <f>SUM(S71:V71)</f>
        <v>0</v>
      </c>
      <c r="X71" s="3737"/>
      <c r="Y71" s="265">
        <v>0</v>
      </c>
      <c r="Z71" s="266">
        <f>IF(R71&gt;Y71,R71-Y71,0)</f>
        <v>3</v>
      </c>
      <c r="AA71" s="267">
        <v>0</v>
      </c>
      <c r="AB71" s="245">
        <v>0</v>
      </c>
      <c r="AC71" s="245">
        <v>0</v>
      </c>
      <c r="AD71" s="267">
        <v>0</v>
      </c>
      <c r="AE71" s="268">
        <f>SUM(AA71:AD71)</f>
        <v>0</v>
      </c>
      <c r="AF71" s="3737"/>
      <c r="AG71" s="265">
        <v>0</v>
      </c>
      <c r="AH71" s="266">
        <f>IF(Z71&gt;AG71,Z71-AG71,0)</f>
        <v>3</v>
      </c>
      <c r="AI71" s="267">
        <v>0</v>
      </c>
      <c r="AJ71" s="245">
        <v>0</v>
      </c>
      <c r="AK71" s="245">
        <v>0</v>
      </c>
      <c r="AL71" s="267">
        <v>0</v>
      </c>
      <c r="AM71" s="268">
        <f>SUM(AI71:AL71)</f>
        <v>0</v>
      </c>
      <c r="AN71" s="3737"/>
      <c r="AO71" s="265">
        <v>0</v>
      </c>
      <c r="AP71" s="266">
        <f>IF(AH71&gt;AO71,AH71-AO71,0)</f>
        <v>3</v>
      </c>
      <c r="AQ71" s="267">
        <v>0</v>
      </c>
      <c r="AR71" s="245">
        <v>0</v>
      </c>
      <c r="AS71" s="245">
        <v>0</v>
      </c>
      <c r="AT71" s="267">
        <v>0</v>
      </c>
      <c r="AU71" s="268">
        <f>SUM(AQ71:AT71)</f>
        <v>0</v>
      </c>
      <c r="AV71" s="3737"/>
      <c r="AW71" s="382">
        <v>0</v>
      </c>
      <c r="AX71" s="266">
        <f>IF(B71&gt;AW71,B71-AW71,0)</f>
        <v>3</v>
      </c>
      <c r="AY71" s="276">
        <v>0</v>
      </c>
      <c r="AZ71" s="276">
        <v>0</v>
      </c>
      <c r="BA71" s="276">
        <v>0</v>
      </c>
      <c r="BB71" s="276">
        <v>0</v>
      </c>
      <c r="BC71" s="383">
        <f>AY71+BB71</f>
        <v>0</v>
      </c>
      <c r="BD71" s="3737"/>
      <c r="BE71" s="382">
        <v>0</v>
      </c>
      <c r="BF71" s="266">
        <f>IF(AX71&gt;BE71,AX71-BE71,0)</f>
        <v>3</v>
      </c>
      <c r="BG71" s="276">
        <v>0</v>
      </c>
      <c r="BH71" s="276">
        <v>0</v>
      </c>
      <c r="BI71" s="276">
        <v>0</v>
      </c>
      <c r="BJ71" s="276">
        <f>SUM(BH71:BI71)</f>
        <v>0</v>
      </c>
      <c r="BK71" s="383">
        <f>BJ71+BG71</f>
        <v>0</v>
      </c>
      <c r="BL71" s="3737"/>
      <c r="BM71" s="382">
        <v>0</v>
      </c>
      <c r="BN71" s="266">
        <f>IF(BF71&gt;BM71,BF71-BM71,0)</f>
        <v>3</v>
      </c>
      <c r="BO71" s="276">
        <v>0</v>
      </c>
      <c r="BP71" s="276">
        <v>0</v>
      </c>
      <c r="BQ71" s="276">
        <v>0</v>
      </c>
      <c r="BR71" s="276">
        <f>SUM(BP71:BQ71)</f>
        <v>0</v>
      </c>
      <c r="BS71" s="383">
        <f>BO71+BR71</f>
        <v>0</v>
      </c>
      <c r="BT71" s="3737"/>
      <c r="BU71" s="382">
        <v>0</v>
      </c>
      <c r="BV71" s="266">
        <f>IF(BN71&gt;BU71,BN71-BU71,0)</f>
        <v>3</v>
      </c>
      <c r="BW71" s="276"/>
      <c r="BX71" s="276">
        <v>0</v>
      </c>
      <c r="BY71" s="276">
        <v>0</v>
      </c>
      <c r="BZ71" s="276">
        <f>SUM(BX71:BY71)</f>
        <v>0</v>
      </c>
      <c r="CA71" s="383">
        <f>BW71+BZ71</f>
        <v>0</v>
      </c>
      <c r="CB71" s="3737"/>
      <c r="CC71" s="382"/>
      <c r="CD71" s="266">
        <f>IF(BV71&gt;CC71,BV71-CC71,0)</f>
        <v>3</v>
      </c>
      <c r="CE71" s="276"/>
      <c r="CF71" s="276"/>
      <c r="CG71" s="276"/>
      <c r="CH71" s="276">
        <f>SUM(CF71:CG71)</f>
        <v>0</v>
      </c>
      <c r="CI71" s="383">
        <f>CE71+CH71</f>
        <v>0</v>
      </c>
      <c r="CJ71" s="3737"/>
      <c r="CK71" s="382">
        <v>0</v>
      </c>
      <c r="CL71" s="266">
        <f>IF(CD71&gt;CK71,CD71-CK71,0)</f>
        <v>3</v>
      </c>
      <c r="CM71" s="276"/>
      <c r="CN71" s="276">
        <v>0</v>
      </c>
      <c r="CO71" s="276">
        <v>0</v>
      </c>
      <c r="CP71" s="276">
        <f>SUM(CN71:CO71)</f>
        <v>0</v>
      </c>
      <c r="CQ71" s="383">
        <f>CM71+CP71</f>
        <v>0</v>
      </c>
      <c r="CR71" s="3737"/>
      <c r="CS71" s="382">
        <v>0</v>
      </c>
      <c r="CT71" s="266">
        <f>IF(CL71&gt;CS71,CL71-CS71,0)</f>
        <v>3</v>
      </c>
      <c r="CU71" s="276">
        <v>0</v>
      </c>
      <c r="CV71" s="276">
        <v>0</v>
      </c>
      <c r="CW71" s="276">
        <v>0</v>
      </c>
      <c r="CX71" s="276">
        <f>SUM(CV71:CW71)</f>
        <v>0</v>
      </c>
      <c r="CY71" s="383">
        <f>CU71+CX71</f>
        <v>0</v>
      </c>
      <c r="CZ71" s="3737"/>
      <c r="DA71" s="382">
        <v>0</v>
      </c>
      <c r="DB71" s="266">
        <f>IF(CT71&gt;DA71,CT71-DA71,0)</f>
        <v>3</v>
      </c>
      <c r="DC71" s="276">
        <v>0</v>
      </c>
      <c r="DD71" s="276">
        <v>0</v>
      </c>
      <c r="DE71" s="276">
        <v>0</v>
      </c>
      <c r="DF71" s="276">
        <f>SUM(DD71:DE71)</f>
        <v>0</v>
      </c>
      <c r="DG71" s="383">
        <f>DC71+DF71</f>
        <v>0</v>
      </c>
      <c r="DH71" s="3737"/>
      <c r="DI71" s="1761">
        <f t="shared" si="95"/>
        <v>0</v>
      </c>
      <c r="DJ71" s="1767">
        <f>IF(DB71&gt;DI71,DB71-DI71,0)</f>
        <v>3</v>
      </c>
      <c r="DK71" s="1775">
        <f t="shared" si="95"/>
        <v>0</v>
      </c>
      <c r="DL71" s="1775">
        <f>T71+AB71+AJ71+AR71+AZ71+BH71+BP71+BX71+CF71+CN71+CV71+DD71</f>
        <v>0</v>
      </c>
      <c r="DM71" s="1775">
        <f>U71+AC71+AK71+AS71+BA71+BI71+BQ71+BY71+CG71+CO71+CW71+DE71</f>
        <v>0</v>
      </c>
      <c r="DN71" s="276">
        <f>SUM(DL71:DM71)</f>
        <v>0</v>
      </c>
      <c r="DO71" s="383">
        <f>DK71+DN71</f>
        <v>0</v>
      </c>
      <c r="DP71" s="3737"/>
    </row>
    <row r="72" spans="1:156" s="100" customFormat="1" ht="13.5" thickBot="1" x14ac:dyDescent="0.25">
      <c r="A72" s="320" t="s">
        <v>296</v>
      </c>
      <c r="B72" s="384">
        <f>SUM(B70:B71)</f>
        <v>21</v>
      </c>
      <c r="C72" s="322">
        <f>SUM(C70:C71)</f>
        <v>1761.2199999999998</v>
      </c>
      <c r="D72" s="385">
        <f>E72/C72</f>
        <v>6340.0520377919856</v>
      </c>
      <c r="E72" s="324">
        <f>SUM(E70:E71)</f>
        <v>11166226.449999999</v>
      </c>
      <c r="F72" s="285"/>
      <c r="G72" s="285">
        <f t="shared" ref="G72:O72" si="96">SUM(G70:G71)</f>
        <v>0</v>
      </c>
      <c r="H72" s="285">
        <f t="shared" si="96"/>
        <v>0</v>
      </c>
      <c r="I72" s="285">
        <f t="shared" si="96"/>
        <v>0</v>
      </c>
      <c r="J72" s="285">
        <f t="shared" si="96"/>
        <v>4889250.03</v>
      </c>
      <c r="K72" s="285">
        <f t="shared" si="96"/>
        <v>0</v>
      </c>
      <c r="L72" s="285">
        <f t="shared" si="96"/>
        <v>4889250.03</v>
      </c>
      <c r="M72" s="285">
        <f t="shared" si="96"/>
        <v>4889250.03</v>
      </c>
      <c r="N72" s="285">
        <f t="shared" si="96"/>
        <v>0</v>
      </c>
      <c r="O72" s="285">
        <f t="shared" si="96"/>
        <v>4889250.03</v>
      </c>
      <c r="P72" s="3737"/>
      <c r="Q72" s="318">
        <f t="shared" ref="Q72:W72" si="97">SUM(Q70:Q71)</f>
        <v>0</v>
      </c>
      <c r="R72" s="287">
        <f t="shared" si="97"/>
        <v>21</v>
      </c>
      <c r="S72" s="290">
        <f t="shared" si="97"/>
        <v>0</v>
      </c>
      <c r="T72" s="290">
        <f t="shared" si="97"/>
        <v>0</v>
      </c>
      <c r="U72" s="290">
        <f t="shared" si="97"/>
        <v>0</v>
      </c>
      <c r="V72" s="290">
        <f t="shared" si="97"/>
        <v>0</v>
      </c>
      <c r="W72" s="291">
        <f t="shared" si="97"/>
        <v>0</v>
      </c>
      <c r="X72" s="3737"/>
      <c r="Y72" s="318">
        <f t="shared" ref="Y72:AE72" si="98">SUM(Y70:Y71)</f>
        <v>0</v>
      </c>
      <c r="Z72" s="287">
        <f t="shared" si="98"/>
        <v>21</v>
      </c>
      <c r="AA72" s="290">
        <f t="shared" si="98"/>
        <v>0</v>
      </c>
      <c r="AB72" s="290">
        <f t="shared" si="98"/>
        <v>0</v>
      </c>
      <c r="AC72" s="290">
        <f t="shared" si="98"/>
        <v>0</v>
      </c>
      <c r="AD72" s="290">
        <f t="shared" si="98"/>
        <v>0</v>
      </c>
      <c r="AE72" s="291">
        <f t="shared" si="98"/>
        <v>0</v>
      </c>
      <c r="AF72" s="3737"/>
      <c r="AG72" s="318">
        <f t="shared" ref="AG72:AM72" si="99">SUM(AG70:AG71)</f>
        <v>0</v>
      </c>
      <c r="AH72" s="287">
        <f t="shared" si="99"/>
        <v>21</v>
      </c>
      <c r="AI72" s="290">
        <f t="shared" si="99"/>
        <v>0</v>
      </c>
      <c r="AJ72" s="290">
        <f t="shared" si="99"/>
        <v>0</v>
      </c>
      <c r="AK72" s="290">
        <f t="shared" si="99"/>
        <v>0</v>
      </c>
      <c r="AL72" s="290">
        <f t="shared" si="99"/>
        <v>0</v>
      </c>
      <c r="AM72" s="291">
        <f t="shared" si="99"/>
        <v>0</v>
      </c>
      <c r="AN72" s="3737"/>
      <c r="AO72" s="318">
        <f t="shared" ref="AO72:AU72" si="100">SUM(AO70:AO71)</f>
        <v>0</v>
      </c>
      <c r="AP72" s="287">
        <f t="shared" si="100"/>
        <v>21</v>
      </c>
      <c r="AQ72" s="290">
        <f t="shared" si="100"/>
        <v>0</v>
      </c>
      <c r="AR72" s="290">
        <f t="shared" si="100"/>
        <v>0</v>
      </c>
      <c r="AS72" s="290">
        <f t="shared" si="100"/>
        <v>0</v>
      </c>
      <c r="AT72" s="290">
        <f t="shared" si="100"/>
        <v>0</v>
      </c>
      <c r="AU72" s="291">
        <f t="shared" si="100"/>
        <v>0</v>
      </c>
      <c r="AV72" s="3737"/>
      <c r="AW72" s="287">
        <f t="shared" ref="AW72:BC72" si="101">SUM(AW70:AW71)</f>
        <v>18</v>
      </c>
      <c r="AX72" s="287">
        <f t="shared" si="101"/>
        <v>3</v>
      </c>
      <c r="AY72" s="290">
        <f t="shared" si="101"/>
        <v>0</v>
      </c>
      <c r="AZ72" s="290">
        <f t="shared" si="101"/>
        <v>1908852.13</v>
      </c>
      <c r="BA72" s="290">
        <f t="shared" si="101"/>
        <v>1347813.79</v>
      </c>
      <c r="BB72" s="290">
        <f t="shared" si="101"/>
        <v>3256665.92</v>
      </c>
      <c r="BC72" s="290">
        <f t="shared" si="101"/>
        <v>3256665.92</v>
      </c>
      <c r="BD72" s="3737"/>
      <c r="BE72" s="287">
        <f t="shared" ref="BE72:BK72" si="102">SUM(BE70:BE71)</f>
        <v>0</v>
      </c>
      <c r="BF72" s="287">
        <f t="shared" si="102"/>
        <v>3</v>
      </c>
      <c r="BG72" s="290">
        <f t="shared" si="102"/>
        <v>0</v>
      </c>
      <c r="BH72" s="290">
        <f t="shared" si="102"/>
        <v>0</v>
      </c>
      <c r="BI72" s="290">
        <f t="shared" si="102"/>
        <v>0</v>
      </c>
      <c r="BJ72" s="290">
        <f t="shared" si="102"/>
        <v>0</v>
      </c>
      <c r="BK72" s="290">
        <f t="shared" si="102"/>
        <v>0</v>
      </c>
      <c r="BL72" s="3737"/>
      <c r="BM72" s="287">
        <f t="shared" ref="BM72:BS72" si="103">SUM(BM70:BM71)</f>
        <v>0</v>
      </c>
      <c r="BN72" s="287">
        <f t="shared" si="103"/>
        <v>3</v>
      </c>
      <c r="BO72" s="290">
        <f t="shared" si="103"/>
        <v>0</v>
      </c>
      <c r="BP72" s="290">
        <f t="shared" si="103"/>
        <v>0</v>
      </c>
      <c r="BQ72" s="290">
        <f t="shared" si="103"/>
        <v>0</v>
      </c>
      <c r="BR72" s="290">
        <f t="shared" si="103"/>
        <v>0</v>
      </c>
      <c r="BS72" s="290">
        <f t="shared" si="103"/>
        <v>0</v>
      </c>
      <c r="BT72" s="3737"/>
      <c r="BU72" s="287">
        <f t="shared" ref="BU72:CA72" si="104">SUM(BU70:BU71)</f>
        <v>0</v>
      </c>
      <c r="BV72" s="287">
        <f t="shared" si="104"/>
        <v>3</v>
      </c>
      <c r="BW72" s="290">
        <f t="shared" si="104"/>
        <v>0</v>
      </c>
      <c r="BX72" s="290">
        <f t="shared" si="104"/>
        <v>0</v>
      </c>
      <c r="BY72" s="290">
        <f t="shared" si="104"/>
        <v>0</v>
      </c>
      <c r="BZ72" s="290">
        <f t="shared" si="104"/>
        <v>0</v>
      </c>
      <c r="CA72" s="290">
        <f t="shared" si="104"/>
        <v>0</v>
      </c>
      <c r="CB72" s="3737"/>
      <c r="CC72" s="287">
        <f t="shared" ref="CC72:CI72" si="105">SUM(CC70:CC71)</f>
        <v>0</v>
      </c>
      <c r="CD72" s="287">
        <f t="shared" si="105"/>
        <v>3</v>
      </c>
      <c r="CE72" s="290">
        <f t="shared" si="105"/>
        <v>0</v>
      </c>
      <c r="CF72" s="290">
        <f t="shared" si="105"/>
        <v>0</v>
      </c>
      <c r="CG72" s="290">
        <f t="shared" si="105"/>
        <v>0</v>
      </c>
      <c r="CH72" s="290">
        <f t="shared" si="105"/>
        <v>0</v>
      </c>
      <c r="CI72" s="290">
        <f t="shared" si="105"/>
        <v>0</v>
      </c>
      <c r="CJ72" s="3737"/>
      <c r="CK72" s="287">
        <f t="shared" ref="CK72:CQ72" si="106">SUM(CK70:CK71)</f>
        <v>0</v>
      </c>
      <c r="CL72" s="287">
        <f t="shared" si="106"/>
        <v>3</v>
      </c>
      <c r="CM72" s="290">
        <f t="shared" si="106"/>
        <v>0</v>
      </c>
      <c r="CN72" s="290">
        <f t="shared" si="106"/>
        <v>0</v>
      </c>
      <c r="CO72" s="290">
        <f t="shared" si="106"/>
        <v>0</v>
      </c>
      <c r="CP72" s="290">
        <f t="shared" si="106"/>
        <v>0</v>
      </c>
      <c r="CQ72" s="290">
        <f t="shared" si="106"/>
        <v>0</v>
      </c>
      <c r="CR72" s="3737"/>
      <c r="CS72" s="287">
        <f t="shared" ref="CS72:CY72" si="107">SUM(CS70:CS71)</f>
        <v>0</v>
      </c>
      <c r="CT72" s="287">
        <f t="shared" si="107"/>
        <v>3</v>
      </c>
      <c r="CU72" s="290">
        <f t="shared" si="107"/>
        <v>0</v>
      </c>
      <c r="CV72" s="290">
        <f t="shared" si="107"/>
        <v>0</v>
      </c>
      <c r="CW72" s="290">
        <f t="shared" si="107"/>
        <v>0</v>
      </c>
      <c r="CX72" s="290">
        <f t="shared" si="107"/>
        <v>0</v>
      </c>
      <c r="CY72" s="290">
        <f t="shared" si="107"/>
        <v>0</v>
      </c>
      <c r="CZ72" s="3737"/>
      <c r="DA72" s="287">
        <f t="shared" ref="DA72:DG72" si="108">SUM(DA70:DA71)</f>
        <v>0</v>
      </c>
      <c r="DB72" s="287">
        <f t="shared" si="108"/>
        <v>3</v>
      </c>
      <c r="DC72" s="290">
        <f t="shared" si="108"/>
        <v>0</v>
      </c>
      <c r="DD72" s="290">
        <f t="shared" si="108"/>
        <v>0</v>
      </c>
      <c r="DE72" s="290">
        <f t="shared" si="108"/>
        <v>0</v>
      </c>
      <c r="DF72" s="290">
        <f t="shared" si="108"/>
        <v>0</v>
      </c>
      <c r="DG72" s="290">
        <f t="shared" si="108"/>
        <v>0</v>
      </c>
      <c r="DH72" s="3737"/>
      <c r="DI72" s="287">
        <f t="shared" ref="DI72:DO72" si="109">SUM(DI70:DI71)</f>
        <v>18</v>
      </c>
      <c r="DJ72" s="287">
        <f t="shared" si="109"/>
        <v>3</v>
      </c>
      <c r="DK72" s="290">
        <f t="shared" si="109"/>
        <v>0</v>
      </c>
      <c r="DL72" s="290">
        <f t="shared" si="109"/>
        <v>1908852.13</v>
      </c>
      <c r="DM72" s="290">
        <f t="shared" si="109"/>
        <v>1347813.79</v>
      </c>
      <c r="DN72" s="290">
        <f t="shared" si="109"/>
        <v>3256665.92</v>
      </c>
      <c r="DO72" s="290">
        <f t="shared" si="109"/>
        <v>3256665.92</v>
      </c>
      <c r="DP72" s="3737"/>
      <c r="DQ72" s="104"/>
      <c r="DR72" s="104"/>
      <c r="DS72" s="104"/>
      <c r="DT72" s="104"/>
      <c r="DU72" s="293"/>
      <c r="DV72" s="293"/>
      <c r="DW72" s="293"/>
      <c r="DX72" s="294"/>
      <c r="DY72" s="294"/>
      <c r="DZ72" s="294"/>
      <c r="EA72" s="295"/>
      <c r="EB72" s="295"/>
      <c r="EC72" s="294"/>
      <c r="ED72" s="294"/>
      <c r="EE72" s="294"/>
      <c r="EF72" s="104"/>
      <c r="EG72" s="104"/>
      <c r="EH72" s="104"/>
      <c r="EI72" s="104"/>
      <c r="EJ72" s="104"/>
      <c r="EK72" s="104"/>
      <c r="EL72" s="104"/>
      <c r="EM72" s="104"/>
      <c r="EN72" s="104"/>
      <c r="EO72" s="104"/>
      <c r="EP72" s="104"/>
      <c r="EQ72" s="104"/>
      <c r="ER72" s="104"/>
      <c r="ES72" s="104"/>
      <c r="ET72" s="104"/>
      <c r="EU72" s="104"/>
      <c r="EV72" s="104"/>
      <c r="EW72" s="104"/>
      <c r="EX72" s="104"/>
      <c r="EY72" s="104"/>
      <c r="EZ72" s="104"/>
    </row>
    <row r="73" spans="1:156" x14ac:dyDescent="0.2">
      <c r="P73" s="3737"/>
      <c r="X73" s="3737"/>
      <c r="AF73" s="3737"/>
      <c r="AN73" s="3737"/>
      <c r="AO73" s="112"/>
      <c r="AP73" s="112"/>
      <c r="AV73" s="3737"/>
      <c r="AW73" s="236"/>
      <c r="AX73" s="236"/>
      <c r="AY73" s="242"/>
      <c r="AZ73" s="242"/>
      <c r="BA73" s="242"/>
      <c r="BB73" s="242"/>
      <c r="BC73" s="242"/>
      <c r="BD73" s="3737"/>
      <c r="BL73" s="3737"/>
      <c r="BT73" s="3737"/>
      <c r="CB73" s="3737"/>
      <c r="CJ73" s="3737"/>
      <c r="CR73" s="3737"/>
      <c r="CZ73" s="3737"/>
      <c r="DH73" s="3737"/>
      <c r="DP73" s="3737"/>
    </row>
    <row r="74" spans="1:156" x14ac:dyDescent="0.2">
      <c r="P74" s="3737"/>
      <c r="X74" s="3737"/>
      <c r="AF74" s="3737"/>
      <c r="AN74" s="3737"/>
      <c r="AO74" s="112"/>
      <c r="AP74" s="112"/>
      <c r="AV74" s="3737"/>
      <c r="AW74" s="236"/>
      <c r="AX74" s="236"/>
      <c r="AY74" s="242"/>
      <c r="AZ74" s="242"/>
      <c r="BA74" s="242"/>
      <c r="BB74" s="242"/>
      <c r="BC74" s="242"/>
      <c r="BD74" s="3737"/>
      <c r="BL74" s="3737"/>
      <c r="BT74" s="3737"/>
      <c r="CB74" s="3737"/>
      <c r="CJ74" s="3737"/>
      <c r="CR74" s="3737"/>
      <c r="CZ74" s="3737"/>
      <c r="DH74" s="3737"/>
      <c r="DP74" s="3737"/>
    </row>
    <row r="75" spans="1:156" ht="21.75" thickBot="1" x14ac:dyDescent="0.25">
      <c r="A75" s="371" t="s">
        <v>297</v>
      </c>
      <c r="B75" s="372" t="s">
        <v>302</v>
      </c>
      <c r="C75" s="226" t="s">
        <v>303</v>
      </c>
      <c r="D75" s="227" t="s">
        <v>304</v>
      </c>
      <c r="E75" s="228" t="s">
        <v>241</v>
      </c>
      <c r="P75" s="3737"/>
      <c r="Q75" s="230"/>
      <c r="R75" s="230"/>
      <c r="S75" s="235" t="s">
        <v>242</v>
      </c>
      <c r="T75" s="232"/>
      <c r="U75" s="233"/>
      <c r="V75" s="234" t="s">
        <v>243</v>
      </c>
      <c r="W75" s="235" t="s">
        <v>244</v>
      </c>
      <c r="X75" s="3737"/>
      <c r="Y75" s="230"/>
      <c r="Z75" s="373"/>
      <c r="AA75" s="235" t="s">
        <v>242</v>
      </c>
      <c r="AB75" s="232"/>
      <c r="AC75" s="233"/>
      <c r="AD75" s="234" t="s">
        <v>243</v>
      </c>
      <c r="AE75" s="235" t="s">
        <v>244</v>
      </c>
      <c r="AF75" s="3737"/>
      <c r="AG75" s="230"/>
      <c r="AH75" s="230"/>
      <c r="AI75" s="235" t="s">
        <v>242</v>
      </c>
      <c r="AJ75" s="232"/>
      <c r="AK75" s="233"/>
      <c r="AL75" s="234" t="s">
        <v>243</v>
      </c>
      <c r="AM75" s="235" t="s">
        <v>244</v>
      </c>
      <c r="AN75" s="3737"/>
      <c r="AO75" s="230"/>
      <c r="AP75" s="230"/>
      <c r="AQ75" s="235" t="s">
        <v>242</v>
      </c>
      <c r="AR75" s="232"/>
      <c r="AS75" s="233"/>
      <c r="AT75" s="234" t="s">
        <v>243</v>
      </c>
      <c r="AU75" s="235" t="s">
        <v>244</v>
      </c>
      <c r="AV75" s="3737"/>
      <c r="AW75" s="236"/>
      <c r="AX75" s="236"/>
      <c r="AY75" s="242"/>
      <c r="AZ75" s="242"/>
      <c r="BA75" s="242"/>
      <c r="BB75" s="242"/>
      <c r="BC75" s="242"/>
      <c r="BD75" s="3737"/>
      <c r="BL75" s="3737"/>
      <c r="BT75" s="3737"/>
      <c r="CB75" s="3737"/>
      <c r="CJ75" s="3737"/>
      <c r="CR75" s="3737"/>
      <c r="CZ75" s="3737"/>
      <c r="DH75" s="3737"/>
      <c r="DI75" s="1774"/>
      <c r="DP75" s="3737"/>
    </row>
    <row r="76" spans="1:156" x14ac:dyDescent="0.2">
      <c r="A76" s="375" t="s">
        <v>246</v>
      </c>
      <c r="B76" s="376">
        <v>72</v>
      </c>
      <c r="C76" s="306">
        <v>5586</v>
      </c>
      <c r="D76" s="307">
        <f>E76/C76</f>
        <v>6660.2633297529537</v>
      </c>
      <c r="E76" s="377">
        <v>37204230.960000001</v>
      </c>
      <c r="G76" s="106">
        <v>0</v>
      </c>
      <c r="H76" s="106">
        <v>0</v>
      </c>
      <c r="I76" s="106">
        <f>SUM(G76:H76)</f>
        <v>0</v>
      </c>
      <c r="J76" s="106">
        <v>19078980.91</v>
      </c>
      <c r="K76" s="106">
        <v>0</v>
      </c>
      <c r="L76" s="106">
        <f>SUM(J76:K76)</f>
        <v>19078980.91</v>
      </c>
      <c r="M76" s="106">
        <f t="shared" ref="M76:O77" si="110">G76+J76</f>
        <v>19078980.91</v>
      </c>
      <c r="N76" s="106">
        <f t="shared" si="110"/>
        <v>0</v>
      </c>
      <c r="O76" s="106">
        <f t="shared" si="110"/>
        <v>19078980.91</v>
      </c>
      <c r="P76" s="3737"/>
      <c r="Q76" s="251">
        <v>0</v>
      </c>
      <c r="R76" s="252">
        <f>IF(B76&gt;Q76,B76-Q76,0)</f>
        <v>72</v>
      </c>
      <c r="S76" s="253">
        <v>665580.52</v>
      </c>
      <c r="T76" s="309">
        <v>0</v>
      </c>
      <c r="U76" s="309">
        <v>0</v>
      </c>
      <c r="V76" s="253">
        <f>SUM(T76:U76)</f>
        <v>0</v>
      </c>
      <c r="W76" s="255">
        <f>SUM(S76:V76)</f>
        <v>665580.52</v>
      </c>
      <c r="X76" s="3737"/>
      <c r="Y76" s="251">
        <v>0</v>
      </c>
      <c r="Z76" s="378">
        <f>IF(R76&gt;Y76,R76-Y76,0)</f>
        <v>72</v>
      </c>
      <c r="AA76" s="253">
        <v>481863.32</v>
      </c>
      <c r="AB76" s="309">
        <v>0</v>
      </c>
      <c r="AC76" s="309">
        <v>0</v>
      </c>
      <c r="AD76" s="253">
        <f>SUM(AB76:AC76)</f>
        <v>0</v>
      </c>
      <c r="AE76" s="255">
        <f>SUM(AA76:AD76)</f>
        <v>481863.32</v>
      </c>
      <c r="AF76" s="3737"/>
      <c r="AG76" s="251">
        <v>0</v>
      </c>
      <c r="AH76" s="252">
        <f>IF(R76&gt;AG76,R76-AG76,0)</f>
        <v>72</v>
      </c>
      <c r="AI76" s="253">
        <v>210911.21</v>
      </c>
      <c r="AJ76" s="309">
        <v>0</v>
      </c>
      <c r="AK76" s="309">
        <v>0</v>
      </c>
      <c r="AL76" s="253">
        <f>SUM(AJ76:AK76)</f>
        <v>0</v>
      </c>
      <c r="AM76" s="255">
        <f>SUM(AI76:AL76)</f>
        <v>210911.21</v>
      </c>
      <c r="AN76" s="3737"/>
      <c r="AO76" s="251">
        <v>0</v>
      </c>
      <c r="AP76" s="252">
        <f>IF(Z76&gt;AO76,Z76-AO76,0)</f>
        <v>72</v>
      </c>
      <c r="AQ76" s="253">
        <v>0</v>
      </c>
      <c r="AR76" s="309">
        <v>0</v>
      </c>
      <c r="AS76" s="309">
        <v>0</v>
      </c>
      <c r="AT76" s="253">
        <f>SUM(AR76:AS76)</f>
        <v>0</v>
      </c>
      <c r="AU76" s="255">
        <f>SUM(AQ76:AT76)</f>
        <v>0</v>
      </c>
      <c r="AV76" s="3737"/>
      <c r="AW76" s="379">
        <v>0</v>
      </c>
      <c r="AX76" s="266">
        <f>IF(B76&gt;AW76,B76-AW76,0)</f>
        <v>72</v>
      </c>
      <c r="AY76" s="267">
        <v>290689.44</v>
      </c>
      <c r="AZ76" s="267">
        <v>0</v>
      </c>
      <c r="BA76" s="267">
        <v>0</v>
      </c>
      <c r="BB76" s="267">
        <f>SUM(AZ76:BA76)</f>
        <v>0</v>
      </c>
      <c r="BC76" s="380">
        <f>AY76+BB76</f>
        <v>290689.44</v>
      </c>
      <c r="BD76" s="3737"/>
      <c r="BE76" s="379">
        <v>0</v>
      </c>
      <c r="BF76" s="266">
        <f>IF(AX76&gt;BE76,AX76-BE76,0)</f>
        <v>72</v>
      </c>
      <c r="BG76" s="267">
        <v>0</v>
      </c>
      <c r="BH76" s="267">
        <v>0</v>
      </c>
      <c r="BI76" s="267">
        <v>0</v>
      </c>
      <c r="BJ76" s="267">
        <f>SUM(BH76:BI76)</f>
        <v>0</v>
      </c>
      <c r="BK76" s="380">
        <f>BG76+BJ76</f>
        <v>0</v>
      </c>
      <c r="BL76" s="3737"/>
      <c r="BM76" s="379">
        <v>0</v>
      </c>
      <c r="BN76" s="266">
        <f>IF(BF76&gt;BM76,BF76-BM76,0)</f>
        <v>72</v>
      </c>
      <c r="BO76" s="267">
        <v>0</v>
      </c>
      <c r="BP76" s="267">
        <v>0</v>
      </c>
      <c r="BQ76" s="267">
        <v>0</v>
      </c>
      <c r="BR76" s="267">
        <f>SUM(BP76:BQ76)</f>
        <v>0</v>
      </c>
      <c r="BS76" s="380">
        <f>BO76+BR76</f>
        <v>0</v>
      </c>
      <c r="BT76" s="3737"/>
      <c r="BU76" s="379">
        <v>0</v>
      </c>
      <c r="BV76" s="266">
        <f>IF(BN76&gt;BU76,BN76-BU76,0)</f>
        <v>72</v>
      </c>
      <c r="BW76" s="267">
        <v>-270493.59000000003</v>
      </c>
      <c r="BX76" s="267">
        <v>0</v>
      </c>
      <c r="BY76" s="267">
        <v>0</v>
      </c>
      <c r="BZ76" s="267">
        <f>SUM(BX76:BY76)</f>
        <v>0</v>
      </c>
      <c r="CA76" s="380">
        <f>BW76+BZ76</f>
        <v>-270493.59000000003</v>
      </c>
      <c r="CB76" s="3737"/>
      <c r="CC76" s="379"/>
      <c r="CD76" s="266">
        <f>IF(BV76&gt;CC76,BV76-CC76,0)</f>
        <v>72</v>
      </c>
      <c r="CE76" s="267"/>
      <c r="CF76" s="267"/>
      <c r="CG76" s="267"/>
      <c r="CH76" s="267">
        <f>SUM(CF76:CG76)</f>
        <v>0</v>
      </c>
      <c r="CI76" s="380">
        <f>CE76+CH76</f>
        <v>0</v>
      </c>
      <c r="CJ76" s="3737"/>
      <c r="CK76" s="379">
        <v>0</v>
      </c>
      <c r="CL76" s="266">
        <f>IF(CD76&gt;CK76,CD76-CK76,0)</f>
        <v>72</v>
      </c>
      <c r="CM76" s="267">
        <v>-317201.84999999998</v>
      </c>
      <c r="CN76" s="267">
        <v>0</v>
      </c>
      <c r="CO76" s="267">
        <v>0</v>
      </c>
      <c r="CP76" s="267">
        <f>SUM(CN76:CO76)</f>
        <v>0</v>
      </c>
      <c r="CQ76" s="380">
        <f>CM76+CP76</f>
        <v>-317201.84999999998</v>
      </c>
      <c r="CR76" s="3737"/>
      <c r="CS76" s="379">
        <v>0</v>
      </c>
      <c r="CT76" s="266">
        <f>IF(CL76&gt;CS76,CL76-CS76,0)</f>
        <v>72</v>
      </c>
      <c r="CU76" s="267">
        <v>-334397.31</v>
      </c>
      <c r="CV76" s="267">
        <v>0</v>
      </c>
      <c r="CW76" s="267">
        <v>0</v>
      </c>
      <c r="CX76" s="267">
        <f>SUM(CV76:CW76)</f>
        <v>0</v>
      </c>
      <c r="CY76" s="380">
        <f>CU76+CX76</f>
        <v>-334397.31</v>
      </c>
      <c r="CZ76" s="3737"/>
      <c r="DA76" s="379">
        <v>0</v>
      </c>
      <c r="DB76" s="266">
        <f>IF(CT76&gt;DA76,CT76-DA76,0)</f>
        <v>72</v>
      </c>
      <c r="DC76" s="267">
        <v>33731.33</v>
      </c>
      <c r="DD76" s="267">
        <v>0</v>
      </c>
      <c r="DE76" s="267">
        <v>0</v>
      </c>
      <c r="DF76" s="267">
        <f>SUM(DD76:DE76)</f>
        <v>0</v>
      </c>
      <c r="DG76" s="380">
        <f>DC76+DF76</f>
        <v>33731.33</v>
      </c>
      <c r="DH76" s="3737"/>
      <c r="DI76" s="1761">
        <f>Q76+Y76+AG76+AO76+AW76+BE76+BM76+BU76+CC76+CK76+CS76+DA76</f>
        <v>0</v>
      </c>
      <c r="DJ76" s="266">
        <f>IF(DB76&gt;DI76,DB76-DI76,0)</f>
        <v>72</v>
      </c>
      <c r="DK76" s="267">
        <f t="shared" ref="DK76:DM77" si="111">S76+AA76+AI76+AQ76+AY76+BG76+BO76+BW76+CE76+CM76+CU76+DC76</f>
        <v>760683.06999999972</v>
      </c>
      <c r="DL76" s="267">
        <f t="shared" si="111"/>
        <v>0</v>
      </c>
      <c r="DM76" s="267">
        <f t="shared" si="111"/>
        <v>0</v>
      </c>
      <c r="DN76" s="267">
        <f>SUM(DL76:DM76)</f>
        <v>0</v>
      </c>
      <c r="DO76" s="380">
        <f>DK76+DN76</f>
        <v>760683.06999999972</v>
      </c>
      <c r="DP76" s="3737"/>
    </row>
    <row r="77" spans="1:156" ht="13.5" thickBot="1" x14ac:dyDescent="0.25">
      <c r="A77" s="270" t="s">
        <v>247</v>
      </c>
      <c r="B77" s="381">
        <v>26</v>
      </c>
      <c r="C77" s="272">
        <v>240.12</v>
      </c>
      <c r="D77" s="273">
        <f>E77/C77</f>
        <v>4947.0267063135088</v>
      </c>
      <c r="E77" s="274">
        <v>1187880.0527199998</v>
      </c>
      <c r="G77" s="106">
        <v>0</v>
      </c>
      <c r="H77" s="106">
        <v>0</v>
      </c>
      <c r="I77" s="106">
        <f>SUM(G77:H77)</f>
        <v>0</v>
      </c>
      <c r="J77" s="106">
        <v>502371.9</v>
      </c>
      <c r="K77" s="106">
        <v>0</v>
      </c>
      <c r="L77" s="106">
        <f>SUM(J77:K77)</f>
        <v>502371.9</v>
      </c>
      <c r="M77" s="106">
        <f t="shared" si="110"/>
        <v>502371.9</v>
      </c>
      <c r="N77" s="106">
        <f t="shared" si="110"/>
        <v>0</v>
      </c>
      <c r="O77" s="106">
        <f t="shared" si="110"/>
        <v>502371.9</v>
      </c>
      <c r="P77" s="3737"/>
      <c r="Q77" s="265">
        <v>0</v>
      </c>
      <c r="R77" s="266">
        <f>IF(B77&gt;Q77,B77-Q77,0)</f>
        <v>26</v>
      </c>
      <c r="S77" s="267">
        <v>0</v>
      </c>
      <c r="T77" s="245">
        <v>0</v>
      </c>
      <c r="U77" s="245">
        <v>0</v>
      </c>
      <c r="V77" s="267">
        <v>0</v>
      </c>
      <c r="W77" s="268">
        <f>SUM(S77:V77)</f>
        <v>0</v>
      </c>
      <c r="X77" s="3737"/>
      <c r="Y77" s="265">
        <v>0</v>
      </c>
      <c r="Z77" s="378">
        <f>IF(R77&gt;Y77,R77-Y77,0)</f>
        <v>26</v>
      </c>
      <c r="AA77" s="267">
        <v>0</v>
      </c>
      <c r="AB77" s="245">
        <v>0</v>
      </c>
      <c r="AC77" s="245">
        <v>0</v>
      </c>
      <c r="AD77" s="267">
        <v>0</v>
      </c>
      <c r="AE77" s="268">
        <f>SUM(AA77:AD77)</f>
        <v>0</v>
      </c>
      <c r="AF77" s="3737"/>
      <c r="AG77" s="265">
        <v>0</v>
      </c>
      <c r="AH77" s="266">
        <f>IF(R77&gt;AG77,R77-AG77,0)</f>
        <v>26</v>
      </c>
      <c r="AI77" s="267">
        <v>0</v>
      </c>
      <c r="AJ77" s="245">
        <v>0</v>
      </c>
      <c r="AK77" s="245">
        <v>0</v>
      </c>
      <c r="AL77" s="267">
        <v>0</v>
      </c>
      <c r="AM77" s="268">
        <f>SUM(AI77:AL77)</f>
        <v>0</v>
      </c>
      <c r="AN77" s="3737"/>
      <c r="AO77" s="265">
        <v>0</v>
      </c>
      <c r="AP77" s="266">
        <f>IF(Z77&gt;AO77,Z77-AO77,0)</f>
        <v>26</v>
      </c>
      <c r="AQ77" s="267">
        <v>8062</v>
      </c>
      <c r="AR77" s="245">
        <v>0</v>
      </c>
      <c r="AS77" s="245">
        <v>0</v>
      </c>
      <c r="AT77" s="267">
        <v>0</v>
      </c>
      <c r="AU77" s="268">
        <f>SUM(AQ77:AT77)</f>
        <v>8062</v>
      </c>
      <c r="AV77" s="3737"/>
      <c r="AW77" s="382">
        <v>0</v>
      </c>
      <c r="AX77" s="266">
        <f>IF(B77&gt;AW77,B77-AW77,0)</f>
        <v>26</v>
      </c>
      <c r="AY77" s="276">
        <v>15082.63</v>
      </c>
      <c r="AZ77" s="276">
        <v>0</v>
      </c>
      <c r="BA77" s="276">
        <v>0</v>
      </c>
      <c r="BB77" s="276">
        <f>SUM(AZ77:BA77)</f>
        <v>0</v>
      </c>
      <c r="BC77" s="383">
        <f>AY77+BB77</f>
        <v>15082.63</v>
      </c>
      <c r="BD77" s="3737"/>
      <c r="BE77" s="382">
        <v>0</v>
      </c>
      <c r="BF77" s="266">
        <f>IF(AX77&gt;BE77,AX77-BE77,0)</f>
        <v>26</v>
      </c>
      <c r="BG77" s="276">
        <v>0</v>
      </c>
      <c r="BH77" s="276">
        <v>0</v>
      </c>
      <c r="BI77" s="276">
        <v>0</v>
      </c>
      <c r="BJ77" s="276">
        <f>SUM(BH77:BI77)</f>
        <v>0</v>
      </c>
      <c r="BK77" s="383">
        <f>BG77+BJ77</f>
        <v>0</v>
      </c>
      <c r="BL77" s="3737"/>
      <c r="BM77" s="382">
        <v>0</v>
      </c>
      <c r="BN77" s="266">
        <f>IF(BF77&gt;BM77,BF77-BM77,0)</f>
        <v>26</v>
      </c>
      <c r="BO77" s="276">
        <v>0</v>
      </c>
      <c r="BP77" s="276">
        <v>0</v>
      </c>
      <c r="BQ77" s="276">
        <v>0</v>
      </c>
      <c r="BR77" s="276">
        <f>SUM(BP77:BQ77)</f>
        <v>0</v>
      </c>
      <c r="BS77" s="383">
        <f>BO77+BR77</f>
        <v>0</v>
      </c>
      <c r="BT77" s="3737"/>
      <c r="BU77" s="382">
        <v>0</v>
      </c>
      <c r="BV77" s="266">
        <f>IF(BN77&gt;BU77,BN77-BU77,0)</f>
        <v>26</v>
      </c>
      <c r="BW77" s="276">
        <v>17544.169999999998</v>
      </c>
      <c r="BX77" s="276">
        <v>0</v>
      </c>
      <c r="BY77" s="276">
        <v>0</v>
      </c>
      <c r="BZ77" s="276">
        <f>SUM(BX77:BY77)</f>
        <v>0</v>
      </c>
      <c r="CA77" s="383">
        <f>BW77+BZ77</f>
        <v>17544.169999999998</v>
      </c>
      <c r="CB77" s="3737"/>
      <c r="CC77" s="382"/>
      <c r="CD77" s="266">
        <f>IF(BV77&gt;CC77,BV77-CC77,0)</f>
        <v>26</v>
      </c>
      <c r="CE77" s="276"/>
      <c r="CF77" s="276"/>
      <c r="CG77" s="276"/>
      <c r="CH77" s="276">
        <f>SUM(CF77:CG77)</f>
        <v>0</v>
      </c>
      <c r="CI77" s="383">
        <f>CE77+CH77</f>
        <v>0</v>
      </c>
      <c r="CJ77" s="3737"/>
      <c r="CK77" s="382">
        <v>0</v>
      </c>
      <c r="CL77" s="266">
        <f>IF(CD77&gt;CK77,CD77-CK77,0)</f>
        <v>26</v>
      </c>
      <c r="CM77" s="276"/>
      <c r="CN77" s="276">
        <v>0</v>
      </c>
      <c r="CO77" s="276">
        <v>0</v>
      </c>
      <c r="CP77" s="276">
        <f>SUM(CN77:CO77)</f>
        <v>0</v>
      </c>
      <c r="CQ77" s="383">
        <f>CM77+CP77</f>
        <v>0</v>
      </c>
      <c r="CR77" s="3737"/>
      <c r="CS77" s="382">
        <v>0</v>
      </c>
      <c r="CT77" s="266">
        <f>IF(CL77&gt;CS77,CL77-CS77,0)</f>
        <v>26</v>
      </c>
      <c r="CU77" s="276">
        <v>-22862.400000000001</v>
      </c>
      <c r="CV77" s="276">
        <v>0</v>
      </c>
      <c r="CW77" s="276">
        <v>0</v>
      </c>
      <c r="CX77" s="276">
        <f>SUM(CV77:CW77)</f>
        <v>0</v>
      </c>
      <c r="CY77" s="383">
        <f>CU77+CX77</f>
        <v>-22862.400000000001</v>
      </c>
      <c r="CZ77" s="3737"/>
      <c r="DA77" s="382">
        <v>0</v>
      </c>
      <c r="DB77" s="266">
        <f>IF(CT77&gt;DA77,CT77-DA77,0)</f>
        <v>26</v>
      </c>
      <c r="DC77" s="276">
        <v>0</v>
      </c>
      <c r="DD77" s="276">
        <v>0</v>
      </c>
      <c r="DE77" s="276">
        <v>0</v>
      </c>
      <c r="DF77" s="276">
        <f>SUM(DD77:DE77)</f>
        <v>0</v>
      </c>
      <c r="DG77" s="383">
        <f>DC77+DF77</f>
        <v>0</v>
      </c>
      <c r="DH77" s="3737"/>
      <c r="DI77" s="1761">
        <f>Q77+Y77+AG77+AO77+AW77+BE77+BM77+BU77+CC77+CK77+CS77+DA77</f>
        <v>0</v>
      </c>
      <c r="DJ77" s="266">
        <f>IF(DB77&gt;DI77,DB77-DI77,0)</f>
        <v>26</v>
      </c>
      <c r="DK77" s="1775">
        <f t="shared" si="111"/>
        <v>17826.399999999994</v>
      </c>
      <c r="DL77" s="1775">
        <f t="shared" si="111"/>
        <v>0</v>
      </c>
      <c r="DM77" s="1775">
        <f t="shared" si="111"/>
        <v>0</v>
      </c>
      <c r="DN77" s="276">
        <f>SUM(DL77:DM77)</f>
        <v>0</v>
      </c>
      <c r="DO77" s="383">
        <f>DK77+DN77</f>
        <v>17826.399999999994</v>
      </c>
      <c r="DP77" s="3737"/>
    </row>
    <row r="78" spans="1:156" s="100" customFormat="1" ht="13.5" thickBot="1" x14ac:dyDescent="0.25">
      <c r="A78" s="320" t="s">
        <v>296</v>
      </c>
      <c r="B78" s="384">
        <f>SUM(B76:B77)</f>
        <v>98</v>
      </c>
      <c r="C78" s="322">
        <f>SUM(C76:C77)</f>
        <v>5826.12</v>
      </c>
      <c r="D78" s="385">
        <v>6589.6533220599649</v>
      </c>
      <c r="E78" s="324">
        <f>SUM(E76:E77)</f>
        <v>38392111.012720004</v>
      </c>
      <c r="F78" s="285"/>
      <c r="G78" s="285">
        <f t="shared" ref="G78:O78" si="112">SUM(G76:G77)</f>
        <v>0</v>
      </c>
      <c r="H78" s="285">
        <f t="shared" si="112"/>
        <v>0</v>
      </c>
      <c r="I78" s="285">
        <f t="shared" si="112"/>
        <v>0</v>
      </c>
      <c r="J78" s="285">
        <f t="shared" si="112"/>
        <v>19581352.809999999</v>
      </c>
      <c r="K78" s="285">
        <f t="shared" si="112"/>
        <v>0</v>
      </c>
      <c r="L78" s="285">
        <f t="shared" si="112"/>
        <v>19581352.809999999</v>
      </c>
      <c r="M78" s="285">
        <f t="shared" si="112"/>
        <v>19581352.809999999</v>
      </c>
      <c r="N78" s="285">
        <f t="shared" si="112"/>
        <v>0</v>
      </c>
      <c r="O78" s="285">
        <f t="shared" si="112"/>
        <v>19581352.809999999</v>
      </c>
      <c r="P78" s="3737"/>
      <c r="Q78" s="318">
        <f t="shared" ref="Q78:W78" si="113">SUM(Q76:Q77)</f>
        <v>0</v>
      </c>
      <c r="R78" s="287">
        <f t="shared" si="113"/>
        <v>98</v>
      </c>
      <c r="S78" s="290">
        <f t="shared" si="113"/>
        <v>665580.52</v>
      </c>
      <c r="T78" s="290">
        <f t="shared" si="113"/>
        <v>0</v>
      </c>
      <c r="U78" s="290">
        <f t="shared" si="113"/>
        <v>0</v>
      </c>
      <c r="V78" s="290">
        <f t="shared" si="113"/>
        <v>0</v>
      </c>
      <c r="W78" s="291">
        <f t="shared" si="113"/>
        <v>665580.52</v>
      </c>
      <c r="X78" s="3737"/>
      <c r="Y78" s="318">
        <f t="shared" ref="Y78:AE78" si="114">SUM(Y76:Y77)</f>
        <v>0</v>
      </c>
      <c r="Z78" s="287">
        <f t="shared" si="114"/>
        <v>98</v>
      </c>
      <c r="AA78" s="290">
        <f t="shared" si="114"/>
        <v>481863.32</v>
      </c>
      <c r="AB78" s="290">
        <f t="shared" si="114"/>
        <v>0</v>
      </c>
      <c r="AC78" s="290">
        <f t="shared" si="114"/>
        <v>0</v>
      </c>
      <c r="AD78" s="290">
        <f t="shared" si="114"/>
        <v>0</v>
      </c>
      <c r="AE78" s="291">
        <f t="shared" si="114"/>
        <v>481863.32</v>
      </c>
      <c r="AF78" s="3737"/>
      <c r="AG78" s="318">
        <f t="shared" ref="AG78:AM78" si="115">SUM(AG76:AG77)</f>
        <v>0</v>
      </c>
      <c r="AH78" s="287">
        <f t="shared" si="115"/>
        <v>98</v>
      </c>
      <c r="AI78" s="290">
        <f t="shared" si="115"/>
        <v>210911.21</v>
      </c>
      <c r="AJ78" s="290">
        <f t="shared" si="115"/>
        <v>0</v>
      </c>
      <c r="AK78" s="290">
        <f t="shared" si="115"/>
        <v>0</v>
      </c>
      <c r="AL78" s="290">
        <f t="shared" si="115"/>
        <v>0</v>
      </c>
      <c r="AM78" s="291">
        <f t="shared" si="115"/>
        <v>210911.21</v>
      </c>
      <c r="AN78" s="3737"/>
      <c r="AO78" s="318">
        <f t="shared" ref="AO78:AU78" si="116">SUM(AO76:AO77)</f>
        <v>0</v>
      </c>
      <c r="AP78" s="287">
        <f t="shared" si="116"/>
        <v>98</v>
      </c>
      <c r="AQ78" s="290">
        <f t="shared" si="116"/>
        <v>8062</v>
      </c>
      <c r="AR78" s="290">
        <f t="shared" si="116"/>
        <v>0</v>
      </c>
      <c r="AS78" s="290">
        <f t="shared" si="116"/>
        <v>0</v>
      </c>
      <c r="AT78" s="290">
        <f t="shared" si="116"/>
        <v>0</v>
      </c>
      <c r="AU78" s="291">
        <f t="shared" si="116"/>
        <v>8062</v>
      </c>
      <c r="AV78" s="3737"/>
      <c r="AW78" s="287">
        <f t="shared" ref="AW78:BC78" si="117">SUM(AW76:AW77)</f>
        <v>0</v>
      </c>
      <c r="AX78" s="287">
        <f t="shared" si="117"/>
        <v>98</v>
      </c>
      <c r="AY78" s="290">
        <f t="shared" si="117"/>
        <v>305772.07</v>
      </c>
      <c r="AZ78" s="290">
        <f t="shared" si="117"/>
        <v>0</v>
      </c>
      <c r="BA78" s="290">
        <f t="shared" si="117"/>
        <v>0</v>
      </c>
      <c r="BB78" s="290">
        <f t="shared" si="117"/>
        <v>0</v>
      </c>
      <c r="BC78" s="290">
        <f t="shared" si="117"/>
        <v>305772.07</v>
      </c>
      <c r="BD78" s="3737"/>
      <c r="BE78" s="287">
        <f t="shared" ref="BE78:BK78" si="118">SUM(BE76:BE77)</f>
        <v>0</v>
      </c>
      <c r="BF78" s="287">
        <f t="shared" si="118"/>
        <v>98</v>
      </c>
      <c r="BG78" s="290">
        <f t="shared" si="118"/>
        <v>0</v>
      </c>
      <c r="BH78" s="290">
        <f t="shared" si="118"/>
        <v>0</v>
      </c>
      <c r="BI78" s="290">
        <f t="shared" si="118"/>
        <v>0</v>
      </c>
      <c r="BJ78" s="290">
        <f t="shared" si="118"/>
        <v>0</v>
      </c>
      <c r="BK78" s="290">
        <f t="shared" si="118"/>
        <v>0</v>
      </c>
      <c r="BL78" s="3737"/>
      <c r="BM78" s="287">
        <f t="shared" ref="BM78:BS78" si="119">SUM(BM76:BM77)</f>
        <v>0</v>
      </c>
      <c r="BN78" s="287">
        <f t="shared" si="119"/>
        <v>98</v>
      </c>
      <c r="BO78" s="290">
        <f t="shared" si="119"/>
        <v>0</v>
      </c>
      <c r="BP78" s="290">
        <f t="shared" si="119"/>
        <v>0</v>
      </c>
      <c r="BQ78" s="290">
        <f t="shared" si="119"/>
        <v>0</v>
      </c>
      <c r="BR78" s="290">
        <f t="shared" si="119"/>
        <v>0</v>
      </c>
      <c r="BS78" s="290">
        <f t="shared" si="119"/>
        <v>0</v>
      </c>
      <c r="BT78" s="3737"/>
      <c r="BU78" s="287">
        <f t="shared" ref="BU78:CA78" si="120">SUM(BU76:BU77)</f>
        <v>0</v>
      </c>
      <c r="BV78" s="287">
        <f t="shared" si="120"/>
        <v>98</v>
      </c>
      <c r="BW78" s="290">
        <f t="shared" si="120"/>
        <v>-252949.42000000004</v>
      </c>
      <c r="BX78" s="290">
        <f t="shared" si="120"/>
        <v>0</v>
      </c>
      <c r="BY78" s="290">
        <f t="shared" si="120"/>
        <v>0</v>
      </c>
      <c r="BZ78" s="290">
        <f t="shared" si="120"/>
        <v>0</v>
      </c>
      <c r="CA78" s="290">
        <f t="shared" si="120"/>
        <v>-252949.42000000004</v>
      </c>
      <c r="CB78" s="3737"/>
      <c r="CC78" s="287">
        <f t="shared" ref="CC78:CI78" si="121">SUM(CC76:CC77)</f>
        <v>0</v>
      </c>
      <c r="CD78" s="287">
        <f t="shared" si="121"/>
        <v>98</v>
      </c>
      <c r="CE78" s="290">
        <f t="shared" si="121"/>
        <v>0</v>
      </c>
      <c r="CF78" s="290">
        <f t="shared" si="121"/>
        <v>0</v>
      </c>
      <c r="CG78" s="290">
        <f t="shared" si="121"/>
        <v>0</v>
      </c>
      <c r="CH78" s="290">
        <f t="shared" si="121"/>
        <v>0</v>
      </c>
      <c r="CI78" s="290">
        <f t="shared" si="121"/>
        <v>0</v>
      </c>
      <c r="CJ78" s="3737"/>
      <c r="CK78" s="287">
        <f t="shared" ref="CK78:CQ78" si="122">SUM(CK76:CK77)</f>
        <v>0</v>
      </c>
      <c r="CL78" s="287">
        <f t="shared" si="122"/>
        <v>98</v>
      </c>
      <c r="CM78" s="290">
        <f t="shared" si="122"/>
        <v>-317201.84999999998</v>
      </c>
      <c r="CN78" s="290">
        <f t="shared" si="122"/>
        <v>0</v>
      </c>
      <c r="CO78" s="290">
        <f t="shared" si="122"/>
        <v>0</v>
      </c>
      <c r="CP78" s="290">
        <f t="shared" si="122"/>
        <v>0</v>
      </c>
      <c r="CQ78" s="290">
        <f t="shared" si="122"/>
        <v>-317201.84999999998</v>
      </c>
      <c r="CR78" s="3737"/>
      <c r="CS78" s="287">
        <f t="shared" ref="CS78:CY78" si="123">SUM(CS76:CS77)</f>
        <v>0</v>
      </c>
      <c r="CT78" s="287">
        <f t="shared" si="123"/>
        <v>98</v>
      </c>
      <c r="CU78" s="290">
        <f t="shared" si="123"/>
        <v>-357259.71</v>
      </c>
      <c r="CV78" s="290">
        <f t="shared" si="123"/>
        <v>0</v>
      </c>
      <c r="CW78" s="290">
        <f t="shared" si="123"/>
        <v>0</v>
      </c>
      <c r="CX78" s="290">
        <f t="shared" si="123"/>
        <v>0</v>
      </c>
      <c r="CY78" s="290">
        <f t="shared" si="123"/>
        <v>-357259.71</v>
      </c>
      <c r="CZ78" s="3737"/>
      <c r="DA78" s="287">
        <f t="shared" ref="DA78:DG78" si="124">SUM(DA76:DA77)</f>
        <v>0</v>
      </c>
      <c r="DB78" s="287">
        <f t="shared" si="124"/>
        <v>98</v>
      </c>
      <c r="DC78" s="290">
        <f t="shared" si="124"/>
        <v>33731.33</v>
      </c>
      <c r="DD78" s="290">
        <f t="shared" si="124"/>
        <v>0</v>
      </c>
      <c r="DE78" s="290">
        <f t="shared" si="124"/>
        <v>0</v>
      </c>
      <c r="DF78" s="290">
        <f t="shared" si="124"/>
        <v>0</v>
      </c>
      <c r="DG78" s="290">
        <f t="shared" si="124"/>
        <v>33731.33</v>
      </c>
      <c r="DH78" s="3737"/>
      <c r="DI78" s="287">
        <f t="shared" ref="DI78:DO78" si="125">SUM(DI76:DI77)</f>
        <v>0</v>
      </c>
      <c r="DJ78" s="287">
        <f t="shared" si="125"/>
        <v>98</v>
      </c>
      <c r="DK78" s="290">
        <f t="shared" si="125"/>
        <v>778509.46999999974</v>
      </c>
      <c r="DL78" s="290">
        <f t="shared" si="125"/>
        <v>0</v>
      </c>
      <c r="DM78" s="290">
        <f t="shared" si="125"/>
        <v>0</v>
      </c>
      <c r="DN78" s="290">
        <f t="shared" si="125"/>
        <v>0</v>
      </c>
      <c r="DO78" s="290">
        <f t="shared" si="125"/>
        <v>778509.46999999974</v>
      </c>
      <c r="DP78" s="3737"/>
      <c r="DQ78" s="104"/>
      <c r="DR78" s="104"/>
      <c r="DS78" s="104"/>
      <c r="DT78" s="104"/>
      <c r="DU78" s="293"/>
      <c r="DV78" s="293"/>
      <c r="DW78" s="293"/>
      <c r="DX78" s="294"/>
      <c r="DY78" s="294"/>
      <c r="DZ78" s="294"/>
      <c r="EA78" s="295"/>
      <c r="EB78" s="295"/>
      <c r="EC78" s="294"/>
      <c r="ED78" s="294"/>
      <c r="EE78" s="294"/>
      <c r="EF78" s="104"/>
      <c r="EG78" s="104"/>
      <c r="EH78" s="104"/>
      <c r="EI78" s="104"/>
      <c r="EJ78" s="104"/>
      <c r="EK78" s="104"/>
      <c r="EL78" s="104"/>
      <c r="EM78" s="104"/>
      <c r="EN78" s="104"/>
      <c r="EO78" s="104"/>
      <c r="EP78" s="104"/>
      <c r="EQ78" s="104"/>
      <c r="ER78" s="104"/>
      <c r="ES78" s="104"/>
      <c r="ET78" s="104"/>
      <c r="EU78" s="104"/>
      <c r="EV78" s="104"/>
      <c r="EW78" s="104"/>
      <c r="EX78" s="104"/>
      <c r="EY78" s="104"/>
      <c r="EZ78" s="104"/>
    </row>
    <row r="79" spans="1:156" x14ac:dyDescent="0.2">
      <c r="B79" s="99"/>
      <c r="C79" s="99"/>
      <c r="D79" s="99"/>
      <c r="E79" s="99"/>
      <c r="P79" s="3737"/>
      <c r="X79" s="3737"/>
      <c r="Y79" s="99"/>
      <c r="Z79" s="99"/>
      <c r="AF79" s="3737"/>
      <c r="AG79" s="99"/>
      <c r="AH79" s="99"/>
      <c r="AN79" s="3737"/>
      <c r="AO79" s="99"/>
      <c r="AP79" s="99"/>
      <c r="AV79" s="3737"/>
      <c r="AW79" s="236"/>
      <c r="AX79" s="236"/>
      <c r="AY79" s="242"/>
      <c r="AZ79" s="242"/>
      <c r="BA79" s="242"/>
      <c r="BB79" s="242"/>
      <c r="BC79" s="242"/>
      <c r="BD79" s="3737"/>
      <c r="BL79" s="3737"/>
      <c r="BT79" s="3737"/>
      <c r="CB79" s="3737"/>
      <c r="CJ79" s="3737"/>
      <c r="CR79" s="3737"/>
      <c r="CZ79" s="3737"/>
      <c r="DH79" s="3737"/>
      <c r="DP79" s="3737"/>
    </row>
    <row r="80" spans="1:156" x14ac:dyDescent="0.2">
      <c r="B80" s="99"/>
      <c r="C80" s="99"/>
      <c r="D80" s="99"/>
      <c r="E80" s="99"/>
      <c r="P80" s="3737"/>
      <c r="X80" s="3737"/>
      <c r="Y80" s="99"/>
      <c r="Z80" s="99"/>
      <c r="AF80" s="3737"/>
      <c r="AG80" s="99"/>
      <c r="AH80" s="99"/>
      <c r="AN80" s="3737"/>
      <c r="AO80" s="99"/>
      <c r="AP80" s="99"/>
      <c r="AV80" s="3737"/>
      <c r="AW80" s="236"/>
      <c r="AX80" s="236"/>
      <c r="AY80" s="242"/>
      <c r="AZ80" s="242"/>
      <c r="BA80" s="242"/>
      <c r="BB80" s="242"/>
      <c r="BC80" s="242"/>
      <c r="BD80" s="3737"/>
      <c r="BL80" s="3737"/>
      <c r="BT80" s="3737"/>
      <c r="CB80" s="3737"/>
      <c r="CJ80" s="3737"/>
      <c r="CR80" s="3737"/>
      <c r="CZ80" s="3737"/>
      <c r="DH80" s="3737"/>
      <c r="DP80" s="3737"/>
    </row>
    <row r="81" spans="1:156" ht="21.75" thickBot="1" x14ac:dyDescent="0.25">
      <c r="A81" s="371" t="s">
        <v>312</v>
      </c>
      <c r="B81" s="372" t="s">
        <v>302</v>
      </c>
      <c r="C81" s="226" t="s">
        <v>303</v>
      </c>
      <c r="D81" s="227" t="s">
        <v>304</v>
      </c>
      <c r="E81" s="228" t="s">
        <v>241</v>
      </c>
      <c r="P81" s="3737"/>
      <c r="Q81" s="230"/>
      <c r="R81" s="230"/>
      <c r="S81" s="235" t="s">
        <v>242</v>
      </c>
      <c r="T81" s="232"/>
      <c r="U81" s="233"/>
      <c r="V81" s="234" t="s">
        <v>243</v>
      </c>
      <c r="W81" s="235" t="s">
        <v>244</v>
      </c>
      <c r="X81" s="3737"/>
      <c r="Y81" s="230"/>
      <c r="Z81" s="373"/>
      <c r="AA81" s="235" t="s">
        <v>242</v>
      </c>
      <c r="AB81" s="232"/>
      <c r="AC81" s="233"/>
      <c r="AD81" s="234" t="s">
        <v>243</v>
      </c>
      <c r="AE81" s="235" t="s">
        <v>244</v>
      </c>
      <c r="AF81" s="3737"/>
      <c r="AG81" s="230"/>
      <c r="AH81" s="230"/>
      <c r="AI81" s="235" t="s">
        <v>242</v>
      </c>
      <c r="AJ81" s="232"/>
      <c r="AK81" s="233"/>
      <c r="AL81" s="234" t="s">
        <v>243</v>
      </c>
      <c r="AM81" s="235" t="s">
        <v>244</v>
      </c>
      <c r="AN81" s="3737"/>
      <c r="AO81" s="230"/>
      <c r="AP81" s="230"/>
      <c r="AQ81" s="235" t="s">
        <v>242</v>
      </c>
      <c r="AR81" s="232"/>
      <c r="AS81" s="233"/>
      <c r="AT81" s="234" t="s">
        <v>243</v>
      </c>
      <c r="AU81" s="235" t="s">
        <v>244</v>
      </c>
      <c r="AV81" s="3737"/>
      <c r="AW81" s="236"/>
      <c r="AX81" s="236"/>
      <c r="AY81" s="242"/>
      <c r="AZ81" s="242"/>
      <c r="BA81" s="242"/>
      <c r="BB81" s="242"/>
      <c r="BC81" s="242"/>
      <c r="BD81" s="3737"/>
      <c r="BL81" s="3737"/>
      <c r="BT81" s="3737"/>
      <c r="CB81" s="3737"/>
      <c r="CJ81" s="3737"/>
      <c r="CR81" s="3737"/>
      <c r="CZ81" s="3737"/>
      <c r="DH81" s="3737"/>
      <c r="DI81" s="1774"/>
      <c r="DP81" s="3737"/>
    </row>
    <row r="82" spans="1:156" x14ac:dyDescent="0.2">
      <c r="A82" s="375" t="s">
        <v>246</v>
      </c>
      <c r="B82" s="376">
        <v>62</v>
      </c>
      <c r="C82" s="306">
        <v>4303.8</v>
      </c>
      <c r="D82" s="307">
        <f>E82/C82</f>
        <v>6951.2966920581821</v>
      </c>
      <c r="E82" s="377">
        <v>29916990.703280006</v>
      </c>
      <c r="G82" s="106">
        <v>0</v>
      </c>
      <c r="H82" s="106">
        <v>0</v>
      </c>
      <c r="I82" s="106">
        <f>SUM(G82:H82)</f>
        <v>0</v>
      </c>
      <c r="J82" s="106">
        <v>15843159.880000001</v>
      </c>
      <c r="K82" s="106">
        <v>0</v>
      </c>
      <c r="L82" s="106">
        <f>SUM(J82:K82)</f>
        <v>15843159.880000001</v>
      </c>
      <c r="M82" s="106">
        <f t="shared" ref="M82:O84" si="126">G82+J82</f>
        <v>15843159.880000001</v>
      </c>
      <c r="N82" s="106">
        <f t="shared" si="126"/>
        <v>0</v>
      </c>
      <c r="O82" s="106">
        <f t="shared" si="126"/>
        <v>15843159.880000001</v>
      </c>
      <c r="P82" s="3737"/>
      <c r="Q82" s="251">
        <v>0</v>
      </c>
      <c r="R82" s="386">
        <f>IF(B82&gt;Q82,B82-Q82,0)</f>
        <v>62</v>
      </c>
      <c r="S82" s="253">
        <v>763456.15</v>
      </c>
      <c r="T82" s="309">
        <v>0</v>
      </c>
      <c r="U82" s="309">
        <v>0</v>
      </c>
      <c r="V82" s="387">
        <f>SUM(T82:U82)</f>
        <v>0</v>
      </c>
      <c r="W82" s="388">
        <f>SUM(S82:V82)</f>
        <v>763456.15</v>
      </c>
      <c r="X82" s="3737"/>
      <c r="Y82" s="251">
        <v>0</v>
      </c>
      <c r="Z82" s="378">
        <f>IF(R82&gt;Y82,R82-Y82,0)</f>
        <v>62</v>
      </c>
      <c r="AA82" s="253">
        <v>397627</v>
      </c>
      <c r="AB82" s="309">
        <v>0</v>
      </c>
      <c r="AC82" s="309">
        <v>0</v>
      </c>
      <c r="AD82" s="387">
        <f>SUM(AB82:AC82)</f>
        <v>0</v>
      </c>
      <c r="AE82" s="388">
        <f>SUM(AA82:AD82)</f>
        <v>397627</v>
      </c>
      <c r="AF82" s="3737"/>
      <c r="AG82" s="251">
        <v>0</v>
      </c>
      <c r="AH82" s="386">
        <f>IF(R82&gt;AG82,R82-AG82,0)</f>
        <v>62</v>
      </c>
      <c r="AI82" s="253">
        <v>439170.26</v>
      </c>
      <c r="AJ82" s="309">
        <v>0</v>
      </c>
      <c r="AK82" s="309">
        <v>0</v>
      </c>
      <c r="AL82" s="387">
        <f>SUM(AJ82:AK82)</f>
        <v>0</v>
      </c>
      <c r="AM82" s="388">
        <f>SUM(AI82:AL82)</f>
        <v>439170.26</v>
      </c>
      <c r="AN82" s="3737"/>
      <c r="AO82" s="251">
        <v>0</v>
      </c>
      <c r="AP82" s="386">
        <f>IF(Z82&gt;AO82,Z82-AO82,0)</f>
        <v>62</v>
      </c>
      <c r="AQ82" s="253">
        <v>0</v>
      </c>
      <c r="AR82" s="309">
        <v>0</v>
      </c>
      <c r="AS82" s="309">
        <v>0</v>
      </c>
      <c r="AT82" s="387">
        <f>SUM(AR82:AS82)</f>
        <v>0</v>
      </c>
      <c r="AU82" s="388">
        <f>SUM(AQ82:AT82)</f>
        <v>0</v>
      </c>
      <c r="AV82" s="3737"/>
      <c r="AW82" s="379">
        <v>0</v>
      </c>
      <c r="AX82" s="266">
        <f>IF(B82&gt;AW82,B82-AW82,0)</f>
        <v>62</v>
      </c>
      <c r="AY82" s="267">
        <v>508200.26</v>
      </c>
      <c r="AZ82" s="267">
        <v>0</v>
      </c>
      <c r="BA82" s="267">
        <v>0</v>
      </c>
      <c r="BB82" s="267">
        <f>SUM(AZ82:BA82)</f>
        <v>0</v>
      </c>
      <c r="BC82" s="380">
        <f>AY82+BB82</f>
        <v>508200.26</v>
      </c>
      <c r="BD82" s="3737"/>
      <c r="BE82" s="379">
        <v>50</v>
      </c>
      <c r="BF82" s="266">
        <f>IF(AX82&gt;BE82,AX82-BE82,0)</f>
        <v>12</v>
      </c>
      <c r="BG82" s="267">
        <v>306518.86</v>
      </c>
      <c r="BH82" s="267">
        <v>5562359.4199999999</v>
      </c>
      <c r="BI82" s="267">
        <v>4982866.2</v>
      </c>
      <c r="BJ82" s="267">
        <f>BH82+BI82</f>
        <v>10545225.620000001</v>
      </c>
      <c r="BK82" s="380">
        <f>BG82+BJ82</f>
        <v>10851744.48</v>
      </c>
      <c r="BL82" s="3737"/>
      <c r="BM82" s="379">
        <v>10</v>
      </c>
      <c r="BN82" s="266">
        <f>IF(BF82&gt;BM82,BF82-BM82,0)</f>
        <v>2</v>
      </c>
      <c r="BO82" s="267">
        <f>501059.03-83339.15-324519.11-246675.78</f>
        <v>-153475.00999999998</v>
      </c>
      <c r="BP82" s="267">
        <v>746474.83</v>
      </c>
      <c r="BQ82" s="267">
        <v>672965.35</v>
      </c>
      <c r="BR82" s="267">
        <f>BP82+BQ82</f>
        <v>1419440.18</v>
      </c>
      <c r="BS82" s="380">
        <f>BO82+BR82</f>
        <v>1265965.17</v>
      </c>
      <c r="BT82" s="3737"/>
      <c r="BU82" s="379">
        <v>0</v>
      </c>
      <c r="BV82" s="266">
        <f>IF(BN82&gt;BU82,BN82-BU82,0)</f>
        <v>2</v>
      </c>
      <c r="BW82" s="267"/>
      <c r="BX82" s="267">
        <v>0</v>
      </c>
      <c r="BY82" s="267">
        <v>0</v>
      </c>
      <c r="BZ82" s="267">
        <f>BX82+BY82</f>
        <v>0</v>
      </c>
      <c r="CA82" s="380">
        <f>BW82+BZ82</f>
        <v>0</v>
      </c>
      <c r="CB82" s="3737"/>
      <c r="CC82" s="379"/>
      <c r="CD82" s="266">
        <f>IF(BV82&gt;CC82,BV82-CC82,0)</f>
        <v>2</v>
      </c>
      <c r="CE82" s="267"/>
      <c r="CF82" s="267"/>
      <c r="CG82" s="267"/>
      <c r="CH82" s="267">
        <f>CF82+CG82</f>
        <v>0</v>
      </c>
      <c r="CI82" s="380">
        <f>CE82+CH82</f>
        <v>0</v>
      </c>
      <c r="CJ82" s="3737"/>
      <c r="CK82" s="379">
        <v>0</v>
      </c>
      <c r="CL82" s="266">
        <f>IF(CD82&gt;CK82,CD82-CK82,0)</f>
        <v>2</v>
      </c>
      <c r="CM82" s="267"/>
      <c r="CN82" s="267">
        <v>18134.900000000001</v>
      </c>
      <c r="CO82" s="267">
        <v>10897.84</v>
      </c>
      <c r="CP82" s="267">
        <f>CN82+CO82</f>
        <v>29032.74</v>
      </c>
      <c r="CQ82" s="380">
        <f>CM82+CP82</f>
        <v>29032.74</v>
      </c>
      <c r="CR82" s="3737"/>
      <c r="CS82" s="379">
        <v>0</v>
      </c>
      <c r="CT82" s="266">
        <f>IF(CL82&gt;CS82,CL82-CS82,0)</f>
        <v>2</v>
      </c>
      <c r="CU82" s="267">
        <v>0</v>
      </c>
      <c r="CV82" s="267">
        <v>0</v>
      </c>
      <c r="CW82" s="267">
        <v>0</v>
      </c>
      <c r="CX82" s="267">
        <f>CV82+CW82</f>
        <v>0</v>
      </c>
      <c r="CY82" s="380">
        <f>CU82+CX82</f>
        <v>0</v>
      </c>
      <c r="CZ82" s="3737"/>
      <c r="DA82" s="379">
        <v>0</v>
      </c>
      <c r="DB82" s="266">
        <f>IF(CT82&gt;DA82,CT82-DA82,0)</f>
        <v>2</v>
      </c>
      <c r="DC82" s="267">
        <v>0</v>
      </c>
      <c r="DD82" s="267">
        <v>0</v>
      </c>
      <c r="DE82" s="267">
        <v>0</v>
      </c>
      <c r="DF82" s="267">
        <f>DD82+DE82</f>
        <v>0</v>
      </c>
      <c r="DG82" s="380">
        <f>DC82+DF82</f>
        <v>0</v>
      </c>
      <c r="DH82" s="3737"/>
      <c r="DI82" s="1761">
        <f>Q82+Y82+AG82+AO82+AW82+BE82+BM82+BU82+CC82+CK82+CS82+DA82</f>
        <v>60</v>
      </c>
      <c r="DJ82" s="266">
        <f>IF(DB82&gt;DI82,DB82-DI82,0)</f>
        <v>0</v>
      </c>
      <c r="DK82" s="267">
        <f t="shared" ref="DK82:DM84" si="127">S82+AA82+AI82+AQ82+AY82+BG82+BO82+BW82+CE82+CM82+CU82+DC82</f>
        <v>2261497.52</v>
      </c>
      <c r="DL82" s="267">
        <f t="shared" si="127"/>
        <v>6326969.1500000004</v>
      </c>
      <c r="DM82" s="267">
        <f t="shared" si="127"/>
        <v>5666729.3899999997</v>
      </c>
      <c r="DN82" s="267">
        <f>DL82+DM82</f>
        <v>11993698.539999999</v>
      </c>
      <c r="DO82" s="380">
        <f>DK82+DN82</f>
        <v>14255196.059999999</v>
      </c>
      <c r="DP82" s="3737"/>
    </row>
    <row r="83" spans="1:156" x14ac:dyDescent="0.2">
      <c r="A83" s="260" t="s">
        <v>247</v>
      </c>
      <c r="B83" s="389">
        <v>54</v>
      </c>
      <c r="C83" s="262">
        <v>659.79</v>
      </c>
      <c r="D83" s="263">
        <f>E83/C83</f>
        <v>5069.9229999999998</v>
      </c>
      <c r="E83" s="264">
        <v>3345084.4961699997</v>
      </c>
      <c r="G83" s="106">
        <v>0</v>
      </c>
      <c r="H83" s="106">
        <v>0</v>
      </c>
      <c r="I83" s="106">
        <f>SUM(G83:H83)</f>
        <v>0</v>
      </c>
      <c r="J83" s="106">
        <v>325564.92</v>
      </c>
      <c r="K83" s="106">
        <v>0</v>
      </c>
      <c r="L83" s="106">
        <f>SUM(J83:K83)</f>
        <v>325564.92</v>
      </c>
      <c r="M83" s="106">
        <f t="shared" si="126"/>
        <v>325564.92</v>
      </c>
      <c r="N83" s="106">
        <f t="shared" si="126"/>
        <v>0</v>
      </c>
      <c r="O83" s="106">
        <f t="shared" si="126"/>
        <v>325564.92</v>
      </c>
      <c r="P83" s="3737"/>
      <c r="Q83" s="265">
        <v>0</v>
      </c>
      <c r="R83" s="266">
        <f>IF(B83&gt;Q83,B83-Q83,0)</f>
        <v>54</v>
      </c>
      <c r="S83" s="267">
        <v>0</v>
      </c>
      <c r="T83" s="267">
        <v>0</v>
      </c>
      <c r="U83" s="267">
        <v>0</v>
      </c>
      <c r="V83" s="267">
        <f>SUM(T83:U83)</f>
        <v>0</v>
      </c>
      <c r="W83" s="268">
        <f>SUM(S83:V83)</f>
        <v>0</v>
      </c>
      <c r="X83" s="3737"/>
      <c r="Y83" s="265">
        <v>0</v>
      </c>
      <c r="Z83" s="378">
        <f>IF(R83&gt;Y83,R83-Y83,0)</f>
        <v>54</v>
      </c>
      <c r="AA83" s="267">
        <v>20776.09</v>
      </c>
      <c r="AB83" s="267">
        <v>0</v>
      </c>
      <c r="AC83" s="267">
        <v>0</v>
      </c>
      <c r="AD83" s="267">
        <f>SUM(AB83:AC83)</f>
        <v>0</v>
      </c>
      <c r="AE83" s="268">
        <f>SUM(AA83:AD83)</f>
        <v>20776.09</v>
      </c>
      <c r="AF83" s="3737"/>
      <c r="AG83" s="265">
        <v>0</v>
      </c>
      <c r="AH83" s="266">
        <f>IF(R83&gt;AG83,R83-AG83,0)</f>
        <v>54</v>
      </c>
      <c r="AI83" s="267">
        <v>25538.17</v>
      </c>
      <c r="AJ83" s="267">
        <v>0</v>
      </c>
      <c r="AK83" s="267">
        <v>0</v>
      </c>
      <c r="AL83" s="267">
        <f>SUM(AJ83:AK83)</f>
        <v>0</v>
      </c>
      <c r="AM83" s="268">
        <f>SUM(AI83:AL83)</f>
        <v>25538.17</v>
      </c>
      <c r="AN83" s="3737"/>
      <c r="AO83" s="265">
        <v>0</v>
      </c>
      <c r="AP83" s="266">
        <f>IF(Z83&gt;AO83,Z83-AO83,0)</f>
        <v>54</v>
      </c>
      <c r="AQ83" s="267">
        <v>0</v>
      </c>
      <c r="AR83" s="267">
        <v>0</v>
      </c>
      <c r="AS83" s="267">
        <v>0</v>
      </c>
      <c r="AT83" s="267">
        <f>SUM(AR83:AS83)</f>
        <v>0</v>
      </c>
      <c r="AU83" s="268">
        <f>SUM(AQ83:AT83)</f>
        <v>0</v>
      </c>
      <c r="AV83" s="3737"/>
      <c r="AW83" s="379">
        <v>0</v>
      </c>
      <c r="AX83" s="266">
        <f>IF(B83&gt;AW83,B83-AW83,0)</f>
        <v>54</v>
      </c>
      <c r="AY83" s="267">
        <v>25276.11</v>
      </c>
      <c r="AZ83" s="267">
        <v>0</v>
      </c>
      <c r="BA83" s="267">
        <v>0</v>
      </c>
      <c r="BB83" s="267">
        <f>SUM(AZ83:BA83)</f>
        <v>0</v>
      </c>
      <c r="BC83" s="383">
        <f>AY83+BB83</f>
        <v>25276.11</v>
      </c>
      <c r="BD83" s="3737"/>
      <c r="BE83" s="379">
        <v>10</v>
      </c>
      <c r="BF83" s="266">
        <f>IF(AX83&gt;BE83,AX83-BE83,0)</f>
        <v>44</v>
      </c>
      <c r="BG83" s="267">
        <v>76848.759999999995</v>
      </c>
      <c r="BH83" s="267">
        <v>181852.68</v>
      </c>
      <c r="BI83" s="267">
        <v>136853.26</v>
      </c>
      <c r="BJ83" s="267">
        <f>SUM(BH83:BI83)</f>
        <v>318705.94</v>
      </c>
      <c r="BK83" s="383">
        <f>BG83+BJ83</f>
        <v>395554.7</v>
      </c>
      <c r="BL83" s="3737"/>
      <c r="BM83" s="379">
        <v>4</v>
      </c>
      <c r="BN83" s="266">
        <f>IF(BF83&gt;BM83,BF83-BM83,0)</f>
        <v>40</v>
      </c>
      <c r="BO83" s="267">
        <v>0</v>
      </c>
      <c r="BP83" s="267">
        <v>40110.910000000003</v>
      </c>
      <c r="BQ83" s="267">
        <v>29879.49</v>
      </c>
      <c r="BR83" s="267">
        <f>SUM(BP83:BQ83)</f>
        <v>69990.400000000009</v>
      </c>
      <c r="BS83" s="383">
        <f>BO83+BR83</f>
        <v>69990.400000000009</v>
      </c>
      <c r="BT83" s="3737"/>
      <c r="BU83" s="379">
        <v>0</v>
      </c>
      <c r="BV83" s="266">
        <f>IF(BN83&gt;BU83,BN83-BU83,0)</f>
        <v>40</v>
      </c>
      <c r="BW83" s="267"/>
      <c r="BX83" s="267">
        <v>0</v>
      </c>
      <c r="BY83" s="267">
        <v>0</v>
      </c>
      <c r="BZ83" s="267">
        <f>SUM(BX83:BY83)</f>
        <v>0</v>
      </c>
      <c r="CA83" s="383">
        <f>BW83+BZ83</f>
        <v>0</v>
      </c>
      <c r="CB83" s="3737"/>
      <c r="CC83" s="379"/>
      <c r="CD83" s="266">
        <f>IF(BV83&gt;CC83,BV83-CC83,0)</f>
        <v>40</v>
      </c>
      <c r="CE83" s="267">
        <v>42944</v>
      </c>
      <c r="CF83" s="267"/>
      <c r="CG83" s="267"/>
      <c r="CH83" s="267">
        <f>SUM(CF83:CG83)</f>
        <v>0</v>
      </c>
      <c r="CI83" s="383">
        <f>CE83+CH83</f>
        <v>42944</v>
      </c>
      <c r="CJ83" s="3737"/>
      <c r="CK83" s="379">
        <v>1</v>
      </c>
      <c r="CL83" s="266">
        <f>IF(CD83&gt;CK83,CD83-CK83,0)</f>
        <v>39</v>
      </c>
      <c r="CM83" s="267"/>
      <c r="CN83" s="267">
        <v>0</v>
      </c>
      <c r="CO83" s="267">
        <v>0</v>
      </c>
      <c r="CP83" s="267">
        <f>SUM(CN83:CO83)</f>
        <v>0</v>
      </c>
      <c r="CQ83" s="383">
        <f>CM83+CP83</f>
        <v>0</v>
      </c>
      <c r="CR83" s="3737"/>
      <c r="CS83" s="379">
        <v>0</v>
      </c>
      <c r="CT83" s="266">
        <f>IF(CL83&gt;CS83,CL83-CS83,0)+1</f>
        <v>40</v>
      </c>
      <c r="CU83" s="267">
        <v>0</v>
      </c>
      <c r="CV83" s="267">
        <v>0</v>
      </c>
      <c r="CW83" s="267">
        <v>0</v>
      </c>
      <c r="CX83" s="267">
        <f>SUM(CV83:CW83)</f>
        <v>0</v>
      </c>
      <c r="CY83" s="383">
        <f>CU83+CX83</f>
        <v>0</v>
      </c>
      <c r="CZ83" s="3737"/>
      <c r="DA83" s="379">
        <v>0</v>
      </c>
      <c r="DB83" s="266">
        <f>IF(CT83&gt;DA83,CT83-DA83,0)</f>
        <v>40</v>
      </c>
      <c r="DC83" s="267">
        <v>0</v>
      </c>
      <c r="DD83" s="267">
        <v>0</v>
      </c>
      <c r="DE83" s="267">
        <v>0</v>
      </c>
      <c r="DF83" s="267">
        <f>SUM(DD83:DE83)</f>
        <v>0</v>
      </c>
      <c r="DG83" s="383">
        <f>DC83+DF83</f>
        <v>0</v>
      </c>
      <c r="DH83" s="3737"/>
      <c r="DI83" s="1761">
        <f>Q83+Y83+AG83+AO83+AW83+BE83+BM83+BU83+CC83+CK83+CS83+DA83</f>
        <v>15</v>
      </c>
      <c r="DJ83" s="266">
        <f>IF(DB83&gt;DI83,DB83-DI83,0)</f>
        <v>25</v>
      </c>
      <c r="DK83" s="267">
        <f t="shared" si="127"/>
        <v>191383.13</v>
      </c>
      <c r="DL83" s="267">
        <f t="shared" si="127"/>
        <v>221963.59</v>
      </c>
      <c r="DM83" s="267">
        <f t="shared" si="127"/>
        <v>166732.75</v>
      </c>
      <c r="DN83" s="267">
        <f>SUM(DL83:DM83)</f>
        <v>388696.33999999997</v>
      </c>
      <c r="DO83" s="383">
        <f>DK83+DN83</f>
        <v>580079.47</v>
      </c>
      <c r="DP83" s="3737"/>
    </row>
    <row r="84" spans="1:156" ht="13.5" thickBot="1" x14ac:dyDescent="0.25">
      <c r="A84" s="390" t="s">
        <v>276</v>
      </c>
      <c r="B84" s="391">
        <v>13</v>
      </c>
      <c r="C84" s="392">
        <v>759.26</v>
      </c>
      <c r="D84" s="393">
        <f>E84/C84</f>
        <v>3685.2499802439215</v>
      </c>
      <c r="E84" s="394">
        <v>2798062.9</v>
      </c>
      <c r="G84" s="106">
        <v>0</v>
      </c>
      <c r="H84" s="106">
        <v>0</v>
      </c>
      <c r="I84" s="106">
        <f>SUM(G84:H84)</f>
        <v>0</v>
      </c>
      <c r="J84" s="106">
        <v>2798062.19</v>
      </c>
      <c r="K84" s="106">
        <v>0</v>
      </c>
      <c r="L84" s="106">
        <f>SUM(J84:K84)</f>
        <v>2798062.19</v>
      </c>
      <c r="M84" s="106">
        <f t="shared" si="126"/>
        <v>2798062.19</v>
      </c>
      <c r="N84" s="106">
        <f t="shared" si="126"/>
        <v>0</v>
      </c>
      <c r="O84" s="106">
        <f t="shared" si="126"/>
        <v>2798062.19</v>
      </c>
      <c r="P84" s="3737"/>
      <c r="Q84" s="275">
        <v>0</v>
      </c>
      <c r="R84" s="378">
        <f>IF(B84&gt;Q84,B84-Q84,0)</f>
        <v>13</v>
      </c>
      <c r="S84" s="276">
        <v>0</v>
      </c>
      <c r="T84" s="276">
        <v>0</v>
      </c>
      <c r="U84" s="276">
        <v>0</v>
      </c>
      <c r="V84" s="257">
        <f>SUM(T84:U84)</f>
        <v>0</v>
      </c>
      <c r="W84" s="395">
        <f>SUM(S84:V84)</f>
        <v>0</v>
      </c>
      <c r="X84" s="3737"/>
      <c r="Y84" s="275">
        <v>0</v>
      </c>
      <c r="Z84" s="378">
        <f>IF(R84&gt;Y84,R84-Y84,0)</f>
        <v>13</v>
      </c>
      <c r="AA84" s="276">
        <v>0</v>
      </c>
      <c r="AB84" s="276">
        <v>0</v>
      </c>
      <c r="AC84" s="276">
        <v>0</v>
      </c>
      <c r="AD84" s="257">
        <f>SUM(AB84:AC84)</f>
        <v>0</v>
      </c>
      <c r="AE84" s="395">
        <f>SUM(AA84:AD84)</f>
        <v>0</v>
      </c>
      <c r="AF84" s="3737"/>
      <c r="AG84" s="275">
        <v>0</v>
      </c>
      <c r="AH84" s="378">
        <f>IF(R84&gt;AG84,R84-AG84,0)</f>
        <v>13</v>
      </c>
      <c r="AI84" s="276">
        <v>0</v>
      </c>
      <c r="AJ84" s="276">
        <v>0</v>
      </c>
      <c r="AK84" s="276">
        <v>0</v>
      </c>
      <c r="AL84" s="257">
        <f>SUM(AJ84:AK84)</f>
        <v>0</v>
      </c>
      <c r="AM84" s="395">
        <f>SUM(AI84:AL84)</f>
        <v>0</v>
      </c>
      <c r="AN84" s="3737"/>
      <c r="AO84" s="275">
        <v>0</v>
      </c>
      <c r="AP84" s="378">
        <f>IF(Z84&gt;AO84,Z84-AO84,0)</f>
        <v>13</v>
      </c>
      <c r="AQ84" s="276">
        <v>0</v>
      </c>
      <c r="AR84" s="276">
        <v>0</v>
      </c>
      <c r="AS84" s="276">
        <v>0</v>
      </c>
      <c r="AT84" s="257">
        <f>SUM(AR84:AS84)</f>
        <v>0</v>
      </c>
      <c r="AU84" s="395">
        <f>SUM(AQ84:AT84)</f>
        <v>0</v>
      </c>
      <c r="AV84" s="3737"/>
      <c r="AW84" s="382">
        <v>0</v>
      </c>
      <c r="AX84" s="266">
        <f>IF(B84&gt;AW84,B84-AW84,0)</f>
        <v>13</v>
      </c>
      <c r="AY84" s="276">
        <v>0</v>
      </c>
      <c r="AZ84" s="276">
        <v>0</v>
      </c>
      <c r="BA84" s="276">
        <v>0</v>
      </c>
      <c r="BB84" s="276">
        <f>SUM(AZ84:BA84)</f>
        <v>0</v>
      </c>
      <c r="BC84" s="383">
        <f>AY84+BB84</f>
        <v>0</v>
      </c>
      <c r="BD84" s="3737"/>
      <c r="BE84" s="382">
        <v>0</v>
      </c>
      <c r="BF84" s="266">
        <f>IF(AX84&gt;BE84,AX84-BE84,0)</f>
        <v>13</v>
      </c>
      <c r="BG84" s="276">
        <v>0</v>
      </c>
      <c r="BH84" s="276">
        <v>0</v>
      </c>
      <c r="BI84" s="276">
        <v>0</v>
      </c>
      <c r="BJ84" s="276">
        <f>BH84+BI84</f>
        <v>0</v>
      </c>
      <c r="BK84" s="383">
        <f>BG84+BJ84</f>
        <v>0</v>
      </c>
      <c r="BL84" s="3737"/>
      <c r="BM84" s="382">
        <v>0</v>
      </c>
      <c r="BN84" s="266">
        <f>IF(BF84&gt;BM84,BF84-BM84,0)</f>
        <v>13</v>
      </c>
      <c r="BO84" s="276">
        <v>0</v>
      </c>
      <c r="BP84" s="276">
        <v>0</v>
      </c>
      <c r="BQ84" s="276">
        <v>0</v>
      </c>
      <c r="BR84" s="276">
        <f>BP84+BQ84</f>
        <v>0</v>
      </c>
      <c r="BS84" s="383">
        <f>BO84+BR84</f>
        <v>0</v>
      </c>
      <c r="BT84" s="3737"/>
      <c r="BU84" s="382">
        <v>0</v>
      </c>
      <c r="BV84" s="266">
        <f>IF(BN84&gt;BU84,BN84-BU84,0)</f>
        <v>13</v>
      </c>
      <c r="BW84" s="276"/>
      <c r="BX84" s="276">
        <v>0</v>
      </c>
      <c r="BY84" s="276">
        <v>0</v>
      </c>
      <c r="BZ84" s="276">
        <f>BX84+BY84</f>
        <v>0</v>
      </c>
      <c r="CA84" s="383">
        <f>BW84+BZ84</f>
        <v>0</v>
      </c>
      <c r="CB84" s="3737"/>
      <c r="CC84" s="382"/>
      <c r="CD84" s="266">
        <f>IF(BV84&gt;CC84,BV84-CC84,0)</f>
        <v>13</v>
      </c>
      <c r="CE84" s="276"/>
      <c r="CF84" s="276"/>
      <c r="CG84" s="276"/>
      <c r="CH84" s="276">
        <f>CF84+CG84</f>
        <v>0</v>
      </c>
      <c r="CI84" s="383">
        <f>CE84+CH84</f>
        <v>0</v>
      </c>
      <c r="CJ84" s="3737"/>
      <c r="CK84" s="382">
        <v>0</v>
      </c>
      <c r="CL84" s="266">
        <f>IF(CD84&gt;CK84,CD84-CK84,0)</f>
        <v>13</v>
      </c>
      <c r="CM84" s="276"/>
      <c r="CN84" s="276">
        <v>0</v>
      </c>
      <c r="CO84" s="276">
        <v>0</v>
      </c>
      <c r="CP84" s="276">
        <f>CN84+CO84</f>
        <v>0</v>
      </c>
      <c r="CQ84" s="383">
        <f>CM84+CP84</f>
        <v>0</v>
      </c>
      <c r="CR84" s="3737"/>
      <c r="CS84" s="382">
        <v>13</v>
      </c>
      <c r="CT84" s="266">
        <f>IF(CL84&gt;CS84,CL84-CS84,0)</f>
        <v>0</v>
      </c>
      <c r="CU84" s="276">
        <v>0</v>
      </c>
      <c r="CV84" s="276">
        <v>0</v>
      </c>
      <c r="CW84" s="276">
        <v>0</v>
      </c>
      <c r="CX84" s="276">
        <f>CV84+CW84</f>
        <v>0</v>
      </c>
      <c r="CY84" s="383">
        <f>CU84+CX84</f>
        <v>0</v>
      </c>
      <c r="CZ84" s="3737"/>
      <c r="DA84" s="382">
        <v>0</v>
      </c>
      <c r="DB84" s="266">
        <f>IF(CT84&gt;DA84,CT84-DA84,0)</f>
        <v>0</v>
      </c>
      <c r="DC84" s="276">
        <v>68051.78</v>
      </c>
      <c r="DD84" s="276">
        <v>0</v>
      </c>
      <c r="DE84" s="276">
        <v>0</v>
      </c>
      <c r="DF84" s="276">
        <f>DD84+DE84</f>
        <v>0</v>
      </c>
      <c r="DG84" s="383">
        <f>DC84+DF84</f>
        <v>68051.78</v>
      </c>
      <c r="DH84" s="3737"/>
      <c r="DI84" s="1761">
        <f>Q84+Y84+AG84+AO84+AW84+BE84+BM84+BU84+CC84+CK84+CS84+DA84</f>
        <v>13</v>
      </c>
      <c r="DJ84" s="266">
        <f>IF(DB84&gt;DI84,DB84-DI84,0)</f>
        <v>0</v>
      </c>
      <c r="DK84" s="267">
        <f t="shared" si="127"/>
        <v>68051.78</v>
      </c>
      <c r="DL84" s="267">
        <f t="shared" si="127"/>
        <v>0</v>
      </c>
      <c r="DM84" s="267">
        <f t="shared" si="127"/>
        <v>0</v>
      </c>
      <c r="DN84" s="276">
        <f>DL84+DM84</f>
        <v>0</v>
      </c>
      <c r="DO84" s="383">
        <f>DK84+DN84</f>
        <v>68051.78</v>
      </c>
      <c r="DP84" s="3737"/>
    </row>
    <row r="85" spans="1:156" s="100" customFormat="1" ht="13.5" thickBot="1" x14ac:dyDescent="0.25">
      <c r="A85" s="320" t="s">
        <v>296</v>
      </c>
      <c r="B85" s="384">
        <f>SUM(B82:B84)</f>
        <v>129</v>
      </c>
      <c r="C85" s="322">
        <f>SUM(C82:C84)</f>
        <v>5722.85</v>
      </c>
      <c r="D85" s="385">
        <f>E85/C85</f>
        <v>6301.0804231196007</v>
      </c>
      <c r="E85" s="324">
        <f>SUM(E82:E84)</f>
        <v>36060138.099450007</v>
      </c>
      <c r="F85" s="285"/>
      <c r="G85" s="285">
        <f t="shared" ref="G85:O85" si="128">SUM(G82:G84)</f>
        <v>0</v>
      </c>
      <c r="H85" s="285">
        <f t="shared" si="128"/>
        <v>0</v>
      </c>
      <c r="I85" s="285">
        <f t="shared" si="128"/>
        <v>0</v>
      </c>
      <c r="J85" s="285">
        <f t="shared" si="128"/>
        <v>18966786.990000002</v>
      </c>
      <c r="K85" s="285">
        <f t="shared" si="128"/>
        <v>0</v>
      </c>
      <c r="L85" s="285">
        <f t="shared" si="128"/>
        <v>18966786.990000002</v>
      </c>
      <c r="M85" s="285">
        <f t="shared" si="128"/>
        <v>18966786.990000002</v>
      </c>
      <c r="N85" s="285">
        <f t="shared" si="128"/>
        <v>0</v>
      </c>
      <c r="O85" s="285">
        <f t="shared" si="128"/>
        <v>18966786.990000002</v>
      </c>
      <c r="P85" s="3737"/>
      <c r="Q85" s="318">
        <f t="shared" ref="Q85:W85" si="129">SUM(Q82:Q84)</f>
        <v>0</v>
      </c>
      <c r="R85" s="287">
        <f t="shared" si="129"/>
        <v>129</v>
      </c>
      <c r="S85" s="290">
        <f t="shared" si="129"/>
        <v>763456.15</v>
      </c>
      <c r="T85" s="290">
        <f t="shared" si="129"/>
        <v>0</v>
      </c>
      <c r="U85" s="290">
        <f t="shared" si="129"/>
        <v>0</v>
      </c>
      <c r="V85" s="290">
        <f t="shared" si="129"/>
        <v>0</v>
      </c>
      <c r="W85" s="291">
        <f t="shared" si="129"/>
        <v>763456.15</v>
      </c>
      <c r="X85" s="3737"/>
      <c r="Y85" s="318">
        <f t="shared" ref="Y85:AE85" si="130">SUM(Y82:Y84)</f>
        <v>0</v>
      </c>
      <c r="Z85" s="287">
        <f t="shared" si="130"/>
        <v>129</v>
      </c>
      <c r="AA85" s="290">
        <f t="shared" si="130"/>
        <v>418403.09</v>
      </c>
      <c r="AB85" s="290">
        <f t="shared" si="130"/>
        <v>0</v>
      </c>
      <c r="AC85" s="290">
        <f t="shared" si="130"/>
        <v>0</v>
      </c>
      <c r="AD85" s="290">
        <f t="shared" si="130"/>
        <v>0</v>
      </c>
      <c r="AE85" s="291">
        <f t="shared" si="130"/>
        <v>418403.09</v>
      </c>
      <c r="AF85" s="3737"/>
      <c r="AG85" s="318">
        <f t="shared" ref="AG85:AM85" si="131">SUM(AG82:AG84)</f>
        <v>0</v>
      </c>
      <c r="AH85" s="287">
        <f t="shared" si="131"/>
        <v>129</v>
      </c>
      <c r="AI85" s="290">
        <f t="shared" si="131"/>
        <v>464708.43</v>
      </c>
      <c r="AJ85" s="290">
        <f t="shared" si="131"/>
        <v>0</v>
      </c>
      <c r="AK85" s="290">
        <f t="shared" si="131"/>
        <v>0</v>
      </c>
      <c r="AL85" s="290">
        <f t="shared" si="131"/>
        <v>0</v>
      </c>
      <c r="AM85" s="291">
        <f t="shared" si="131"/>
        <v>464708.43</v>
      </c>
      <c r="AN85" s="3737"/>
      <c r="AO85" s="318">
        <f t="shared" ref="AO85:AU85" si="132">SUM(AO82:AO84)</f>
        <v>0</v>
      </c>
      <c r="AP85" s="287">
        <f t="shared" si="132"/>
        <v>129</v>
      </c>
      <c r="AQ85" s="290">
        <f t="shared" si="132"/>
        <v>0</v>
      </c>
      <c r="AR85" s="290">
        <f t="shared" si="132"/>
        <v>0</v>
      </c>
      <c r="AS85" s="290">
        <f t="shared" si="132"/>
        <v>0</v>
      </c>
      <c r="AT85" s="290">
        <f t="shared" si="132"/>
        <v>0</v>
      </c>
      <c r="AU85" s="291">
        <f t="shared" si="132"/>
        <v>0</v>
      </c>
      <c r="AV85" s="3737"/>
      <c r="AW85" s="287">
        <f t="shared" ref="AW85:BC85" si="133">SUM(AW82:AW84)</f>
        <v>0</v>
      </c>
      <c r="AX85" s="287">
        <f t="shared" si="133"/>
        <v>129</v>
      </c>
      <c r="AY85" s="290">
        <f t="shared" si="133"/>
        <v>533476.37</v>
      </c>
      <c r="AZ85" s="290">
        <f t="shared" si="133"/>
        <v>0</v>
      </c>
      <c r="BA85" s="290">
        <f t="shared" si="133"/>
        <v>0</v>
      </c>
      <c r="BB85" s="290">
        <f t="shared" si="133"/>
        <v>0</v>
      </c>
      <c r="BC85" s="290">
        <f t="shared" si="133"/>
        <v>533476.37</v>
      </c>
      <c r="BD85" s="3737"/>
      <c r="BE85" s="287">
        <f t="shared" ref="BE85:BK85" si="134">SUM(BE82:BE84)</f>
        <v>60</v>
      </c>
      <c r="BF85" s="287">
        <f t="shared" si="134"/>
        <v>69</v>
      </c>
      <c r="BG85" s="290">
        <f t="shared" si="134"/>
        <v>383367.62</v>
      </c>
      <c r="BH85" s="290">
        <f t="shared" si="134"/>
        <v>5744212.0999999996</v>
      </c>
      <c r="BI85" s="290">
        <f t="shared" si="134"/>
        <v>5119719.46</v>
      </c>
      <c r="BJ85" s="290">
        <f t="shared" si="134"/>
        <v>10863931.560000001</v>
      </c>
      <c r="BK85" s="290">
        <f t="shared" si="134"/>
        <v>11247299.18</v>
      </c>
      <c r="BL85" s="3737"/>
      <c r="BM85" s="287">
        <f t="shared" ref="BM85:BS85" si="135">SUM(BM82:BM84)</f>
        <v>14</v>
      </c>
      <c r="BN85" s="287">
        <f t="shared" si="135"/>
        <v>55</v>
      </c>
      <c r="BO85" s="290">
        <f t="shared" si="135"/>
        <v>-153475.00999999998</v>
      </c>
      <c r="BP85" s="290">
        <f t="shared" si="135"/>
        <v>786585.74</v>
      </c>
      <c r="BQ85" s="290">
        <f t="shared" si="135"/>
        <v>702844.84</v>
      </c>
      <c r="BR85" s="290">
        <f t="shared" si="135"/>
        <v>1489430.5799999998</v>
      </c>
      <c r="BS85" s="290">
        <f t="shared" si="135"/>
        <v>1335955.5699999998</v>
      </c>
      <c r="BT85" s="3737"/>
      <c r="BU85" s="287">
        <f t="shared" ref="BU85:CA85" si="136">SUM(BU82:BU84)</f>
        <v>0</v>
      </c>
      <c r="BV85" s="287">
        <f t="shared" si="136"/>
        <v>55</v>
      </c>
      <c r="BW85" s="290">
        <f t="shared" si="136"/>
        <v>0</v>
      </c>
      <c r="BX85" s="290">
        <f t="shared" si="136"/>
        <v>0</v>
      </c>
      <c r="BY85" s="290">
        <f t="shared" si="136"/>
        <v>0</v>
      </c>
      <c r="BZ85" s="290">
        <f t="shared" si="136"/>
        <v>0</v>
      </c>
      <c r="CA85" s="290">
        <f t="shared" si="136"/>
        <v>0</v>
      </c>
      <c r="CB85" s="3737"/>
      <c r="CC85" s="287">
        <f t="shared" ref="CC85:CI85" si="137">SUM(CC82:CC84)</f>
        <v>0</v>
      </c>
      <c r="CD85" s="287">
        <f t="shared" si="137"/>
        <v>55</v>
      </c>
      <c r="CE85" s="290">
        <f t="shared" si="137"/>
        <v>42944</v>
      </c>
      <c r="CF85" s="290">
        <f t="shared" si="137"/>
        <v>0</v>
      </c>
      <c r="CG85" s="290">
        <f t="shared" si="137"/>
        <v>0</v>
      </c>
      <c r="CH85" s="290">
        <f t="shared" si="137"/>
        <v>0</v>
      </c>
      <c r="CI85" s="290">
        <f t="shared" si="137"/>
        <v>42944</v>
      </c>
      <c r="CJ85" s="3737"/>
      <c r="CK85" s="287">
        <f t="shared" ref="CK85:CQ85" si="138">SUM(CK82:CK84)</f>
        <v>1</v>
      </c>
      <c r="CL85" s="287">
        <f t="shared" si="138"/>
        <v>54</v>
      </c>
      <c r="CM85" s="290">
        <f t="shared" si="138"/>
        <v>0</v>
      </c>
      <c r="CN85" s="290">
        <f t="shared" si="138"/>
        <v>18134.900000000001</v>
      </c>
      <c r="CO85" s="290">
        <f t="shared" si="138"/>
        <v>10897.84</v>
      </c>
      <c r="CP85" s="290">
        <f t="shared" si="138"/>
        <v>29032.74</v>
      </c>
      <c r="CQ85" s="290">
        <f t="shared" si="138"/>
        <v>29032.74</v>
      </c>
      <c r="CR85" s="3737"/>
      <c r="CS85" s="287">
        <f t="shared" ref="CS85:CY85" si="139">SUM(CS82:CS84)</f>
        <v>13</v>
      </c>
      <c r="CT85" s="287">
        <f t="shared" si="139"/>
        <v>42</v>
      </c>
      <c r="CU85" s="290">
        <f t="shared" si="139"/>
        <v>0</v>
      </c>
      <c r="CV85" s="290">
        <f t="shared" si="139"/>
        <v>0</v>
      </c>
      <c r="CW85" s="290">
        <f t="shared" si="139"/>
        <v>0</v>
      </c>
      <c r="CX85" s="290">
        <f t="shared" si="139"/>
        <v>0</v>
      </c>
      <c r="CY85" s="290">
        <f t="shared" si="139"/>
        <v>0</v>
      </c>
      <c r="CZ85" s="3737"/>
      <c r="DA85" s="287">
        <f t="shared" ref="DA85:DG85" si="140">SUM(DA82:DA84)</f>
        <v>0</v>
      </c>
      <c r="DB85" s="287">
        <f t="shared" si="140"/>
        <v>42</v>
      </c>
      <c r="DC85" s="290">
        <f t="shared" si="140"/>
        <v>68051.78</v>
      </c>
      <c r="DD85" s="290">
        <f t="shared" si="140"/>
        <v>0</v>
      </c>
      <c r="DE85" s="290">
        <f t="shared" si="140"/>
        <v>0</v>
      </c>
      <c r="DF85" s="290">
        <f t="shared" si="140"/>
        <v>0</v>
      </c>
      <c r="DG85" s="290">
        <f t="shared" si="140"/>
        <v>68051.78</v>
      </c>
      <c r="DH85" s="3737"/>
      <c r="DI85" s="287">
        <f t="shared" ref="DI85:DO85" si="141">SUM(DI82:DI84)</f>
        <v>88</v>
      </c>
      <c r="DJ85" s="287">
        <f t="shared" si="141"/>
        <v>25</v>
      </c>
      <c r="DK85" s="290">
        <f t="shared" si="141"/>
        <v>2520932.4299999997</v>
      </c>
      <c r="DL85" s="290">
        <f t="shared" si="141"/>
        <v>6548932.7400000002</v>
      </c>
      <c r="DM85" s="290">
        <f t="shared" si="141"/>
        <v>5833462.1399999997</v>
      </c>
      <c r="DN85" s="290">
        <f t="shared" si="141"/>
        <v>12382394.879999999</v>
      </c>
      <c r="DO85" s="290">
        <f t="shared" si="141"/>
        <v>14903327.309999999</v>
      </c>
      <c r="DP85" s="3737"/>
      <c r="DQ85" s="104"/>
      <c r="DR85" s="104"/>
      <c r="DS85" s="104"/>
      <c r="DT85" s="104"/>
      <c r="DU85" s="293"/>
      <c r="DV85" s="293"/>
      <c r="DW85" s="293"/>
      <c r="DX85" s="294"/>
      <c r="DY85" s="294"/>
      <c r="DZ85" s="294"/>
      <c r="EA85" s="295"/>
      <c r="EB85" s="295"/>
      <c r="EC85" s="294"/>
      <c r="ED85" s="294"/>
      <c r="EE85" s="294"/>
      <c r="EF85" s="104"/>
      <c r="EG85" s="104"/>
      <c r="EH85" s="104"/>
      <c r="EI85" s="104"/>
      <c r="EJ85" s="104"/>
      <c r="EK85" s="104"/>
      <c r="EL85" s="104"/>
      <c r="EM85" s="104"/>
      <c r="EN85" s="104"/>
      <c r="EO85" s="104"/>
      <c r="EP85" s="104"/>
      <c r="EQ85" s="104"/>
      <c r="ER85" s="104"/>
      <c r="ES85" s="104"/>
      <c r="ET85" s="104"/>
      <c r="EU85" s="104"/>
      <c r="EV85" s="104"/>
      <c r="EW85" s="104"/>
      <c r="EX85" s="104"/>
      <c r="EY85" s="104"/>
      <c r="EZ85" s="104"/>
    </row>
    <row r="86" spans="1:156" s="100" customFormat="1" ht="13.5" thickBot="1" x14ac:dyDescent="0.25">
      <c r="B86" s="326"/>
      <c r="C86" s="396"/>
      <c r="D86" s="397"/>
      <c r="E86" s="285"/>
      <c r="F86" s="285"/>
      <c r="G86" s="285"/>
      <c r="H86" s="285"/>
      <c r="I86" s="285"/>
      <c r="J86" s="285"/>
      <c r="K86" s="285"/>
      <c r="L86" s="285"/>
      <c r="M86" s="285"/>
      <c r="N86" s="285"/>
      <c r="O86" s="285"/>
      <c r="P86" s="3737"/>
      <c r="S86" s="104"/>
      <c r="T86" s="104"/>
      <c r="U86" s="104"/>
      <c r="V86" s="104"/>
      <c r="W86" s="104"/>
      <c r="X86" s="3737"/>
      <c r="AA86" s="104"/>
      <c r="AB86" s="104"/>
      <c r="AC86" s="104"/>
      <c r="AD86" s="104"/>
      <c r="AE86" s="104"/>
      <c r="AF86" s="3737"/>
      <c r="AI86" s="104"/>
      <c r="AJ86" s="104"/>
      <c r="AK86" s="104"/>
      <c r="AL86" s="104"/>
      <c r="AM86" s="104"/>
      <c r="AN86" s="3737"/>
      <c r="AQ86" s="104"/>
      <c r="AR86" s="104"/>
      <c r="AS86" s="104"/>
      <c r="AT86" s="104"/>
      <c r="AU86" s="104"/>
      <c r="AV86" s="3737"/>
      <c r="AW86" s="348"/>
      <c r="AX86" s="348"/>
      <c r="AY86" s="349"/>
      <c r="AZ86" s="349"/>
      <c r="BA86" s="349"/>
      <c r="BB86" s="349"/>
      <c r="BC86" s="349"/>
      <c r="BD86" s="3737"/>
      <c r="BE86" s="104"/>
      <c r="BF86" s="104"/>
      <c r="BG86" s="104"/>
      <c r="BH86" s="104"/>
      <c r="BI86" s="104"/>
      <c r="BJ86" s="104"/>
      <c r="BK86" s="104"/>
      <c r="BL86" s="3737"/>
      <c r="BM86" s="104"/>
      <c r="BN86" s="104"/>
      <c r="BO86" s="104"/>
      <c r="BP86" s="104"/>
      <c r="BQ86" s="104"/>
      <c r="BR86" s="104"/>
      <c r="BS86" s="104"/>
      <c r="BT86" s="3737"/>
      <c r="BU86" s="104"/>
      <c r="BV86" s="104"/>
      <c r="BW86" s="104"/>
      <c r="BX86" s="104"/>
      <c r="BY86" s="104"/>
      <c r="BZ86" s="104"/>
      <c r="CA86" s="104"/>
      <c r="CB86" s="3737"/>
      <c r="CC86" s="104"/>
      <c r="CD86" s="104"/>
      <c r="CE86" s="104"/>
      <c r="CF86" s="104"/>
      <c r="CG86" s="104"/>
      <c r="CH86" s="104"/>
      <c r="CI86" s="104"/>
      <c r="CJ86" s="3737"/>
      <c r="CK86" s="104"/>
      <c r="CL86" s="104"/>
      <c r="CM86" s="104"/>
      <c r="CN86" s="104"/>
      <c r="CO86" s="104"/>
      <c r="CP86" s="104"/>
      <c r="CQ86" s="104"/>
      <c r="CR86" s="3737"/>
      <c r="CS86" s="104"/>
      <c r="CT86" s="104"/>
      <c r="CU86" s="104"/>
      <c r="CV86" s="104"/>
      <c r="CW86" s="104"/>
      <c r="CX86" s="104"/>
      <c r="CY86" s="104"/>
      <c r="CZ86" s="3737"/>
      <c r="DA86" s="104"/>
      <c r="DB86" s="104"/>
      <c r="DC86" s="104"/>
      <c r="DD86" s="104"/>
      <c r="DE86" s="104"/>
      <c r="DF86" s="104"/>
      <c r="DG86" s="104"/>
      <c r="DH86" s="3737"/>
      <c r="DI86" s="104"/>
      <c r="DJ86" s="104"/>
      <c r="DK86" s="104"/>
      <c r="DL86" s="104"/>
      <c r="DM86" s="104"/>
      <c r="DN86" s="104"/>
      <c r="DO86" s="104"/>
      <c r="DP86" s="3737"/>
      <c r="DQ86" s="104"/>
      <c r="DR86" s="104"/>
      <c r="DS86" s="104"/>
      <c r="DT86" s="104"/>
      <c r="DU86" s="293"/>
      <c r="DV86" s="293"/>
      <c r="DW86" s="293"/>
      <c r="DX86" s="294"/>
      <c r="DY86" s="294"/>
      <c r="DZ86" s="294"/>
      <c r="EA86" s="295"/>
      <c r="EB86" s="295"/>
      <c r="EC86" s="294"/>
      <c r="ED86" s="294"/>
      <c r="EE86" s="294"/>
      <c r="EF86" s="104"/>
      <c r="EG86" s="104"/>
      <c r="EH86" s="104"/>
      <c r="EI86" s="104"/>
      <c r="EJ86" s="104"/>
      <c r="EK86" s="104"/>
      <c r="EL86" s="104"/>
      <c r="EM86" s="104"/>
      <c r="EN86" s="104"/>
      <c r="EO86" s="104"/>
      <c r="EP86" s="104"/>
      <c r="EQ86" s="104"/>
      <c r="ER86" s="104"/>
      <c r="ES86" s="104"/>
      <c r="ET86" s="104"/>
      <c r="EU86" s="104"/>
      <c r="EV86" s="104"/>
      <c r="EW86" s="104"/>
      <c r="EX86" s="104"/>
      <c r="EY86" s="104"/>
      <c r="EZ86" s="104"/>
    </row>
    <row r="87" spans="1:156" s="100" customFormat="1" ht="13.5" thickBot="1" x14ac:dyDescent="0.25">
      <c r="A87" s="1624" t="s">
        <v>336</v>
      </c>
      <c r="B87" s="384">
        <v>37</v>
      </c>
      <c r="C87" s="322">
        <v>2360</v>
      </c>
      <c r="D87" s="385">
        <f>E87/C87</f>
        <v>7456.1535381355934</v>
      </c>
      <c r="E87" s="324">
        <v>17596522.350000001</v>
      </c>
      <c r="F87" s="285"/>
      <c r="G87" s="285"/>
      <c r="H87" s="285"/>
      <c r="I87" s="285"/>
      <c r="J87" s="285"/>
      <c r="K87" s="285"/>
      <c r="L87" s="285"/>
      <c r="M87" s="285"/>
      <c r="N87" s="285"/>
      <c r="O87" s="285"/>
      <c r="P87" s="3750"/>
      <c r="Q87" s="318">
        <v>0</v>
      </c>
      <c r="R87" s="287">
        <f>IF(B87&gt;Q87,B87-Q87,0)</f>
        <v>37</v>
      </c>
      <c r="S87" s="290">
        <v>258608.82</v>
      </c>
      <c r="T87" s="290">
        <v>0</v>
      </c>
      <c r="U87" s="290">
        <v>0</v>
      </c>
      <c r="V87" s="290">
        <f>SUM(T87:U87)</f>
        <v>0</v>
      </c>
      <c r="W87" s="291">
        <f>S87+V87</f>
        <v>258608.82</v>
      </c>
      <c r="X87" s="3738"/>
      <c r="Y87" s="318">
        <v>0</v>
      </c>
      <c r="Z87" s="287">
        <f>IF(R87&gt;Y87,R87-Y87,0)</f>
        <v>37</v>
      </c>
      <c r="AA87" s="290">
        <v>5476686.2400000002</v>
      </c>
      <c r="AB87" s="290">
        <v>0</v>
      </c>
      <c r="AC87" s="290">
        <v>0</v>
      </c>
      <c r="AD87" s="290">
        <f>SUM(AB87:AC87)</f>
        <v>0</v>
      </c>
      <c r="AE87" s="291">
        <f>AA87+AD87</f>
        <v>5476686.2400000002</v>
      </c>
      <c r="AF87" s="3742"/>
      <c r="AG87" s="318">
        <v>0</v>
      </c>
      <c r="AH87" s="287">
        <f>IF(R87&gt;AG87,R87-AG87,0)</f>
        <v>37</v>
      </c>
      <c r="AI87" s="290">
        <v>476483.69</v>
      </c>
      <c r="AJ87" s="290">
        <v>0</v>
      </c>
      <c r="AK87" s="290">
        <v>0</v>
      </c>
      <c r="AL87" s="290">
        <f>SUM(AJ87:AK87)</f>
        <v>0</v>
      </c>
      <c r="AM87" s="291">
        <f>AI87+AL87</f>
        <v>476483.69</v>
      </c>
      <c r="AN87" s="3737"/>
      <c r="AO87" s="318">
        <v>0</v>
      </c>
      <c r="AP87" s="287">
        <f>IF(Z87&gt;AO87,Z87-AO87,0)</f>
        <v>37</v>
      </c>
      <c r="AQ87" s="290">
        <v>2786672.02</v>
      </c>
      <c r="AR87" s="290">
        <v>0</v>
      </c>
      <c r="AS87" s="290">
        <v>0</v>
      </c>
      <c r="AT87" s="290">
        <f>SUM(AR87:AS87)</f>
        <v>0</v>
      </c>
      <c r="AU87" s="291">
        <f>AQ87+AT87</f>
        <v>2786672.02</v>
      </c>
      <c r="AV87" s="3737"/>
      <c r="AW87" s="318">
        <v>0</v>
      </c>
      <c r="AX87" s="287">
        <f>IF(AH87&gt;AW87,AH87-AW87,0)</f>
        <v>37</v>
      </c>
      <c r="AY87" s="290">
        <v>3658072.51</v>
      </c>
      <c r="AZ87" s="290">
        <v>0</v>
      </c>
      <c r="BA87" s="290">
        <v>0</v>
      </c>
      <c r="BB87" s="290">
        <f>SUM(AZ87:BA87)</f>
        <v>0</v>
      </c>
      <c r="BC87" s="291">
        <f>AY87+BB87</f>
        <v>3658072.51</v>
      </c>
      <c r="BD87" s="3737"/>
      <c r="BE87" s="318">
        <v>0</v>
      </c>
      <c r="BF87" s="287">
        <f>IF(AP87&gt;BE87,AP87-BE87,0)</f>
        <v>37</v>
      </c>
      <c r="BG87" s="290">
        <v>0</v>
      </c>
      <c r="BH87" s="290">
        <v>0</v>
      </c>
      <c r="BI87" s="290">
        <v>0</v>
      </c>
      <c r="BJ87" s="290">
        <f>SUM(BH87:BI87)</f>
        <v>0</v>
      </c>
      <c r="BK87" s="291">
        <f>BG87+BJ87</f>
        <v>0</v>
      </c>
      <c r="BL87" s="3750"/>
      <c r="BM87" s="286">
        <v>0</v>
      </c>
      <c r="BN87" s="287">
        <f>IF(BF87&gt;BM87,BF87-BM87,0)</f>
        <v>37</v>
      </c>
      <c r="BO87" s="290">
        <v>195077.35</v>
      </c>
      <c r="BP87" s="290">
        <v>0</v>
      </c>
      <c r="BQ87" s="290">
        <v>0</v>
      </c>
      <c r="BR87" s="290">
        <v>0</v>
      </c>
      <c r="BS87" s="291">
        <f>BO87+BR87</f>
        <v>195077.35</v>
      </c>
      <c r="BT87" s="3742"/>
      <c r="BU87" s="286">
        <v>0</v>
      </c>
      <c r="BV87" s="287">
        <f>IF(BN87&gt;BU87,BN87-BU87,0)</f>
        <v>37</v>
      </c>
      <c r="BW87" s="290"/>
      <c r="BX87" s="290">
        <v>0</v>
      </c>
      <c r="BY87" s="290">
        <v>0</v>
      </c>
      <c r="BZ87" s="290">
        <v>0</v>
      </c>
      <c r="CA87" s="291">
        <f>BW87+BZ87</f>
        <v>0</v>
      </c>
      <c r="CB87" s="3737"/>
      <c r="CC87" s="286"/>
      <c r="CD87" s="287">
        <f>IF(BV87&gt;CC87,BV87-CC87,0)</f>
        <v>37</v>
      </c>
      <c r="CE87" s="290"/>
      <c r="CF87" s="290">
        <v>0</v>
      </c>
      <c r="CG87" s="290">
        <v>0</v>
      </c>
      <c r="CH87" s="290">
        <v>0</v>
      </c>
      <c r="CI87" s="291">
        <f>CE87+CH87</f>
        <v>0</v>
      </c>
      <c r="CJ87" s="3737"/>
      <c r="CK87" s="286">
        <v>0</v>
      </c>
      <c r="CL87" s="287">
        <f>IF(CD87&gt;CK87,CD87-CK87,0)</f>
        <v>37</v>
      </c>
      <c r="CM87" s="290"/>
      <c r="CN87" s="290">
        <v>0</v>
      </c>
      <c r="CO87" s="290">
        <v>0</v>
      </c>
      <c r="CP87" s="290">
        <v>0</v>
      </c>
      <c r="CQ87" s="291">
        <f>CM87+CP87</f>
        <v>0</v>
      </c>
      <c r="CR87" s="3737"/>
      <c r="CS87" s="286">
        <v>1</v>
      </c>
      <c r="CT87" s="287">
        <f>IF(CL87&gt;CS87,CL87-CS87,0)</f>
        <v>36</v>
      </c>
      <c r="CU87" s="290">
        <v>106969.17</v>
      </c>
      <c r="CV87" s="290">
        <v>0</v>
      </c>
      <c r="CW87" s="290">
        <v>0</v>
      </c>
      <c r="CX87" s="290">
        <f>SUM(CV87:CW87)</f>
        <v>0</v>
      </c>
      <c r="CY87" s="291">
        <f>CU87+CX87</f>
        <v>106969.17</v>
      </c>
      <c r="CZ87" s="3737"/>
      <c r="DA87" s="286">
        <v>36</v>
      </c>
      <c r="DB87" s="287">
        <f>IF(CT87&gt;DA87,CT87-DA87,0)</f>
        <v>0</v>
      </c>
      <c r="DC87" s="290">
        <v>297221.67</v>
      </c>
      <c r="DD87" s="290">
        <v>3234087.12</v>
      </c>
      <c r="DE87" s="290">
        <v>2657469.77</v>
      </c>
      <c r="DF87" s="290">
        <v>5891557.2300000004</v>
      </c>
      <c r="DG87" s="291">
        <f>DC87+DF87</f>
        <v>6188778.9000000004</v>
      </c>
      <c r="DH87" s="3737"/>
      <c r="DI87" s="286">
        <f>Q87+Y87+AG87+AO87+AW87+BE87+BM87+BU87+CC87+CK87+CS87+DA87</f>
        <v>37</v>
      </c>
      <c r="DJ87" s="287">
        <f>IF(DB87&gt;DI87,DB87-DI87,0)</f>
        <v>0</v>
      </c>
      <c r="DK87" s="290">
        <f>S87+AA87+AI87+AQ87+AY87+BG87+BO87+BW87+CE87+CM87+CU87+DC87</f>
        <v>13255791.470000001</v>
      </c>
      <c r="DL87" s="290">
        <f>T87+AB87+AJ87+AR87+AZ87+BH87+BP87+BX87+CF87+CN87+CV87+DD87</f>
        <v>3234087.12</v>
      </c>
      <c r="DM87" s="290">
        <f>U87+AC87+AK87+AS87+BA87+BI87+BQ87+BY87+CG87+CO87+CW87+DE87</f>
        <v>2657469.77</v>
      </c>
      <c r="DN87" s="1783">
        <f>DL87+DM87</f>
        <v>5891556.8900000006</v>
      </c>
      <c r="DO87" s="291">
        <f>DK87+DN87</f>
        <v>19147348.359999999</v>
      </c>
      <c r="DP87" s="3737"/>
      <c r="DQ87" s="104"/>
      <c r="DR87" s="104"/>
      <c r="DS87" s="104"/>
      <c r="DT87" s="104"/>
      <c r="DU87" s="293"/>
      <c r="DV87" s="293"/>
      <c r="DW87" s="293"/>
      <c r="DX87" s="294"/>
      <c r="DY87" s="294"/>
      <c r="DZ87" s="294"/>
      <c r="EA87" s="295"/>
      <c r="EB87" s="295"/>
      <c r="EC87" s="294"/>
      <c r="ED87" s="294"/>
      <c r="EE87" s="294"/>
      <c r="EF87" s="104"/>
      <c r="EG87" s="104"/>
      <c r="EH87" s="104"/>
      <c r="EI87" s="104"/>
      <c r="EJ87" s="104"/>
      <c r="EK87" s="104"/>
      <c r="EL87" s="104"/>
      <c r="EM87" s="104"/>
      <c r="EN87" s="104"/>
      <c r="EO87" s="104"/>
      <c r="EP87" s="104"/>
      <c r="EQ87" s="104"/>
      <c r="ER87" s="104"/>
      <c r="ES87" s="104"/>
      <c r="ET87" s="104"/>
      <c r="EU87" s="104"/>
      <c r="EV87" s="104"/>
      <c r="EW87" s="104"/>
      <c r="EX87" s="104"/>
      <c r="EY87" s="104"/>
      <c r="EZ87" s="104"/>
    </row>
    <row r="88" spans="1:156" s="100" customFormat="1" ht="13.5" thickBot="1" x14ac:dyDescent="0.25">
      <c r="B88" s="326"/>
      <c r="C88" s="396"/>
      <c r="D88" s="397"/>
      <c r="E88" s="285"/>
      <c r="F88" s="285"/>
      <c r="G88" s="285"/>
      <c r="H88" s="285"/>
      <c r="I88" s="285"/>
      <c r="J88" s="285"/>
      <c r="K88" s="285"/>
      <c r="L88" s="285"/>
      <c r="M88" s="285"/>
      <c r="N88" s="285"/>
      <c r="O88" s="285"/>
      <c r="P88" s="3737"/>
      <c r="S88" s="104"/>
      <c r="T88" s="104"/>
      <c r="U88" s="104"/>
      <c r="V88" s="104"/>
      <c r="W88" s="104"/>
      <c r="X88" s="3737"/>
      <c r="Y88" s="398"/>
      <c r="Z88" s="398"/>
      <c r="AA88" s="104"/>
      <c r="AB88" s="104"/>
      <c r="AC88" s="104"/>
      <c r="AD88" s="104"/>
      <c r="AE88" s="104"/>
      <c r="AF88" s="3737"/>
      <c r="AG88" s="104"/>
      <c r="AH88" s="104"/>
      <c r="AI88" s="104"/>
      <c r="AJ88" s="104"/>
      <c r="AK88" s="104"/>
      <c r="AL88" s="104"/>
      <c r="AM88" s="104"/>
      <c r="AN88" s="3737"/>
      <c r="AO88" s="104"/>
      <c r="AP88" s="104"/>
      <c r="AQ88" s="104"/>
      <c r="AR88" s="104"/>
      <c r="AS88" s="104"/>
      <c r="AT88" s="104"/>
      <c r="AU88" s="104"/>
      <c r="AV88" s="3737"/>
      <c r="AW88" s="348"/>
      <c r="AX88" s="348"/>
      <c r="AY88" s="349"/>
      <c r="AZ88" s="349"/>
      <c r="BA88" s="349"/>
      <c r="BB88" s="349"/>
      <c r="BC88" s="349"/>
      <c r="BD88" s="3737"/>
      <c r="BE88" s="104"/>
      <c r="BF88" s="104"/>
      <c r="BG88" s="104"/>
      <c r="BH88" s="104"/>
      <c r="BI88" s="104"/>
      <c r="BJ88" s="104"/>
      <c r="BK88" s="104"/>
      <c r="BL88" s="3737"/>
      <c r="BM88" s="349"/>
      <c r="BN88" s="349"/>
      <c r="BO88" s="349"/>
      <c r="BP88" s="349"/>
      <c r="BQ88" s="349"/>
      <c r="BR88" s="349"/>
      <c r="BS88" s="349"/>
      <c r="BT88" s="3737"/>
      <c r="BU88" s="349"/>
      <c r="BV88" s="349"/>
      <c r="BW88" s="349"/>
      <c r="BX88" s="349"/>
      <c r="BY88" s="349"/>
      <c r="BZ88" s="349"/>
      <c r="CA88" s="349"/>
      <c r="CB88" s="3737"/>
      <c r="CC88" s="349"/>
      <c r="CD88" s="349"/>
      <c r="CE88" s="349"/>
      <c r="CF88" s="349"/>
      <c r="CG88" s="349"/>
      <c r="CH88" s="349"/>
      <c r="CI88" s="349"/>
      <c r="CJ88" s="3737"/>
      <c r="CK88" s="349"/>
      <c r="CL88" s="349"/>
      <c r="CM88" s="349"/>
      <c r="CN88" s="349"/>
      <c r="CO88" s="349"/>
      <c r="CP88" s="349"/>
      <c r="CQ88" s="349"/>
      <c r="CR88" s="3737"/>
      <c r="CS88" s="349"/>
      <c r="CT88" s="349"/>
      <c r="CU88" s="349"/>
      <c r="CV88" s="349"/>
      <c r="CW88" s="349"/>
      <c r="CX88" s="349"/>
      <c r="CY88" s="349"/>
      <c r="CZ88" s="3737"/>
      <c r="DA88" s="349"/>
      <c r="DB88" s="349"/>
      <c r="DC88" s="349"/>
      <c r="DD88" s="349"/>
      <c r="DE88" s="349"/>
      <c r="DF88" s="349"/>
      <c r="DG88" s="349"/>
      <c r="DH88" s="3737"/>
      <c r="DI88" s="349"/>
      <c r="DJ88" s="349"/>
      <c r="DK88" s="349"/>
      <c r="DL88" s="349"/>
      <c r="DM88" s="349"/>
      <c r="DN88" s="349"/>
      <c r="DO88" s="349"/>
      <c r="DP88" s="3737"/>
      <c r="DQ88" s="104"/>
      <c r="DR88" s="104"/>
      <c r="DS88" s="104"/>
      <c r="DT88" s="104"/>
      <c r="DU88" s="293"/>
      <c r="DV88" s="293"/>
      <c r="DW88" s="293"/>
      <c r="DX88" s="294"/>
      <c r="DY88" s="294"/>
      <c r="DZ88" s="294"/>
      <c r="EA88" s="295"/>
      <c r="EB88" s="295"/>
      <c r="EC88" s="294"/>
      <c r="ED88" s="294"/>
      <c r="EE88" s="294"/>
      <c r="EF88" s="104"/>
      <c r="EG88" s="104"/>
      <c r="EH88" s="104"/>
      <c r="EI88" s="104"/>
      <c r="EJ88" s="104"/>
      <c r="EK88" s="104"/>
      <c r="EL88" s="104"/>
      <c r="EM88" s="104"/>
      <c r="EN88" s="104"/>
      <c r="EO88" s="104"/>
      <c r="EP88" s="104"/>
      <c r="EQ88" s="104"/>
      <c r="ER88" s="104"/>
      <c r="ES88" s="104"/>
      <c r="ET88" s="104"/>
      <c r="EU88" s="104"/>
      <c r="EV88" s="104"/>
      <c r="EW88" s="104"/>
      <c r="EX88" s="104"/>
      <c r="EY88" s="104"/>
      <c r="EZ88" s="104"/>
    </row>
    <row r="89" spans="1:156" s="1620" customFormat="1" ht="13.5" customHeight="1" thickBot="1" x14ac:dyDescent="0.2">
      <c r="A89" s="1623" t="s">
        <v>539</v>
      </c>
      <c r="B89" s="1631">
        <v>30</v>
      </c>
      <c r="C89" s="1625">
        <v>1744.39</v>
      </c>
      <c r="D89" s="283">
        <f>E89/C89</f>
        <v>6388.7429014199997</v>
      </c>
      <c r="E89" s="1626">
        <f>876.51*C89*7.288842</f>
        <v>11144459.229808034</v>
      </c>
      <c r="F89" s="1627"/>
      <c r="G89" s="1627"/>
      <c r="H89" s="1627"/>
      <c r="I89" s="1627"/>
      <c r="J89" s="1627"/>
      <c r="K89" s="1627"/>
      <c r="L89" s="1627"/>
      <c r="M89" s="1627"/>
      <c r="N89" s="1627"/>
      <c r="O89" s="1627"/>
      <c r="P89" s="3737"/>
      <c r="Q89" s="358">
        <v>0</v>
      </c>
      <c r="R89" s="334">
        <f>IF(B89&gt;Q89,B89-Q89,0)</f>
        <v>30</v>
      </c>
      <c r="S89" s="335">
        <v>0</v>
      </c>
      <c r="T89" s="335">
        <v>0</v>
      </c>
      <c r="U89" s="335">
        <v>0</v>
      </c>
      <c r="V89" s="335">
        <f>SUM(T89:U89)</f>
        <v>0</v>
      </c>
      <c r="W89" s="336">
        <f>S89+V89</f>
        <v>0</v>
      </c>
      <c r="X89" s="3737"/>
      <c r="Y89" s="358">
        <v>0</v>
      </c>
      <c r="Z89" s="334">
        <f>IF(R89&gt;Y89,R89-Y89,0)</f>
        <v>30</v>
      </c>
      <c r="AA89" s="335">
        <v>0</v>
      </c>
      <c r="AB89" s="335">
        <v>0</v>
      </c>
      <c r="AC89" s="335">
        <v>0</v>
      </c>
      <c r="AD89" s="335">
        <f>SUM(AB89:AC89)</f>
        <v>0</v>
      </c>
      <c r="AE89" s="336">
        <f>AA89+AD89</f>
        <v>0</v>
      </c>
      <c r="AF89" s="3737"/>
      <c r="AG89" s="358">
        <v>0</v>
      </c>
      <c r="AH89" s="334">
        <f>IF(R89&gt;AG89,R89-AG89,0)</f>
        <v>30</v>
      </c>
      <c r="AI89" s="335">
        <v>0</v>
      </c>
      <c r="AJ89" s="335">
        <v>0</v>
      </c>
      <c r="AK89" s="335">
        <v>0</v>
      </c>
      <c r="AL89" s="335">
        <f>SUM(AJ89:AK89)</f>
        <v>0</v>
      </c>
      <c r="AM89" s="336">
        <f>AI89+AL89</f>
        <v>0</v>
      </c>
      <c r="AN89" s="3737"/>
      <c r="AO89" s="358">
        <v>0</v>
      </c>
      <c r="AP89" s="334">
        <f>IF(Z89&gt;AO89,Z89-AO89,0)</f>
        <v>30</v>
      </c>
      <c r="AQ89" s="335">
        <v>0</v>
      </c>
      <c r="AR89" s="335">
        <v>0</v>
      </c>
      <c r="AS89" s="335">
        <v>0</v>
      </c>
      <c r="AT89" s="335">
        <f>SUM(AR89:AS89)</f>
        <v>0</v>
      </c>
      <c r="AU89" s="336">
        <f>AQ89+AT89</f>
        <v>0</v>
      </c>
      <c r="AV89" s="3737"/>
      <c r="AW89" s="358">
        <v>0</v>
      </c>
      <c r="AX89" s="334">
        <f>IF(AH89&gt;AW89,AH89-AW89,0)</f>
        <v>30</v>
      </c>
      <c r="AY89" s="335">
        <v>0</v>
      </c>
      <c r="AZ89" s="335">
        <v>0</v>
      </c>
      <c r="BA89" s="335">
        <v>0</v>
      </c>
      <c r="BB89" s="335">
        <f>SUM(AZ89:BA89)</f>
        <v>0</v>
      </c>
      <c r="BC89" s="336">
        <f>AY89+BB89</f>
        <v>0</v>
      </c>
      <c r="BD89" s="3737"/>
      <c r="BE89" s="358">
        <v>0</v>
      </c>
      <c r="BF89" s="334">
        <f>IF(AP89&gt;BE89,AP89-BE89,0)</f>
        <v>30</v>
      </c>
      <c r="BG89" s="335">
        <v>0</v>
      </c>
      <c r="BH89" s="335">
        <v>0</v>
      </c>
      <c r="BI89" s="335">
        <v>0</v>
      </c>
      <c r="BJ89" s="335">
        <f>SUM(BH89:BI89)</f>
        <v>0</v>
      </c>
      <c r="BK89" s="336">
        <f>BG89+BJ89</f>
        <v>0</v>
      </c>
      <c r="BL89" s="3737"/>
      <c r="BM89" s="333">
        <v>0</v>
      </c>
      <c r="BN89" s="334">
        <f>IF(BF89&gt;BM89,BF89-BM89,0)</f>
        <v>30</v>
      </c>
      <c r="BO89" s="335">
        <v>0</v>
      </c>
      <c r="BP89" s="335">
        <v>0</v>
      </c>
      <c r="BQ89" s="335">
        <v>0</v>
      </c>
      <c r="BR89" s="335">
        <v>0</v>
      </c>
      <c r="BS89" s="336">
        <f>BO89+BR89</f>
        <v>0</v>
      </c>
      <c r="BT89" s="3737"/>
      <c r="BU89" s="333">
        <v>0</v>
      </c>
      <c r="BV89" s="334">
        <f>IF(BN89&gt;BU89,BN89-BU89,0)</f>
        <v>30</v>
      </c>
      <c r="BW89" s="335"/>
      <c r="BX89" s="335">
        <v>0</v>
      </c>
      <c r="BY89" s="335">
        <v>0</v>
      </c>
      <c r="BZ89" s="335">
        <v>0</v>
      </c>
      <c r="CA89" s="336">
        <f>BW89+BZ89</f>
        <v>0</v>
      </c>
      <c r="CB89" s="3737"/>
      <c r="CC89" s="333"/>
      <c r="CD89" s="334">
        <f>IF(BV89&gt;CC89,BV89-CC89,0)</f>
        <v>30</v>
      </c>
      <c r="CE89" s="335"/>
      <c r="CF89" s="335">
        <v>0</v>
      </c>
      <c r="CG89" s="335">
        <v>0</v>
      </c>
      <c r="CH89" s="335">
        <v>0</v>
      </c>
      <c r="CI89" s="336">
        <f>CE89+CH89</f>
        <v>0</v>
      </c>
      <c r="CJ89" s="3737"/>
      <c r="CK89" s="333">
        <v>0</v>
      </c>
      <c r="CL89" s="334">
        <f>IF(CD89&gt;CK89,CD89-CK89,0)</f>
        <v>30</v>
      </c>
      <c r="CM89" s="335"/>
      <c r="CN89" s="335">
        <v>0</v>
      </c>
      <c r="CO89" s="335">
        <v>0</v>
      </c>
      <c r="CP89" s="335">
        <v>0</v>
      </c>
      <c r="CQ89" s="336">
        <f>CM89+CP89</f>
        <v>0</v>
      </c>
      <c r="CR89" s="3737"/>
      <c r="CS89" s="333">
        <v>0</v>
      </c>
      <c r="CT89" s="334">
        <f>IF(CL89&gt;CS89,CL89-CS89,0)</f>
        <v>30</v>
      </c>
      <c r="CU89" s="335">
        <v>0</v>
      </c>
      <c r="CV89" s="335">
        <v>0</v>
      </c>
      <c r="CW89" s="335">
        <v>0</v>
      </c>
      <c r="CX89" s="335">
        <f>SUM(CV89:CW89)</f>
        <v>0</v>
      </c>
      <c r="CY89" s="336">
        <f>CU89+CX89</f>
        <v>0</v>
      </c>
      <c r="CZ89" s="3737"/>
      <c r="DA89" s="333">
        <v>0</v>
      </c>
      <c r="DB89" s="334">
        <f>IF(CT89&gt;DA89,CT89-DA89,0)</f>
        <v>30</v>
      </c>
      <c r="DC89" s="335">
        <v>21856.11</v>
      </c>
      <c r="DD89" s="335">
        <v>0</v>
      </c>
      <c r="DE89" s="335">
        <v>0</v>
      </c>
      <c r="DF89" s="335">
        <f>DD89+DE89</f>
        <v>0</v>
      </c>
      <c r="DG89" s="336">
        <f>DC89+DF89</f>
        <v>21856.11</v>
      </c>
      <c r="DH89" s="3737"/>
      <c r="DI89" s="286">
        <f>Q89+Y89+AG89+AO89+AW89+BE89+BM89+BU89+CC89+CK89+CS89+DA89</f>
        <v>0</v>
      </c>
      <c r="DJ89" s="334">
        <f>IF(DB89&gt;DI89,DB89-DI89,0)</f>
        <v>30</v>
      </c>
      <c r="DK89" s="290">
        <f>S89+AA89+AI89+AQ89+AY89+BG89+BO89+BW89+CE89+CM89+CU89+DC89</f>
        <v>21856.11</v>
      </c>
      <c r="DL89" s="290">
        <f>T89+AB89+AJ89+AR89+AZ89+BH89+BP89+BX89+CF89+CN89+CV89+DD89</f>
        <v>0</v>
      </c>
      <c r="DM89" s="290">
        <f>U89+AC89+AK89+AS89+BA89+BI89+BQ89+BY89+CG89+CO89+CW89+DE89</f>
        <v>0</v>
      </c>
      <c r="DN89" s="335">
        <f>DL89+DM89</f>
        <v>0</v>
      </c>
      <c r="DO89" s="336">
        <f>DK89+DN89</f>
        <v>21856.11</v>
      </c>
      <c r="DP89" s="3737"/>
      <c r="DQ89" s="402"/>
      <c r="DR89" s="402"/>
      <c r="DS89" s="402"/>
      <c r="DT89" s="402"/>
      <c r="DU89" s="1628"/>
      <c r="DV89" s="1628"/>
      <c r="DW89" s="1628"/>
      <c r="DX89" s="1629"/>
      <c r="DY89" s="1629"/>
      <c r="DZ89" s="1629"/>
      <c r="EA89" s="1630"/>
      <c r="EB89" s="1630"/>
      <c r="EC89" s="1629"/>
      <c r="ED89" s="1629"/>
      <c r="EE89" s="1629"/>
      <c r="EF89" s="402"/>
      <c r="EG89" s="402"/>
      <c r="EH89" s="402"/>
      <c r="EI89" s="402"/>
      <c r="EJ89" s="402"/>
      <c r="EK89" s="402"/>
      <c r="EL89" s="402"/>
      <c r="EM89" s="402"/>
      <c r="EN89" s="402"/>
      <c r="EO89" s="402"/>
      <c r="EP89" s="402"/>
      <c r="EQ89" s="402"/>
      <c r="ER89" s="402"/>
      <c r="ES89" s="402"/>
      <c r="ET89" s="402"/>
      <c r="EU89" s="402"/>
      <c r="EV89" s="402"/>
      <c r="EW89" s="402"/>
      <c r="EX89" s="402"/>
      <c r="EY89" s="402"/>
      <c r="EZ89" s="402"/>
    </row>
    <row r="90" spans="1:156" s="100" customFormat="1" x14ac:dyDescent="0.2">
      <c r="B90" s="326"/>
      <c r="C90" s="396"/>
      <c r="D90" s="397"/>
      <c r="E90" s="285"/>
      <c r="F90" s="285"/>
      <c r="G90" s="285"/>
      <c r="H90" s="285"/>
      <c r="I90" s="285"/>
      <c r="J90" s="285"/>
      <c r="K90" s="285"/>
      <c r="L90" s="285"/>
      <c r="M90" s="285"/>
      <c r="N90" s="285"/>
      <c r="O90" s="285"/>
      <c r="P90" s="3737"/>
      <c r="S90" s="104"/>
      <c r="T90" s="104"/>
      <c r="U90" s="104"/>
      <c r="V90" s="104"/>
      <c r="W90" s="104"/>
      <c r="X90" s="3737"/>
      <c r="Y90" s="398"/>
      <c r="Z90" s="398"/>
      <c r="AA90" s="104"/>
      <c r="AB90" s="104"/>
      <c r="AC90" s="104"/>
      <c r="AD90" s="104"/>
      <c r="AE90" s="104"/>
      <c r="AF90" s="3737"/>
      <c r="AG90" s="104"/>
      <c r="AH90" s="104"/>
      <c r="AI90" s="104"/>
      <c r="AJ90" s="104"/>
      <c r="AK90" s="104"/>
      <c r="AL90" s="104"/>
      <c r="AM90" s="104"/>
      <c r="AN90" s="3737"/>
      <c r="AO90" s="104"/>
      <c r="AP90" s="104"/>
      <c r="AQ90" s="104"/>
      <c r="AR90" s="104"/>
      <c r="AS90" s="104"/>
      <c r="AT90" s="104"/>
      <c r="AU90" s="104"/>
      <c r="AV90" s="3737"/>
      <c r="AW90" s="348"/>
      <c r="AX90" s="348"/>
      <c r="AY90" s="349"/>
      <c r="AZ90" s="349"/>
      <c r="BA90" s="349"/>
      <c r="BB90" s="349"/>
      <c r="BC90" s="349"/>
      <c r="BD90" s="3737"/>
      <c r="BE90" s="104"/>
      <c r="BF90" s="104"/>
      <c r="BG90" s="104"/>
      <c r="BH90" s="104"/>
      <c r="BI90" s="104"/>
      <c r="BJ90" s="104"/>
      <c r="BK90" s="104"/>
      <c r="BL90" s="3737"/>
      <c r="BM90" s="349"/>
      <c r="BN90" s="349"/>
      <c r="BO90" s="349"/>
      <c r="BP90" s="349"/>
      <c r="BQ90" s="349"/>
      <c r="BR90" s="349"/>
      <c r="BS90" s="349"/>
      <c r="BT90" s="3737"/>
      <c r="BU90" s="349"/>
      <c r="BV90" s="349"/>
      <c r="BW90" s="349"/>
      <c r="BX90" s="349"/>
      <c r="BY90" s="349"/>
      <c r="BZ90" s="349"/>
      <c r="CA90" s="349"/>
      <c r="CB90" s="3737"/>
      <c r="CC90" s="349"/>
      <c r="CD90" s="349"/>
      <c r="CE90" s="349"/>
      <c r="CF90" s="349"/>
      <c r="CG90" s="349"/>
      <c r="CH90" s="349"/>
      <c r="CI90" s="349"/>
      <c r="CJ90" s="3737"/>
      <c r="CK90" s="349"/>
      <c r="CL90" s="349"/>
      <c r="CM90" s="349"/>
      <c r="CN90" s="349"/>
      <c r="CO90" s="349"/>
      <c r="CP90" s="349"/>
      <c r="CQ90" s="349"/>
      <c r="CR90" s="3737"/>
      <c r="CS90" s="349"/>
      <c r="CT90" s="349"/>
      <c r="CU90" s="349"/>
      <c r="CV90" s="349"/>
      <c r="CW90" s="349"/>
      <c r="CX90" s="349"/>
      <c r="CY90" s="349"/>
      <c r="CZ90" s="3737"/>
      <c r="DA90" s="349"/>
      <c r="DB90" s="349"/>
      <c r="DC90" s="349"/>
      <c r="DD90" s="349"/>
      <c r="DE90" s="349"/>
      <c r="DF90" s="349"/>
      <c r="DG90" s="349"/>
      <c r="DH90" s="3737"/>
      <c r="DI90" s="349"/>
      <c r="DJ90" s="349"/>
      <c r="DK90" s="349"/>
      <c r="DL90" s="349"/>
      <c r="DM90" s="349"/>
      <c r="DN90" s="349"/>
      <c r="DO90" s="349"/>
      <c r="DP90" s="3737"/>
      <c r="DQ90" s="104"/>
      <c r="DR90" s="104"/>
      <c r="DS90" s="104"/>
      <c r="DT90" s="104"/>
      <c r="DU90" s="293"/>
      <c r="DV90" s="293"/>
      <c r="DW90" s="293"/>
      <c r="DX90" s="294"/>
      <c r="DY90" s="294"/>
      <c r="DZ90" s="294"/>
      <c r="EA90" s="295"/>
      <c r="EB90" s="295"/>
      <c r="EC90" s="294"/>
      <c r="ED90" s="294"/>
      <c r="EE90" s="294"/>
      <c r="EF90" s="104"/>
      <c r="EG90" s="104"/>
      <c r="EH90" s="104"/>
      <c r="EI90" s="104"/>
      <c r="EJ90" s="104"/>
      <c r="EK90" s="104"/>
      <c r="EL90" s="104"/>
      <c r="EM90" s="104"/>
      <c r="EN90" s="104"/>
      <c r="EO90" s="104"/>
      <c r="EP90" s="104"/>
      <c r="EQ90" s="104"/>
      <c r="ER90" s="104"/>
      <c r="ES90" s="104"/>
      <c r="ET90" s="104"/>
      <c r="EU90" s="104"/>
      <c r="EV90" s="104"/>
      <c r="EW90" s="104"/>
      <c r="EX90" s="104"/>
      <c r="EY90" s="104"/>
      <c r="EZ90" s="104"/>
    </row>
    <row r="91" spans="1:156" s="1620" customFormat="1" ht="13.5" customHeight="1" x14ac:dyDescent="0.2">
      <c r="A91" s="371" t="s">
        <v>542</v>
      </c>
      <c r="B91" s="372" t="s">
        <v>302</v>
      </c>
      <c r="C91" s="226" t="s">
        <v>303</v>
      </c>
      <c r="D91" s="227" t="s">
        <v>304</v>
      </c>
      <c r="E91" s="228" t="s">
        <v>241</v>
      </c>
      <c r="F91" s="1627"/>
      <c r="G91" s="1627"/>
      <c r="H91" s="1627"/>
      <c r="I91" s="1627"/>
      <c r="J91" s="1627"/>
      <c r="K91" s="1627"/>
      <c r="L91" s="1627"/>
      <c r="M91" s="1627"/>
      <c r="N91" s="1627"/>
      <c r="O91" s="1627"/>
      <c r="P91" s="3750"/>
      <c r="Q91" s="1658"/>
      <c r="R91" s="1656"/>
      <c r="S91" s="1657"/>
      <c r="T91" s="1657"/>
      <c r="U91" s="1657"/>
      <c r="V91" s="1657"/>
      <c r="W91" s="1659"/>
      <c r="X91" s="3738"/>
      <c r="Y91" s="1666"/>
      <c r="Z91" s="1656"/>
      <c r="AA91" s="1657"/>
      <c r="AB91" s="1657"/>
      <c r="AC91" s="1657"/>
      <c r="AD91" s="1657"/>
      <c r="AE91" s="1659"/>
      <c r="AF91" s="3738"/>
      <c r="AG91" s="1666"/>
      <c r="AH91" s="1656"/>
      <c r="AI91" s="1657"/>
      <c r="AJ91" s="1657"/>
      <c r="AK91" s="1657"/>
      <c r="AL91" s="1657"/>
      <c r="AM91" s="1659"/>
      <c r="AN91" s="3738"/>
      <c r="AO91" s="1666"/>
      <c r="AP91" s="1656"/>
      <c r="AQ91" s="1657"/>
      <c r="AR91" s="1657"/>
      <c r="AS91" s="1657"/>
      <c r="AT91" s="1657"/>
      <c r="AU91" s="1659"/>
      <c r="AV91" s="3738"/>
      <c r="AW91" s="1666"/>
      <c r="AX91" s="1656"/>
      <c r="AY91" s="1657"/>
      <c r="AZ91" s="1657"/>
      <c r="BA91" s="1657"/>
      <c r="BB91" s="1657"/>
      <c r="BC91" s="1659"/>
      <c r="BD91" s="3738"/>
      <c r="BE91" s="1666"/>
      <c r="BF91" s="1656"/>
      <c r="BG91" s="1657"/>
      <c r="BH91" s="1657"/>
      <c r="BI91" s="1657"/>
      <c r="BJ91" s="1657"/>
      <c r="BK91" s="1659"/>
      <c r="BL91" s="3738"/>
      <c r="BM91" s="1666"/>
      <c r="BN91" s="1656"/>
      <c r="BO91" s="1657"/>
      <c r="BP91" s="1657"/>
      <c r="BQ91" s="1657"/>
      <c r="BR91" s="1657"/>
      <c r="BS91" s="1659"/>
      <c r="BT91" s="3738"/>
      <c r="BU91" s="1666"/>
      <c r="BV91" s="1656"/>
      <c r="BW91" s="1657"/>
      <c r="BX91" s="1657"/>
      <c r="BY91" s="1657"/>
      <c r="BZ91" s="1657"/>
      <c r="CA91" s="1659"/>
      <c r="CB91" s="3738"/>
      <c r="CC91" s="1666"/>
      <c r="CD91" s="1656"/>
      <c r="CE91" s="1657"/>
      <c r="CF91" s="1657"/>
      <c r="CG91" s="1657"/>
      <c r="CH91" s="1657"/>
      <c r="CI91" s="1659"/>
      <c r="CJ91" s="3738"/>
      <c r="CK91" s="1666"/>
      <c r="CL91" s="1656"/>
      <c r="CM91" s="1657"/>
      <c r="CN91" s="1657"/>
      <c r="CO91" s="1657"/>
      <c r="CP91" s="1657"/>
      <c r="CQ91" s="1659"/>
      <c r="CR91" s="3738"/>
      <c r="CS91" s="1666"/>
      <c r="CT91" s="1656"/>
      <c r="CU91" s="1657"/>
      <c r="CV91" s="1657"/>
      <c r="CW91" s="1657"/>
      <c r="CX91" s="1657"/>
      <c r="CY91" s="1659"/>
      <c r="CZ91" s="3738"/>
      <c r="DA91" s="1666"/>
      <c r="DB91" s="1656"/>
      <c r="DC91" s="1657"/>
      <c r="DD91" s="1657"/>
      <c r="DE91" s="1657"/>
      <c r="DF91" s="1657"/>
      <c r="DG91" s="1659"/>
      <c r="DH91" s="3742"/>
      <c r="DI91" s="1666"/>
      <c r="DJ91" s="1656"/>
      <c r="DK91" s="1657"/>
      <c r="DL91" s="1657"/>
      <c r="DM91" s="1657"/>
      <c r="DN91" s="1657"/>
      <c r="DO91" s="1659"/>
      <c r="DP91" s="3742"/>
      <c r="DQ91" s="402"/>
      <c r="DR91" s="402"/>
      <c r="DS91" s="402"/>
      <c r="DT91" s="402"/>
      <c r="DU91" s="1628"/>
      <c r="DV91" s="1628"/>
      <c r="DW91" s="1628"/>
      <c r="DX91" s="1629"/>
      <c r="DY91" s="1629"/>
      <c r="DZ91" s="1629"/>
      <c r="EA91" s="1630"/>
      <c r="EB91" s="1630"/>
      <c r="EC91" s="1629"/>
      <c r="ED91" s="1629"/>
      <c r="EE91" s="1629"/>
      <c r="EF91" s="402"/>
      <c r="EG91" s="402"/>
      <c r="EH91" s="402"/>
      <c r="EI91" s="402"/>
      <c r="EJ91" s="402"/>
      <c r="EK91" s="402"/>
      <c r="EL91" s="402"/>
      <c r="EM91" s="402"/>
      <c r="EN91" s="402"/>
      <c r="EO91" s="402"/>
      <c r="EP91" s="402"/>
      <c r="EQ91" s="402"/>
      <c r="ER91" s="402"/>
      <c r="ES91" s="402"/>
      <c r="ET91" s="402"/>
      <c r="EU91" s="402"/>
      <c r="EV91" s="402"/>
      <c r="EW91" s="402"/>
      <c r="EX91" s="402"/>
      <c r="EY91" s="402"/>
      <c r="EZ91" s="402"/>
    </row>
    <row r="92" spans="1:156" s="1642" customFormat="1" ht="13.5" customHeight="1" x14ac:dyDescent="0.2">
      <c r="A92" s="1632" t="s">
        <v>246</v>
      </c>
      <c r="B92" s="1633">
        <v>18</v>
      </c>
      <c r="C92" s="1634">
        <v>1047.93</v>
      </c>
      <c r="D92" s="1635">
        <f>E92/C92</f>
        <v>5607.45192744</v>
      </c>
      <c r="E92" s="1636">
        <f>7.288842*C92*769.32</f>
        <v>5876217.0983221997</v>
      </c>
      <c r="F92" s="1637"/>
      <c r="G92" s="1637"/>
      <c r="H92" s="1637"/>
      <c r="I92" s="1637"/>
      <c r="J92" s="1637"/>
      <c r="K92" s="1637"/>
      <c r="L92" s="1637"/>
      <c r="M92" s="1637"/>
      <c r="N92" s="1637"/>
      <c r="O92" s="1637"/>
      <c r="P92" s="3750"/>
      <c r="Q92" s="1660"/>
      <c r="R92" s="1664">
        <f>IF($B$92&gt;Q92,$B$92-Q92,0)</f>
        <v>18</v>
      </c>
      <c r="S92" s="1662">
        <v>0</v>
      </c>
      <c r="T92" s="1654"/>
      <c r="U92" s="1654"/>
      <c r="V92" s="1654">
        <f>T92+U92</f>
        <v>0</v>
      </c>
      <c r="W92" s="1655">
        <f>V92+S92</f>
        <v>0</v>
      </c>
      <c r="X92" s="3738"/>
      <c r="Y92" s="1660"/>
      <c r="Z92" s="1664">
        <f>IF($B$92&gt;Y92,$B$92-Y92,0)</f>
        <v>18</v>
      </c>
      <c r="AA92" s="1662">
        <v>0</v>
      </c>
      <c r="AB92" s="1654"/>
      <c r="AC92" s="1654"/>
      <c r="AD92" s="1654">
        <f>AB92+AC92</f>
        <v>0</v>
      </c>
      <c r="AE92" s="1655">
        <f>AD92+AA92</f>
        <v>0</v>
      </c>
      <c r="AF92" s="3738"/>
      <c r="AG92" s="1660"/>
      <c r="AH92" s="1664">
        <f>IF($B$92&gt;AG92,$B$92-AG92,0)</f>
        <v>18</v>
      </c>
      <c r="AI92" s="1662">
        <v>0</v>
      </c>
      <c r="AJ92" s="1654"/>
      <c r="AK92" s="1654"/>
      <c r="AL92" s="1654">
        <f>AJ92+AK92</f>
        <v>0</v>
      </c>
      <c r="AM92" s="1655">
        <f>AL92+AI92</f>
        <v>0</v>
      </c>
      <c r="AN92" s="3738"/>
      <c r="AO92" s="1660"/>
      <c r="AP92" s="1664">
        <f>IF($B$92&gt;AO92,$B$92-AO92,0)</f>
        <v>18</v>
      </c>
      <c r="AQ92" s="1662">
        <v>0</v>
      </c>
      <c r="AR92" s="1654"/>
      <c r="AS92" s="1654"/>
      <c r="AT92" s="1654">
        <f>AR92+AS92</f>
        <v>0</v>
      </c>
      <c r="AU92" s="1655">
        <f>AT92+AQ92</f>
        <v>0</v>
      </c>
      <c r="AV92" s="3738"/>
      <c r="AW92" s="1660"/>
      <c r="AX92" s="1664">
        <f>IF($B$92&gt;AW92,$B$92-AW92,0)</f>
        <v>18</v>
      </c>
      <c r="AY92" s="1662">
        <v>0</v>
      </c>
      <c r="AZ92" s="1654"/>
      <c r="BA92" s="1654"/>
      <c r="BB92" s="1654">
        <f>AZ92+BA92</f>
        <v>0</v>
      </c>
      <c r="BC92" s="1655">
        <f>BB92+AY92</f>
        <v>0</v>
      </c>
      <c r="BD92" s="3738"/>
      <c r="BE92" s="1660"/>
      <c r="BF92" s="1664">
        <f>IF($B$92&gt;BE92,$B$92-BE92,0)</f>
        <v>18</v>
      </c>
      <c r="BG92" s="1662">
        <v>0</v>
      </c>
      <c r="BH92" s="1654"/>
      <c r="BI92" s="1654"/>
      <c r="BJ92" s="1654">
        <f>BH92+BI92</f>
        <v>0</v>
      </c>
      <c r="BK92" s="1655">
        <f>BJ92+BG92</f>
        <v>0</v>
      </c>
      <c r="BL92" s="3738"/>
      <c r="BM92" s="1660"/>
      <c r="BN92" s="1664">
        <f>IF($B$92&gt;BM92,$B$92-BM92,0)</f>
        <v>18</v>
      </c>
      <c r="BO92" s="1662">
        <v>0</v>
      </c>
      <c r="BP92" s="1654"/>
      <c r="BQ92" s="1654"/>
      <c r="BR92" s="1654">
        <f>BP92+BQ92</f>
        <v>0</v>
      </c>
      <c r="BS92" s="1655">
        <f>BR92+BO92</f>
        <v>0</v>
      </c>
      <c r="BT92" s="3738"/>
      <c r="BU92" s="1660"/>
      <c r="BV92" s="1664">
        <f>IF($B$92&gt;BU92,$B$92-BU92,0)</f>
        <v>18</v>
      </c>
      <c r="BW92" s="1662">
        <v>0</v>
      </c>
      <c r="BX92" s="1654"/>
      <c r="BY92" s="1654"/>
      <c r="BZ92" s="1654">
        <f>BX92+BY92</f>
        <v>0</v>
      </c>
      <c r="CA92" s="1655">
        <f>BZ92+BW92</f>
        <v>0</v>
      </c>
      <c r="CB92" s="3738"/>
      <c r="CC92" s="1660"/>
      <c r="CD92" s="1664">
        <f>IF($B$92&gt;CC92,$B$92-CC92,0)</f>
        <v>18</v>
      </c>
      <c r="CE92" s="1662">
        <v>0</v>
      </c>
      <c r="CF92" s="1654"/>
      <c r="CG92" s="1654"/>
      <c r="CH92" s="1654">
        <f>CF92+CG92</f>
        <v>0</v>
      </c>
      <c r="CI92" s="1655">
        <f>CH92+CE92</f>
        <v>0</v>
      </c>
      <c r="CJ92" s="3738"/>
      <c r="CK92" s="1660"/>
      <c r="CL92" s="1664">
        <f>IF($B$92&gt;CK92,$B$92-CK92,0)</f>
        <v>18</v>
      </c>
      <c r="CM92" s="1662">
        <v>0</v>
      </c>
      <c r="CN92" s="1654"/>
      <c r="CO92" s="1654"/>
      <c r="CP92" s="1654">
        <f>CN92+CO92</f>
        <v>0</v>
      </c>
      <c r="CQ92" s="1655">
        <f>CP92+CM92</f>
        <v>0</v>
      </c>
      <c r="CR92" s="3738"/>
      <c r="CS92" s="1660"/>
      <c r="CT92" s="1664">
        <f>IF($B$92&gt;CS92,$B$92-CS92,0)</f>
        <v>18</v>
      </c>
      <c r="CU92" s="1662">
        <v>0</v>
      </c>
      <c r="CV92" s="1654"/>
      <c r="CW92" s="1654"/>
      <c r="CX92" s="1654">
        <f>CV92+CW92</f>
        <v>0</v>
      </c>
      <c r="CY92" s="1655">
        <f>CX92+CU92</f>
        <v>0</v>
      </c>
      <c r="CZ92" s="3738"/>
      <c r="DA92" s="1660"/>
      <c r="DB92" s="1664">
        <f>IF($B$92&gt;DA92,$B$92-DA92,0)</f>
        <v>18</v>
      </c>
      <c r="DC92" s="1662">
        <v>434729</v>
      </c>
      <c r="DD92" s="1654">
        <v>0</v>
      </c>
      <c r="DE92" s="1654">
        <v>0</v>
      </c>
      <c r="DF92" s="1654">
        <f>DD92+DE92</f>
        <v>0</v>
      </c>
      <c r="DG92" s="1655">
        <f>DF92+DC92</f>
        <v>434729</v>
      </c>
      <c r="DH92" s="3742"/>
      <c r="DI92" s="1776">
        <f t="shared" ref="DI92:DL93" si="142">Q92+Y92+AG92+AO92+AW92+BE92+BM92+BU92+CC92+CK92+CS92+DA92</f>
        <v>0</v>
      </c>
      <c r="DJ92" s="1777">
        <f t="shared" si="142"/>
        <v>216</v>
      </c>
      <c r="DK92" s="1777">
        <f t="shared" si="142"/>
        <v>434729</v>
      </c>
      <c r="DL92" s="1777">
        <f t="shared" si="142"/>
        <v>0</v>
      </c>
      <c r="DM92" s="1662">
        <v>0</v>
      </c>
      <c r="DN92" s="1654">
        <f>DL92+DM92</f>
        <v>0</v>
      </c>
      <c r="DO92" s="1655">
        <f>DN92+DK92</f>
        <v>434729</v>
      </c>
      <c r="DP92" s="3742"/>
      <c r="DQ92" s="1638"/>
      <c r="DR92" s="1638"/>
      <c r="DS92" s="1638"/>
      <c r="DT92" s="1638"/>
      <c r="DU92" s="1639"/>
      <c r="DV92" s="1639"/>
      <c r="DW92" s="1639"/>
      <c r="DX92" s="1640"/>
      <c r="DY92" s="1640"/>
      <c r="DZ92" s="1640"/>
      <c r="EA92" s="1641"/>
      <c r="EB92" s="1641"/>
      <c r="EC92" s="1640"/>
      <c r="ED92" s="1640"/>
      <c r="EE92" s="1640"/>
      <c r="EF92" s="1638"/>
      <c r="EG92" s="1638"/>
      <c r="EH92" s="1638"/>
      <c r="EI92" s="1638"/>
      <c r="EJ92" s="1638"/>
      <c r="EK92" s="1638"/>
      <c r="EL92" s="1638"/>
      <c r="EM92" s="1638"/>
      <c r="EN92" s="1638"/>
      <c r="EO92" s="1638"/>
      <c r="EP92" s="1638"/>
      <c r="EQ92" s="1638"/>
      <c r="ER92" s="1638"/>
      <c r="ES92" s="1638"/>
      <c r="ET92" s="1638"/>
      <c r="EU92" s="1638"/>
      <c r="EV92" s="1638"/>
      <c r="EW92" s="1638"/>
      <c r="EX92" s="1638"/>
      <c r="EY92" s="1638"/>
      <c r="EZ92" s="1638"/>
    </row>
    <row r="93" spans="1:156" s="1642" customFormat="1" ht="13.5" customHeight="1" x14ac:dyDescent="0.2">
      <c r="A93" s="1643" t="s">
        <v>276</v>
      </c>
      <c r="B93" s="1644">
        <v>1</v>
      </c>
      <c r="C93" s="1645">
        <v>289.64999999999998</v>
      </c>
      <c r="D93" s="1646">
        <f>E93/C93</f>
        <v>3768.9873097800005</v>
      </c>
      <c r="E93" s="1647">
        <f>7.288842*C93*517.09</f>
        <v>1091687.1742777771</v>
      </c>
      <c r="F93" s="1637"/>
      <c r="G93" s="1637"/>
      <c r="H93" s="1637"/>
      <c r="I93" s="1637"/>
      <c r="J93" s="1637"/>
      <c r="K93" s="1637"/>
      <c r="L93" s="1637"/>
      <c r="M93" s="1637"/>
      <c r="N93" s="1637"/>
      <c r="O93" s="1637"/>
      <c r="P93" s="3750"/>
      <c r="Q93" s="1661"/>
      <c r="R93" s="1665">
        <f>IF($B$93&gt;Q93,$B$93-Q93,0)</f>
        <v>1</v>
      </c>
      <c r="S93" s="1663">
        <v>0</v>
      </c>
      <c r="T93" s="1648"/>
      <c r="U93" s="1648"/>
      <c r="V93" s="1648">
        <f>T93+U93</f>
        <v>0</v>
      </c>
      <c r="W93" s="1649">
        <f>V93+S93</f>
        <v>0</v>
      </c>
      <c r="X93" s="3738"/>
      <c r="Y93" s="1661"/>
      <c r="Z93" s="1665">
        <f>IF($B$93&gt;Y93,$B$93-Y93,0)</f>
        <v>1</v>
      </c>
      <c r="AA93" s="1663">
        <v>0</v>
      </c>
      <c r="AB93" s="1648"/>
      <c r="AC93" s="1648"/>
      <c r="AD93" s="1648">
        <f>AB93+AC93</f>
        <v>0</v>
      </c>
      <c r="AE93" s="1649">
        <f>AD93+AA93</f>
        <v>0</v>
      </c>
      <c r="AF93" s="3738"/>
      <c r="AG93" s="1661"/>
      <c r="AH93" s="1665">
        <f>IF($B$93&gt;AG93,$B$93-AG93,0)</f>
        <v>1</v>
      </c>
      <c r="AI93" s="1663">
        <v>0</v>
      </c>
      <c r="AJ93" s="1648"/>
      <c r="AK93" s="1648"/>
      <c r="AL93" s="1648">
        <f>AJ93+AK93</f>
        <v>0</v>
      </c>
      <c r="AM93" s="1649">
        <f>AL93+AI93</f>
        <v>0</v>
      </c>
      <c r="AN93" s="3738"/>
      <c r="AO93" s="1661"/>
      <c r="AP93" s="1665">
        <f>IF($B$93&gt;AO93,$B$93-AO93,0)</f>
        <v>1</v>
      </c>
      <c r="AQ93" s="1663">
        <v>0</v>
      </c>
      <c r="AR93" s="1648"/>
      <c r="AS93" s="1648"/>
      <c r="AT93" s="1648">
        <f>AR93+AS93</f>
        <v>0</v>
      </c>
      <c r="AU93" s="1649">
        <f>AT93+AQ93</f>
        <v>0</v>
      </c>
      <c r="AV93" s="3738"/>
      <c r="AW93" s="1661"/>
      <c r="AX93" s="1665">
        <f>IF($B$93&gt;AW93,$B$93-AW93,0)</f>
        <v>1</v>
      </c>
      <c r="AY93" s="1663">
        <v>0</v>
      </c>
      <c r="AZ93" s="1648"/>
      <c r="BA93" s="1648"/>
      <c r="BB93" s="1648">
        <f>AZ93+BA93</f>
        <v>0</v>
      </c>
      <c r="BC93" s="1649">
        <f>BB93+AY93</f>
        <v>0</v>
      </c>
      <c r="BD93" s="3738"/>
      <c r="BE93" s="1661"/>
      <c r="BF93" s="1665">
        <f>IF($B$93&gt;BE93,$B$93-BE93,0)</f>
        <v>1</v>
      </c>
      <c r="BG93" s="1663">
        <v>0</v>
      </c>
      <c r="BH93" s="1648"/>
      <c r="BI93" s="1648"/>
      <c r="BJ93" s="1648">
        <f>BH93+BI93</f>
        <v>0</v>
      </c>
      <c r="BK93" s="1649">
        <f>BJ93+BG93</f>
        <v>0</v>
      </c>
      <c r="BL93" s="3738"/>
      <c r="BM93" s="1661"/>
      <c r="BN93" s="1665">
        <f>IF($B$93&gt;BM93,$B$93-BM93,0)</f>
        <v>1</v>
      </c>
      <c r="BO93" s="1663">
        <v>0</v>
      </c>
      <c r="BP93" s="1648"/>
      <c r="BQ93" s="1648"/>
      <c r="BR93" s="1648">
        <f>BP93+BQ93</f>
        <v>0</v>
      </c>
      <c r="BS93" s="1649">
        <f>BR93+BO93</f>
        <v>0</v>
      </c>
      <c r="BT93" s="3738"/>
      <c r="BU93" s="1661"/>
      <c r="BV93" s="1665">
        <f>IF($B$93&gt;BU93,$B$93-BU93,0)</f>
        <v>1</v>
      </c>
      <c r="BW93" s="1663">
        <v>0</v>
      </c>
      <c r="BX93" s="1648"/>
      <c r="BY93" s="1648"/>
      <c r="BZ93" s="1648">
        <f>BX93+BY93</f>
        <v>0</v>
      </c>
      <c r="CA93" s="1649">
        <f>BZ93+BW93</f>
        <v>0</v>
      </c>
      <c r="CB93" s="3738"/>
      <c r="CC93" s="1661"/>
      <c r="CD93" s="1665">
        <f>IF($B$93&gt;CC93,$B$93-CC93,0)</f>
        <v>1</v>
      </c>
      <c r="CE93" s="1663">
        <v>0</v>
      </c>
      <c r="CF93" s="1648"/>
      <c r="CG93" s="1648"/>
      <c r="CH93" s="1648">
        <f>CF93+CG93</f>
        <v>0</v>
      </c>
      <c r="CI93" s="1649">
        <f>CH93+CE93</f>
        <v>0</v>
      </c>
      <c r="CJ93" s="3738"/>
      <c r="CK93" s="1661"/>
      <c r="CL93" s="1665">
        <f>IF($B$93&gt;CK93,$B$93-CK93,0)</f>
        <v>1</v>
      </c>
      <c r="CM93" s="1663">
        <v>0</v>
      </c>
      <c r="CN93" s="1648"/>
      <c r="CO93" s="1648"/>
      <c r="CP93" s="1648">
        <f>CN93+CO93</f>
        <v>0</v>
      </c>
      <c r="CQ93" s="1649">
        <f>CP93+CM93</f>
        <v>0</v>
      </c>
      <c r="CR93" s="3738"/>
      <c r="CS93" s="1661"/>
      <c r="CT93" s="1665">
        <f>IF($B$93&gt;CS93,$B$93-CS93,0)</f>
        <v>1</v>
      </c>
      <c r="CU93" s="1663">
        <v>0</v>
      </c>
      <c r="CV93" s="1648"/>
      <c r="CW93" s="1648"/>
      <c r="CX93" s="1648">
        <f>CV93+CW93</f>
        <v>0</v>
      </c>
      <c r="CY93" s="1649">
        <f>CX93+CU93</f>
        <v>0</v>
      </c>
      <c r="CZ93" s="3738"/>
      <c r="DA93" s="1661"/>
      <c r="DB93" s="1665">
        <f>IF($B$93&gt;DA93,$B$93-DA93,0)</f>
        <v>1</v>
      </c>
      <c r="DC93" s="1663">
        <v>0</v>
      </c>
      <c r="DD93" s="1648">
        <v>0</v>
      </c>
      <c r="DE93" s="1648">
        <v>0</v>
      </c>
      <c r="DF93" s="1648">
        <f>DD93+DE93</f>
        <v>0</v>
      </c>
      <c r="DG93" s="1649">
        <f>DF93+DC93</f>
        <v>0</v>
      </c>
      <c r="DH93" s="3742"/>
      <c r="DI93" s="1778">
        <f t="shared" si="142"/>
        <v>0</v>
      </c>
      <c r="DJ93" s="1779">
        <f t="shared" si="142"/>
        <v>12</v>
      </c>
      <c r="DK93" s="1779">
        <f t="shared" si="142"/>
        <v>0</v>
      </c>
      <c r="DL93" s="1779">
        <f t="shared" si="142"/>
        <v>0</v>
      </c>
      <c r="DM93" s="1663">
        <v>0</v>
      </c>
      <c r="DN93" s="1648">
        <f>DL93+DM93</f>
        <v>0</v>
      </c>
      <c r="DO93" s="1649">
        <f>DN93+DK93</f>
        <v>0</v>
      </c>
      <c r="DP93" s="3742"/>
      <c r="DQ93" s="1638"/>
      <c r="DR93" s="1638"/>
      <c r="DS93" s="1638"/>
      <c r="DT93" s="1638"/>
      <c r="DU93" s="1639"/>
      <c r="DV93" s="1639"/>
      <c r="DW93" s="1639"/>
      <c r="DX93" s="1640"/>
      <c r="DY93" s="1640"/>
      <c r="DZ93" s="1640"/>
      <c r="EA93" s="1641"/>
      <c r="EB93" s="1641"/>
      <c r="EC93" s="1640"/>
      <c r="ED93" s="1640"/>
      <c r="EE93" s="1640"/>
      <c r="EF93" s="1638"/>
      <c r="EG93" s="1638"/>
      <c r="EH93" s="1638"/>
      <c r="EI93" s="1638"/>
      <c r="EJ93" s="1638"/>
      <c r="EK93" s="1638"/>
      <c r="EL93" s="1638"/>
      <c r="EM93" s="1638"/>
      <c r="EN93" s="1638"/>
      <c r="EO93" s="1638"/>
      <c r="EP93" s="1638"/>
      <c r="EQ93" s="1638"/>
      <c r="ER93" s="1638"/>
      <c r="ES93" s="1638"/>
      <c r="ET93" s="1638"/>
      <c r="EU93" s="1638"/>
      <c r="EV93" s="1638"/>
      <c r="EW93" s="1638"/>
      <c r="EX93" s="1638"/>
      <c r="EY93" s="1638"/>
      <c r="EZ93" s="1638"/>
    </row>
    <row r="94" spans="1:156" s="1620" customFormat="1" ht="13.5" customHeight="1" x14ac:dyDescent="0.2">
      <c r="A94" s="1623" t="s">
        <v>296</v>
      </c>
      <c r="B94" s="1631">
        <f>SUM(B92:B93)</f>
        <v>19</v>
      </c>
      <c r="C94" s="1625">
        <f>SUM(C92:C93)</f>
        <v>1337.58</v>
      </c>
      <c r="D94" s="283">
        <f>E94/C94</f>
        <v>5209.3364678000398</v>
      </c>
      <c r="E94" s="1626">
        <f>SUM(E92:E93)</f>
        <v>6967904.2725999765</v>
      </c>
      <c r="F94" s="1627"/>
      <c r="G94" s="1627"/>
      <c r="H94" s="1627"/>
      <c r="I94" s="1627"/>
      <c r="J94" s="1627"/>
      <c r="K94" s="1627"/>
      <c r="L94" s="1627"/>
      <c r="M94" s="1627"/>
      <c r="N94" s="1627"/>
      <c r="O94" s="1627"/>
      <c r="P94" s="3750"/>
      <c r="Q94" s="1650">
        <f t="shared" ref="Q94:W94" si="143">SUM(Q92:Q93)</f>
        <v>0</v>
      </c>
      <c r="R94" s="1651">
        <f t="shared" si="143"/>
        <v>19</v>
      </c>
      <c r="S94" s="1652">
        <f t="shared" si="143"/>
        <v>0</v>
      </c>
      <c r="T94" s="1652">
        <f t="shared" si="143"/>
        <v>0</v>
      </c>
      <c r="U94" s="1652">
        <f t="shared" si="143"/>
        <v>0</v>
      </c>
      <c r="V94" s="1652">
        <f t="shared" si="143"/>
        <v>0</v>
      </c>
      <c r="W94" s="1653">
        <f t="shared" si="143"/>
        <v>0</v>
      </c>
      <c r="X94" s="3738"/>
      <c r="Y94" s="1650">
        <f t="shared" ref="Y94:AE94" si="144">SUM(Y92:Y93)</f>
        <v>0</v>
      </c>
      <c r="Z94" s="1651">
        <f t="shared" si="144"/>
        <v>19</v>
      </c>
      <c r="AA94" s="1652">
        <f t="shared" si="144"/>
        <v>0</v>
      </c>
      <c r="AB94" s="1652">
        <f t="shared" si="144"/>
        <v>0</v>
      </c>
      <c r="AC94" s="1652">
        <f t="shared" si="144"/>
        <v>0</v>
      </c>
      <c r="AD94" s="1652">
        <f t="shared" si="144"/>
        <v>0</v>
      </c>
      <c r="AE94" s="1653">
        <f t="shared" si="144"/>
        <v>0</v>
      </c>
      <c r="AF94" s="3738"/>
      <c r="AG94" s="1650">
        <f t="shared" ref="AG94:AM94" si="145">SUM(AG92:AG93)</f>
        <v>0</v>
      </c>
      <c r="AH94" s="1651">
        <f t="shared" si="145"/>
        <v>19</v>
      </c>
      <c r="AI94" s="1652">
        <f t="shared" si="145"/>
        <v>0</v>
      </c>
      <c r="AJ94" s="1652">
        <f t="shared" si="145"/>
        <v>0</v>
      </c>
      <c r="AK94" s="1652">
        <f t="shared" si="145"/>
        <v>0</v>
      </c>
      <c r="AL94" s="1652">
        <f t="shared" si="145"/>
        <v>0</v>
      </c>
      <c r="AM94" s="1653">
        <f t="shared" si="145"/>
        <v>0</v>
      </c>
      <c r="AN94" s="3738"/>
      <c r="AO94" s="1650">
        <f t="shared" ref="AO94:AU94" si="146">SUM(AO92:AO93)</f>
        <v>0</v>
      </c>
      <c r="AP94" s="1651">
        <f t="shared" si="146"/>
        <v>19</v>
      </c>
      <c r="AQ94" s="1652">
        <f t="shared" si="146"/>
        <v>0</v>
      </c>
      <c r="AR94" s="1652">
        <f t="shared" si="146"/>
        <v>0</v>
      </c>
      <c r="AS94" s="1652">
        <f t="shared" si="146"/>
        <v>0</v>
      </c>
      <c r="AT94" s="1652">
        <f t="shared" si="146"/>
        <v>0</v>
      </c>
      <c r="AU94" s="1653">
        <f t="shared" si="146"/>
        <v>0</v>
      </c>
      <c r="AV94" s="3738"/>
      <c r="AW94" s="1650">
        <f t="shared" ref="AW94:BC94" si="147">SUM(AW92:AW93)</f>
        <v>0</v>
      </c>
      <c r="AX94" s="1651">
        <f t="shared" si="147"/>
        <v>19</v>
      </c>
      <c r="AY94" s="1652">
        <f t="shared" si="147"/>
        <v>0</v>
      </c>
      <c r="AZ94" s="1652">
        <f t="shared" si="147"/>
        <v>0</v>
      </c>
      <c r="BA94" s="1652">
        <f t="shared" si="147"/>
        <v>0</v>
      </c>
      <c r="BB94" s="1652">
        <f t="shared" si="147"/>
        <v>0</v>
      </c>
      <c r="BC94" s="1653">
        <f t="shared" si="147"/>
        <v>0</v>
      </c>
      <c r="BD94" s="3738"/>
      <c r="BE94" s="1650">
        <f t="shared" ref="BE94:BK94" si="148">SUM(BE92:BE93)</f>
        <v>0</v>
      </c>
      <c r="BF94" s="1651">
        <f t="shared" si="148"/>
        <v>19</v>
      </c>
      <c r="BG94" s="1652">
        <f t="shared" si="148"/>
        <v>0</v>
      </c>
      <c r="BH94" s="1652">
        <f t="shared" si="148"/>
        <v>0</v>
      </c>
      <c r="BI94" s="1652">
        <f t="shared" si="148"/>
        <v>0</v>
      </c>
      <c r="BJ94" s="1652">
        <f t="shared" si="148"/>
        <v>0</v>
      </c>
      <c r="BK94" s="1653">
        <f t="shared" si="148"/>
        <v>0</v>
      </c>
      <c r="BL94" s="3738"/>
      <c r="BM94" s="1650">
        <f t="shared" ref="BM94:BS94" si="149">SUM(BM92:BM93)</f>
        <v>0</v>
      </c>
      <c r="BN94" s="1651">
        <f t="shared" si="149"/>
        <v>19</v>
      </c>
      <c r="BO94" s="1652">
        <f t="shared" si="149"/>
        <v>0</v>
      </c>
      <c r="BP94" s="1652">
        <f t="shared" si="149"/>
        <v>0</v>
      </c>
      <c r="BQ94" s="1652">
        <f t="shared" si="149"/>
        <v>0</v>
      </c>
      <c r="BR94" s="1652">
        <f t="shared" si="149"/>
        <v>0</v>
      </c>
      <c r="BS94" s="1653">
        <f t="shared" si="149"/>
        <v>0</v>
      </c>
      <c r="BT94" s="3738"/>
      <c r="BU94" s="1650">
        <f t="shared" ref="BU94:CA94" si="150">SUM(BU92:BU93)</f>
        <v>0</v>
      </c>
      <c r="BV94" s="1651">
        <f t="shared" si="150"/>
        <v>19</v>
      </c>
      <c r="BW94" s="1652">
        <f t="shared" si="150"/>
        <v>0</v>
      </c>
      <c r="BX94" s="1652">
        <f t="shared" si="150"/>
        <v>0</v>
      </c>
      <c r="BY94" s="1652">
        <f t="shared" si="150"/>
        <v>0</v>
      </c>
      <c r="BZ94" s="1652">
        <f t="shared" si="150"/>
        <v>0</v>
      </c>
      <c r="CA94" s="1653">
        <f t="shared" si="150"/>
        <v>0</v>
      </c>
      <c r="CB94" s="3738"/>
      <c r="CC94" s="1650">
        <f t="shared" ref="CC94:CI94" si="151">SUM(CC92:CC93)</f>
        <v>0</v>
      </c>
      <c r="CD94" s="1651">
        <f t="shared" si="151"/>
        <v>19</v>
      </c>
      <c r="CE94" s="1652">
        <f t="shared" si="151"/>
        <v>0</v>
      </c>
      <c r="CF94" s="1652">
        <f t="shared" si="151"/>
        <v>0</v>
      </c>
      <c r="CG94" s="1652">
        <f t="shared" si="151"/>
        <v>0</v>
      </c>
      <c r="CH94" s="1652">
        <f t="shared" si="151"/>
        <v>0</v>
      </c>
      <c r="CI94" s="1653">
        <f t="shared" si="151"/>
        <v>0</v>
      </c>
      <c r="CJ94" s="3738"/>
      <c r="CK94" s="1650">
        <f t="shared" ref="CK94:CQ94" si="152">SUM(CK92:CK93)</f>
        <v>0</v>
      </c>
      <c r="CL94" s="1651">
        <f t="shared" si="152"/>
        <v>19</v>
      </c>
      <c r="CM94" s="1652">
        <f t="shared" si="152"/>
        <v>0</v>
      </c>
      <c r="CN94" s="1652">
        <f t="shared" si="152"/>
        <v>0</v>
      </c>
      <c r="CO94" s="1652">
        <f t="shared" si="152"/>
        <v>0</v>
      </c>
      <c r="CP94" s="1652">
        <f t="shared" si="152"/>
        <v>0</v>
      </c>
      <c r="CQ94" s="1653">
        <f t="shared" si="152"/>
        <v>0</v>
      </c>
      <c r="CR94" s="3738"/>
      <c r="CS94" s="1650">
        <f t="shared" ref="CS94:CY94" si="153">SUM(CS92:CS93)</f>
        <v>0</v>
      </c>
      <c r="CT94" s="1651">
        <f t="shared" si="153"/>
        <v>19</v>
      </c>
      <c r="CU94" s="1652">
        <f t="shared" si="153"/>
        <v>0</v>
      </c>
      <c r="CV94" s="1652">
        <f t="shared" si="153"/>
        <v>0</v>
      </c>
      <c r="CW94" s="1652">
        <f t="shared" si="153"/>
        <v>0</v>
      </c>
      <c r="CX94" s="1652">
        <f t="shared" si="153"/>
        <v>0</v>
      </c>
      <c r="CY94" s="1653">
        <f t="shared" si="153"/>
        <v>0</v>
      </c>
      <c r="CZ94" s="3738"/>
      <c r="DA94" s="1650">
        <f t="shared" ref="DA94:DG94" si="154">SUM(DA92:DA93)</f>
        <v>0</v>
      </c>
      <c r="DB94" s="1651">
        <f t="shared" si="154"/>
        <v>19</v>
      </c>
      <c r="DC94" s="1652">
        <f t="shared" si="154"/>
        <v>434729</v>
      </c>
      <c r="DD94" s="1652">
        <f t="shared" si="154"/>
        <v>0</v>
      </c>
      <c r="DE94" s="1652">
        <f t="shared" si="154"/>
        <v>0</v>
      </c>
      <c r="DF94" s="1652">
        <f t="shared" si="154"/>
        <v>0</v>
      </c>
      <c r="DG94" s="1653">
        <f t="shared" si="154"/>
        <v>434729</v>
      </c>
      <c r="DH94" s="3742"/>
      <c r="DI94" s="1650">
        <f t="shared" ref="DI94:DO94" si="155">SUM(DI92:DI93)</f>
        <v>0</v>
      </c>
      <c r="DJ94" s="1651">
        <f t="shared" si="155"/>
        <v>228</v>
      </c>
      <c r="DK94" s="1652">
        <f t="shared" si="155"/>
        <v>434729</v>
      </c>
      <c r="DL94" s="1652">
        <f t="shared" si="155"/>
        <v>0</v>
      </c>
      <c r="DM94" s="1652">
        <f t="shared" si="155"/>
        <v>0</v>
      </c>
      <c r="DN94" s="1652">
        <f t="shared" si="155"/>
        <v>0</v>
      </c>
      <c r="DO94" s="1653">
        <f t="shared" si="155"/>
        <v>434729</v>
      </c>
      <c r="DP94" s="3742"/>
      <c r="DQ94" s="402"/>
      <c r="DR94" s="402"/>
      <c r="DS94" s="402"/>
      <c r="DT94" s="402"/>
      <c r="DU94" s="1628"/>
      <c r="DV94" s="1628"/>
      <c r="DW94" s="1628"/>
      <c r="DX94" s="1629"/>
      <c r="DY94" s="1629"/>
      <c r="DZ94" s="1629"/>
      <c r="EA94" s="1630"/>
      <c r="EB94" s="1630"/>
      <c r="EC94" s="1629"/>
      <c r="ED94" s="1629"/>
      <c r="EE94" s="1629"/>
      <c r="EF94" s="402"/>
      <c r="EG94" s="402"/>
      <c r="EH94" s="402"/>
      <c r="EI94" s="402"/>
      <c r="EJ94" s="402"/>
      <c r="EK94" s="402"/>
      <c r="EL94" s="402"/>
      <c r="EM94" s="402"/>
      <c r="EN94" s="402"/>
      <c r="EO94" s="402"/>
      <c r="EP94" s="402"/>
      <c r="EQ94" s="402"/>
      <c r="ER94" s="402"/>
      <c r="ES94" s="402"/>
      <c r="ET94" s="402"/>
      <c r="EU94" s="402"/>
      <c r="EV94" s="402"/>
      <c r="EW94" s="402"/>
      <c r="EX94" s="402"/>
      <c r="EY94" s="402"/>
      <c r="EZ94" s="402"/>
    </row>
    <row r="95" spans="1:156" s="100" customFormat="1" ht="13.5" thickBot="1" x14ac:dyDescent="0.25">
      <c r="B95" s="326"/>
      <c r="C95" s="396"/>
      <c r="D95" s="397"/>
      <c r="E95" s="285"/>
      <c r="F95" s="285"/>
      <c r="G95" s="285"/>
      <c r="H95" s="285"/>
      <c r="I95" s="285"/>
      <c r="J95" s="285"/>
      <c r="K95" s="285"/>
      <c r="L95" s="285"/>
      <c r="M95" s="285"/>
      <c r="N95" s="285"/>
      <c r="O95" s="285"/>
      <c r="P95" s="3737"/>
      <c r="S95" s="104"/>
      <c r="T95" s="104"/>
      <c r="U95" s="104"/>
      <c r="V95" s="104"/>
      <c r="W95" s="104"/>
      <c r="X95" s="3737"/>
      <c r="Y95" s="398"/>
      <c r="Z95" s="398"/>
      <c r="AA95" s="104"/>
      <c r="AB95" s="104"/>
      <c r="AC95" s="104"/>
      <c r="AD95" s="104"/>
      <c r="AE95" s="104"/>
      <c r="AF95" s="3737"/>
      <c r="AG95" s="104"/>
      <c r="AH95" s="104"/>
      <c r="AI95" s="104"/>
      <c r="AJ95" s="104"/>
      <c r="AK95" s="104"/>
      <c r="AL95" s="104"/>
      <c r="AM95" s="104"/>
      <c r="AN95" s="3737"/>
      <c r="AO95" s="104"/>
      <c r="AP95" s="104"/>
      <c r="AQ95" s="104"/>
      <c r="AR95" s="104"/>
      <c r="AS95" s="104"/>
      <c r="AT95" s="104"/>
      <c r="AU95" s="104"/>
      <c r="AV95" s="3737"/>
      <c r="AW95" s="348"/>
      <c r="AX95" s="348"/>
      <c r="AY95" s="349"/>
      <c r="AZ95" s="349"/>
      <c r="BA95" s="349"/>
      <c r="BB95" s="349"/>
      <c r="BC95" s="349"/>
      <c r="BD95" s="3737"/>
      <c r="BE95" s="104"/>
      <c r="BF95" s="104"/>
      <c r="BG95" s="104"/>
      <c r="BH95" s="104"/>
      <c r="BI95" s="104"/>
      <c r="BJ95" s="104"/>
      <c r="BK95" s="104"/>
      <c r="BL95" s="3737"/>
      <c r="BM95" s="349"/>
      <c r="BN95" s="349"/>
      <c r="BO95" s="349"/>
      <c r="BP95" s="349"/>
      <c r="BQ95" s="349"/>
      <c r="BR95" s="349"/>
      <c r="BS95" s="349"/>
      <c r="BT95" s="3737"/>
      <c r="BU95" s="349"/>
      <c r="BV95" s="349"/>
      <c r="BW95" s="349"/>
      <c r="BX95" s="349"/>
      <c r="BY95" s="349"/>
      <c r="BZ95" s="349"/>
      <c r="CA95" s="349"/>
      <c r="CB95" s="3737"/>
      <c r="CC95" s="349"/>
      <c r="CD95" s="349"/>
      <c r="CE95" s="349"/>
      <c r="CF95" s="349"/>
      <c r="CG95" s="349"/>
      <c r="CH95" s="349"/>
      <c r="CI95" s="349"/>
      <c r="CJ95" s="3737"/>
      <c r="CK95" s="349"/>
      <c r="CL95" s="349"/>
      <c r="CM95" s="349"/>
      <c r="CN95" s="349"/>
      <c r="CO95" s="349"/>
      <c r="CP95" s="349"/>
      <c r="CQ95" s="349"/>
      <c r="CR95" s="3737"/>
      <c r="CS95" s="349"/>
      <c r="CT95" s="349"/>
      <c r="CU95" s="349"/>
      <c r="CV95" s="349"/>
      <c r="CW95" s="349"/>
      <c r="CX95" s="349"/>
      <c r="CY95" s="349"/>
      <c r="CZ95" s="3737"/>
      <c r="DA95" s="349"/>
      <c r="DB95" s="349"/>
      <c r="DC95" s="349"/>
      <c r="DD95" s="349"/>
      <c r="DE95" s="349"/>
      <c r="DF95" s="349"/>
      <c r="DG95" s="349"/>
      <c r="DH95" s="3737"/>
      <c r="DI95" s="349"/>
      <c r="DJ95" s="349"/>
      <c r="DK95" s="349"/>
      <c r="DL95" s="349"/>
      <c r="DM95" s="349"/>
      <c r="DN95" s="349"/>
      <c r="DO95" s="349"/>
      <c r="DP95" s="3737"/>
      <c r="DQ95" s="104"/>
      <c r="DR95" s="104"/>
      <c r="DS95" s="104"/>
      <c r="DT95" s="104"/>
      <c r="DU95" s="293"/>
      <c r="DV95" s="293"/>
      <c r="DW95" s="293"/>
      <c r="DX95" s="294"/>
      <c r="DY95" s="294"/>
      <c r="DZ95" s="294"/>
      <c r="EA95" s="295"/>
      <c r="EB95" s="295"/>
      <c r="EC95" s="294"/>
      <c r="ED95" s="294"/>
      <c r="EE95" s="294"/>
      <c r="EF95" s="104"/>
      <c r="EG95" s="104"/>
      <c r="EH95" s="104"/>
      <c r="EI95" s="104"/>
      <c r="EJ95" s="104"/>
      <c r="EK95" s="104"/>
      <c r="EL95" s="104"/>
      <c r="EM95" s="104"/>
      <c r="EN95" s="104"/>
      <c r="EO95" s="104"/>
      <c r="EP95" s="104"/>
      <c r="EQ95" s="104"/>
      <c r="ER95" s="104"/>
      <c r="ES95" s="104"/>
      <c r="ET95" s="104"/>
      <c r="EU95" s="104"/>
      <c r="EV95" s="104"/>
      <c r="EW95" s="104"/>
      <c r="EX95" s="104"/>
      <c r="EY95" s="104"/>
      <c r="EZ95" s="104"/>
    </row>
    <row r="96" spans="1:156" s="100" customFormat="1" ht="13.5" thickBot="1" x14ac:dyDescent="0.25">
      <c r="A96" s="320" t="s">
        <v>470</v>
      </c>
      <c r="B96" s="384">
        <v>20</v>
      </c>
      <c r="C96" s="322">
        <v>1250</v>
      </c>
      <c r="D96" s="385">
        <f>E96/C96</f>
        <v>6199.7116759599994</v>
      </c>
      <c r="E96" s="324">
        <f>843.32*C96*7.351553</f>
        <v>7749639.5949499998</v>
      </c>
      <c r="F96" s="285"/>
      <c r="G96" s="285"/>
      <c r="H96" s="285"/>
      <c r="I96" s="285"/>
      <c r="J96" s="285"/>
      <c r="K96" s="285"/>
      <c r="L96" s="285"/>
      <c r="M96" s="285"/>
      <c r="N96" s="285"/>
      <c r="O96" s="285"/>
      <c r="P96" s="3737"/>
      <c r="Q96" s="318">
        <v>0</v>
      </c>
      <c r="R96" s="287">
        <f>IF(B96&gt;Q96,B96-Q96,0)</f>
        <v>20</v>
      </c>
      <c r="S96" s="290">
        <v>0</v>
      </c>
      <c r="T96" s="290">
        <v>0</v>
      </c>
      <c r="U96" s="290">
        <v>0</v>
      </c>
      <c r="V96" s="290">
        <f>SUM(T96:U96)</f>
        <v>0</v>
      </c>
      <c r="W96" s="291">
        <f>S96+V96</f>
        <v>0</v>
      </c>
      <c r="X96" s="3737"/>
      <c r="Y96" s="318">
        <v>0</v>
      </c>
      <c r="Z96" s="287">
        <f>IF(R96&gt;Y96,R96-Y96,0)</f>
        <v>20</v>
      </c>
      <c r="AA96" s="290">
        <v>0</v>
      </c>
      <c r="AB96" s="290">
        <v>0</v>
      </c>
      <c r="AC96" s="290">
        <v>0</v>
      </c>
      <c r="AD96" s="290">
        <f>SUM(AB96:AC96)</f>
        <v>0</v>
      </c>
      <c r="AE96" s="291">
        <f>AA96+AD96</f>
        <v>0</v>
      </c>
      <c r="AF96" s="3737"/>
      <c r="AG96" s="318">
        <v>0</v>
      </c>
      <c r="AH96" s="287">
        <f>IF(R96&gt;AG96,R96-AG96,0)</f>
        <v>20</v>
      </c>
      <c r="AI96" s="290">
        <v>0</v>
      </c>
      <c r="AJ96" s="290">
        <v>0</v>
      </c>
      <c r="AK96" s="290">
        <v>0</v>
      </c>
      <c r="AL96" s="290">
        <f>SUM(AJ96:AK96)</f>
        <v>0</v>
      </c>
      <c r="AM96" s="291">
        <f>AI96+AL96</f>
        <v>0</v>
      </c>
      <c r="AN96" s="3737"/>
      <c r="AO96" s="318">
        <v>0</v>
      </c>
      <c r="AP96" s="287">
        <f>IF(Z96&gt;AO96,Z96-AO96,0)</f>
        <v>20</v>
      </c>
      <c r="AQ96" s="290">
        <v>0</v>
      </c>
      <c r="AR96" s="290">
        <v>0</v>
      </c>
      <c r="AS96" s="290">
        <v>0</v>
      </c>
      <c r="AT96" s="290">
        <f>SUM(AR96:AS96)</f>
        <v>0</v>
      </c>
      <c r="AU96" s="291">
        <f>AQ96+AT96</f>
        <v>0</v>
      </c>
      <c r="AV96" s="3737"/>
      <c r="AW96" s="318">
        <v>0</v>
      </c>
      <c r="AX96" s="287">
        <f>IF(AH96&gt;AW96,AH96-AW96,0)</f>
        <v>20</v>
      </c>
      <c r="AY96" s="290">
        <v>0</v>
      </c>
      <c r="AZ96" s="290">
        <v>0</v>
      </c>
      <c r="BA96" s="290">
        <v>0</v>
      </c>
      <c r="BB96" s="290">
        <f>SUM(AZ96:BA96)</f>
        <v>0</v>
      </c>
      <c r="BC96" s="291">
        <f>AY96+BB96</f>
        <v>0</v>
      </c>
      <c r="BD96" s="3737"/>
      <c r="BE96" s="318">
        <v>0</v>
      </c>
      <c r="BF96" s="287">
        <f>IF(AP96&gt;BE96,AP96-BE96,0)</f>
        <v>20</v>
      </c>
      <c r="BG96" s="290">
        <v>0</v>
      </c>
      <c r="BH96" s="290">
        <v>0</v>
      </c>
      <c r="BI96" s="290">
        <v>0</v>
      </c>
      <c r="BJ96" s="290">
        <f>SUM(BH96:BI96)</f>
        <v>0</v>
      </c>
      <c r="BK96" s="291">
        <f>BG96+BJ96</f>
        <v>0</v>
      </c>
      <c r="BL96" s="3737"/>
      <c r="BM96" s="286">
        <v>0</v>
      </c>
      <c r="BN96" s="287">
        <f>IF(BF96&gt;BM96,BF96-BM96,0)</f>
        <v>20</v>
      </c>
      <c r="BO96" s="290">
        <v>195077.35</v>
      </c>
      <c r="BP96" s="290">
        <v>0</v>
      </c>
      <c r="BQ96" s="290">
        <v>0</v>
      </c>
      <c r="BR96" s="290">
        <v>0</v>
      </c>
      <c r="BS96" s="291">
        <f>BO96+BR96</f>
        <v>195077.35</v>
      </c>
      <c r="BT96" s="3737"/>
      <c r="BU96" s="286">
        <v>0</v>
      </c>
      <c r="BV96" s="287">
        <f>IF(BN96&gt;BU96,BN96-BU96,0)</f>
        <v>20</v>
      </c>
      <c r="BW96" s="290">
        <v>170085.15</v>
      </c>
      <c r="BX96" s="290">
        <v>0</v>
      </c>
      <c r="BY96" s="290">
        <v>0</v>
      </c>
      <c r="BZ96" s="290">
        <v>0</v>
      </c>
      <c r="CA96" s="291">
        <f>BW96+BZ96</f>
        <v>170085.15</v>
      </c>
      <c r="CB96" s="3737"/>
      <c r="CC96" s="286"/>
      <c r="CD96" s="287">
        <f>IF(BV96&gt;CC96,BV96-CC96,0)</f>
        <v>20</v>
      </c>
      <c r="CE96" s="290">
        <f>67858.79-67386.1</f>
        <v>472.68999999998778</v>
      </c>
      <c r="CF96" s="290">
        <v>0</v>
      </c>
      <c r="CG96" s="290">
        <v>0</v>
      </c>
      <c r="CH96" s="290">
        <v>0</v>
      </c>
      <c r="CI96" s="291">
        <f>CE96+CH96</f>
        <v>472.68999999998778</v>
      </c>
      <c r="CJ96" s="3737"/>
      <c r="CK96" s="286">
        <v>0</v>
      </c>
      <c r="CL96" s="287">
        <f>IF(CD96&gt;CK96,CD96-CK96,0)</f>
        <v>20</v>
      </c>
      <c r="CM96" s="290"/>
      <c r="CN96" s="290">
        <v>0</v>
      </c>
      <c r="CO96" s="290">
        <v>0</v>
      </c>
      <c r="CP96" s="290">
        <v>0</v>
      </c>
      <c r="CQ96" s="291">
        <f>CM96+CP96</f>
        <v>0</v>
      </c>
      <c r="CR96" s="3737"/>
      <c r="CS96" s="286">
        <v>0</v>
      </c>
      <c r="CT96" s="287">
        <f>IF(CL96&gt;CS96,CL96-CS96,0)</f>
        <v>20</v>
      </c>
      <c r="CU96" s="290">
        <v>46958.53</v>
      </c>
      <c r="CV96" s="290">
        <v>0</v>
      </c>
      <c r="CW96" s="290">
        <v>0</v>
      </c>
      <c r="CX96" s="290">
        <v>0</v>
      </c>
      <c r="CY96" s="291">
        <f>CU96+CX96</f>
        <v>46958.53</v>
      </c>
      <c r="CZ96" s="3737"/>
      <c r="DA96" s="286">
        <v>0</v>
      </c>
      <c r="DB96" s="287">
        <f>IF(CT96&gt;DA96,CT96-DA96,0)</f>
        <v>20</v>
      </c>
      <c r="DC96" s="290">
        <v>0</v>
      </c>
      <c r="DD96" s="290">
        <v>0</v>
      </c>
      <c r="DE96" s="290">
        <v>0</v>
      </c>
      <c r="DF96" s="290">
        <v>0</v>
      </c>
      <c r="DG96" s="291">
        <f>DC96+DF96</f>
        <v>0</v>
      </c>
      <c r="DH96" s="3737"/>
      <c r="DI96" s="286">
        <f>Q96+Y96+AG96+AO96+AW96+BE96+BM96+BU96+CC96+CK96+CS96+DA96</f>
        <v>0</v>
      </c>
      <c r="DJ96" s="287">
        <f>IF(DB96&gt;DI96,DB96-DI96,0)</f>
        <v>20</v>
      </c>
      <c r="DK96" s="290">
        <f>S96+AA96+AI96+AQ96+AY96+BG96+BO96+BW96+CE96+CM96+CU96+DC96</f>
        <v>412593.72</v>
      </c>
      <c r="DL96" s="290">
        <f>T96+AB96+AJ96+AR96+AZ96+BH96+BP96+BX96+CF96+CN96+CV96+DD96</f>
        <v>0</v>
      </c>
      <c r="DM96" s="290">
        <f>U96+AC96+AK96+AS96+BA96+BI96+BQ96+BY96+CG96+CO96+CW96+DE96</f>
        <v>0</v>
      </c>
      <c r="DN96" s="290">
        <v>0</v>
      </c>
      <c r="DO96" s="291">
        <f>DK96+DN96</f>
        <v>412593.72</v>
      </c>
      <c r="DP96" s="3737"/>
      <c r="DQ96" s="104"/>
      <c r="DR96" s="104"/>
      <c r="DS96" s="104"/>
      <c r="DT96" s="104"/>
      <c r="DU96" s="293"/>
      <c r="DV96" s="293"/>
      <c r="DW96" s="293"/>
      <c r="DX96" s="294"/>
      <c r="DY96" s="294"/>
      <c r="DZ96" s="294"/>
      <c r="EA96" s="295"/>
      <c r="EB96" s="295"/>
      <c r="EC96" s="294"/>
      <c r="ED96" s="294"/>
      <c r="EE96" s="294"/>
      <c r="EF96" s="104"/>
      <c r="EG96" s="104"/>
      <c r="EH96" s="104"/>
      <c r="EI96" s="104"/>
      <c r="EJ96" s="104"/>
      <c r="EK96" s="104"/>
      <c r="EL96" s="104"/>
      <c r="EM96" s="104"/>
      <c r="EN96" s="104"/>
      <c r="EO96" s="104"/>
      <c r="EP96" s="104"/>
      <c r="EQ96" s="104"/>
      <c r="ER96" s="104"/>
      <c r="ES96" s="104"/>
      <c r="ET96" s="104"/>
      <c r="EU96" s="104"/>
      <c r="EV96" s="104"/>
      <c r="EW96" s="104"/>
      <c r="EX96" s="104"/>
      <c r="EY96" s="104"/>
      <c r="EZ96" s="104"/>
    </row>
    <row r="97" spans="1:156" s="100" customFormat="1" ht="13.5" thickBot="1" x14ac:dyDescent="0.25">
      <c r="B97" s="326"/>
      <c r="C97" s="396"/>
      <c r="D97" s="397"/>
      <c r="E97" s="285"/>
      <c r="F97" s="285"/>
      <c r="G97" s="285"/>
      <c r="H97" s="285"/>
      <c r="I97" s="285"/>
      <c r="J97" s="285"/>
      <c r="K97" s="285"/>
      <c r="L97" s="285"/>
      <c r="M97" s="285"/>
      <c r="N97" s="285"/>
      <c r="O97" s="285"/>
      <c r="P97" s="3737"/>
      <c r="S97" s="104"/>
      <c r="T97" s="104"/>
      <c r="U97" s="104"/>
      <c r="V97" s="104"/>
      <c r="W97" s="104"/>
      <c r="X97" s="3737"/>
      <c r="Y97" s="398"/>
      <c r="Z97" s="398"/>
      <c r="AA97" s="104"/>
      <c r="AB97" s="104"/>
      <c r="AC97" s="104"/>
      <c r="AD97" s="104"/>
      <c r="AE97" s="104"/>
      <c r="AF97" s="3737"/>
      <c r="AG97" s="104"/>
      <c r="AH97" s="104"/>
      <c r="AI97" s="104"/>
      <c r="AJ97" s="104"/>
      <c r="AK97" s="104"/>
      <c r="AL97" s="104"/>
      <c r="AM97" s="104"/>
      <c r="AN97" s="3737"/>
      <c r="AO97" s="104"/>
      <c r="AP97" s="104"/>
      <c r="AQ97" s="104"/>
      <c r="AR97" s="104"/>
      <c r="AS97" s="104"/>
      <c r="AT97" s="104"/>
      <c r="AU97" s="104"/>
      <c r="AV97" s="3737"/>
      <c r="AW97" s="348"/>
      <c r="AX97" s="348"/>
      <c r="AY97" s="349"/>
      <c r="AZ97" s="349"/>
      <c r="BA97" s="349"/>
      <c r="BB97" s="349"/>
      <c r="BC97" s="349"/>
      <c r="BD97" s="3737"/>
      <c r="BE97" s="104"/>
      <c r="BF97" s="104"/>
      <c r="BG97" s="104"/>
      <c r="BH97" s="104"/>
      <c r="BI97" s="104"/>
      <c r="BJ97" s="104"/>
      <c r="BK97" s="104"/>
      <c r="BL97" s="3737"/>
      <c r="BM97" s="349"/>
      <c r="BN97" s="349"/>
      <c r="BO97" s="349"/>
      <c r="BP97" s="349"/>
      <c r="BQ97" s="349"/>
      <c r="BR97" s="349"/>
      <c r="BS97" s="349"/>
      <c r="BT97" s="3737"/>
      <c r="BU97" s="349"/>
      <c r="BV97" s="349"/>
      <c r="BW97" s="349"/>
      <c r="BX97" s="349"/>
      <c r="BY97" s="349"/>
      <c r="BZ97" s="349"/>
      <c r="CA97" s="349"/>
      <c r="CB97" s="3737"/>
      <c r="CC97" s="349"/>
      <c r="CD97" s="349"/>
      <c r="CE97" s="349"/>
      <c r="CF97" s="349"/>
      <c r="CG97" s="349"/>
      <c r="CH97" s="349"/>
      <c r="CI97" s="349"/>
      <c r="CJ97" s="3737"/>
      <c r="CK97" s="349"/>
      <c r="CL97" s="349"/>
      <c r="CM97" s="349"/>
      <c r="CN97" s="349"/>
      <c r="CO97" s="349"/>
      <c r="CP97" s="349"/>
      <c r="CQ97" s="349"/>
      <c r="CR97" s="3737"/>
      <c r="CS97" s="349"/>
      <c r="CT97" s="349"/>
      <c r="CU97" s="349"/>
      <c r="CV97" s="349"/>
      <c r="CW97" s="349"/>
      <c r="CX97" s="349"/>
      <c r="CY97" s="349"/>
      <c r="CZ97" s="3737"/>
      <c r="DA97" s="349"/>
      <c r="DB97" s="349"/>
      <c r="DC97" s="349"/>
      <c r="DD97" s="349"/>
      <c r="DE97" s="349"/>
      <c r="DF97" s="349"/>
      <c r="DG97" s="349"/>
      <c r="DH97" s="3737"/>
      <c r="DI97" s="349"/>
      <c r="DJ97" s="349"/>
      <c r="DK97" s="349"/>
      <c r="DL97" s="349"/>
      <c r="DM97" s="349"/>
      <c r="DN97" s="349"/>
      <c r="DO97" s="349"/>
      <c r="DP97" s="3737"/>
      <c r="DQ97" s="104"/>
      <c r="DR97" s="104"/>
      <c r="DS97" s="104"/>
      <c r="DT97" s="104"/>
      <c r="DU97" s="293"/>
      <c r="DV97" s="293"/>
      <c r="DW97" s="293"/>
      <c r="DX97" s="294"/>
      <c r="DY97" s="294"/>
      <c r="DZ97" s="294"/>
      <c r="EA97" s="295"/>
      <c r="EB97" s="295"/>
      <c r="EC97" s="294"/>
      <c r="ED97" s="294"/>
      <c r="EE97" s="294"/>
      <c r="EF97" s="104"/>
      <c r="EG97" s="104"/>
      <c r="EH97" s="104"/>
      <c r="EI97" s="104"/>
      <c r="EJ97" s="104"/>
      <c r="EK97" s="104"/>
      <c r="EL97" s="104"/>
      <c r="EM97" s="104"/>
      <c r="EN97" s="104"/>
      <c r="EO97" s="104"/>
      <c r="EP97" s="104"/>
      <c r="EQ97" s="104"/>
      <c r="ER97" s="104"/>
      <c r="ES97" s="104"/>
      <c r="ET97" s="104"/>
      <c r="EU97" s="104"/>
      <c r="EV97" s="104"/>
      <c r="EW97" s="104"/>
      <c r="EX97" s="104"/>
      <c r="EY97" s="104"/>
      <c r="EZ97" s="104"/>
    </row>
    <row r="98" spans="1:156" s="100" customFormat="1" ht="13.5" thickBot="1" x14ac:dyDescent="0.25">
      <c r="A98" s="320" t="s">
        <v>514</v>
      </c>
      <c r="B98" s="1485">
        <f>'prosinac 2009.(12)'!E145</f>
        <v>18</v>
      </c>
      <c r="C98" s="322">
        <f>'prosinac 2009.(12)'!F145</f>
        <v>1233.4000000000001</v>
      </c>
      <c r="D98" s="385">
        <f>E98/C98</f>
        <v>6249.3346587100004</v>
      </c>
      <c r="E98" s="324">
        <f>850.07*C98*7.351553</f>
        <v>7707929.3680529147</v>
      </c>
      <c r="F98" s="285"/>
      <c r="G98" s="285"/>
      <c r="H98" s="285"/>
      <c r="I98" s="285"/>
      <c r="J98" s="285"/>
      <c r="K98" s="285"/>
      <c r="L98" s="285"/>
      <c r="M98" s="285"/>
      <c r="N98" s="285"/>
      <c r="O98" s="285"/>
      <c r="P98" s="3737"/>
      <c r="Q98" s="318">
        <v>0</v>
      </c>
      <c r="R98" s="287">
        <f>IF(B98&gt;Q98,B98-Q98,0)</f>
        <v>18</v>
      </c>
      <c r="S98" s="290">
        <v>0</v>
      </c>
      <c r="T98" s="290">
        <v>0</v>
      </c>
      <c r="U98" s="290">
        <v>0</v>
      </c>
      <c r="V98" s="290">
        <f>SUM(T98:U98)</f>
        <v>0</v>
      </c>
      <c r="W98" s="291">
        <f>S98+V98</f>
        <v>0</v>
      </c>
      <c r="X98" s="3737"/>
      <c r="Y98" s="318">
        <v>0</v>
      </c>
      <c r="Z98" s="287">
        <f>IF(R98&gt;Y98,R98-Y98,0)</f>
        <v>18</v>
      </c>
      <c r="AA98" s="290">
        <v>0</v>
      </c>
      <c r="AB98" s="290">
        <v>0</v>
      </c>
      <c r="AC98" s="290">
        <v>0</v>
      </c>
      <c r="AD98" s="290">
        <f>SUM(AB98:AC98)</f>
        <v>0</v>
      </c>
      <c r="AE98" s="291">
        <f>AA98+AD98</f>
        <v>0</v>
      </c>
      <c r="AF98" s="3737"/>
      <c r="AG98" s="318">
        <v>0</v>
      </c>
      <c r="AH98" s="287">
        <f>IF(R98&gt;AG98,R98-AG98,0)</f>
        <v>18</v>
      </c>
      <c r="AI98" s="290">
        <v>0</v>
      </c>
      <c r="AJ98" s="290">
        <v>0</v>
      </c>
      <c r="AK98" s="290">
        <v>0</v>
      </c>
      <c r="AL98" s="290">
        <f>SUM(AJ98:AK98)</f>
        <v>0</v>
      </c>
      <c r="AM98" s="291">
        <f>AI98+AL98</f>
        <v>0</v>
      </c>
      <c r="AN98" s="3737"/>
      <c r="AO98" s="318">
        <v>0</v>
      </c>
      <c r="AP98" s="287">
        <f>IF(Z98&gt;AO98,Z98-AO98,0)</f>
        <v>18</v>
      </c>
      <c r="AQ98" s="290">
        <v>0</v>
      </c>
      <c r="AR98" s="290">
        <v>0</v>
      </c>
      <c r="AS98" s="290">
        <v>0</v>
      </c>
      <c r="AT98" s="290">
        <f>SUM(AR98:AS98)</f>
        <v>0</v>
      </c>
      <c r="AU98" s="291">
        <f>AQ98+AT98</f>
        <v>0</v>
      </c>
      <c r="AV98" s="3737"/>
      <c r="AW98" s="318">
        <v>0</v>
      </c>
      <c r="AX98" s="287">
        <f>IF(AH98&gt;AW98,AH98-AW98,0)</f>
        <v>18</v>
      </c>
      <c r="AY98" s="290">
        <v>0</v>
      </c>
      <c r="AZ98" s="290">
        <v>0</v>
      </c>
      <c r="BA98" s="290">
        <v>0</v>
      </c>
      <c r="BB98" s="290">
        <f>SUM(AZ98:BA98)</f>
        <v>0</v>
      </c>
      <c r="BC98" s="291">
        <f>AY98+BB98</f>
        <v>0</v>
      </c>
      <c r="BD98" s="3737"/>
      <c r="BE98" s="318">
        <v>0</v>
      </c>
      <c r="BF98" s="287">
        <f>IF(AP98&gt;BE98,AP98-BE98,0)</f>
        <v>18</v>
      </c>
      <c r="BG98" s="290">
        <v>0</v>
      </c>
      <c r="BH98" s="290">
        <v>0</v>
      </c>
      <c r="BI98" s="290">
        <v>0</v>
      </c>
      <c r="BJ98" s="290">
        <f>SUM(BH98:BI98)</f>
        <v>0</v>
      </c>
      <c r="BK98" s="291">
        <f>BG98+BJ98</f>
        <v>0</v>
      </c>
      <c r="BL98" s="3737"/>
      <c r="BM98" s="286">
        <v>0</v>
      </c>
      <c r="BN98" s="287">
        <f>IF(BF98&gt;BM98,BF98-BM98,0)</f>
        <v>18</v>
      </c>
      <c r="BO98" s="290">
        <v>0</v>
      </c>
      <c r="BP98" s="290">
        <v>0</v>
      </c>
      <c r="BQ98" s="290">
        <v>0</v>
      </c>
      <c r="BR98" s="290">
        <v>0</v>
      </c>
      <c r="BS98" s="291">
        <f>BO98+BR98</f>
        <v>0</v>
      </c>
      <c r="BT98" s="3737"/>
      <c r="BU98" s="286">
        <v>0</v>
      </c>
      <c r="BV98" s="287">
        <f>IF(BN98&gt;BU98,BN98-BU98,0)</f>
        <v>18</v>
      </c>
      <c r="BW98" s="290">
        <v>0</v>
      </c>
      <c r="BX98" s="290">
        <v>0</v>
      </c>
      <c r="BY98" s="290">
        <v>0</v>
      </c>
      <c r="BZ98" s="290">
        <v>0</v>
      </c>
      <c r="CA98" s="291">
        <f>BW98+BZ98</f>
        <v>0</v>
      </c>
      <c r="CB98" s="3737"/>
      <c r="CC98" s="286"/>
      <c r="CD98" s="287">
        <f>IF(BV98&gt;CC98,BV98-CC98,0)</f>
        <v>18</v>
      </c>
      <c r="CE98" s="290">
        <v>0</v>
      </c>
      <c r="CF98" s="290">
        <v>0</v>
      </c>
      <c r="CG98" s="290">
        <v>0</v>
      </c>
      <c r="CH98" s="290">
        <v>0</v>
      </c>
      <c r="CI98" s="291">
        <f>CE98+CH98</f>
        <v>0</v>
      </c>
      <c r="CJ98" s="3737"/>
      <c r="CK98" s="286">
        <v>0</v>
      </c>
      <c r="CL98" s="287">
        <f>IF(CD98&gt;CK98,CD98-CK98,0)</f>
        <v>18</v>
      </c>
      <c r="CM98" s="290">
        <v>275632.90999999997</v>
      </c>
      <c r="CN98" s="290">
        <v>0</v>
      </c>
      <c r="CO98" s="290">
        <v>0</v>
      </c>
      <c r="CP98" s="290">
        <v>0</v>
      </c>
      <c r="CQ98" s="291">
        <f>CM98+CP98</f>
        <v>275632.90999999997</v>
      </c>
      <c r="CR98" s="3737"/>
      <c r="CS98" s="286">
        <v>0</v>
      </c>
      <c r="CT98" s="287">
        <f>IF(CL98&gt;CS98,CL98-CS98,0)</f>
        <v>18</v>
      </c>
      <c r="CU98" s="290">
        <v>163464</v>
      </c>
      <c r="CV98" s="290">
        <v>0</v>
      </c>
      <c r="CW98" s="290">
        <v>0</v>
      </c>
      <c r="CX98" s="290">
        <v>0</v>
      </c>
      <c r="CY98" s="291">
        <f>CU98+CX98</f>
        <v>163464</v>
      </c>
      <c r="CZ98" s="3737"/>
      <c r="DA98" s="286">
        <v>0</v>
      </c>
      <c r="DB98" s="287">
        <f>IF(CT98&gt;DA98,CT98-DA98,0)</f>
        <v>18</v>
      </c>
      <c r="DC98" s="290">
        <v>67315.78</v>
      </c>
      <c r="DD98" s="290">
        <v>0</v>
      </c>
      <c r="DE98" s="290">
        <v>0</v>
      </c>
      <c r="DF98" s="290">
        <v>0</v>
      </c>
      <c r="DG98" s="291">
        <f>DC98+DF98</f>
        <v>67315.78</v>
      </c>
      <c r="DH98" s="3737"/>
      <c r="DI98" s="286">
        <f>Q98+Y98+AG98+AO98+AW98+BE98+BM98+BU98+CC98+CK98+CS98+DA98</f>
        <v>0</v>
      </c>
      <c r="DJ98" s="287">
        <f>IF(DB98&gt;DI98,DB98-DI98,0)</f>
        <v>18</v>
      </c>
      <c r="DK98" s="290">
        <f>S98+AA98+AI98+AQ98+AY98+BG98+BO98+BW98+CE98+CM98+CU98+DC98</f>
        <v>506412.68999999994</v>
      </c>
      <c r="DL98" s="290">
        <f>T98+AB98+AJ98+AR98+AZ98+BH98+BP98+BX98+CF98+CN98+CV98+DD98</f>
        <v>0</v>
      </c>
      <c r="DM98" s="290">
        <f>U98+AC98+AK98+AS98+BA98+BI98+BQ98+BY98+CG98+CO98+CW98+DE98</f>
        <v>0</v>
      </c>
      <c r="DN98" s="290">
        <v>0</v>
      </c>
      <c r="DO98" s="291">
        <f>DK98+DN98</f>
        <v>506412.68999999994</v>
      </c>
      <c r="DP98" s="3737"/>
      <c r="DQ98" s="104"/>
      <c r="DR98" s="104"/>
      <c r="DS98" s="104"/>
      <c r="DT98" s="104"/>
      <c r="DU98" s="293"/>
      <c r="DV98" s="293"/>
      <c r="DW98" s="293"/>
      <c r="DX98" s="294"/>
      <c r="DY98" s="294"/>
      <c r="DZ98" s="294"/>
      <c r="EA98" s="295"/>
      <c r="EB98" s="295"/>
      <c r="EC98" s="294"/>
      <c r="ED98" s="294"/>
      <c r="EE98" s="294"/>
      <c r="EF98" s="104"/>
      <c r="EG98" s="104"/>
      <c r="EH98" s="104"/>
      <c r="EI98" s="104"/>
      <c r="EJ98" s="104"/>
      <c r="EK98" s="104"/>
      <c r="EL98" s="104"/>
      <c r="EM98" s="104"/>
      <c r="EN98" s="104"/>
      <c r="EO98" s="104"/>
      <c r="EP98" s="104"/>
      <c r="EQ98" s="104"/>
      <c r="ER98" s="104"/>
      <c r="ES98" s="104"/>
      <c r="ET98" s="104"/>
      <c r="EU98" s="104"/>
      <c r="EV98" s="104"/>
      <c r="EW98" s="104"/>
      <c r="EX98" s="104"/>
      <c r="EY98" s="104"/>
      <c r="EZ98" s="104"/>
    </row>
    <row r="99" spans="1:156" s="100" customFormat="1" ht="13.5" thickBot="1" x14ac:dyDescent="0.25">
      <c r="B99" s="326"/>
      <c r="C99" s="396"/>
      <c r="D99" s="397"/>
      <c r="E99" s="285"/>
      <c r="F99" s="285"/>
      <c r="G99" s="285"/>
      <c r="H99" s="285"/>
      <c r="I99" s="285"/>
      <c r="J99" s="285"/>
      <c r="K99" s="285"/>
      <c r="L99" s="285"/>
      <c r="M99" s="285"/>
      <c r="N99" s="285"/>
      <c r="O99" s="285"/>
      <c r="P99" s="3737"/>
      <c r="S99" s="104"/>
      <c r="T99" s="104"/>
      <c r="U99" s="104"/>
      <c r="V99" s="104"/>
      <c r="W99" s="104"/>
      <c r="X99" s="3737"/>
      <c r="Y99" s="398"/>
      <c r="Z99" s="398"/>
      <c r="AA99" s="104"/>
      <c r="AB99" s="104"/>
      <c r="AC99" s="104"/>
      <c r="AD99" s="104"/>
      <c r="AE99" s="104"/>
      <c r="AF99" s="3737"/>
      <c r="AG99" s="104"/>
      <c r="AH99" s="104"/>
      <c r="AI99" s="104"/>
      <c r="AJ99" s="104"/>
      <c r="AK99" s="104"/>
      <c r="AL99" s="104"/>
      <c r="AM99" s="104"/>
      <c r="AN99" s="3737"/>
      <c r="AO99" s="104"/>
      <c r="AP99" s="104"/>
      <c r="AQ99" s="104"/>
      <c r="AR99" s="104"/>
      <c r="AS99" s="104"/>
      <c r="AT99" s="104"/>
      <c r="AU99" s="104"/>
      <c r="AV99" s="3737"/>
      <c r="AW99" s="348"/>
      <c r="AX99" s="348"/>
      <c r="AY99" s="349"/>
      <c r="AZ99" s="349"/>
      <c r="BA99" s="349"/>
      <c r="BB99" s="349"/>
      <c r="BC99" s="349"/>
      <c r="BD99" s="3737"/>
      <c r="BE99" s="104"/>
      <c r="BF99" s="104"/>
      <c r="BG99" s="104"/>
      <c r="BH99" s="104"/>
      <c r="BI99" s="104"/>
      <c r="BJ99" s="104"/>
      <c r="BK99" s="104"/>
      <c r="BL99" s="3737"/>
      <c r="BM99" s="349"/>
      <c r="BN99" s="349"/>
      <c r="BO99" s="349"/>
      <c r="BP99" s="349"/>
      <c r="BQ99" s="349"/>
      <c r="BR99" s="349"/>
      <c r="BS99" s="349"/>
      <c r="BT99" s="3737"/>
      <c r="BU99" s="349"/>
      <c r="BV99" s="349"/>
      <c r="BW99" s="349"/>
      <c r="BX99" s="349"/>
      <c r="BY99" s="349"/>
      <c r="BZ99" s="349"/>
      <c r="CA99" s="349"/>
      <c r="CB99" s="3737"/>
      <c r="CC99" s="349"/>
      <c r="CD99" s="349"/>
      <c r="CE99" s="349"/>
      <c r="CF99" s="349"/>
      <c r="CG99" s="349"/>
      <c r="CH99" s="349"/>
      <c r="CI99" s="349"/>
      <c r="CJ99" s="3737"/>
      <c r="CK99" s="349"/>
      <c r="CL99" s="349"/>
      <c r="CM99" s="349"/>
      <c r="CN99" s="349"/>
      <c r="CO99" s="349"/>
      <c r="CP99" s="349"/>
      <c r="CQ99" s="349"/>
      <c r="CR99" s="3737"/>
      <c r="CS99" s="349"/>
      <c r="CT99" s="349"/>
      <c r="CU99" s="349"/>
      <c r="CV99" s="349"/>
      <c r="CW99" s="349"/>
      <c r="CX99" s="349"/>
      <c r="CY99" s="349"/>
      <c r="CZ99" s="3737"/>
      <c r="DA99" s="349"/>
      <c r="DB99" s="349"/>
      <c r="DC99" s="349"/>
      <c r="DD99" s="349"/>
      <c r="DE99" s="349"/>
      <c r="DF99" s="349"/>
      <c r="DG99" s="349"/>
      <c r="DH99" s="3737"/>
      <c r="DI99" s="349"/>
      <c r="DJ99" s="349"/>
      <c r="DK99" s="349"/>
      <c r="DL99" s="349"/>
      <c r="DM99" s="349"/>
      <c r="DN99" s="349"/>
      <c r="DO99" s="349"/>
      <c r="DP99" s="3737"/>
      <c r="DQ99" s="104"/>
      <c r="DR99" s="104"/>
      <c r="DS99" s="104"/>
      <c r="DT99" s="104"/>
      <c r="DU99" s="293"/>
      <c r="DV99" s="293"/>
      <c r="DW99" s="293"/>
      <c r="DX99" s="294"/>
      <c r="DY99" s="294"/>
      <c r="DZ99" s="294"/>
      <c r="EA99" s="295"/>
      <c r="EB99" s="295"/>
      <c r="EC99" s="294"/>
      <c r="ED99" s="294"/>
      <c r="EE99" s="294"/>
      <c r="EF99" s="104"/>
      <c r="EG99" s="104"/>
      <c r="EH99" s="104"/>
      <c r="EI99" s="104"/>
      <c r="EJ99" s="104"/>
      <c r="EK99" s="104"/>
      <c r="EL99" s="104"/>
      <c r="EM99" s="104"/>
      <c r="EN99" s="104"/>
      <c r="EO99" s="104"/>
      <c r="EP99" s="104"/>
      <c r="EQ99" s="104"/>
      <c r="ER99" s="104"/>
      <c r="ES99" s="104"/>
      <c r="ET99" s="104"/>
      <c r="EU99" s="104"/>
      <c r="EV99" s="104"/>
      <c r="EW99" s="104"/>
      <c r="EX99" s="104"/>
      <c r="EY99" s="104"/>
      <c r="EZ99" s="104"/>
    </row>
    <row r="100" spans="1:156" s="100" customFormat="1" ht="13.5" thickBot="1" x14ac:dyDescent="0.25">
      <c r="A100" s="358" t="s">
        <v>311</v>
      </c>
      <c r="B100" s="399">
        <f>B85+B78+B72+B87+B96</f>
        <v>305</v>
      </c>
      <c r="C100" s="360">
        <f>C85+C78+C72+C87+C96</f>
        <v>16920.190000000002</v>
      </c>
      <c r="D100" s="361" t="s">
        <v>298</v>
      </c>
      <c r="E100" s="400">
        <f>E85+E78+E72+E87+E96</f>
        <v>110964637.50712003</v>
      </c>
      <c r="F100" s="285"/>
      <c r="G100" s="285"/>
      <c r="H100" s="285"/>
      <c r="I100" s="285"/>
      <c r="J100" s="285"/>
      <c r="K100" s="285"/>
      <c r="L100" s="285"/>
      <c r="M100" s="285"/>
      <c r="N100" s="285"/>
      <c r="O100" s="285"/>
      <c r="P100" s="3739"/>
      <c r="Q100" s="398">
        <f>Q87+Q85+Q78+Q72+Q37+Q96+Q98</f>
        <v>15</v>
      </c>
      <c r="S100" s="104"/>
      <c r="T100" s="104"/>
      <c r="U100" s="104"/>
      <c r="V100" s="104"/>
      <c r="W100" s="104"/>
      <c r="X100" s="3739"/>
      <c r="Y100" s="398">
        <f>Y87+Y85+Y78+Y72+Y37+Y96+Y98</f>
        <v>19</v>
      </c>
      <c r="Z100" s="398"/>
      <c r="AA100" s="104"/>
      <c r="AB100" s="104"/>
      <c r="AC100" s="104"/>
      <c r="AD100" s="104"/>
      <c r="AE100" s="104"/>
      <c r="AF100" s="3739"/>
      <c r="AG100" s="398">
        <f>AG87+AG85+AG78+AG72+AG37+AG96+AG98</f>
        <v>2</v>
      </c>
      <c r="AH100" s="104"/>
      <c r="AI100" s="104"/>
      <c r="AJ100" s="104"/>
      <c r="AK100" s="104"/>
      <c r="AL100" s="104"/>
      <c r="AM100" s="104"/>
      <c r="AN100" s="3739"/>
      <c r="AO100" s="398">
        <f>AO87+AO85+AO78+AO72+AO37+AO96+AO98</f>
        <v>13</v>
      </c>
      <c r="AP100" s="104"/>
      <c r="AQ100" s="104"/>
      <c r="AR100" s="104"/>
      <c r="AS100" s="104"/>
      <c r="AT100" s="104"/>
      <c r="AU100" s="104"/>
      <c r="AV100" s="3739"/>
      <c r="AW100" s="398">
        <f>AW87+AW85+AW78+AW72+AW37+AW96+AW98</f>
        <v>20</v>
      </c>
      <c r="AX100" s="348"/>
      <c r="AY100" s="349"/>
      <c r="AZ100" s="349"/>
      <c r="BA100" s="349"/>
      <c r="BB100" s="349"/>
      <c r="BC100" s="349"/>
      <c r="BD100" s="3739"/>
      <c r="BE100" s="398">
        <f>BE87+BE85+BE78+BE72+BE37+BE96+BE98</f>
        <v>61</v>
      </c>
      <c r="BF100" s="104"/>
      <c r="BG100" s="104"/>
      <c r="BH100" s="104"/>
      <c r="BI100" s="104"/>
      <c r="BJ100" s="104"/>
      <c r="BK100" s="104"/>
      <c r="BL100" s="3739"/>
      <c r="BM100" s="398">
        <f>BM87+BM85+BM78+BM72+BM37+BM96+BM98</f>
        <v>14</v>
      </c>
      <c r="BN100" s="104"/>
      <c r="BO100" s="104"/>
      <c r="BP100" s="104"/>
      <c r="BQ100" s="104"/>
      <c r="BR100" s="104"/>
      <c r="BS100" s="104"/>
      <c r="BT100" s="3739"/>
      <c r="BU100" s="398">
        <f>BU87+BU85+BU78+BU72+BU37+BU96+BU98</f>
        <v>0</v>
      </c>
      <c r="BV100" s="104"/>
      <c r="BW100" s="104"/>
      <c r="BX100" s="104"/>
      <c r="BY100" s="104"/>
      <c r="BZ100" s="104"/>
      <c r="CA100" s="104"/>
      <c r="CB100" s="3739"/>
      <c r="CC100" s="398">
        <f>CC87+CC85+CC78+CC72+CC37+CC96+CC98</f>
        <v>1</v>
      </c>
      <c r="CD100" s="398"/>
      <c r="CE100" s="104"/>
      <c r="CF100" s="104"/>
      <c r="CG100" s="104"/>
      <c r="CH100" s="104"/>
      <c r="CI100" s="104"/>
      <c r="CJ100" s="3739"/>
      <c r="CK100" s="398">
        <f>CK87+CK85+CK78+CK72+CK37+CK96+CK98</f>
        <v>2</v>
      </c>
      <c r="CL100" s="104"/>
      <c r="CM100" s="104"/>
      <c r="CN100" s="104"/>
      <c r="CO100" s="104"/>
      <c r="CP100" s="104"/>
      <c r="CQ100" s="104"/>
      <c r="CR100" s="3739"/>
      <c r="CS100" s="398">
        <f>CS87+CS85+CS78+CS72+CS37+CS96+CS98</f>
        <v>14</v>
      </c>
      <c r="CT100" s="104"/>
      <c r="CU100" s="104"/>
      <c r="CV100" s="104"/>
      <c r="CW100" s="104"/>
      <c r="CX100" s="104"/>
      <c r="CY100" s="104"/>
      <c r="CZ100" s="3739"/>
      <c r="DA100" s="398">
        <f>DA87+DA85+DA78+DA72+DA37+DA96+DA98+DA89</f>
        <v>36</v>
      </c>
      <c r="DB100" s="104"/>
      <c r="DC100" s="104"/>
      <c r="DD100" s="104"/>
      <c r="DE100" s="104"/>
      <c r="DF100" s="104"/>
      <c r="DG100" s="104"/>
      <c r="DH100" s="3739"/>
      <c r="DI100" s="398">
        <f>DI87+DI85+DI78+DI72+DI37+DI96+DI98+DI89</f>
        <v>197</v>
      </c>
      <c r="DJ100" s="104"/>
      <c r="DK100" s="104"/>
      <c r="DL100" s="104"/>
      <c r="DM100" s="104"/>
      <c r="DN100" s="104"/>
      <c r="DO100" s="104"/>
      <c r="DP100" s="3739"/>
      <c r="DQ100" s="104"/>
      <c r="DR100" s="104"/>
      <c r="DS100" s="104"/>
      <c r="DT100" s="104"/>
      <c r="DU100" s="293"/>
      <c r="DV100" s="293"/>
      <c r="DW100" s="293"/>
      <c r="DX100" s="294"/>
      <c r="DY100" s="294"/>
      <c r="DZ100" s="294"/>
      <c r="EA100" s="295"/>
      <c r="EB100" s="295"/>
      <c r="EC100" s="294"/>
      <c r="ED100" s="294"/>
      <c r="EE100" s="294"/>
      <c r="EF100" s="104"/>
      <c r="EG100" s="104"/>
      <c r="EH100" s="104"/>
      <c r="EI100" s="104"/>
      <c r="EJ100" s="104"/>
      <c r="EK100" s="104"/>
      <c r="EL100" s="104"/>
      <c r="EM100" s="104"/>
      <c r="EN100" s="104"/>
      <c r="EO100" s="104"/>
      <c r="EP100" s="104"/>
      <c r="EQ100" s="104"/>
      <c r="ER100" s="104"/>
      <c r="ES100" s="104"/>
      <c r="ET100" s="104"/>
      <c r="EU100" s="104"/>
      <c r="EV100" s="104"/>
      <c r="EW100" s="104"/>
      <c r="EX100" s="104"/>
      <c r="EY100" s="104"/>
      <c r="EZ100" s="104"/>
    </row>
    <row r="101" spans="1:156" s="100" customFormat="1" x14ac:dyDescent="0.2">
      <c r="B101" s="326"/>
      <c r="C101" s="396"/>
      <c r="D101" s="166"/>
      <c r="E101" s="285"/>
      <c r="F101" s="285"/>
      <c r="G101" s="285"/>
      <c r="H101" s="285"/>
      <c r="I101" s="285"/>
      <c r="J101" s="285"/>
      <c r="K101" s="285"/>
      <c r="L101" s="285"/>
      <c r="M101" s="285"/>
      <c r="N101" s="285"/>
      <c r="O101" s="285"/>
      <c r="P101" s="104"/>
      <c r="S101" s="104"/>
      <c r="T101" s="104"/>
      <c r="U101" s="104"/>
      <c r="V101" s="104"/>
      <c r="W101" s="104"/>
      <c r="X101" s="104"/>
      <c r="Y101" s="398"/>
      <c r="Z101" s="398"/>
      <c r="AA101" s="104"/>
      <c r="AB101" s="104"/>
      <c r="AC101" s="104"/>
      <c r="AD101" s="104"/>
      <c r="AE101" s="104"/>
      <c r="AF101" s="104"/>
      <c r="AG101" s="104"/>
      <c r="AH101" s="104"/>
      <c r="AI101" s="104"/>
      <c r="AJ101" s="104"/>
      <c r="AK101" s="104"/>
      <c r="AL101" s="104"/>
      <c r="AM101" s="104"/>
      <c r="AN101" s="104"/>
      <c r="AO101" s="401"/>
      <c r="AP101" s="401"/>
      <c r="AQ101" s="104"/>
      <c r="AR101" s="104"/>
      <c r="AS101" s="104"/>
      <c r="AT101" s="104"/>
      <c r="AU101" s="104"/>
      <c r="AV101" s="104"/>
      <c r="AW101" s="348"/>
      <c r="AX101" s="348"/>
      <c r="AY101" s="349"/>
      <c r="AZ101" s="349"/>
      <c r="BA101" s="349"/>
      <c r="BB101" s="349"/>
      <c r="BC101" s="349"/>
      <c r="BD101" s="104"/>
      <c r="BE101" s="104"/>
      <c r="BF101" s="104"/>
      <c r="BG101" s="104"/>
      <c r="BH101" s="349"/>
      <c r="BI101" s="104"/>
      <c r="BJ101" s="104"/>
      <c r="BK101" s="104"/>
      <c r="BL101" s="104"/>
      <c r="BM101" s="104"/>
      <c r="BN101" s="104"/>
      <c r="BO101" s="104"/>
      <c r="BP101" s="104"/>
      <c r="BQ101" s="104"/>
      <c r="BR101" s="104"/>
      <c r="BS101" s="104"/>
      <c r="BT101" s="104"/>
      <c r="BU101" s="104"/>
      <c r="BV101" s="104"/>
      <c r="BW101" s="104"/>
      <c r="BX101" s="104"/>
      <c r="BY101" s="104"/>
      <c r="BZ101" s="104"/>
      <c r="CA101" s="104"/>
      <c r="CB101" s="104"/>
      <c r="CC101" s="104"/>
      <c r="CD101" s="104"/>
      <c r="CE101" s="104"/>
      <c r="CF101" s="104"/>
      <c r="CG101" s="104"/>
      <c r="CH101" s="104"/>
      <c r="CI101" s="104"/>
      <c r="CJ101" s="104"/>
      <c r="CK101" s="104"/>
      <c r="CL101" s="104"/>
      <c r="CM101" s="104"/>
      <c r="CN101" s="104"/>
      <c r="CO101" s="104"/>
      <c r="CP101" s="104"/>
      <c r="CQ101" s="104"/>
      <c r="CR101" s="104"/>
      <c r="CS101" s="104"/>
      <c r="CT101" s="104"/>
      <c r="CU101" s="104"/>
      <c r="CV101" s="104"/>
      <c r="CW101" s="104"/>
      <c r="CX101" s="104"/>
      <c r="CY101" s="104"/>
      <c r="CZ101" s="104"/>
      <c r="DA101" s="104"/>
      <c r="DB101" s="104"/>
      <c r="DC101" s="104"/>
      <c r="DD101" s="104"/>
      <c r="DE101" s="104"/>
      <c r="DF101" s="104"/>
      <c r="DG101" s="104"/>
      <c r="DH101" s="104"/>
      <c r="DI101" s="104"/>
      <c r="DJ101" s="104"/>
      <c r="DK101" s="349"/>
      <c r="DL101" s="104"/>
      <c r="DM101" s="104"/>
      <c r="DN101" s="104"/>
      <c r="DO101" s="104"/>
      <c r="DP101" s="104"/>
      <c r="DQ101" s="104"/>
      <c r="DR101" s="104"/>
      <c r="DS101" s="104"/>
      <c r="DT101" s="104"/>
      <c r="DU101" s="293"/>
      <c r="DV101" s="293"/>
      <c r="DW101" s="293"/>
      <c r="DX101" s="294"/>
      <c r="DY101" s="294"/>
      <c r="DZ101" s="294"/>
      <c r="EA101" s="295"/>
      <c r="EB101" s="295"/>
      <c r="EC101" s="294"/>
      <c r="ED101" s="294"/>
      <c r="EE101" s="294"/>
      <c r="EF101" s="104"/>
      <c r="EG101" s="104"/>
      <c r="EH101" s="104"/>
      <c r="EI101" s="104"/>
      <c r="EJ101" s="104"/>
      <c r="EK101" s="104"/>
      <c r="EL101" s="104"/>
      <c r="EM101" s="104"/>
      <c r="EN101" s="104"/>
      <c r="EO101" s="104"/>
      <c r="EP101" s="104"/>
      <c r="EQ101" s="104"/>
      <c r="ER101" s="104"/>
      <c r="ES101" s="104"/>
      <c r="ET101" s="104"/>
      <c r="EU101" s="104"/>
      <c r="EV101" s="104"/>
      <c r="EW101" s="104"/>
      <c r="EX101" s="104"/>
      <c r="EY101" s="104"/>
      <c r="EZ101" s="104"/>
    </row>
    <row r="102" spans="1:156" s="100" customFormat="1" x14ac:dyDescent="0.2">
      <c r="B102" s="326"/>
      <c r="C102" s="396"/>
      <c r="D102" s="166"/>
      <c r="E102" s="285"/>
      <c r="F102" s="285"/>
      <c r="G102" s="285"/>
      <c r="H102" s="285"/>
      <c r="I102" s="285"/>
      <c r="J102" s="285"/>
      <c r="K102" s="285"/>
      <c r="L102" s="285"/>
      <c r="M102" s="285"/>
      <c r="N102" s="285"/>
      <c r="O102" s="285"/>
      <c r="P102" s="104"/>
      <c r="Q102" s="100">
        <f>Q35</f>
        <v>9</v>
      </c>
      <c r="S102" s="104"/>
      <c r="T102" s="104"/>
      <c r="U102" s="104"/>
      <c r="V102" s="104"/>
      <c r="W102" s="104"/>
      <c r="X102" s="104"/>
      <c r="Y102" s="398">
        <f>Y35</f>
        <v>18</v>
      </c>
      <c r="Z102" s="398"/>
      <c r="AA102" s="104"/>
      <c r="AB102" s="104"/>
      <c r="AC102" s="104"/>
      <c r="AD102" s="104"/>
      <c r="AE102" s="104"/>
      <c r="AF102" s="104"/>
      <c r="AG102" s="104">
        <f>AG35</f>
        <v>1</v>
      </c>
      <c r="AH102" s="104"/>
      <c r="AI102" s="104"/>
      <c r="AJ102" s="104"/>
      <c r="AK102" s="104"/>
      <c r="AL102" s="104"/>
      <c r="AM102" s="104"/>
      <c r="AN102" s="104"/>
      <c r="AO102" s="401">
        <f>AO35</f>
        <v>12</v>
      </c>
      <c r="AP102" s="401"/>
      <c r="AQ102" s="104"/>
      <c r="AR102" s="104"/>
      <c r="AS102" s="104"/>
      <c r="AT102" s="104"/>
      <c r="AU102" s="104"/>
      <c r="AV102" s="104"/>
      <c r="AW102" s="104">
        <f>AW35</f>
        <v>2</v>
      </c>
      <c r="AX102" s="104"/>
      <c r="AY102" s="104"/>
      <c r="AZ102" s="104"/>
      <c r="BA102" s="104"/>
      <c r="BB102" s="104"/>
      <c r="BC102" s="104"/>
      <c r="BD102" s="104"/>
      <c r="BE102" s="104">
        <f>BE83</f>
        <v>10</v>
      </c>
      <c r="BF102" s="104"/>
      <c r="BG102" s="104"/>
      <c r="BH102" s="104"/>
      <c r="BI102" s="104"/>
      <c r="BJ102" s="104"/>
      <c r="BK102" s="104"/>
      <c r="BL102" s="104"/>
      <c r="BM102" s="104">
        <f>BM83</f>
        <v>4</v>
      </c>
      <c r="BN102" s="104"/>
      <c r="BO102" s="104"/>
      <c r="BP102" s="104"/>
      <c r="BQ102" s="104"/>
      <c r="BR102" s="104"/>
      <c r="BS102" s="104"/>
      <c r="BT102" s="104"/>
      <c r="BU102" s="104"/>
      <c r="BV102" s="104"/>
      <c r="BW102" s="104"/>
      <c r="BX102" s="104"/>
      <c r="BY102" s="104"/>
      <c r="BZ102" s="104"/>
      <c r="CA102" s="104"/>
      <c r="CB102" s="104"/>
      <c r="CC102" s="104">
        <v>1</v>
      </c>
      <c r="CD102" s="104"/>
      <c r="CE102" s="104"/>
      <c r="CF102" s="104"/>
      <c r="CG102" s="104"/>
      <c r="CH102" s="104"/>
      <c r="CI102" s="104"/>
      <c r="CJ102" s="104"/>
      <c r="CK102" s="104">
        <f>CK100</f>
        <v>2</v>
      </c>
      <c r="CL102" s="104"/>
      <c r="CM102" s="104"/>
      <c r="CN102" s="104"/>
      <c r="CO102" s="104"/>
      <c r="CP102" s="104"/>
      <c r="CQ102" s="104"/>
      <c r="CR102" s="104"/>
      <c r="CS102" s="104">
        <f>0</f>
        <v>0</v>
      </c>
      <c r="CT102" s="104"/>
      <c r="CU102" s="104"/>
      <c r="CV102" s="104"/>
      <c r="CW102" s="104"/>
      <c r="CX102" s="104"/>
      <c r="CY102" s="104"/>
      <c r="CZ102" s="104"/>
      <c r="DA102" s="104">
        <v>0</v>
      </c>
      <c r="DB102" s="104"/>
      <c r="DC102" s="104"/>
      <c r="DD102" s="104"/>
      <c r="DE102" s="104"/>
      <c r="DF102" s="104"/>
      <c r="DG102" s="104"/>
      <c r="DH102" s="104"/>
      <c r="DI102" s="104"/>
      <c r="DJ102" s="104"/>
      <c r="DK102" s="104"/>
      <c r="DL102" s="104"/>
      <c r="DM102" s="104"/>
      <c r="DN102" s="349">
        <f>DN87+DN85+DN72+DN37</f>
        <v>24574599.769999996</v>
      </c>
      <c r="DO102" s="104"/>
      <c r="DP102" s="104"/>
      <c r="DQ102" s="104"/>
      <c r="DR102" s="104"/>
      <c r="DS102" s="104"/>
      <c r="DT102" s="104"/>
      <c r="DU102" s="293"/>
      <c r="DV102" s="293"/>
      <c r="DW102" s="293"/>
      <c r="DX102" s="294"/>
      <c r="DY102" s="294"/>
      <c r="DZ102" s="294"/>
      <c r="EA102" s="295"/>
      <c r="EB102" s="295"/>
      <c r="EC102" s="294"/>
      <c r="ED102" s="294"/>
      <c r="EE102" s="294"/>
      <c r="EF102" s="104"/>
      <c r="EG102" s="104"/>
      <c r="EH102" s="104"/>
      <c r="EI102" s="104"/>
      <c r="EJ102" s="104"/>
      <c r="EK102" s="104"/>
      <c r="EL102" s="104"/>
      <c r="EM102" s="104"/>
      <c r="EN102" s="104"/>
      <c r="EO102" s="104"/>
      <c r="EP102" s="104"/>
      <c r="EQ102" s="104"/>
      <c r="ER102" s="104"/>
      <c r="ES102" s="104"/>
      <c r="ET102" s="104"/>
      <c r="EU102" s="104"/>
      <c r="EV102" s="104"/>
      <c r="EW102" s="104"/>
      <c r="EX102" s="104"/>
      <c r="EY102" s="104"/>
      <c r="EZ102" s="104"/>
    </row>
    <row r="103" spans="1:156" s="100" customFormat="1" x14ac:dyDescent="0.2">
      <c r="B103" s="326"/>
      <c r="C103" s="396"/>
      <c r="D103" s="166"/>
      <c r="E103" s="285"/>
      <c r="F103" s="285"/>
      <c r="G103" s="285"/>
      <c r="H103" s="285"/>
      <c r="I103" s="285"/>
      <c r="J103" s="285"/>
      <c r="K103" s="285"/>
      <c r="L103" s="285"/>
      <c r="M103" s="285"/>
      <c r="N103" s="285"/>
      <c r="O103" s="285"/>
      <c r="P103" s="104"/>
      <c r="S103" s="104"/>
      <c r="T103" s="104"/>
      <c r="U103" s="104"/>
      <c r="V103" s="104"/>
      <c r="W103" s="104"/>
      <c r="X103" s="104"/>
      <c r="Y103" s="398"/>
      <c r="Z103" s="398"/>
      <c r="AA103" s="104"/>
      <c r="AB103" s="104"/>
      <c r="AC103" s="104"/>
      <c r="AD103" s="104"/>
      <c r="AE103" s="104"/>
      <c r="AF103" s="104"/>
      <c r="AG103" s="104"/>
      <c r="AH103" s="104"/>
      <c r="AI103" s="104"/>
      <c r="AJ103" s="104"/>
      <c r="AK103" s="104"/>
      <c r="AL103" s="104"/>
      <c r="AM103" s="104"/>
      <c r="AN103" s="104"/>
      <c r="AO103" s="401"/>
      <c r="AP103" s="401"/>
      <c r="AQ103" s="104"/>
      <c r="AR103" s="104"/>
      <c r="AS103" s="104"/>
      <c r="AT103" s="104"/>
      <c r="AU103" s="104"/>
      <c r="AV103" s="104"/>
      <c r="AW103" s="104">
        <v>3</v>
      </c>
      <c r="AX103" s="104"/>
      <c r="AY103" s="104"/>
      <c r="AZ103" s="104"/>
      <c r="BA103" s="104"/>
      <c r="BB103" s="104"/>
      <c r="BC103" s="104"/>
      <c r="BD103" s="104"/>
      <c r="BE103" s="104"/>
      <c r="BF103" s="104"/>
      <c r="BG103" s="104"/>
      <c r="BH103" s="104"/>
      <c r="BI103" s="104"/>
      <c r="BJ103" s="104"/>
      <c r="BK103" s="104"/>
      <c r="BL103" s="104"/>
      <c r="BM103" s="104"/>
      <c r="BN103" s="104"/>
      <c r="BO103" s="104"/>
      <c r="BP103" s="104"/>
      <c r="BQ103" s="104"/>
      <c r="BR103" s="104"/>
      <c r="BS103" s="104"/>
      <c r="BT103" s="104"/>
      <c r="BU103" s="104"/>
      <c r="BV103" s="104"/>
      <c r="BW103" s="104"/>
      <c r="BX103" s="104"/>
      <c r="BY103" s="104"/>
      <c r="BZ103" s="104"/>
      <c r="CA103" s="104"/>
      <c r="CB103" s="104"/>
      <c r="CC103" s="104"/>
      <c r="CD103" s="104"/>
      <c r="CE103" s="104"/>
      <c r="CF103" s="104"/>
      <c r="CG103" s="104"/>
      <c r="CH103" s="104"/>
      <c r="CI103" s="104"/>
      <c r="CJ103" s="104"/>
      <c r="CK103" s="104"/>
      <c r="CL103" s="104"/>
      <c r="CM103" s="104"/>
      <c r="CN103" s="104"/>
      <c r="CO103" s="104"/>
      <c r="CP103" s="104"/>
      <c r="CQ103" s="104"/>
      <c r="CR103" s="104"/>
      <c r="CS103" s="104"/>
      <c r="CT103" s="104"/>
      <c r="CU103" s="104"/>
      <c r="CV103" s="104"/>
      <c r="CW103" s="104"/>
      <c r="CX103" s="104"/>
      <c r="CY103" s="104"/>
      <c r="CZ103" s="104"/>
      <c r="DA103" s="104"/>
      <c r="DB103" s="104"/>
      <c r="DC103" s="104"/>
      <c r="DD103" s="104"/>
      <c r="DE103" s="104"/>
      <c r="DF103" s="104"/>
      <c r="DG103" s="104"/>
      <c r="DH103" s="104"/>
      <c r="DI103" s="104">
        <f>DI12+DI70+DI82+DI87</f>
        <v>125</v>
      </c>
      <c r="DJ103" s="104"/>
      <c r="DK103" s="104"/>
      <c r="DL103" s="104"/>
      <c r="DM103" s="104"/>
      <c r="DN103" s="104"/>
      <c r="DO103" s="104"/>
      <c r="DP103" s="104"/>
      <c r="DQ103" s="104"/>
      <c r="DR103" s="104"/>
      <c r="DS103" s="104"/>
      <c r="DT103" s="104"/>
      <c r="DU103" s="293"/>
      <c r="DV103" s="293"/>
      <c r="DW103" s="293"/>
      <c r="DX103" s="294"/>
      <c r="DY103" s="294"/>
      <c r="DZ103" s="294"/>
      <c r="EA103" s="295"/>
      <c r="EB103" s="295"/>
      <c r="EC103" s="294"/>
      <c r="ED103" s="294"/>
      <c r="EE103" s="294"/>
      <c r="EF103" s="104"/>
      <c r="EG103" s="104"/>
      <c r="EH103" s="104"/>
      <c r="EI103" s="104"/>
      <c r="EJ103" s="104"/>
      <c r="EK103" s="104"/>
      <c r="EL103" s="104"/>
      <c r="EM103" s="104"/>
      <c r="EN103" s="104"/>
      <c r="EO103" s="104"/>
      <c r="EP103" s="104"/>
      <c r="EQ103" s="104"/>
      <c r="ER103" s="104"/>
      <c r="ES103" s="104"/>
      <c r="ET103" s="104"/>
      <c r="EU103" s="104"/>
      <c r="EV103" s="104"/>
      <c r="EW103" s="104"/>
      <c r="EX103" s="104"/>
      <c r="EY103" s="104"/>
      <c r="EZ103" s="104"/>
    </row>
    <row r="104" spans="1:156" s="100" customFormat="1" x14ac:dyDescent="0.2">
      <c r="B104" s="326"/>
      <c r="C104" s="396"/>
      <c r="D104" s="166"/>
      <c r="E104" s="285"/>
      <c r="F104" s="285"/>
      <c r="G104" s="285"/>
      <c r="H104" s="285"/>
      <c r="I104" s="285"/>
      <c r="J104" s="285"/>
      <c r="K104" s="285"/>
      <c r="L104" s="285"/>
      <c r="M104" s="285"/>
      <c r="N104" s="285"/>
      <c r="O104" s="285"/>
      <c r="P104" s="104"/>
      <c r="Q104" s="398">
        <f>Q12</f>
        <v>6</v>
      </c>
      <c r="S104" s="104"/>
      <c r="T104" s="104"/>
      <c r="U104" s="104"/>
      <c r="V104" s="104"/>
      <c r="W104" s="104"/>
      <c r="X104" s="104"/>
      <c r="Y104" s="398"/>
      <c r="Z104" s="398"/>
      <c r="AA104" s="104"/>
      <c r="AB104" s="104"/>
      <c r="AC104" s="104"/>
      <c r="AD104" s="104"/>
      <c r="AE104" s="104"/>
      <c r="AF104" s="104"/>
      <c r="AG104" s="104"/>
      <c r="AH104" s="104"/>
      <c r="AI104" s="104"/>
      <c r="AJ104" s="104"/>
      <c r="AK104" s="104"/>
      <c r="AL104" s="104"/>
      <c r="AM104" s="104"/>
      <c r="AN104" s="104"/>
      <c r="AO104" s="401"/>
      <c r="AP104" s="401"/>
      <c r="AQ104" s="104"/>
      <c r="AR104" s="104"/>
      <c r="AS104" s="104"/>
      <c r="AT104" s="104"/>
      <c r="AU104" s="104"/>
      <c r="AV104" s="104"/>
      <c r="AW104" s="104"/>
      <c r="AX104" s="104"/>
      <c r="AY104" s="104"/>
      <c r="AZ104" s="104"/>
      <c r="BA104" s="104"/>
      <c r="BB104" s="104"/>
      <c r="BC104" s="104"/>
      <c r="BD104" s="104"/>
      <c r="BE104" s="104"/>
      <c r="BF104" s="104"/>
      <c r="BG104" s="104"/>
      <c r="BH104" s="104"/>
      <c r="BI104" s="104"/>
      <c r="BJ104" s="104"/>
      <c r="BK104" s="104"/>
      <c r="BL104" s="104"/>
      <c r="BM104" s="104"/>
      <c r="BN104" s="104"/>
      <c r="BO104" s="104"/>
      <c r="BP104" s="104"/>
      <c r="BQ104" s="104"/>
      <c r="BR104" s="104"/>
      <c r="BS104" s="104"/>
      <c r="BT104" s="104"/>
      <c r="BU104" s="104"/>
      <c r="BV104" s="104"/>
      <c r="BW104" s="104"/>
      <c r="BX104" s="104"/>
      <c r="BY104" s="104"/>
      <c r="BZ104" s="104"/>
      <c r="CA104" s="104"/>
      <c r="CB104" s="104"/>
      <c r="CC104" s="104"/>
      <c r="CD104" s="104"/>
      <c r="CE104" s="104"/>
      <c r="CF104" s="104"/>
      <c r="CG104" s="104"/>
      <c r="CH104" s="104"/>
      <c r="CI104" s="104"/>
      <c r="CJ104" s="104"/>
      <c r="CK104" s="104"/>
      <c r="CL104" s="104"/>
      <c r="CM104" s="104"/>
      <c r="CN104" s="104"/>
      <c r="CO104" s="104"/>
      <c r="CP104" s="104"/>
      <c r="CQ104" s="104"/>
      <c r="CR104" s="104"/>
      <c r="CS104" s="104"/>
      <c r="CT104" s="104"/>
      <c r="CU104" s="104"/>
      <c r="CV104" s="104"/>
      <c r="CW104" s="104">
        <f>60</f>
        <v>60</v>
      </c>
      <c r="CX104" s="104"/>
      <c r="CY104" s="104"/>
      <c r="CZ104" s="104"/>
      <c r="DA104" s="104">
        <f>DA100+CS100+CK100+CC100+BU100+BM100+BE100+AW100+AO100+AG100+Y100+Q100</f>
        <v>197</v>
      </c>
      <c r="DB104" s="104"/>
      <c r="DC104" s="104"/>
      <c r="DD104" s="104"/>
      <c r="DE104" s="104"/>
      <c r="DF104" s="104"/>
      <c r="DG104" s="104"/>
      <c r="DH104" s="104"/>
      <c r="DI104" s="104"/>
      <c r="DJ104" s="104"/>
      <c r="DK104" s="104"/>
      <c r="DL104" s="104"/>
      <c r="DM104" s="104"/>
      <c r="DN104" s="104"/>
      <c r="DO104" s="104"/>
      <c r="DP104" s="104"/>
      <c r="DQ104" s="104"/>
      <c r="DR104" s="104"/>
      <c r="DS104" s="104"/>
      <c r="DT104" s="104"/>
      <c r="DU104" s="293"/>
      <c r="DV104" s="293"/>
      <c r="DW104" s="293"/>
      <c r="DX104" s="294"/>
      <c r="DY104" s="294"/>
      <c r="DZ104" s="294"/>
      <c r="EA104" s="295"/>
      <c r="EB104" s="295"/>
      <c r="EC104" s="294"/>
      <c r="ED104" s="294"/>
      <c r="EE104" s="294"/>
      <c r="EF104" s="104"/>
      <c r="EG104" s="104"/>
      <c r="EH104" s="104"/>
      <c r="EI104" s="104"/>
      <c r="EJ104" s="104"/>
      <c r="EK104" s="104"/>
      <c r="EL104" s="104"/>
      <c r="EM104" s="104"/>
      <c r="EN104" s="104"/>
      <c r="EO104" s="104"/>
      <c r="EP104" s="104"/>
      <c r="EQ104" s="104"/>
      <c r="ER104" s="104"/>
      <c r="ES104" s="104"/>
      <c r="ET104" s="104"/>
      <c r="EU104" s="104"/>
      <c r="EV104" s="104"/>
      <c r="EW104" s="104"/>
      <c r="EX104" s="104"/>
      <c r="EY104" s="104"/>
      <c r="EZ104" s="104"/>
    </row>
    <row r="105" spans="1:156" s="100" customFormat="1" x14ac:dyDescent="0.2">
      <c r="B105" s="326"/>
      <c r="C105" s="396"/>
      <c r="D105" s="166"/>
      <c r="E105" s="285"/>
      <c r="F105" s="285"/>
      <c r="G105" s="285"/>
      <c r="H105" s="285"/>
      <c r="I105" s="285"/>
      <c r="J105" s="285"/>
      <c r="K105" s="285"/>
      <c r="L105" s="285"/>
      <c r="M105" s="285"/>
      <c r="N105" s="285"/>
      <c r="O105" s="285"/>
      <c r="P105" s="104"/>
      <c r="Q105" s="398"/>
      <c r="S105" s="104"/>
      <c r="T105" s="104"/>
      <c r="U105" s="104"/>
      <c r="V105" s="104"/>
      <c r="W105" s="104"/>
      <c r="X105" s="104"/>
      <c r="Y105" s="398"/>
      <c r="Z105" s="398"/>
      <c r="AA105" s="104"/>
      <c r="AB105" s="104"/>
      <c r="AC105" s="104"/>
      <c r="AD105" s="104"/>
      <c r="AE105" s="104"/>
      <c r="AF105" s="104"/>
      <c r="AG105" s="104"/>
      <c r="AH105" s="104"/>
      <c r="AI105" s="104"/>
      <c r="AJ105" s="104"/>
      <c r="AK105" s="104"/>
      <c r="AL105" s="104"/>
      <c r="AM105" s="104"/>
      <c r="AN105" s="104"/>
      <c r="AO105" s="401"/>
      <c r="AP105" s="401"/>
      <c r="AQ105" s="104"/>
      <c r="AR105" s="104"/>
      <c r="AS105" s="104"/>
      <c r="AT105" s="104"/>
      <c r="AU105" s="104"/>
      <c r="AV105" s="104"/>
      <c r="AW105" s="104"/>
      <c r="AX105" s="104"/>
      <c r="AY105" s="104"/>
      <c r="AZ105" s="104"/>
      <c r="BA105" s="104"/>
      <c r="BB105" s="104"/>
      <c r="BC105" s="104"/>
      <c r="BD105" s="104"/>
      <c r="BE105" s="104"/>
      <c r="BF105" s="104"/>
      <c r="BG105" s="104"/>
      <c r="BH105" s="104"/>
      <c r="BI105" s="104"/>
      <c r="BJ105" s="104"/>
      <c r="BK105" s="104"/>
      <c r="BL105" s="104"/>
      <c r="BM105" s="104"/>
      <c r="BN105" s="104"/>
      <c r="BO105" s="104"/>
      <c r="BP105" s="104"/>
      <c r="BQ105" s="104"/>
      <c r="BR105" s="104"/>
      <c r="BS105" s="104"/>
      <c r="BT105" s="104"/>
      <c r="BU105" s="104"/>
      <c r="BV105" s="104"/>
      <c r="BW105" s="104"/>
      <c r="BX105" s="104"/>
      <c r="BY105" s="104"/>
      <c r="BZ105" s="104"/>
      <c r="CA105" s="104"/>
      <c r="CB105" s="104"/>
      <c r="CC105" s="104"/>
      <c r="CD105" s="104"/>
      <c r="CE105" s="104"/>
      <c r="CF105" s="104"/>
      <c r="CG105" s="104"/>
      <c r="CH105" s="104"/>
      <c r="CI105" s="104"/>
      <c r="CJ105" s="104"/>
      <c r="CK105" s="104"/>
      <c r="CL105" s="104"/>
      <c r="CM105" s="104"/>
      <c r="CN105" s="104"/>
      <c r="CO105" s="104"/>
      <c r="CP105" s="104"/>
      <c r="CQ105" s="104"/>
      <c r="CR105" s="104"/>
      <c r="CS105" s="104"/>
      <c r="CT105" s="104"/>
      <c r="CU105" s="104"/>
      <c r="CV105" s="104"/>
      <c r="CW105" s="104">
        <v>125</v>
      </c>
      <c r="CX105" s="104"/>
      <c r="CY105" s="104"/>
      <c r="CZ105" s="104"/>
      <c r="DA105" s="104"/>
      <c r="DB105" s="104"/>
      <c r="DC105" s="104"/>
      <c r="DD105" s="104"/>
      <c r="DE105" s="104"/>
      <c r="DF105" s="104"/>
      <c r="DG105" s="104"/>
      <c r="DH105" s="104"/>
      <c r="DI105" s="104"/>
      <c r="DJ105" s="104"/>
      <c r="DK105" s="104"/>
      <c r="DL105" s="104"/>
      <c r="DM105" s="104"/>
      <c r="DN105" s="104"/>
      <c r="DO105" s="104"/>
      <c r="DP105" s="104"/>
      <c r="DQ105" s="104"/>
      <c r="DR105" s="104"/>
      <c r="DS105" s="104"/>
      <c r="DT105" s="104"/>
      <c r="DU105" s="293"/>
      <c r="DV105" s="293"/>
      <c r="DW105" s="293"/>
      <c r="DX105" s="294"/>
      <c r="DY105" s="294"/>
      <c r="DZ105" s="294"/>
      <c r="EA105" s="295"/>
      <c r="EB105" s="295"/>
      <c r="EC105" s="294"/>
      <c r="ED105" s="294"/>
      <c r="EE105" s="294"/>
      <c r="EF105" s="104"/>
      <c r="EG105" s="104"/>
      <c r="EH105" s="104"/>
      <c r="EI105" s="104"/>
      <c r="EJ105" s="104"/>
      <c r="EK105" s="104"/>
      <c r="EL105" s="104"/>
      <c r="EM105" s="104"/>
      <c r="EN105" s="104"/>
      <c r="EO105" s="104"/>
      <c r="EP105" s="104"/>
      <c r="EQ105" s="104"/>
      <c r="ER105" s="104"/>
      <c r="ES105" s="104"/>
      <c r="ET105" s="104"/>
      <c r="EU105" s="104"/>
      <c r="EV105" s="104"/>
      <c r="EW105" s="104"/>
      <c r="EX105" s="104"/>
      <c r="EY105" s="104"/>
      <c r="EZ105" s="104"/>
    </row>
    <row r="106" spans="1:156" s="100" customFormat="1" x14ac:dyDescent="0.2">
      <c r="B106" s="326"/>
      <c r="C106" s="396"/>
      <c r="D106" s="166"/>
      <c r="E106" s="285"/>
      <c r="F106" s="285"/>
      <c r="G106" s="285"/>
      <c r="H106" s="285"/>
      <c r="I106" s="285"/>
      <c r="J106" s="285"/>
      <c r="K106" s="285"/>
      <c r="L106" s="285"/>
      <c r="M106" s="285"/>
      <c r="N106" s="285"/>
      <c r="O106" s="285"/>
      <c r="P106" s="104"/>
      <c r="S106" s="104"/>
      <c r="T106" s="104"/>
      <c r="U106" s="104"/>
      <c r="V106" s="104"/>
      <c r="W106" s="104"/>
      <c r="X106" s="104"/>
      <c r="Y106" s="398"/>
      <c r="Z106" s="398"/>
      <c r="AA106" s="104"/>
      <c r="AB106" s="104"/>
      <c r="AC106" s="104"/>
      <c r="AD106" s="104"/>
      <c r="AE106" s="104"/>
      <c r="AF106" s="104"/>
      <c r="AG106" s="104"/>
      <c r="AH106" s="104"/>
      <c r="AI106" s="104"/>
      <c r="AJ106" s="104"/>
      <c r="AK106" s="104"/>
      <c r="AL106" s="104"/>
      <c r="AM106" s="104"/>
      <c r="AN106" s="104"/>
      <c r="AO106" s="401"/>
      <c r="AP106" s="401"/>
      <c r="AQ106" s="104"/>
      <c r="AR106" s="104"/>
      <c r="AS106" s="104"/>
      <c r="AT106" s="104"/>
      <c r="AU106" s="104"/>
      <c r="AV106" s="104"/>
      <c r="AW106" s="104"/>
      <c r="AX106" s="104"/>
      <c r="AY106" s="104"/>
      <c r="AZ106" s="104"/>
      <c r="BA106" s="104"/>
      <c r="BB106" s="104"/>
      <c r="BC106" s="104"/>
      <c r="BD106" s="104"/>
      <c r="BE106" s="104"/>
      <c r="BF106" s="104"/>
      <c r="BG106" s="104"/>
      <c r="BH106" s="104"/>
      <c r="BI106" s="104"/>
      <c r="BJ106" s="104"/>
      <c r="BK106" s="104"/>
      <c r="BL106" s="104"/>
      <c r="BM106" s="104"/>
      <c r="BN106" s="104"/>
      <c r="BO106" s="104"/>
      <c r="BP106" s="104"/>
      <c r="BQ106" s="104"/>
      <c r="BR106" s="104"/>
      <c r="BS106" s="104"/>
      <c r="BT106" s="104"/>
      <c r="BU106" s="104"/>
      <c r="BV106" s="104"/>
      <c r="BW106" s="104"/>
      <c r="BX106" s="104"/>
      <c r="BY106" s="104"/>
      <c r="BZ106" s="104"/>
      <c r="CA106" s="104"/>
      <c r="CB106" s="104"/>
      <c r="CC106" s="104"/>
      <c r="CD106" s="104"/>
      <c r="CE106" s="104"/>
      <c r="CF106" s="104"/>
      <c r="CG106" s="104"/>
      <c r="CH106" s="104"/>
      <c r="CI106" s="104"/>
      <c r="CJ106" s="104"/>
      <c r="CK106" s="104"/>
      <c r="CL106" s="104"/>
      <c r="CM106" s="104"/>
      <c r="CN106" s="104"/>
      <c r="CO106" s="104"/>
      <c r="CP106" s="104"/>
      <c r="CQ106" s="104"/>
      <c r="CR106" s="104"/>
      <c r="CS106" s="104"/>
      <c r="CT106" s="104"/>
      <c r="CU106" s="104"/>
      <c r="CV106" s="104"/>
      <c r="CW106" s="104"/>
      <c r="CX106" s="104"/>
      <c r="CY106" s="104"/>
      <c r="CZ106" s="104"/>
      <c r="DA106" s="104"/>
      <c r="DB106" s="104"/>
      <c r="DC106" s="104"/>
      <c r="DD106" s="104"/>
      <c r="DE106" s="104"/>
      <c r="DF106" s="104"/>
      <c r="DG106" s="104"/>
      <c r="DH106" s="104"/>
      <c r="DI106" s="104"/>
      <c r="DJ106" s="104"/>
      <c r="DK106" s="104"/>
      <c r="DL106" s="104"/>
      <c r="DM106" s="104"/>
      <c r="DN106" s="104"/>
      <c r="DO106" s="104"/>
      <c r="DP106" s="104"/>
      <c r="DQ106" s="104"/>
      <c r="DR106" s="104"/>
      <c r="DS106" s="104"/>
      <c r="DT106" s="104"/>
      <c r="DU106" s="293"/>
      <c r="DV106" s="293"/>
      <c r="DW106" s="293"/>
      <c r="DX106" s="294"/>
      <c r="DY106" s="294"/>
      <c r="DZ106" s="294"/>
      <c r="EA106" s="295"/>
      <c r="EB106" s="295"/>
      <c r="EC106" s="294"/>
      <c r="ED106" s="294"/>
      <c r="EE106" s="294"/>
      <c r="EF106" s="104"/>
      <c r="EG106" s="104"/>
      <c r="EH106" s="104"/>
      <c r="EI106" s="104"/>
      <c r="EJ106" s="104"/>
      <c r="EK106" s="104"/>
      <c r="EL106" s="104"/>
      <c r="EM106" s="104"/>
      <c r="EN106" s="104"/>
      <c r="EO106" s="104"/>
      <c r="EP106" s="104"/>
      <c r="EQ106" s="104"/>
      <c r="ER106" s="104"/>
      <c r="ES106" s="104"/>
      <c r="ET106" s="104"/>
      <c r="EU106" s="104"/>
      <c r="EV106" s="104"/>
      <c r="EW106" s="104"/>
      <c r="EX106" s="104"/>
      <c r="EY106" s="104"/>
      <c r="EZ106" s="104"/>
    </row>
    <row r="107" spans="1:156" s="100" customFormat="1" x14ac:dyDescent="0.2">
      <c r="B107" s="326"/>
      <c r="C107" s="396"/>
      <c r="D107" s="166"/>
      <c r="E107" s="285"/>
      <c r="F107" s="285"/>
      <c r="G107" s="285"/>
      <c r="H107" s="285"/>
      <c r="I107" s="285"/>
      <c r="J107" s="285"/>
      <c r="K107" s="285"/>
      <c r="L107" s="285"/>
      <c r="M107" s="285"/>
      <c r="N107" s="285"/>
      <c r="O107" s="285"/>
      <c r="P107" s="104"/>
      <c r="S107" s="104"/>
      <c r="T107" s="104"/>
      <c r="U107" s="104"/>
      <c r="V107" s="104"/>
      <c r="W107" s="104"/>
      <c r="X107" s="104"/>
      <c r="Y107" s="398"/>
      <c r="Z107" s="398"/>
      <c r="AA107" s="104"/>
      <c r="AB107" s="104"/>
      <c r="AC107" s="104"/>
      <c r="AD107" s="104"/>
      <c r="AE107" s="104"/>
      <c r="AF107" s="104"/>
      <c r="AG107" s="104"/>
      <c r="AH107" s="104"/>
      <c r="AI107" s="104"/>
      <c r="AJ107" s="104"/>
      <c r="AK107" s="104"/>
      <c r="AL107" s="104"/>
      <c r="AM107" s="104"/>
      <c r="AN107" s="104"/>
      <c r="AO107" s="401"/>
      <c r="AP107" s="401"/>
      <c r="AQ107" s="104"/>
      <c r="AR107" s="104"/>
      <c r="AS107" s="104"/>
      <c r="AT107" s="104"/>
      <c r="AU107" s="104"/>
      <c r="AV107" s="104"/>
      <c r="AW107" s="104"/>
      <c r="AX107" s="104"/>
      <c r="AY107" s="104"/>
      <c r="AZ107" s="104"/>
      <c r="BA107" s="104"/>
      <c r="BB107" s="104"/>
      <c r="BC107" s="104"/>
      <c r="BD107" s="104"/>
      <c r="BE107" s="104"/>
      <c r="BF107" s="104"/>
      <c r="BG107" s="104"/>
      <c r="BH107" s="104"/>
      <c r="BI107" s="104"/>
      <c r="BJ107" s="104"/>
      <c r="BK107" s="104"/>
      <c r="BL107" s="104"/>
      <c r="BM107" s="104"/>
      <c r="BN107" s="104"/>
      <c r="BO107" s="104"/>
      <c r="BP107" s="104"/>
      <c r="BQ107" s="104"/>
      <c r="BR107" s="104"/>
      <c r="BS107" s="104"/>
      <c r="BT107" s="104"/>
      <c r="BU107" s="104"/>
      <c r="BV107" s="104"/>
      <c r="BW107" s="104"/>
      <c r="BX107" s="104"/>
      <c r="BY107" s="104"/>
      <c r="BZ107" s="104"/>
      <c r="CA107" s="104"/>
      <c r="CB107" s="104"/>
      <c r="CC107" s="104"/>
      <c r="CD107" s="104"/>
      <c r="CE107" s="104"/>
      <c r="CF107" s="104"/>
      <c r="CG107" s="104"/>
      <c r="CH107" s="104"/>
      <c r="CI107" s="104"/>
      <c r="CJ107" s="104"/>
      <c r="CK107" s="104"/>
      <c r="CL107" s="104"/>
      <c r="CM107" s="104"/>
      <c r="CN107" s="104"/>
      <c r="CO107" s="104"/>
      <c r="CP107" s="104"/>
      <c r="CQ107" s="104"/>
      <c r="CR107" s="104"/>
      <c r="CS107" s="104"/>
      <c r="CT107" s="104"/>
      <c r="CU107" s="104"/>
      <c r="CV107" s="104"/>
      <c r="CW107" s="104"/>
      <c r="CX107" s="104"/>
      <c r="CY107" s="104"/>
      <c r="CZ107" s="104"/>
      <c r="DA107" s="104"/>
      <c r="DB107" s="104"/>
      <c r="DC107" s="104"/>
      <c r="DD107" s="104"/>
      <c r="DE107" s="104"/>
      <c r="DF107" s="104"/>
      <c r="DG107" s="104"/>
      <c r="DH107" s="104"/>
      <c r="DI107" s="104"/>
      <c r="DJ107" s="104"/>
      <c r="DK107" s="104"/>
      <c r="DL107" s="104"/>
      <c r="DM107" s="104"/>
      <c r="DN107" s="104"/>
      <c r="DO107" s="104"/>
      <c r="DP107" s="104"/>
      <c r="DQ107" s="104"/>
      <c r="DR107" s="104"/>
      <c r="DS107" s="104"/>
      <c r="DT107" s="104"/>
      <c r="DU107" s="293"/>
      <c r="DV107" s="293"/>
      <c r="DW107" s="293"/>
      <c r="DX107" s="294"/>
      <c r="DY107" s="294"/>
      <c r="DZ107" s="294"/>
      <c r="EA107" s="295"/>
      <c r="EB107" s="295"/>
      <c r="EC107" s="294"/>
      <c r="ED107" s="294"/>
      <c r="EE107" s="294"/>
      <c r="EF107" s="104"/>
      <c r="EG107" s="104"/>
      <c r="EH107" s="104"/>
      <c r="EI107" s="104"/>
      <c r="EJ107" s="104"/>
      <c r="EK107" s="104"/>
      <c r="EL107" s="104"/>
      <c r="EM107" s="104"/>
      <c r="EN107" s="104"/>
      <c r="EO107" s="104"/>
      <c r="EP107" s="104"/>
      <c r="EQ107" s="104"/>
      <c r="ER107" s="104"/>
      <c r="ES107" s="104"/>
      <c r="ET107" s="104"/>
      <c r="EU107" s="104"/>
      <c r="EV107" s="104"/>
      <c r="EW107" s="104"/>
      <c r="EX107" s="104"/>
      <c r="EY107" s="104"/>
      <c r="EZ107" s="104"/>
    </row>
    <row r="108" spans="1:156" s="100" customFormat="1" x14ac:dyDescent="0.2">
      <c r="B108" s="326"/>
      <c r="C108" s="396"/>
      <c r="D108" s="166"/>
      <c r="E108" s="285"/>
      <c r="F108" s="285"/>
      <c r="G108" s="285"/>
      <c r="H108" s="285"/>
      <c r="I108" s="285"/>
      <c r="J108" s="285"/>
      <c r="K108" s="285"/>
      <c r="L108" s="285"/>
      <c r="M108" s="285"/>
      <c r="N108" s="285"/>
      <c r="O108" s="285"/>
      <c r="P108" s="104"/>
      <c r="S108" s="104"/>
      <c r="T108" s="104"/>
      <c r="U108" s="104"/>
      <c r="V108" s="104"/>
      <c r="W108" s="104"/>
      <c r="X108" s="104"/>
      <c r="Y108" s="398"/>
      <c r="Z108" s="398"/>
      <c r="AA108" s="104"/>
      <c r="AB108" s="104"/>
      <c r="AC108" s="104"/>
      <c r="AD108" s="104"/>
      <c r="AE108" s="104"/>
      <c r="AF108" s="104"/>
      <c r="AG108" s="104"/>
      <c r="AH108" s="104"/>
      <c r="AI108" s="104"/>
      <c r="AJ108" s="104"/>
      <c r="AK108" s="104"/>
      <c r="AL108" s="104"/>
      <c r="AM108" s="104"/>
      <c r="AN108" s="104"/>
      <c r="AO108" s="401"/>
      <c r="AP108" s="401"/>
      <c r="AQ108" s="104"/>
      <c r="AR108" s="104"/>
      <c r="AS108" s="104"/>
      <c r="AT108" s="104"/>
      <c r="AU108" s="104"/>
      <c r="AV108" s="104"/>
      <c r="AW108" s="104"/>
      <c r="AX108" s="104"/>
      <c r="AY108" s="104"/>
      <c r="AZ108" s="104"/>
      <c r="BA108" s="104"/>
      <c r="BB108" s="104"/>
      <c r="BC108" s="104"/>
      <c r="BD108" s="104"/>
      <c r="BE108" s="104"/>
      <c r="BF108" s="104"/>
      <c r="BG108" s="104"/>
      <c r="BH108" s="104"/>
      <c r="BI108" s="104"/>
      <c r="BJ108" s="104"/>
      <c r="BK108" s="104"/>
      <c r="BL108" s="104"/>
      <c r="BM108" s="104"/>
      <c r="BN108" s="104"/>
      <c r="BO108" s="104"/>
      <c r="BP108" s="104"/>
      <c r="BQ108" s="104"/>
      <c r="BR108" s="104"/>
      <c r="BS108" s="104"/>
      <c r="BT108" s="104"/>
      <c r="BU108" s="104"/>
      <c r="BV108" s="104"/>
      <c r="BW108" s="104"/>
      <c r="BX108" s="104"/>
      <c r="BY108" s="104"/>
      <c r="BZ108" s="104"/>
      <c r="CA108" s="104"/>
      <c r="CB108" s="104"/>
      <c r="CC108" s="104"/>
      <c r="CD108" s="104"/>
      <c r="CE108" s="104"/>
      <c r="CF108" s="104"/>
      <c r="CG108" s="104"/>
      <c r="CH108" s="104"/>
      <c r="CI108" s="104"/>
      <c r="CJ108" s="104"/>
      <c r="CK108" s="104"/>
      <c r="CL108" s="104"/>
      <c r="CM108" s="104"/>
      <c r="CN108" s="104"/>
      <c r="CO108" s="104"/>
      <c r="CP108" s="104"/>
      <c r="CQ108" s="104"/>
      <c r="CR108" s="104"/>
      <c r="CS108" s="104"/>
      <c r="CT108" s="104"/>
      <c r="CU108" s="104"/>
      <c r="CV108" s="104"/>
      <c r="CW108" s="104"/>
      <c r="CX108" s="104"/>
      <c r="CY108" s="104"/>
      <c r="CZ108" s="104"/>
      <c r="DA108" s="104"/>
      <c r="DB108" s="104"/>
      <c r="DC108" s="104"/>
      <c r="DD108" s="104"/>
      <c r="DE108" s="104"/>
      <c r="DF108" s="104"/>
      <c r="DG108" s="104"/>
      <c r="DH108" s="104"/>
      <c r="DI108" s="104"/>
      <c r="DJ108" s="104"/>
      <c r="DK108" s="104"/>
      <c r="DL108" s="104"/>
      <c r="DM108" s="104"/>
      <c r="DN108" s="104"/>
      <c r="DO108" s="104"/>
      <c r="DP108" s="104"/>
      <c r="DQ108" s="104"/>
      <c r="DR108" s="104"/>
      <c r="DS108" s="104"/>
      <c r="DT108" s="104"/>
      <c r="DU108" s="293"/>
      <c r="DV108" s="293"/>
      <c r="DW108" s="293"/>
      <c r="DX108" s="294"/>
      <c r="DY108" s="294"/>
      <c r="DZ108" s="294"/>
      <c r="EA108" s="295"/>
      <c r="EB108" s="295"/>
      <c r="EC108" s="294"/>
      <c r="ED108" s="294"/>
      <c r="EE108" s="294"/>
      <c r="EF108" s="104"/>
      <c r="EG108" s="104"/>
      <c r="EH108" s="104"/>
      <c r="EI108" s="104"/>
      <c r="EJ108" s="104"/>
      <c r="EK108" s="104"/>
      <c r="EL108" s="104"/>
      <c r="EM108" s="104"/>
      <c r="EN108" s="104"/>
      <c r="EO108" s="104"/>
      <c r="EP108" s="104"/>
      <c r="EQ108" s="104"/>
      <c r="ER108" s="104"/>
      <c r="ES108" s="104"/>
      <c r="ET108" s="104"/>
      <c r="EU108" s="104"/>
      <c r="EV108" s="104"/>
      <c r="EW108" s="104"/>
      <c r="EX108" s="104"/>
      <c r="EY108" s="104"/>
      <c r="EZ108" s="104"/>
    </row>
    <row r="109" spans="1:156" s="100" customFormat="1" x14ac:dyDescent="0.2">
      <c r="B109" s="326"/>
      <c r="C109" s="396"/>
      <c r="D109" s="166"/>
      <c r="E109" s="285"/>
      <c r="F109" s="285"/>
      <c r="G109" s="285"/>
      <c r="H109" s="285"/>
      <c r="I109" s="285"/>
      <c r="J109" s="285"/>
      <c r="K109" s="285"/>
      <c r="L109" s="285"/>
      <c r="M109" s="285"/>
      <c r="N109" s="285"/>
      <c r="O109" s="285"/>
      <c r="P109" s="104"/>
      <c r="S109" s="104"/>
      <c r="T109" s="104"/>
      <c r="U109" s="104"/>
      <c r="V109" s="104"/>
      <c r="W109" s="104"/>
      <c r="X109" s="104"/>
      <c r="Y109" s="398"/>
      <c r="Z109" s="398"/>
      <c r="AA109" s="104"/>
      <c r="AB109" s="104"/>
      <c r="AC109" s="104"/>
      <c r="AD109" s="104"/>
      <c r="AE109" s="104"/>
      <c r="AF109" s="104"/>
      <c r="AG109" s="104"/>
      <c r="AH109" s="104"/>
      <c r="AI109" s="104"/>
      <c r="AJ109" s="104"/>
      <c r="AK109" s="104"/>
      <c r="AL109" s="104"/>
      <c r="AM109" s="104"/>
      <c r="AN109" s="104"/>
      <c r="AO109" s="401"/>
      <c r="AP109" s="401"/>
      <c r="AQ109" s="104"/>
      <c r="AR109" s="104"/>
      <c r="AS109" s="104"/>
      <c r="AT109" s="104"/>
      <c r="AU109" s="104"/>
      <c r="AV109" s="104"/>
      <c r="AW109" s="104"/>
      <c r="AX109" s="104"/>
      <c r="AY109" s="104"/>
      <c r="AZ109" s="104"/>
      <c r="BA109" s="104"/>
      <c r="BB109" s="104"/>
      <c r="BC109" s="104"/>
      <c r="BD109" s="104"/>
      <c r="BE109" s="104"/>
      <c r="BF109" s="104"/>
      <c r="BG109" s="104"/>
      <c r="BH109" s="104"/>
      <c r="BI109" s="104"/>
      <c r="BJ109" s="104"/>
      <c r="BK109" s="104"/>
      <c r="BL109" s="104"/>
      <c r="BM109" s="104"/>
      <c r="BN109" s="104"/>
      <c r="BO109" s="104"/>
      <c r="BP109" s="104"/>
      <c r="BQ109" s="104"/>
      <c r="BR109" s="104"/>
      <c r="BS109" s="104"/>
      <c r="BT109" s="104"/>
      <c r="BU109" s="104"/>
      <c r="BV109" s="104"/>
      <c r="BW109" s="104"/>
      <c r="BX109" s="104"/>
      <c r="BY109" s="104"/>
      <c r="BZ109" s="104"/>
      <c r="CA109" s="104"/>
      <c r="CB109" s="104"/>
      <c r="CC109" s="104"/>
      <c r="CD109" s="104"/>
      <c r="CE109" s="104"/>
      <c r="CF109" s="104"/>
      <c r="CG109" s="104"/>
      <c r="CH109" s="104"/>
      <c r="CI109" s="104"/>
      <c r="CJ109" s="104"/>
      <c r="CK109" s="104"/>
      <c r="CL109" s="104"/>
      <c r="CM109" s="104"/>
      <c r="CN109" s="104"/>
      <c r="CO109" s="104"/>
      <c r="CP109" s="104"/>
      <c r="CQ109" s="104"/>
      <c r="CR109" s="104"/>
      <c r="CS109" s="104"/>
      <c r="CT109" s="104"/>
      <c r="CU109" s="104"/>
      <c r="CV109" s="104"/>
      <c r="CW109" s="104"/>
      <c r="CX109" s="104"/>
      <c r="CY109" s="104"/>
      <c r="CZ109" s="104"/>
      <c r="DA109" s="104"/>
      <c r="DB109" s="104"/>
      <c r="DC109" s="104"/>
      <c r="DD109" s="104"/>
      <c r="DE109" s="104"/>
      <c r="DF109" s="104"/>
      <c r="DG109" s="104"/>
      <c r="DH109" s="104"/>
      <c r="DI109" s="104"/>
      <c r="DJ109" s="104"/>
      <c r="DK109" s="104"/>
      <c r="DL109" s="104"/>
      <c r="DM109" s="104"/>
      <c r="DN109" s="104"/>
      <c r="DO109" s="104"/>
      <c r="DP109" s="104"/>
      <c r="DQ109" s="104"/>
      <c r="DR109" s="104"/>
      <c r="DS109" s="104"/>
      <c r="DT109" s="104"/>
      <c r="DU109" s="293"/>
      <c r="DV109" s="293"/>
      <c r="DW109" s="293"/>
      <c r="DX109" s="294"/>
      <c r="DY109" s="294"/>
      <c r="DZ109" s="294"/>
      <c r="EA109" s="295"/>
      <c r="EB109" s="295"/>
      <c r="EC109" s="294"/>
      <c r="ED109" s="294"/>
      <c r="EE109" s="294"/>
      <c r="EF109" s="104"/>
      <c r="EG109" s="104"/>
      <c r="EH109" s="104"/>
      <c r="EI109" s="104"/>
      <c r="EJ109" s="104"/>
      <c r="EK109" s="104"/>
      <c r="EL109" s="104"/>
      <c r="EM109" s="104"/>
      <c r="EN109" s="104"/>
      <c r="EO109" s="104"/>
      <c r="EP109" s="104"/>
      <c r="EQ109" s="104"/>
      <c r="ER109" s="104"/>
      <c r="ES109" s="104"/>
      <c r="ET109" s="104"/>
      <c r="EU109" s="104"/>
      <c r="EV109" s="104"/>
      <c r="EW109" s="104"/>
      <c r="EX109" s="104"/>
      <c r="EY109" s="104"/>
      <c r="EZ109" s="104"/>
    </row>
    <row r="121" spans="5:6" x14ac:dyDescent="0.2">
      <c r="E121" s="3760"/>
      <c r="F121" s="3760"/>
    </row>
    <row r="122" spans="5:6" x14ac:dyDescent="0.2">
      <c r="E122" s="3760"/>
      <c r="F122" s="3760"/>
    </row>
    <row r="123" spans="5:6" x14ac:dyDescent="0.2">
      <c r="E123" s="3760"/>
      <c r="F123" s="3760"/>
    </row>
    <row r="124" spans="5:6" x14ac:dyDescent="0.2">
      <c r="E124" s="3760"/>
      <c r="F124" s="3760"/>
    </row>
    <row r="126" spans="5:6" x14ac:dyDescent="0.2">
      <c r="E126" s="3760"/>
      <c r="F126" s="3760"/>
    </row>
  </sheetData>
  <mergeCells count="47">
    <mergeCell ref="B3:E5"/>
    <mergeCell ref="G5:I5"/>
    <mergeCell ref="S5:W5"/>
    <mergeCell ref="AF69:AF100"/>
    <mergeCell ref="P69:P100"/>
    <mergeCell ref="B37:E37"/>
    <mergeCell ref="B14:E14"/>
    <mergeCell ref="B6:E6"/>
    <mergeCell ref="J5:L5"/>
    <mergeCell ref="V6:W6"/>
    <mergeCell ref="B53:E53"/>
    <mergeCell ref="B65:E66"/>
    <mergeCell ref="M5:O5"/>
    <mergeCell ref="B45:E45"/>
    <mergeCell ref="X69:X100"/>
    <mergeCell ref="E126:F126"/>
    <mergeCell ref="E122:F122"/>
    <mergeCell ref="E123:F123"/>
    <mergeCell ref="E121:F121"/>
    <mergeCell ref="E124:F124"/>
    <mergeCell ref="AI5:AM5"/>
    <mergeCell ref="AA5:AE5"/>
    <mergeCell ref="AD6:AE6"/>
    <mergeCell ref="BR6:BS6"/>
    <mergeCell ref="P6:P35"/>
    <mergeCell ref="BL69:BL100"/>
    <mergeCell ref="BJ6:BK6"/>
    <mergeCell ref="AV69:AV100"/>
    <mergeCell ref="BB6:BC6"/>
    <mergeCell ref="AL6:AM6"/>
    <mergeCell ref="BD69:BD100"/>
    <mergeCell ref="AT6:AU6"/>
    <mergeCell ref="AN69:AN100"/>
    <mergeCell ref="DX5:EE5"/>
    <mergeCell ref="DF6:DG6"/>
    <mergeCell ref="CH6:CI6"/>
    <mergeCell ref="DN6:DO6"/>
    <mergeCell ref="DP69:DP100"/>
    <mergeCell ref="DH69:DH100"/>
    <mergeCell ref="CZ69:CZ100"/>
    <mergeCell ref="CB69:CB100"/>
    <mergeCell ref="CP6:CQ6"/>
    <mergeCell ref="CX6:CY6"/>
    <mergeCell ref="BT69:BT100"/>
    <mergeCell ref="BZ6:CA6"/>
    <mergeCell ref="CJ69:CJ100"/>
    <mergeCell ref="CR69:CR100"/>
  </mergeCells>
  <phoneticPr fontId="43" type="noConversion"/>
  <conditionalFormatting sqref="EB1:EB4 EB6:EB65536">
    <cfRule type="cellIs" dxfId="1" priority="1" stopIfTrue="1" operator="greaterThan">
      <formula>0</formula>
    </cfRule>
    <cfRule type="cellIs" dxfId="0" priority="2" stopIfTrue="1" operator="lessThan">
      <formula>0</formula>
    </cfRule>
  </conditionalFormatting>
  <dataValidations count="48">
    <dataValidation allowBlank="1" showInputMessage="1" showErrorMessage="1" prompt="vrijednost 3. obroka" sqref="DV40:DV42"/>
    <dataValidation allowBlank="1" showInputMessage="1" showErrorMessage="1" prompt="iz predugovora na dan 29.01.2009." sqref="E70:F71"/>
    <dataValidation allowBlank="1" showInputMessage="1" showErrorMessage="1" prompt="iz predugovora" sqref="E76:F77"/>
    <dataValidation allowBlank="1" showInputMessage="1" showErrorMessage="1" prompt="kompenzacija" sqref="J84"/>
    <dataValidation allowBlank="1" showInputMessage="1" showErrorMessage="1" prompt="naštimano" sqref="E18"/>
    <dataValidation allowBlank="1" showInputMessage="1" showErrorMessage="1" prompt="+ stupići 93.940,00 kn" sqref="E17"/>
    <dataValidation allowBlank="1" showInputMessage="1" showErrorMessage="1" prompt="m2 iz tablice m2 maje deprato" sqref="C67:C68 C6"/>
    <dataValidation allowBlank="1" showInputMessage="1" showErrorMessage="1" prompt="iz tablice financijsko stanje prodaje pos-a na dan 22.01.2009, neprodani" sqref="D67:D68 C20 D6"/>
    <dataValidation allowBlank="1" showInputMessage="1" showErrorMessage="1" prompt="Mirjana Radaković" sqref="B42"/>
    <dataValidation allowBlank="1" showInputMessage="1" showErrorMessage="1" prompt="Branko Kuzmanović" sqref="B40"/>
    <dataValidation allowBlank="1" showInputMessage="1" showErrorMessage="1" prompt="Silvio Martinović" sqref="B41"/>
    <dataValidation allowBlank="1" showInputMessage="1" showErrorMessage="1" prompt="garaže počinju od r.b. 037" sqref="A32"/>
    <dataValidation allowBlank="1" showInputMessage="1" showErrorMessage="1" prompt="garaže počinju od r.b. 036" sqref="A33"/>
    <dataValidation allowBlank="1" showInputMessage="1" showErrorMessage="1" prompt="prosjek m2 uzet iz tablice maje de prato" sqref="C25"/>
    <dataValidation allowBlank="1" showInputMessage="1" showErrorMessage="1" prompt="garaže počinju od r.b. 044" sqref="A25:A27"/>
    <dataValidation allowBlank="1" showInputMessage="1" showErrorMessage="1" prompt="garaže počinju od r.b. 045" sqref="A28"/>
    <dataValidation allowBlank="1" showInputMessage="1" showErrorMessage="1" prompt="garaže počinju od r.b. 041" sqref="A29"/>
    <dataValidation allowBlank="1" showInputMessage="1" showErrorMessage="1" prompt="garaže počinju od r.b. 035" sqref="A30"/>
    <dataValidation allowBlank="1" showInputMessage="1" showErrorMessage="1" prompt="garaže počinju od r.b. 034" sqref="A31"/>
    <dataValidation allowBlank="1" showInputMessage="1" showErrorMessage="1" prompt="garaže počinju od r.b. 083" sqref="A18"/>
    <dataValidation allowBlank="1" showInputMessage="1" showErrorMessage="1" prompt="garaže počinju od r.b. 079" sqref="A19"/>
    <dataValidation allowBlank="1" showInputMessage="1" showErrorMessage="1" prompt="garaže počinju od r.b. 096" sqref="A20"/>
    <dataValidation allowBlank="1" showInputMessage="1" showErrorMessage="1" prompt="garaže počinju od r.b. 080" sqref="A21"/>
    <dataValidation allowBlank="1" showInputMessage="1" showErrorMessage="1" prompt="garaže počinju od r.b. 135" sqref="A22"/>
    <dataValidation allowBlank="1" showInputMessage="1" showErrorMessage="1" prompt="garaže počinju od r.b. 129" sqref="A23"/>
    <dataValidation allowBlank="1" showInputMessage="1" showErrorMessage="1" prompt="garaže počinju od r.b. 103" sqref="A24"/>
    <dataValidation allowBlank="1" showInputMessage="1" showErrorMessage="1" prompt="garaže počinju od r.b. 385" sqref="A17"/>
    <dataValidation allowBlank="1" showInputMessage="1" showErrorMessage="1" prompt="iz liste sklopljenih ugovora na datum 29.01.2009." sqref="C11"/>
    <dataValidation allowBlank="1" showInputMessage="1" showErrorMessage="1" prompt="šemnički nataša, čučković branka, rakoci dražen i višnić božica" sqref="B11"/>
    <dataValidation allowBlank="1" showInputMessage="1" showErrorMessage="1" prompt="veljković tiho, futivić božidar, egartner robert, marinović vlasta" sqref="B10"/>
    <dataValidation allowBlank="1" showInputMessage="1" showErrorMessage="1" prompt="BAUMGARTNER MARIJA" sqref="C9"/>
    <dataValidation allowBlank="1" showInputMessage="1" showErrorMessage="1" prompt="bamugartner marija" sqref="AO9"/>
    <dataValidation allowBlank="1" showInputMessage="1" showErrorMessage="1" prompt="radović ivica, hajder ante, ivelja anamarija, runjić luka, tomić goran, bertović mari" sqref="AO17"/>
    <dataValidation allowBlank="1" showInputMessage="1" showErrorMessage="1" prompt="đuka ivica" sqref="AO23"/>
    <dataValidation allowBlank="1" showInputMessage="1" showErrorMessage="1" prompt="brala luca" sqref="AO25"/>
    <dataValidation allowBlank="1" showInputMessage="1" showErrorMessage="1" prompt="herceg jasna" sqref="AO32"/>
    <dataValidation allowBlank="1" showInputMessage="1" showErrorMessage="1" prompt="duralija boris" sqref="AO26"/>
    <dataValidation allowBlank="1" showInputMessage="1" showErrorMessage="1" prompt="majdak tihomir" sqref="AO19"/>
    <dataValidation allowBlank="1" showInputMessage="1" showErrorMessage="1" prompt="omerović zijad" sqref="AO30"/>
    <dataValidation allowBlank="1" showInputMessage="1" showErrorMessage="1" prompt="stanovi su do zaključno s brojem 43" sqref="A10"/>
    <dataValidation allowBlank="1" showInputMessage="1" showErrorMessage="1" prompt="stanovi su do zaključno s brojem 36" sqref="A11"/>
    <dataValidation allowBlank="1" showInputMessage="1" showErrorMessage="1" prompt="bakica silva" sqref="AW17"/>
    <dataValidation allowBlank="1" showInputMessage="1" showErrorMessage="1" prompt="pervan ivan" sqref="AW32"/>
    <dataValidation allowBlank="1" showInputMessage="1" showErrorMessage="1" prompt="počinju od br. 063" sqref="A83"/>
    <dataValidation allowBlank="1" showInputMessage="1" showErrorMessage="1" prompt="počinju od br. 073" sqref="A77"/>
    <dataValidation allowBlank="1" showInputMessage="1" showErrorMessage="1" prompt="TEČAJ je na dan 03.09.09. kad je rađeno 1€ = 7,351553 HRK" sqref="E96"/>
    <dataValidation allowBlank="1" showInputMessage="1" showErrorMessage="1" prompt="TEČAJ je na dan 02.11.09. kad je rađeno 1€ = 7,225837 HRK" sqref="E98"/>
    <dataValidation allowBlank="1" showInputMessage="1" showErrorMessage="1" prompt="tečaj na dan 11.01.2010." sqref="E89 E92:E94"/>
  </dataValidations>
  <pageMargins left="0.67" right="0.17" top="0.13" bottom="0.15" header="0.15" footer="0.15"/>
  <pageSetup paperSize="9" orientation="portrait" r:id="rId1"/>
  <headerFooter alignWithMargins="0">
    <oddFooter>&amp;L&amp;D&amp;CPage &amp;P of &amp;N</oddFooter>
  </headerFooter>
  <colBreaks count="7" manualBreakCount="7">
    <brk id="6" max="60" man="1"/>
    <brk id="32" max="60" man="1"/>
    <brk id="40" max="60" man="1"/>
    <brk id="48" max="60" man="1"/>
    <brk id="56" max="60" man="1"/>
    <brk id="64" max="60" man="1"/>
    <brk id="72" max="60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CLW192"/>
  <sheetViews>
    <sheetView tabSelected="1" zoomScale="88" zoomScaleNormal="88" zoomScaleSheetLayoutView="20" workbookViewId="0">
      <pane xSplit="4" ySplit="9" topLeftCell="E85" activePane="bottomRight" state="frozen"/>
      <selection pane="topRight" activeCell="E1" sqref="E1"/>
      <selection pane="bottomLeft" activeCell="A10" sqref="A10"/>
      <selection pane="bottomRight" sqref="A1:D4"/>
    </sheetView>
  </sheetViews>
  <sheetFormatPr defaultColWidth="22" defaultRowHeight="12.75" outlineLevelRow="1" outlineLevelCol="1" x14ac:dyDescent="0.2"/>
  <cols>
    <col min="1" max="1" width="13.140625" style="99" customWidth="1" outlineLevel="1"/>
    <col min="2" max="2" width="15" style="99" customWidth="1" outlineLevel="1"/>
    <col min="3" max="3" width="9.28515625" style="99" customWidth="1" outlineLevel="1"/>
    <col min="4" max="4" width="64" style="99" customWidth="1"/>
    <col min="5" max="5" width="12.5703125" style="99" customWidth="1"/>
    <col min="6" max="6" width="12.42578125" style="112" customWidth="1"/>
    <col min="7" max="7" width="12.28515625" style="99" customWidth="1"/>
    <col min="8" max="8" width="9.28515625" style="174" customWidth="1"/>
    <col min="9" max="10" width="14.28515625" style="112" customWidth="1"/>
    <col min="11" max="11" width="7.85546875" style="174" customWidth="1"/>
    <col min="12" max="12" width="12.140625" style="112" customWidth="1"/>
    <col min="13" max="13" width="11.28515625" style="112" customWidth="1"/>
    <col min="14" max="15" width="14.7109375" style="99" customWidth="1"/>
    <col min="16" max="16" width="17.42578125" style="99" customWidth="1" outlineLevel="1"/>
    <col min="17" max="21" width="22" style="99" outlineLevel="1"/>
    <col min="22" max="22" width="22" style="99"/>
    <col min="23" max="25" width="22" style="99" outlineLevel="1"/>
    <col min="26" max="26" width="22" style="112"/>
    <col min="27" max="28" width="0" style="99" hidden="1" customWidth="1" outlineLevel="1"/>
    <col min="29" max="29" width="20.42578125" style="99" hidden="1" customWidth="1" outlineLevel="1"/>
    <col min="30" max="37" width="0" style="99" hidden="1" customWidth="1"/>
    <col min="38" max="40" width="22" style="99" outlineLevel="1"/>
    <col min="41" max="41" width="22" style="99"/>
    <col min="42" max="42" width="22" style="99" outlineLevel="1"/>
    <col min="43" max="43" width="22" style="99"/>
    <col min="44" max="44" width="22" style="99" outlineLevel="1"/>
    <col min="45" max="45" width="22" style="99"/>
    <col min="46" max="46" width="22" style="99" outlineLevel="1"/>
    <col min="47" max="49" width="22" style="99"/>
    <col min="50" max="52" width="22" style="99" outlineLevel="1"/>
    <col min="53" max="58" width="22" style="99"/>
    <col min="59" max="59" width="19.7109375" style="99" customWidth="1"/>
    <col min="60" max="61" width="22" style="99"/>
    <col min="62" max="62" width="22" style="112"/>
    <col min="63" max="65" width="22" style="99"/>
    <col min="66" max="66" width="26.7109375" style="99" bestFit="1" customWidth="1"/>
    <col min="67" max="68" width="22" style="99"/>
    <col min="69" max="69" width="26.7109375" style="99" bestFit="1" customWidth="1"/>
    <col min="70" max="74" width="22" style="99"/>
    <col min="75" max="75" width="28.140625" style="99" bestFit="1" customWidth="1"/>
    <col min="76" max="16384" width="22" style="99"/>
  </cols>
  <sheetData>
    <row r="1" spans="1:2363" ht="15" customHeight="1" x14ac:dyDescent="0.2">
      <c r="A1" s="3925"/>
      <c r="B1" s="3925"/>
      <c r="C1" s="3925"/>
      <c r="D1" s="3925"/>
      <c r="N1" s="112"/>
      <c r="O1" s="112"/>
      <c r="P1" s="112"/>
      <c r="Q1" s="175"/>
      <c r="R1" s="175"/>
      <c r="S1" s="175"/>
      <c r="T1" s="175"/>
      <c r="U1" s="401"/>
      <c r="V1" s="175"/>
      <c r="W1" s="175"/>
      <c r="X1" s="175"/>
      <c r="Y1" s="175"/>
      <c r="Z1" s="104"/>
      <c r="AA1" s="312"/>
      <c r="AB1" s="112"/>
      <c r="AC1" s="112"/>
      <c r="AD1" s="112"/>
      <c r="AE1" s="112"/>
      <c r="AF1" s="112"/>
      <c r="AG1" s="112"/>
      <c r="AH1" s="2236"/>
      <c r="AI1" s="2236"/>
      <c r="AJ1" s="3223"/>
      <c r="AK1" s="2236"/>
      <c r="AL1" s="112"/>
      <c r="AM1" s="112"/>
      <c r="AP1" s="100"/>
      <c r="AQ1" s="112"/>
      <c r="AR1" s="112"/>
      <c r="AS1" s="112"/>
      <c r="AT1" s="2042"/>
      <c r="AV1" s="112"/>
      <c r="AX1" s="112"/>
      <c r="AY1" s="112"/>
      <c r="AZ1" s="112"/>
      <c r="BA1" s="112"/>
      <c r="BB1" s="112"/>
      <c r="BC1" s="112"/>
      <c r="BD1" s="112"/>
      <c r="BE1" s="112"/>
      <c r="BF1" s="112"/>
      <c r="BG1" s="112"/>
      <c r="BH1" s="112"/>
      <c r="BI1" s="112"/>
      <c r="BL1" s="3058"/>
      <c r="BM1" s="3058"/>
      <c r="BN1" s="3117"/>
      <c r="BO1" s="3058"/>
      <c r="BP1" s="3058"/>
      <c r="BQ1" s="3433"/>
      <c r="BR1" s="3531"/>
      <c r="BS1" s="3532"/>
      <c r="BT1" s="3531"/>
    </row>
    <row r="2" spans="1:2363" ht="15" hidden="1" customHeight="1" x14ac:dyDescent="0.2">
      <c r="A2" s="3925"/>
      <c r="B2" s="3925"/>
      <c r="C2" s="3925"/>
      <c r="D2" s="3925"/>
      <c r="P2" s="112"/>
      <c r="Q2" s="175"/>
      <c r="R2" s="2854"/>
      <c r="S2" s="175"/>
      <c r="T2" s="2854"/>
      <c r="U2" s="2854"/>
      <c r="V2" s="175"/>
      <c r="W2" s="2854"/>
      <c r="X2" s="2854"/>
      <c r="Y2" s="2854"/>
      <c r="Z2" s="312"/>
      <c r="AA2" s="3892"/>
      <c r="AB2" s="3893"/>
      <c r="AC2" s="3893"/>
      <c r="AD2" s="3893"/>
      <c r="AE2" s="3893"/>
      <c r="AF2" s="3893"/>
      <c r="AG2" s="3893"/>
      <c r="AH2" s="3893"/>
      <c r="AI2" s="3893"/>
      <c r="AJ2" s="3893"/>
      <c r="AK2" s="3893"/>
      <c r="AL2" s="3829" t="s">
        <v>672</v>
      </c>
      <c r="AM2" s="3830"/>
      <c r="AN2" s="3830"/>
      <c r="AO2" s="3830"/>
      <c r="AP2" s="3830"/>
      <c r="AQ2" s="3830"/>
      <c r="AR2" s="3830"/>
      <c r="AS2" s="3830"/>
      <c r="AT2" s="3830"/>
      <c r="AU2" s="3830"/>
      <c r="AV2" s="3830"/>
      <c r="AW2" s="3831"/>
      <c r="AX2" s="3930" t="s">
        <v>676</v>
      </c>
      <c r="AY2" s="3931"/>
      <c r="AZ2" s="3931"/>
      <c r="BA2" s="3931"/>
      <c r="BB2" s="3931"/>
      <c r="BC2" s="3931"/>
      <c r="BD2" s="3931"/>
      <c r="BE2" s="3931"/>
      <c r="BF2" s="3931"/>
      <c r="BG2" s="3931"/>
      <c r="BH2" s="3931"/>
      <c r="BI2" s="3932"/>
      <c r="BJ2" s="3823" t="s">
        <v>677</v>
      </c>
      <c r="BK2" s="3824"/>
      <c r="BL2" s="3824"/>
      <c r="BM2" s="3824"/>
      <c r="BN2" s="3824"/>
      <c r="BO2" s="3824"/>
      <c r="BP2" s="3824"/>
      <c r="BQ2" s="3824"/>
      <c r="BR2" s="3824"/>
      <c r="BS2" s="3824"/>
      <c r="BT2" s="3824"/>
      <c r="BV2" s="3058"/>
      <c r="BW2" s="3058"/>
      <c r="BX2" s="3058"/>
      <c r="BY2" s="3058"/>
      <c r="BZ2" s="3058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</row>
    <row r="3" spans="1:2363" ht="15" customHeight="1" x14ac:dyDescent="0.25">
      <c r="A3" s="3925"/>
      <c r="B3" s="3925"/>
      <c r="C3" s="3925"/>
      <c r="D3" s="3925"/>
      <c r="E3" s="112"/>
      <c r="F3" s="104"/>
      <c r="K3" s="112"/>
      <c r="L3" s="2236"/>
      <c r="M3" s="2236"/>
      <c r="N3" s="2236">
        <f>+F10+I10+M10</f>
        <v>13805.5</v>
      </c>
      <c r="P3" s="112"/>
      <c r="Q3" s="175"/>
      <c r="R3" s="175"/>
      <c r="S3" s="175"/>
      <c r="T3" s="175"/>
      <c r="U3" s="175"/>
      <c r="V3" s="175"/>
      <c r="W3" s="175"/>
      <c r="X3" s="3576"/>
      <c r="Y3" s="3577"/>
      <c r="Z3" s="3057"/>
      <c r="AA3" s="3894"/>
      <c r="AB3" s="3895"/>
      <c r="AC3" s="3895"/>
      <c r="AD3" s="3895"/>
      <c r="AE3" s="3895"/>
      <c r="AF3" s="3895"/>
      <c r="AG3" s="3895"/>
      <c r="AH3" s="3895"/>
      <c r="AI3" s="3895"/>
      <c r="AJ3" s="3895"/>
      <c r="AK3" s="3895"/>
      <c r="AL3" s="3832"/>
      <c r="AM3" s="3833"/>
      <c r="AN3" s="3833"/>
      <c r="AO3" s="3833"/>
      <c r="AP3" s="3833"/>
      <c r="AQ3" s="3833"/>
      <c r="AR3" s="3833"/>
      <c r="AS3" s="3833"/>
      <c r="AT3" s="3833"/>
      <c r="AU3" s="3833"/>
      <c r="AV3" s="3833"/>
      <c r="AW3" s="3834"/>
      <c r="AX3" s="3933"/>
      <c r="AY3" s="3934"/>
      <c r="AZ3" s="3934"/>
      <c r="BA3" s="3934"/>
      <c r="BB3" s="3934"/>
      <c r="BC3" s="3934"/>
      <c r="BD3" s="3934"/>
      <c r="BE3" s="3934"/>
      <c r="BF3" s="3934"/>
      <c r="BG3" s="3934"/>
      <c r="BH3" s="3934"/>
      <c r="BI3" s="3935"/>
      <c r="BJ3" s="3825"/>
      <c r="BK3" s="3826"/>
      <c r="BL3" s="3826"/>
      <c r="BM3" s="3826"/>
      <c r="BN3" s="3826"/>
      <c r="BO3" s="3826"/>
      <c r="BP3" s="3826"/>
      <c r="BQ3" s="3826"/>
      <c r="BR3" s="3826"/>
      <c r="BS3" s="3826"/>
      <c r="BT3" s="3826"/>
      <c r="BU3" s="3924" t="s">
        <v>675</v>
      </c>
      <c r="BV3" s="3924"/>
      <c r="BW3" s="3924"/>
      <c r="BX3" s="3924"/>
      <c r="BY3" s="3924"/>
      <c r="BZ3" s="3058"/>
      <c r="CA3" s="2095"/>
      <c r="CB3" s="2095"/>
      <c r="CC3" s="2095"/>
      <c r="CD3" s="2095"/>
      <c r="CE3" s="2095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</row>
    <row r="4" spans="1:2363" ht="49.5" customHeight="1" x14ac:dyDescent="0.25">
      <c r="A4" s="3926"/>
      <c r="B4" s="3926"/>
      <c r="C4" s="3926"/>
      <c r="D4" s="3926"/>
      <c r="E4" s="2025"/>
      <c r="F4" s="1990"/>
      <c r="G4" s="2545"/>
      <c r="H4" s="2486"/>
      <c r="I4" s="2026"/>
      <c r="J4" s="1990"/>
      <c r="K4" s="2100"/>
      <c r="L4" s="2237"/>
      <c r="M4" s="2238"/>
      <c r="N4" s="2239"/>
      <c r="O4" s="2027"/>
      <c r="P4" s="2486"/>
      <c r="Q4" s="1990"/>
      <c r="R4" s="2861"/>
      <c r="S4" s="1990"/>
      <c r="T4" s="1990"/>
      <c r="U4" s="2032"/>
      <c r="V4" s="2291"/>
      <c r="W4" s="312"/>
      <c r="X4" s="312"/>
      <c r="Y4" s="112"/>
      <c r="Z4" s="1990"/>
      <c r="AA4" s="3896"/>
      <c r="AB4" s="3897"/>
      <c r="AC4" s="3897"/>
      <c r="AD4" s="3897"/>
      <c r="AE4" s="3897"/>
      <c r="AF4" s="3897"/>
      <c r="AG4" s="3897"/>
      <c r="AH4" s="3897"/>
      <c r="AI4" s="3897"/>
      <c r="AJ4" s="3897"/>
      <c r="AK4" s="3897"/>
      <c r="AL4" s="3835"/>
      <c r="AM4" s="3836"/>
      <c r="AN4" s="3836"/>
      <c r="AO4" s="3836"/>
      <c r="AP4" s="3836"/>
      <c r="AQ4" s="3836"/>
      <c r="AR4" s="3836"/>
      <c r="AS4" s="3836"/>
      <c r="AT4" s="3836"/>
      <c r="AU4" s="3836"/>
      <c r="AV4" s="3836"/>
      <c r="AW4" s="3837"/>
      <c r="AX4" s="3936"/>
      <c r="AY4" s="3937"/>
      <c r="AZ4" s="3937"/>
      <c r="BA4" s="3937"/>
      <c r="BB4" s="3937"/>
      <c r="BC4" s="3937"/>
      <c r="BD4" s="3937"/>
      <c r="BE4" s="3937"/>
      <c r="BF4" s="3937"/>
      <c r="BG4" s="3937"/>
      <c r="BH4" s="3937"/>
      <c r="BI4" s="3938"/>
      <c r="BJ4" s="3827"/>
      <c r="BK4" s="3828"/>
      <c r="BL4" s="3828"/>
      <c r="BM4" s="3828"/>
      <c r="BN4" s="3828"/>
      <c r="BO4" s="3828"/>
      <c r="BP4" s="3828"/>
      <c r="BQ4" s="3828"/>
      <c r="BR4" s="3828"/>
      <c r="BS4" s="3828"/>
      <c r="BT4" s="3828"/>
      <c r="BU4" s="3924"/>
      <c r="BV4" s="3924"/>
      <c r="BW4" s="3924"/>
      <c r="BX4" s="3924"/>
      <c r="BY4" s="3924"/>
      <c r="BZ4" s="3058"/>
      <c r="CA4" s="2095"/>
      <c r="CB4" s="2095"/>
      <c r="CC4" s="2095"/>
      <c r="CD4" s="2095"/>
      <c r="CE4" s="2095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</row>
    <row r="5" spans="1:2363" ht="30" customHeight="1" x14ac:dyDescent="0.2">
      <c r="A5" s="3784" t="s">
        <v>650</v>
      </c>
      <c r="B5" s="3785"/>
      <c r="C5" s="3790"/>
      <c r="D5" s="3793" t="s">
        <v>1</v>
      </c>
      <c r="E5" s="3942" t="s">
        <v>2</v>
      </c>
      <c r="F5" s="3943"/>
      <c r="G5" s="3943"/>
      <c r="H5" s="3943"/>
      <c r="I5" s="3943"/>
      <c r="J5" s="3943"/>
      <c r="K5" s="3943"/>
      <c r="L5" s="3943"/>
      <c r="M5" s="3943"/>
      <c r="N5" s="3943"/>
      <c r="O5" s="2546"/>
      <c r="P5" s="3921" t="s">
        <v>650</v>
      </c>
      <c r="Q5" s="3922"/>
      <c r="R5" s="3922"/>
      <c r="S5" s="3922"/>
      <c r="T5" s="3923"/>
      <c r="U5" s="2893" t="s">
        <v>129</v>
      </c>
      <c r="V5" s="2197" t="s">
        <v>635</v>
      </c>
      <c r="W5" s="3917" t="s">
        <v>636</v>
      </c>
      <c r="X5" s="3918"/>
      <c r="Y5" s="3796" t="s">
        <v>621</v>
      </c>
      <c r="Z5" s="3912" t="s">
        <v>575</v>
      </c>
      <c r="AA5" s="3906" t="s">
        <v>569</v>
      </c>
      <c r="AB5" s="3907"/>
      <c r="AC5" s="3908"/>
      <c r="AD5" s="3898" t="s">
        <v>146</v>
      </c>
      <c r="AE5" s="3899"/>
      <c r="AF5" s="3899"/>
      <c r="AG5" s="3899"/>
      <c r="AH5" s="3905"/>
      <c r="AI5" s="3898" t="s">
        <v>147</v>
      </c>
      <c r="AJ5" s="3899"/>
      <c r="AK5" s="3900"/>
      <c r="AL5" s="3838" t="s">
        <v>569</v>
      </c>
      <c r="AM5" s="3839"/>
      <c r="AN5" s="3840"/>
      <c r="AO5" s="3853" t="s">
        <v>146</v>
      </c>
      <c r="AP5" s="3854"/>
      <c r="AQ5" s="3854"/>
      <c r="AR5" s="3854"/>
      <c r="AS5" s="3855"/>
      <c r="AT5" s="2394" t="s">
        <v>147</v>
      </c>
      <c r="AU5" s="3856" t="s">
        <v>147</v>
      </c>
      <c r="AV5" s="3856"/>
      <c r="AW5" s="3857"/>
      <c r="AX5" s="3838" t="s">
        <v>569</v>
      </c>
      <c r="AY5" s="3839"/>
      <c r="AZ5" s="3840"/>
      <c r="BA5" s="3927" t="s">
        <v>146</v>
      </c>
      <c r="BB5" s="3928"/>
      <c r="BC5" s="3928"/>
      <c r="BD5" s="3928"/>
      <c r="BE5" s="3929"/>
      <c r="BF5" s="2394" t="s">
        <v>147</v>
      </c>
      <c r="BG5" s="3856" t="s">
        <v>147</v>
      </c>
      <c r="BH5" s="3856"/>
      <c r="BI5" s="3857"/>
      <c r="BJ5" s="3851" t="s">
        <v>625</v>
      </c>
      <c r="BK5" s="3851"/>
      <c r="BL5" s="3851"/>
      <c r="BM5" s="3853" t="s">
        <v>146</v>
      </c>
      <c r="BN5" s="3854"/>
      <c r="BO5" s="3854"/>
      <c r="BP5" s="3854"/>
      <c r="BQ5" s="3855"/>
      <c r="BR5" s="3856" t="s">
        <v>147</v>
      </c>
      <c r="BS5" s="3856"/>
      <c r="BT5" s="3857"/>
      <c r="BV5" s="3058"/>
      <c r="BW5" s="3058"/>
      <c r="BX5" s="3058"/>
      <c r="BY5" s="3058"/>
      <c r="BZ5" s="3058"/>
      <c r="CA5" s="2095"/>
      <c r="CB5" s="2095"/>
      <c r="CC5" s="2095"/>
      <c r="CD5" s="2095"/>
      <c r="CE5" s="209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</row>
    <row r="6" spans="1:2363" ht="43.5" customHeight="1" x14ac:dyDescent="0.2">
      <c r="A6" s="3786"/>
      <c r="B6" s="3787"/>
      <c r="C6" s="3791"/>
      <c r="D6" s="3794"/>
      <c r="E6" s="3944" t="s">
        <v>561</v>
      </c>
      <c r="F6" s="3945"/>
      <c r="G6" s="3946"/>
      <c r="H6" s="3950" t="s">
        <v>562</v>
      </c>
      <c r="I6" s="3951"/>
      <c r="J6" s="3952"/>
      <c r="K6" s="3950" t="s">
        <v>563</v>
      </c>
      <c r="L6" s="3951"/>
      <c r="M6" s="3952"/>
      <c r="N6" s="3956" t="s">
        <v>3</v>
      </c>
      <c r="O6" s="3919" t="s">
        <v>564</v>
      </c>
      <c r="P6" s="3958" t="s">
        <v>623</v>
      </c>
      <c r="Q6" s="3799" t="s">
        <v>565</v>
      </c>
      <c r="R6" s="3799" t="s">
        <v>132</v>
      </c>
      <c r="S6" s="3799" t="s">
        <v>566</v>
      </c>
      <c r="T6" s="3801" t="s">
        <v>567</v>
      </c>
      <c r="U6" s="3958" t="s">
        <v>623</v>
      </c>
      <c r="V6" s="3960" t="s">
        <v>568</v>
      </c>
      <c r="W6" s="3915" t="s">
        <v>579</v>
      </c>
      <c r="X6" s="3915" t="s">
        <v>606</v>
      </c>
      <c r="Y6" s="3797"/>
      <c r="Z6" s="3913"/>
      <c r="AA6" s="3909"/>
      <c r="AB6" s="3910"/>
      <c r="AC6" s="3911"/>
      <c r="AD6" s="3803" t="s">
        <v>636</v>
      </c>
      <c r="AE6" s="3804"/>
      <c r="AF6" s="3804"/>
      <c r="AG6" s="3804"/>
      <c r="AH6" s="3805"/>
      <c r="AI6" s="3190" t="s">
        <v>648</v>
      </c>
      <c r="AJ6" s="3901" t="s">
        <v>649</v>
      </c>
      <c r="AK6" s="3902"/>
      <c r="AL6" s="3841"/>
      <c r="AM6" s="3842"/>
      <c r="AN6" s="3843"/>
      <c r="AO6" s="3844" t="s">
        <v>654</v>
      </c>
      <c r="AP6" s="3845"/>
      <c r="AQ6" s="3845"/>
      <c r="AR6" s="3845"/>
      <c r="AS6" s="3846"/>
      <c r="AT6" s="2435"/>
      <c r="AU6" s="3850" t="s">
        <v>654</v>
      </c>
      <c r="AV6" s="3848"/>
      <c r="AW6" s="3849"/>
      <c r="AX6" s="3841"/>
      <c r="AY6" s="3842"/>
      <c r="AZ6" s="3843"/>
      <c r="BA6" s="3939" t="s">
        <v>654</v>
      </c>
      <c r="BB6" s="3940"/>
      <c r="BC6" s="3940"/>
      <c r="BD6" s="3940"/>
      <c r="BE6" s="3941"/>
      <c r="BF6" s="2435"/>
      <c r="BG6" s="3850" t="s">
        <v>636</v>
      </c>
      <c r="BH6" s="3848"/>
      <c r="BI6" s="3849"/>
      <c r="BJ6" s="3852"/>
      <c r="BK6" s="3852"/>
      <c r="BL6" s="3852"/>
      <c r="BM6" s="3844" t="s">
        <v>636</v>
      </c>
      <c r="BN6" s="3845"/>
      <c r="BO6" s="3845"/>
      <c r="BP6" s="3845"/>
      <c r="BQ6" s="3846"/>
      <c r="BR6" s="3847" t="s">
        <v>636</v>
      </c>
      <c r="BS6" s="3848"/>
      <c r="BT6" s="3849"/>
      <c r="BV6" s="3466"/>
      <c r="BW6" s="3466"/>
      <c r="BX6" s="3058"/>
      <c r="BY6" s="3058"/>
      <c r="BZ6" s="3058"/>
      <c r="CA6" s="2095"/>
      <c r="CB6" s="2095"/>
      <c r="CC6" s="2095"/>
      <c r="CD6" s="2095"/>
      <c r="CE6" s="2095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</row>
    <row r="7" spans="1:2363" s="2020" customFormat="1" ht="77.25" customHeight="1" x14ac:dyDescent="0.2">
      <c r="A7" s="3786"/>
      <c r="B7" s="3787"/>
      <c r="C7" s="3791"/>
      <c r="D7" s="3794"/>
      <c r="E7" s="3947"/>
      <c r="F7" s="3948"/>
      <c r="G7" s="3949"/>
      <c r="H7" s="3953"/>
      <c r="I7" s="3954"/>
      <c r="J7" s="3955"/>
      <c r="K7" s="3953"/>
      <c r="L7" s="3954"/>
      <c r="M7" s="3955"/>
      <c r="N7" s="3957"/>
      <c r="O7" s="3920"/>
      <c r="P7" s="3959"/>
      <c r="Q7" s="3800"/>
      <c r="R7" s="3800"/>
      <c r="S7" s="3800"/>
      <c r="T7" s="3802"/>
      <c r="U7" s="3959"/>
      <c r="V7" s="3961"/>
      <c r="W7" s="3916"/>
      <c r="X7" s="3916"/>
      <c r="Y7" s="3798"/>
      <c r="Z7" s="3914"/>
      <c r="AA7" s="2035" t="s">
        <v>626</v>
      </c>
      <c r="AB7" s="2326" t="s">
        <v>590</v>
      </c>
      <c r="AC7" s="2327" t="s">
        <v>591</v>
      </c>
      <c r="AD7" s="2368" t="s">
        <v>615</v>
      </c>
      <c r="AE7" s="3130" t="s">
        <v>617</v>
      </c>
      <c r="AF7" s="2043" t="s">
        <v>630</v>
      </c>
      <c r="AG7" s="2043" t="s">
        <v>632</v>
      </c>
      <c r="AH7" s="2046" t="s">
        <v>3</v>
      </c>
      <c r="AI7" s="2369" t="s">
        <v>627</v>
      </c>
      <c r="AJ7" s="2034" t="s">
        <v>628</v>
      </c>
      <c r="AK7" s="2449" t="s">
        <v>164</v>
      </c>
      <c r="AL7" s="2480" t="s">
        <v>629</v>
      </c>
      <c r="AM7" s="2040" t="s">
        <v>590</v>
      </c>
      <c r="AN7" s="2041" t="s">
        <v>597</v>
      </c>
      <c r="AO7" s="2863" t="s">
        <v>622</v>
      </c>
      <c r="AP7" s="2647" t="s">
        <v>617</v>
      </c>
      <c r="AQ7" s="2865" t="s">
        <v>631</v>
      </c>
      <c r="AR7" s="2865" t="s">
        <v>632</v>
      </c>
      <c r="AS7" s="2648" t="s">
        <v>607</v>
      </c>
      <c r="AT7" s="2036" t="s">
        <v>570</v>
      </c>
      <c r="AU7" s="2040" t="s">
        <v>627</v>
      </c>
      <c r="AV7" s="2040" t="s">
        <v>633</v>
      </c>
      <c r="AW7" s="2860" t="s">
        <v>164</v>
      </c>
      <c r="AX7" s="2480" t="s">
        <v>629</v>
      </c>
      <c r="AY7" s="2040" t="s">
        <v>590</v>
      </c>
      <c r="AZ7" s="2041" t="s">
        <v>597</v>
      </c>
      <c r="BA7" s="3059" t="s">
        <v>622</v>
      </c>
      <c r="BB7" s="3060" t="s">
        <v>617</v>
      </c>
      <c r="BC7" s="3061" t="s">
        <v>631</v>
      </c>
      <c r="BD7" s="3061" t="s">
        <v>632</v>
      </c>
      <c r="BE7" s="3062" t="s">
        <v>607</v>
      </c>
      <c r="BF7" s="2036" t="s">
        <v>570</v>
      </c>
      <c r="BG7" s="2040" t="s">
        <v>627</v>
      </c>
      <c r="BH7" s="2040" t="s">
        <v>633</v>
      </c>
      <c r="BI7" s="2860" t="s">
        <v>164</v>
      </c>
      <c r="BJ7" s="2649" t="s">
        <v>626</v>
      </c>
      <c r="BK7" s="2650" t="s">
        <v>590</v>
      </c>
      <c r="BL7" s="2651" t="s">
        <v>634</v>
      </c>
      <c r="BM7" s="2863" t="s">
        <v>622</v>
      </c>
      <c r="BN7" s="2647" t="s">
        <v>617</v>
      </c>
      <c r="BO7" s="2865" t="s">
        <v>631</v>
      </c>
      <c r="BP7" s="2865" t="s">
        <v>632</v>
      </c>
      <c r="BQ7" s="2648" t="s">
        <v>607</v>
      </c>
      <c r="BR7" s="2040" t="s">
        <v>616</v>
      </c>
      <c r="BS7" s="2040" t="s">
        <v>633</v>
      </c>
      <c r="BT7" s="2860" t="s">
        <v>164</v>
      </c>
      <c r="BU7" s="99"/>
      <c r="BV7" s="3058"/>
      <c r="BW7" s="3058"/>
      <c r="BX7" s="3058"/>
      <c r="BY7" s="3058"/>
      <c r="BZ7" s="3058"/>
      <c r="CA7" s="2095"/>
      <c r="CB7" s="2095"/>
      <c r="CC7" s="2095"/>
      <c r="CD7" s="2095"/>
      <c r="CE7" s="2095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</row>
    <row r="8" spans="1:2363" s="1784" customFormat="1" ht="16.5" customHeight="1" x14ac:dyDescent="0.2">
      <c r="A8" s="3788"/>
      <c r="B8" s="3789"/>
      <c r="C8" s="3792"/>
      <c r="D8" s="3795"/>
      <c r="E8" s="2936" t="s">
        <v>4</v>
      </c>
      <c r="F8" s="2938" t="s">
        <v>5</v>
      </c>
      <c r="G8" s="2879" t="s">
        <v>145</v>
      </c>
      <c r="H8" s="2940" t="s">
        <v>4</v>
      </c>
      <c r="I8" s="2938" t="s">
        <v>5</v>
      </c>
      <c r="J8" s="2879" t="s">
        <v>145</v>
      </c>
      <c r="K8" s="2944" t="s">
        <v>4</v>
      </c>
      <c r="L8" s="2938" t="s">
        <v>5</v>
      </c>
      <c r="M8" s="2879" t="s">
        <v>145</v>
      </c>
      <c r="N8" s="2030" t="s">
        <v>5</v>
      </c>
      <c r="O8" s="2031" t="s">
        <v>5</v>
      </c>
      <c r="P8" s="2033" t="s">
        <v>669</v>
      </c>
      <c r="Q8" s="2033" t="s">
        <v>669</v>
      </c>
      <c r="R8" s="2033" t="s">
        <v>669</v>
      </c>
      <c r="S8" s="2033" t="s">
        <v>669</v>
      </c>
      <c r="T8" s="2031" t="s">
        <v>669</v>
      </c>
      <c r="U8" s="2879" t="s">
        <v>669</v>
      </c>
      <c r="V8" s="2119" t="s">
        <v>669</v>
      </c>
      <c r="W8" s="2119" t="s">
        <v>4</v>
      </c>
      <c r="X8" s="2119" t="s">
        <v>4</v>
      </c>
      <c r="Y8" s="2511" t="s">
        <v>576</v>
      </c>
      <c r="Z8" s="2129" t="s">
        <v>669</v>
      </c>
      <c r="AA8" s="2083" t="s">
        <v>102</v>
      </c>
      <c r="AB8" s="2034" t="s">
        <v>102</v>
      </c>
      <c r="AC8" s="2034" t="s">
        <v>102</v>
      </c>
      <c r="AD8" s="2038" t="s">
        <v>102</v>
      </c>
      <c r="AE8" s="2046"/>
      <c r="AF8" s="2046" t="s">
        <v>102</v>
      </c>
      <c r="AG8" s="2045"/>
      <c r="AH8" s="2045" t="s">
        <v>102</v>
      </c>
      <c r="AI8" s="2034" t="s">
        <v>102</v>
      </c>
      <c r="AJ8" s="2047" t="s">
        <v>102</v>
      </c>
      <c r="AK8" s="2450" t="s">
        <v>102</v>
      </c>
      <c r="AL8" s="2479" t="s">
        <v>669</v>
      </c>
      <c r="AM8" s="2044" t="s">
        <v>669</v>
      </c>
      <c r="AN8" s="2044" t="s">
        <v>669</v>
      </c>
      <c r="AO8" s="2039" t="s">
        <v>669</v>
      </c>
      <c r="AP8" s="2436" t="s">
        <v>669</v>
      </c>
      <c r="AQ8" s="2437" t="s">
        <v>669</v>
      </c>
      <c r="AR8" s="2039" t="s">
        <v>669</v>
      </c>
      <c r="AS8" s="2438" t="s">
        <v>669</v>
      </c>
      <c r="AT8" s="2037" t="s">
        <v>669</v>
      </c>
      <c r="AU8" s="2037" t="s">
        <v>669</v>
      </c>
      <c r="AV8" s="2037" t="s">
        <v>669</v>
      </c>
      <c r="AW8" s="2147" t="s">
        <v>669</v>
      </c>
      <c r="AX8" s="2479" t="s">
        <v>669</v>
      </c>
      <c r="AY8" s="2044" t="s">
        <v>669</v>
      </c>
      <c r="AZ8" s="2044" t="s">
        <v>669</v>
      </c>
      <c r="BA8" s="3063" t="s">
        <v>669</v>
      </c>
      <c r="BB8" s="3064" t="s">
        <v>669</v>
      </c>
      <c r="BC8" s="3065" t="s">
        <v>669</v>
      </c>
      <c r="BD8" s="3063" t="s">
        <v>669</v>
      </c>
      <c r="BE8" s="3066" t="s">
        <v>669</v>
      </c>
      <c r="BF8" s="2037" t="s">
        <v>669</v>
      </c>
      <c r="BG8" s="2037" t="s">
        <v>669</v>
      </c>
      <c r="BH8" s="2037" t="s">
        <v>669</v>
      </c>
      <c r="BI8" s="2147" t="s">
        <v>669</v>
      </c>
      <c r="BJ8" s="2652" t="s">
        <v>669</v>
      </c>
      <c r="BK8" s="2653" t="s">
        <v>669</v>
      </c>
      <c r="BL8" s="2652" t="s">
        <v>669</v>
      </c>
      <c r="BM8" s="2654" t="s">
        <v>669</v>
      </c>
      <c r="BN8" s="2655" t="s">
        <v>669</v>
      </c>
      <c r="BO8" s="2655" t="s">
        <v>669</v>
      </c>
      <c r="BP8" s="2655" t="s">
        <v>669</v>
      </c>
      <c r="BQ8" s="2046" t="s">
        <v>669</v>
      </c>
      <c r="BR8" s="2034" t="s">
        <v>669</v>
      </c>
      <c r="BS8" s="2083" t="s">
        <v>669</v>
      </c>
      <c r="BT8" s="3192" t="s">
        <v>669</v>
      </c>
      <c r="BU8" s="1050"/>
      <c r="BV8" s="3058"/>
      <c r="BW8" s="3058"/>
      <c r="BX8" s="3140"/>
      <c r="BY8" s="3140"/>
      <c r="BZ8" s="3140"/>
      <c r="CA8" s="2857"/>
      <c r="CB8" s="2857"/>
      <c r="CC8" s="2857"/>
      <c r="CD8" s="2857"/>
      <c r="CE8" s="2857"/>
      <c r="CF8" s="3141"/>
      <c r="CG8" s="3141"/>
      <c r="CH8" s="3141"/>
      <c r="CI8" s="3141"/>
      <c r="CJ8" s="3141"/>
      <c r="CK8" s="3141"/>
      <c r="CL8" s="3141"/>
      <c r="CM8" s="3141"/>
      <c r="CN8" s="3141"/>
      <c r="CO8" s="3141"/>
      <c r="CP8" s="3141"/>
      <c r="CQ8" s="3141"/>
      <c r="CR8" s="3141"/>
      <c r="CS8" s="3141"/>
      <c r="CT8" s="3141"/>
      <c r="CU8" s="3141"/>
      <c r="CV8" s="3141"/>
      <c r="CW8" s="3141"/>
      <c r="CX8" s="3141"/>
      <c r="CY8" s="3141"/>
      <c r="CZ8" s="3141"/>
      <c r="DA8" s="3141"/>
      <c r="DB8" s="3141"/>
      <c r="DC8" s="3141"/>
      <c r="DD8" s="3141"/>
      <c r="DE8" s="3141"/>
      <c r="DF8" s="3141"/>
      <c r="DG8" s="3141"/>
      <c r="DH8" s="3141"/>
      <c r="DI8" s="3141"/>
      <c r="DJ8" s="3141"/>
      <c r="DK8" s="3141"/>
      <c r="DL8" s="3141"/>
      <c r="DM8" s="3141"/>
      <c r="DN8" s="3141"/>
      <c r="DO8" s="3141"/>
      <c r="DP8" s="3141"/>
      <c r="DQ8" s="3141"/>
      <c r="DR8" s="3141"/>
      <c r="DS8" s="3141"/>
      <c r="DT8" s="3141"/>
      <c r="DU8" s="3141"/>
      <c r="DV8" s="3141"/>
      <c r="DW8" s="3141"/>
      <c r="DX8" s="3141"/>
      <c r="DY8" s="3141"/>
      <c r="DZ8" s="3141"/>
      <c r="EA8" s="3141"/>
      <c r="EB8" s="3141"/>
      <c r="EC8" s="3141"/>
      <c r="ED8" s="3141"/>
      <c r="EE8" s="3141"/>
      <c r="EF8" s="3141"/>
      <c r="EG8" s="3141"/>
      <c r="EH8" s="3142"/>
      <c r="EI8" s="3142"/>
      <c r="EJ8" s="3142"/>
      <c r="EK8" s="3142"/>
      <c r="EL8" s="3142"/>
      <c r="EM8" s="3142"/>
      <c r="EN8" s="3142"/>
      <c r="EO8" s="3142"/>
      <c r="EP8" s="3142"/>
      <c r="EQ8" s="3142"/>
      <c r="ER8" s="3142"/>
      <c r="ES8" s="3142"/>
      <c r="ET8" s="3142"/>
      <c r="EU8" s="3142"/>
      <c r="EV8" s="3142"/>
      <c r="EW8" s="3142"/>
      <c r="EX8" s="3142"/>
      <c r="EY8" s="3142"/>
      <c r="EZ8" s="3142"/>
      <c r="FA8" s="3142"/>
      <c r="FB8" s="3142"/>
      <c r="FC8" s="3142"/>
      <c r="FD8" s="3142"/>
      <c r="FE8" s="3142"/>
      <c r="FF8" s="3142"/>
      <c r="FG8" s="3142"/>
      <c r="FH8" s="3142"/>
      <c r="FI8" s="3142"/>
      <c r="FJ8" s="3142"/>
      <c r="FK8" s="3142"/>
      <c r="FL8" s="3142"/>
      <c r="FM8" s="3142"/>
      <c r="FN8" s="3142"/>
      <c r="FO8" s="3142"/>
      <c r="FP8" s="3142"/>
      <c r="FQ8" s="3142"/>
      <c r="FR8" s="3142"/>
      <c r="FS8" s="3142"/>
      <c r="FT8" s="3142"/>
      <c r="FU8" s="3142"/>
      <c r="FV8" s="3142"/>
      <c r="FW8" s="3142"/>
      <c r="FX8" s="3142"/>
      <c r="FY8" s="3142"/>
      <c r="FZ8" s="3142"/>
      <c r="GA8" s="3142"/>
      <c r="GB8" s="3142"/>
      <c r="GC8" s="3142"/>
      <c r="GD8" s="3142"/>
      <c r="GE8" s="3142"/>
      <c r="GF8" s="3142"/>
      <c r="GG8" s="3142"/>
      <c r="GH8" s="3142"/>
      <c r="GI8" s="3142"/>
      <c r="GJ8" s="3142"/>
      <c r="GK8" s="3142"/>
      <c r="GL8" s="3142"/>
      <c r="GM8" s="3142"/>
      <c r="GN8" s="3142"/>
      <c r="GO8" s="3142"/>
      <c r="GP8" s="3142"/>
      <c r="GQ8" s="3142"/>
      <c r="GR8" s="3142"/>
      <c r="GS8" s="3142"/>
      <c r="GT8" s="3142"/>
      <c r="GU8" s="3142"/>
      <c r="GV8" s="3142"/>
      <c r="GW8" s="3142"/>
      <c r="GX8" s="3142"/>
      <c r="GY8" s="3142"/>
      <c r="GZ8" s="3142"/>
      <c r="HA8" s="3142"/>
      <c r="HB8" s="3142"/>
      <c r="HC8" s="3142"/>
      <c r="HD8" s="3142"/>
      <c r="HE8" s="3142"/>
      <c r="HF8" s="3142"/>
      <c r="HG8" s="3142"/>
      <c r="HH8" s="3142"/>
      <c r="HI8" s="3142"/>
      <c r="HJ8" s="3142"/>
      <c r="HK8" s="3142"/>
      <c r="HL8" s="3142"/>
      <c r="HM8" s="3142"/>
      <c r="HN8" s="3142"/>
      <c r="HO8" s="3142"/>
      <c r="HP8" s="3142"/>
      <c r="HQ8" s="3142"/>
      <c r="HR8" s="3142"/>
      <c r="HS8" s="3142"/>
      <c r="HT8" s="3142"/>
      <c r="HU8" s="3142"/>
      <c r="HV8" s="3142"/>
      <c r="HW8" s="3142"/>
      <c r="HX8" s="3142"/>
      <c r="HY8" s="3142"/>
      <c r="HZ8" s="3142"/>
      <c r="IA8" s="3142"/>
      <c r="IB8" s="3142"/>
      <c r="IC8" s="3142"/>
      <c r="ID8" s="3142"/>
      <c r="IE8" s="3142"/>
      <c r="IF8" s="3142"/>
      <c r="IG8" s="3142"/>
      <c r="IH8" s="3142"/>
      <c r="II8" s="3142"/>
      <c r="IJ8" s="3142"/>
      <c r="IK8" s="3142"/>
      <c r="IL8" s="3142"/>
      <c r="IM8" s="3142"/>
      <c r="IN8" s="3142"/>
      <c r="IO8" s="3142"/>
      <c r="IP8" s="3142"/>
      <c r="IQ8" s="3142"/>
      <c r="IR8" s="3142"/>
      <c r="IS8" s="3142"/>
      <c r="IT8" s="3142"/>
      <c r="IU8" s="3142"/>
      <c r="IV8" s="3142"/>
      <c r="IW8" s="3142"/>
      <c r="IX8" s="3142"/>
      <c r="IY8" s="3142"/>
      <c r="IZ8" s="3142"/>
      <c r="JA8" s="3142"/>
      <c r="JB8" s="3142"/>
      <c r="JC8" s="3142"/>
      <c r="JD8" s="3142"/>
      <c r="JE8" s="3142"/>
      <c r="JF8" s="3142"/>
      <c r="JG8" s="3142"/>
      <c r="JH8" s="3142"/>
      <c r="JI8" s="3142"/>
      <c r="JJ8" s="3142"/>
      <c r="JK8" s="3142"/>
      <c r="JL8" s="3142"/>
      <c r="JM8" s="3142"/>
      <c r="JN8" s="3142"/>
      <c r="JO8" s="3142"/>
      <c r="JP8" s="3142"/>
      <c r="JQ8" s="3142"/>
      <c r="JR8" s="3142"/>
      <c r="JS8" s="3142"/>
      <c r="JT8" s="3142"/>
      <c r="JU8" s="3142"/>
      <c r="JV8" s="3142"/>
      <c r="JW8" s="3142"/>
      <c r="JX8" s="3142"/>
      <c r="JY8" s="3142"/>
      <c r="JZ8" s="3142"/>
      <c r="KA8" s="3142"/>
      <c r="KB8" s="3142"/>
      <c r="KC8" s="3142"/>
      <c r="KD8" s="3142"/>
      <c r="KE8" s="3142"/>
      <c r="KF8" s="3142"/>
      <c r="KG8" s="3142"/>
      <c r="KH8" s="3142"/>
      <c r="KI8" s="3142"/>
      <c r="KJ8" s="3142"/>
      <c r="KK8" s="3142"/>
      <c r="KL8" s="3142"/>
      <c r="KM8" s="3142"/>
      <c r="KN8" s="3142"/>
      <c r="KO8" s="3142"/>
      <c r="KP8" s="3142"/>
      <c r="KQ8" s="3142"/>
      <c r="KR8" s="3142"/>
      <c r="KS8" s="3142"/>
      <c r="KT8" s="3142"/>
      <c r="KU8" s="3142"/>
      <c r="KV8" s="3142"/>
      <c r="KW8" s="3142"/>
      <c r="KX8" s="3142"/>
      <c r="KY8" s="3142"/>
      <c r="KZ8" s="3142"/>
      <c r="LA8" s="3142"/>
      <c r="LB8" s="3142"/>
      <c r="LC8" s="3142"/>
      <c r="LD8" s="3142"/>
      <c r="LE8" s="3142"/>
      <c r="LF8" s="3142"/>
      <c r="LG8" s="3142"/>
      <c r="LH8" s="3142"/>
      <c r="LI8" s="3142"/>
      <c r="LJ8" s="3142"/>
      <c r="LK8" s="3142"/>
      <c r="LL8" s="3142"/>
      <c r="LM8" s="3142"/>
      <c r="LN8" s="3142"/>
      <c r="LO8" s="3142"/>
      <c r="LP8" s="3142"/>
      <c r="LQ8" s="3142"/>
      <c r="LR8" s="3142"/>
      <c r="LS8" s="3142"/>
      <c r="LT8" s="3142"/>
      <c r="LU8" s="3142"/>
      <c r="LV8" s="3142"/>
      <c r="LW8" s="3142"/>
      <c r="LX8" s="3142"/>
      <c r="LY8" s="3142"/>
      <c r="LZ8" s="3142"/>
      <c r="MA8" s="3142"/>
      <c r="MB8" s="3142"/>
      <c r="MC8" s="3142"/>
      <c r="MD8" s="3142"/>
      <c r="ME8" s="3142"/>
      <c r="MF8" s="3142"/>
      <c r="MG8" s="3142"/>
      <c r="MH8" s="3142"/>
      <c r="MI8" s="3142"/>
      <c r="MJ8" s="3142"/>
      <c r="MK8" s="3142"/>
      <c r="ML8" s="3142"/>
      <c r="MM8" s="3142"/>
      <c r="MN8" s="3142"/>
      <c r="MO8" s="3142"/>
      <c r="MP8" s="3142"/>
      <c r="MQ8" s="3142"/>
      <c r="MR8" s="3142"/>
      <c r="MS8" s="3142"/>
      <c r="MT8" s="3142"/>
      <c r="MU8" s="3142"/>
      <c r="MV8" s="3142"/>
      <c r="MW8" s="3142"/>
      <c r="MX8" s="3142"/>
      <c r="MY8" s="3142"/>
      <c r="MZ8" s="3142"/>
      <c r="NA8" s="3142"/>
      <c r="NB8" s="3142"/>
      <c r="NC8" s="3142"/>
      <c r="ND8" s="3142"/>
      <c r="NE8" s="3142"/>
      <c r="NF8" s="3142"/>
      <c r="NG8" s="3142"/>
      <c r="NH8" s="3142"/>
      <c r="NI8" s="3142"/>
      <c r="NJ8" s="3142"/>
      <c r="NK8" s="3142"/>
      <c r="NL8" s="3142"/>
      <c r="NM8" s="3142"/>
      <c r="NN8" s="3142"/>
      <c r="NO8" s="3142"/>
      <c r="NP8" s="3142"/>
      <c r="NQ8" s="3142"/>
      <c r="NR8" s="3142"/>
      <c r="NS8" s="3142"/>
      <c r="NT8" s="3142"/>
      <c r="NU8" s="3142"/>
      <c r="NV8" s="3142"/>
      <c r="NW8" s="3142"/>
      <c r="NX8" s="3142"/>
      <c r="NY8" s="3142"/>
      <c r="NZ8" s="3142"/>
      <c r="OA8" s="3142"/>
      <c r="OB8" s="3142"/>
      <c r="OC8" s="3142"/>
      <c r="OD8" s="3142"/>
      <c r="OE8" s="3142"/>
      <c r="OF8" s="3142"/>
      <c r="OG8" s="3142"/>
      <c r="OH8" s="3142"/>
      <c r="OI8" s="3142"/>
      <c r="OJ8" s="3142"/>
      <c r="OK8" s="3142"/>
      <c r="OL8" s="3142"/>
      <c r="OM8" s="3142"/>
      <c r="ON8" s="3142"/>
      <c r="OO8" s="3142"/>
      <c r="OP8" s="3142"/>
      <c r="OQ8" s="3142"/>
      <c r="OR8" s="3142"/>
      <c r="OS8" s="3142"/>
      <c r="OT8" s="3142"/>
      <c r="OU8" s="3142"/>
      <c r="OV8" s="3142"/>
      <c r="OW8" s="3142"/>
      <c r="OX8" s="3142"/>
      <c r="OY8" s="3142"/>
      <c r="OZ8" s="3142"/>
      <c r="PA8" s="3142"/>
      <c r="PB8" s="3142"/>
      <c r="PC8" s="3142"/>
      <c r="PD8" s="3142"/>
      <c r="PE8" s="3142"/>
      <c r="PF8" s="3142"/>
      <c r="PG8" s="3142"/>
      <c r="PH8" s="3142"/>
      <c r="PI8" s="3142"/>
      <c r="PJ8" s="3142"/>
      <c r="PK8" s="3142"/>
      <c r="PL8" s="3142"/>
      <c r="PM8" s="3142"/>
      <c r="PN8" s="3142"/>
      <c r="PO8" s="3142"/>
      <c r="PP8" s="3142"/>
      <c r="PQ8" s="3142"/>
      <c r="PR8" s="3142"/>
      <c r="PS8" s="3142"/>
      <c r="PT8" s="3142"/>
      <c r="PU8" s="3142"/>
      <c r="PV8" s="3142"/>
      <c r="PW8" s="3142"/>
      <c r="PX8" s="3142"/>
      <c r="PY8" s="3142"/>
      <c r="PZ8" s="3142"/>
      <c r="QA8" s="3142"/>
      <c r="QB8" s="3142"/>
      <c r="QC8" s="3142"/>
      <c r="QD8" s="3142"/>
      <c r="QE8" s="3142"/>
      <c r="QF8" s="3142"/>
      <c r="QG8" s="3142"/>
      <c r="QH8" s="3142"/>
      <c r="QI8" s="3142"/>
      <c r="QJ8" s="3142"/>
      <c r="QK8" s="3142"/>
      <c r="QL8" s="3142"/>
      <c r="QM8" s="3142"/>
      <c r="QN8" s="3142"/>
      <c r="QO8" s="3142"/>
      <c r="QP8" s="3142"/>
      <c r="QQ8" s="3142"/>
      <c r="QR8" s="3142"/>
      <c r="QS8" s="3142"/>
      <c r="QT8" s="3142"/>
      <c r="QU8" s="3142"/>
      <c r="QV8" s="3142"/>
      <c r="QW8" s="3142"/>
      <c r="QX8" s="3142"/>
      <c r="QY8" s="3142"/>
      <c r="QZ8" s="3142"/>
      <c r="RA8" s="3142"/>
      <c r="RB8" s="3142"/>
      <c r="RC8" s="3142"/>
      <c r="RD8" s="3142"/>
      <c r="RE8" s="3142"/>
      <c r="RF8" s="3142"/>
      <c r="RG8" s="3142"/>
      <c r="RH8" s="3142"/>
      <c r="RI8" s="3142"/>
      <c r="RJ8" s="3142"/>
      <c r="RK8" s="3142"/>
      <c r="RL8" s="3142"/>
      <c r="RM8" s="3142"/>
      <c r="RN8" s="3142"/>
      <c r="RO8" s="3142"/>
      <c r="RP8" s="3142"/>
      <c r="RQ8" s="3142"/>
      <c r="RR8" s="3142"/>
      <c r="RS8" s="3142"/>
      <c r="RT8" s="3142"/>
      <c r="RU8" s="3142"/>
      <c r="RV8" s="3142"/>
      <c r="RW8" s="3142"/>
      <c r="RX8" s="3142"/>
      <c r="RY8" s="3142"/>
      <c r="RZ8" s="3142"/>
      <c r="SA8" s="3142"/>
      <c r="SB8" s="3142"/>
      <c r="SC8" s="3142"/>
      <c r="SD8" s="3142"/>
      <c r="SE8" s="3142"/>
      <c r="SF8" s="3142"/>
      <c r="SG8" s="3142"/>
      <c r="SH8" s="3142"/>
      <c r="SI8" s="3142"/>
      <c r="SJ8" s="3142"/>
      <c r="SK8" s="3142"/>
      <c r="SL8" s="3142"/>
      <c r="SM8" s="3142"/>
      <c r="SN8" s="3142"/>
      <c r="SO8" s="3142"/>
      <c r="SP8" s="3142"/>
      <c r="SQ8" s="3142"/>
      <c r="SR8" s="3142"/>
      <c r="SS8" s="3142"/>
      <c r="ST8" s="3142"/>
      <c r="SU8" s="3142"/>
      <c r="SV8" s="3142"/>
      <c r="SW8" s="3142"/>
      <c r="SX8" s="3142"/>
      <c r="SY8" s="3142"/>
      <c r="SZ8" s="3142"/>
      <c r="TA8" s="3142"/>
      <c r="TB8" s="3142"/>
      <c r="TC8" s="3142"/>
      <c r="TD8" s="3142"/>
      <c r="TE8" s="3142"/>
      <c r="TF8" s="3142"/>
      <c r="TG8" s="3142"/>
      <c r="TH8" s="3142"/>
      <c r="TI8" s="3142"/>
      <c r="TJ8" s="3142"/>
      <c r="TK8" s="3142"/>
      <c r="TL8" s="3142"/>
      <c r="TM8" s="3142"/>
      <c r="TN8" s="3142"/>
      <c r="TO8" s="3142"/>
      <c r="TP8" s="3142"/>
      <c r="TQ8" s="3142"/>
      <c r="TR8" s="3142"/>
      <c r="TS8" s="3142"/>
      <c r="TT8" s="3142"/>
      <c r="TU8" s="3783"/>
      <c r="TV8" s="3783"/>
      <c r="TW8" s="3783"/>
      <c r="TX8" s="3783"/>
      <c r="TY8" s="3783"/>
      <c r="TZ8" s="3783"/>
      <c r="UA8" s="3783"/>
      <c r="UB8" s="3783"/>
      <c r="UC8" s="3783"/>
      <c r="UD8" s="3783"/>
      <c r="UE8" s="3783"/>
      <c r="UF8" s="3783"/>
      <c r="UG8" s="3783"/>
      <c r="UH8" s="3783"/>
      <c r="UI8" s="3783"/>
      <c r="UJ8" s="3783"/>
      <c r="UK8" s="3783"/>
      <c r="UL8" s="3783"/>
      <c r="UM8" s="3783"/>
      <c r="UN8" s="3783"/>
      <c r="UO8" s="3783"/>
      <c r="UP8" s="3142"/>
      <c r="UQ8" s="3142"/>
      <c r="UR8" s="3142"/>
      <c r="US8" s="3142"/>
      <c r="UT8" s="3142"/>
      <c r="UU8" s="3142"/>
      <c r="UV8" s="3142"/>
      <c r="UW8" s="3142"/>
      <c r="UX8" s="3142"/>
      <c r="UY8" s="3142"/>
      <c r="UZ8" s="3142"/>
      <c r="VA8" s="3142"/>
      <c r="VB8" s="3142"/>
      <c r="VC8" s="3142"/>
      <c r="VD8" s="3142"/>
      <c r="VE8" s="3142"/>
      <c r="VF8" s="3142"/>
      <c r="VG8" s="3142"/>
      <c r="VH8" s="3142"/>
      <c r="VI8" s="3142"/>
      <c r="VJ8" s="3142"/>
      <c r="VK8" s="3142"/>
      <c r="VL8" s="3142"/>
      <c r="VM8" s="3142"/>
      <c r="VN8" s="3142"/>
      <c r="VO8" s="3142"/>
      <c r="VP8" s="3142"/>
      <c r="VQ8" s="3142"/>
      <c r="VR8" s="3142"/>
      <c r="VS8" s="3142"/>
      <c r="VT8" s="3142"/>
      <c r="VU8" s="3142"/>
      <c r="VV8" s="3142"/>
      <c r="VW8" s="3142"/>
      <c r="VX8" s="3142"/>
      <c r="VY8" s="3142"/>
      <c r="VZ8" s="3142"/>
      <c r="WA8" s="3142"/>
      <c r="WB8" s="3142"/>
      <c r="WC8" s="3142"/>
      <c r="WD8" s="3142"/>
      <c r="WE8" s="3142"/>
      <c r="WF8" s="3142"/>
      <c r="WG8" s="3142"/>
      <c r="WH8" s="3142"/>
      <c r="WI8" s="3142"/>
      <c r="WJ8" s="3142"/>
      <c r="WK8" s="3142"/>
      <c r="WL8" s="3142"/>
      <c r="WM8" s="3142"/>
      <c r="WN8" s="3142"/>
      <c r="WO8" s="3142"/>
      <c r="WP8" s="3142"/>
      <c r="WQ8" s="3142"/>
      <c r="WR8" s="3142"/>
      <c r="WS8" s="3142"/>
      <c r="WT8" s="3142"/>
      <c r="WU8" s="3142"/>
      <c r="WV8" s="3142"/>
      <c r="WW8" s="3142"/>
      <c r="WX8" s="3142"/>
      <c r="WY8" s="3142"/>
      <c r="WZ8" s="3142"/>
      <c r="XA8" s="3142"/>
      <c r="XB8" s="3142"/>
      <c r="XC8" s="3142"/>
      <c r="XD8" s="3142"/>
      <c r="XE8" s="3142"/>
      <c r="XF8" s="3142"/>
      <c r="XG8" s="3142"/>
      <c r="XH8" s="3142"/>
      <c r="XI8" s="3142"/>
      <c r="XJ8" s="3142"/>
      <c r="XK8" s="3142"/>
      <c r="XL8" s="3142"/>
      <c r="XM8" s="3142"/>
      <c r="XN8" s="3142"/>
      <c r="XO8" s="3142"/>
      <c r="XP8" s="3142"/>
      <c r="XQ8" s="3142"/>
      <c r="XR8" s="3142"/>
      <c r="XS8" s="3142"/>
      <c r="XT8" s="3142"/>
      <c r="XU8" s="3142"/>
      <c r="XV8" s="3142"/>
      <c r="XW8" s="3142"/>
      <c r="XX8" s="3142"/>
      <c r="XY8" s="3142"/>
      <c r="XZ8" s="3142"/>
      <c r="YA8" s="3142"/>
      <c r="YB8" s="3142"/>
      <c r="YC8" s="3142"/>
      <c r="YD8" s="3142"/>
      <c r="YE8" s="3142"/>
      <c r="YF8" s="3142"/>
      <c r="YG8" s="3142"/>
      <c r="YH8" s="3142"/>
      <c r="YI8" s="3142"/>
      <c r="YJ8" s="3142"/>
      <c r="YK8" s="3142"/>
      <c r="YL8" s="3142"/>
      <c r="YM8" s="3142"/>
      <c r="YN8" s="3142"/>
      <c r="YO8" s="3142"/>
      <c r="YP8" s="3142"/>
      <c r="YQ8" s="3142"/>
      <c r="YR8" s="3142"/>
      <c r="YS8" s="3142"/>
      <c r="YT8" s="3142"/>
      <c r="YU8" s="3142"/>
      <c r="YV8" s="3142"/>
      <c r="YW8" s="3142"/>
      <c r="YX8" s="3142"/>
      <c r="YY8" s="3142"/>
      <c r="YZ8" s="3142"/>
      <c r="ZA8" s="3142"/>
      <c r="ZB8" s="3142"/>
      <c r="ZC8" s="3142"/>
      <c r="ZD8" s="3142"/>
      <c r="ZE8" s="3142"/>
      <c r="ZF8" s="3142"/>
      <c r="ZG8" s="3142"/>
      <c r="ZH8" s="3142"/>
      <c r="ZI8" s="3142"/>
      <c r="ZJ8" s="3142"/>
      <c r="ZK8" s="3142"/>
      <c r="ZL8" s="3142"/>
      <c r="ZM8" s="3142"/>
      <c r="ZN8" s="3142"/>
      <c r="ZO8" s="3142"/>
      <c r="ZP8" s="3142"/>
      <c r="ZQ8" s="3142"/>
      <c r="ZR8" s="3142"/>
      <c r="ZS8" s="3142"/>
      <c r="ZT8" s="3142"/>
      <c r="ZU8" s="3142"/>
      <c r="ZV8" s="3142"/>
      <c r="ZW8" s="3142"/>
      <c r="ZX8" s="3142"/>
      <c r="ZY8" s="3142"/>
      <c r="ZZ8" s="3142"/>
      <c r="AAA8" s="3142"/>
      <c r="AAB8" s="3142"/>
      <c r="AAC8" s="3142"/>
      <c r="AAD8" s="3142"/>
      <c r="AAE8" s="3142"/>
      <c r="AAF8" s="3142"/>
      <c r="AAG8" s="3142"/>
      <c r="AAH8" s="3142"/>
      <c r="AAI8" s="3142"/>
      <c r="AAJ8" s="3142"/>
      <c r="AAK8" s="3142"/>
      <c r="AAL8" s="3142"/>
      <c r="AAM8" s="3142"/>
      <c r="AAN8" s="3142"/>
      <c r="AAO8" s="3142"/>
      <c r="AAP8" s="3142"/>
      <c r="AAQ8" s="3142"/>
      <c r="AAR8" s="3142"/>
      <c r="AAS8" s="3142"/>
      <c r="AAT8" s="3142"/>
      <c r="AAU8" s="3142"/>
      <c r="AAV8" s="3142"/>
      <c r="AAW8" s="3142"/>
      <c r="AAX8" s="3142"/>
      <c r="AAY8" s="3142"/>
      <c r="AAZ8" s="3142"/>
      <c r="ABA8" s="3142"/>
      <c r="ABB8" s="3142"/>
      <c r="ABC8" s="3142"/>
      <c r="ABD8" s="3142"/>
      <c r="ABE8" s="3142"/>
      <c r="ABF8" s="3142"/>
      <c r="ABG8" s="3142"/>
      <c r="ABH8" s="3142"/>
      <c r="ABI8" s="3142"/>
      <c r="ABJ8" s="3142"/>
      <c r="ABK8" s="3142"/>
      <c r="ABL8" s="3142"/>
      <c r="ABM8" s="3142"/>
      <c r="ABN8" s="3142"/>
      <c r="ABO8" s="3142"/>
      <c r="ABP8" s="3142"/>
      <c r="ABQ8" s="3142"/>
      <c r="ABR8" s="3142"/>
      <c r="ABS8" s="3142"/>
      <c r="ABT8" s="3142"/>
      <c r="ABU8" s="3142"/>
      <c r="ABV8" s="3142"/>
      <c r="ABW8" s="3142"/>
      <c r="ABX8" s="3142"/>
      <c r="ABY8" s="3142"/>
      <c r="ABZ8" s="3142"/>
      <c r="ACA8" s="3142"/>
      <c r="ACB8" s="3142"/>
      <c r="ACC8" s="3142"/>
      <c r="ACD8" s="3142"/>
      <c r="ACE8" s="3142"/>
      <c r="ACF8" s="3142"/>
      <c r="ACG8" s="3142"/>
      <c r="ACH8" s="3142"/>
      <c r="ACI8" s="3142"/>
      <c r="ACJ8" s="3142"/>
      <c r="ACK8" s="3142"/>
      <c r="ACL8" s="3142"/>
      <c r="ACM8" s="3142"/>
      <c r="ACN8" s="3142"/>
      <c r="ACO8" s="3142"/>
      <c r="ACP8" s="3142"/>
      <c r="ACQ8" s="3142"/>
      <c r="ACR8" s="3142"/>
      <c r="ACS8" s="3142"/>
      <c r="ACT8" s="3142"/>
      <c r="ACU8" s="3142"/>
      <c r="ACV8" s="3142"/>
      <c r="ACW8" s="3142"/>
      <c r="ACX8" s="3142"/>
      <c r="ACY8" s="3142"/>
      <c r="ACZ8" s="3142"/>
      <c r="ADA8" s="3142"/>
      <c r="ADB8" s="3142"/>
      <c r="ADC8" s="3142"/>
      <c r="ADD8" s="3142"/>
      <c r="ADE8" s="3142"/>
      <c r="ADF8" s="3142"/>
      <c r="ADG8" s="3142"/>
      <c r="ADH8" s="3142"/>
      <c r="ADI8" s="3142"/>
      <c r="ADJ8" s="3142"/>
      <c r="ADK8" s="3142"/>
      <c r="ADL8" s="3142"/>
      <c r="ADM8" s="3142"/>
      <c r="ADN8" s="3142"/>
      <c r="ADO8" s="3142"/>
      <c r="ADP8" s="3142"/>
      <c r="ADQ8" s="3142"/>
      <c r="ADR8" s="3142"/>
      <c r="ADS8" s="3142"/>
      <c r="ADT8" s="3142"/>
      <c r="ADU8" s="3142"/>
      <c r="ADV8" s="3142"/>
      <c r="ADW8" s="3142"/>
      <c r="ADX8" s="3142"/>
      <c r="ADY8" s="3142"/>
      <c r="ADZ8" s="3142"/>
      <c r="AEA8" s="3142"/>
      <c r="AEB8" s="3142"/>
      <c r="AEC8" s="3142"/>
      <c r="AED8" s="3142"/>
      <c r="AEE8" s="3142"/>
      <c r="AEF8" s="3142"/>
      <c r="AEG8" s="3142"/>
      <c r="AEH8" s="3142"/>
      <c r="AEI8" s="3142"/>
      <c r="AEJ8" s="3142"/>
      <c r="AEK8" s="3142"/>
      <c r="AEL8" s="3142"/>
      <c r="AEM8" s="3142"/>
      <c r="AEN8" s="3142"/>
      <c r="AEO8" s="3142"/>
      <c r="AEP8" s="3142"/>
      <c r="AEQ8" s="3142"/>
      <c r="AER8" s="3142"/>
      <c r="AES8" s="3142"/>
      <c r="AET8" s="3142"/>
      <c r="AEU8" s="3142"/>
      <c r="AEV8" s="3142"/>
      <c r="AEW8" s="3142"/>
      <c r="AEX8" s="3142"/>
      <c r="AEY8" s="3142"/>
      <c r="AEZ8" s="3142"/>
      <c r="AFA8" s="3142"/>
      <c r="AFB8" s="3142"/>
      <c r="AFC8" s="3142"/>
      <c r="AFD8" s="3142"/>
      <c r="AFE8" s="3142"/>
      <c r="AFF8" s="3142"/>
      <c r="AFG8" s="3142"/>
      <c r="AFH8" s="3142"/>
      <c r="AFI8" s="3142"/>
      <c r="AFJ8" s="3142"/>
      <c r="AFK8" s="3142"/>
      <c r="AFL8" s="3142"/>
      <c r="AFM8" s="3142"/>
      <c r="AFN8" s="3142"/>
      <c r="AFO8" s="3142"/>
      <c r="AFP8" s="3142"/>
      <c r="AFQ8" s="3142"/>
      <c r="AFR8" s="3142"/>
      <c r="AFS8" s="3142"/>
      <c r="AFT8" s="3142"/>
      <c r="AFU8" s="3142"/>
      <c r="AFV8" s="3142"/>
      <c r="AFW8" s="3142"/>
      <c r="AFX8" s="3142"/>
      <c r="AFY8" s="3142"/>
      <c r="AFZ8" s="3142"/>
      <c r="AGA8" s="3142"/>
      <c r="AGB8" s="3142"/>
      <c r="AGC8" s="3142"/>
      <c r="AGD8" s="3142"/>
      <c r="AGE8" s="3142"/>
      <c r="AGF8" s="3142"/>
      <c r="AGG8" s="3142"/>
      <c r="AGH8" s="3142"/>
      <c r="AGI8" s="3142"/>
      <c r="AGJ8" s="3142"/>
      <c r="AGK8" s="3142"/>
      <c r="AGL8" s="3142"/>
      <c r="AGM8" s="3142"/>
      <c r="AGN8" s="3142"/>
      <c r="AGO8" s="3142"/>
      <c r="AGP8" s="3142"/>
      <c r="AGQ8" s="3142"/>
      <c r="AGR8" s="3142"/>
      <c r="AGS8" s="3142"/>
      <c r="AGT8" s="3142"/>
      <c r="AGU8" s="3142"/>
      <c r="AGV8" s="3142"/>
      <c r="AGW8" s="3142"/>
      <c r="AGX8" s="3142"/>
      <c r="AGY8" s="3142"/>
      <c r="AGZ8" s="3142"/>
      <c r="AHA8" s="3142"/>
      <c r="AHB8" s="3142"/>
      <c r="AHC8" s="3142"/>
      <c r="AHD8" s="3142"/>
      <c r="AHE8" s="3142"/>
      <c r="AHF8" s="3142"/>
      <c r="AHG8" s="3142"/>
      <c r="AHH8" s="3142"/>
      <c r="AHI8" s="3142"/>
      <c r="AHJ8" s="3142"/>
      <c r="AHK8" s="3142"/>
      <c r="AHL8" s="3142"/>
      <c r="AHM8" s="3142"/>
      <c r="AHN8" s="3142"/>
      <c r="AHO8" s="3142"/>
      <c r="AHP8" s="3142"/>
      <c r="AHQ8" s="3142"/>
      <c r="AHR8" s="3142"/>
      <c r="AHS8" s="3142"/>
      <c r="AHT8" s="3142"/>
      <c r="AHU8" s="3142"/>
      <c r="AHV8" s="3142"/>
      <c r="AHW8" s="3142"/>
      <c r="AHX8" s="3142"/>
      <c r="AHY8" s="3142"/>
      <c r="AHZ8" s="3142"/>
      <c r="AIA8" s="3142"/>
      <c r="AIB8" s="3142"/>
      <c r="AIC8" s="3142"/>
      <c r="AID8" s="3142"/>
      <c r="AIE8" s="3142"/>
      <c r="AIF8" s="3142"/>
      <c r="AIG8" s="3142"/>
      <c r="AIH8" s="3142"/>
      <c r="AII8" s="3142"/>
      <c r="AIJ8" s="3142"/>
      <c r="AIK8" s="3142"/>
      <c r="AIL8" s="3142"/>
      <c r="AIM8" s="3142"/>
      <c r="AIN8" s="3142"/>
      <c r="AIO8" s="3142"/>
      <c r="AIP8" s="3142"/>
      <c r="AIQ8" s="3142"/>
      <c r="AIR8" s="3142"/>
      <c r="AIS8" s="3142"/>
      <c r="AIT8" s="3142"/>
      <c r="AIU8" s="3142"/>
      <c r="AIV8" s="3142"/>
      <c r="AIW8" s="3142"/>
      <c r="AIX8" s="3142"/>
      <c r="AIY8" s="3142"/>
      <c r="AIZ8" s="3142"/>
      <c r="AJA8" s="3142"/>
      <c r="AJB8" s="3142"/>
      <c r="AJC8" s="3142"/>
      <c r="AJD8" s="3142"/>
      <c r="AJE8" s="3142"/>
      <c r="AJF8" s="3142"/>
      <c r="AJG8" s="3142"/>
      <c r="AJH8" s="3142"/>
      <c r="AJI8" s="3142"/>
      <c r="AJJ8" s="3142"/>
      <c r="AJK8" s="3142"/>
      <c r="AJL8" s="3142"/>
      <c r="AJM8" s="3142"/>
      <c r="AJN8" s="3142"/>
      <c r="AJO8" s="3142"/>
      <c r="AJP8" s="3142"/>
      <c r="AJQ8" s="3142"/>
      <c r="AJR8" s="3142"/>
      <c r="AJS8" s="3142"/>
      <c r="AJT8" s="3142"/>
      <c r="AJU8" s="3142"/>
      <c r="AJV8" s="3142"/>
      <c r="AJW8" s="3142"/>
      <c r="AJX8" s="3142"/>
      <c r="AJY8" s="3142"/>
      <c r="AJZ8" s="3142"/>
      <c r="AKA8" s="3142"/>
      <c r="AKB8" s="3142"/>
      <c r="AKC8" s="3142"/>
      <c r="AKD8" s="3142"/>
      <c r="AKE8" s="3142"/>
      <c r="AKF8" s="3142"/>
      <c r="AKG8" s="3142"/>
      <c r="AKH8" s="3142"/>
      <c r="AKI8" s="3142"/>
      <c r="AKJ8" s="3142"/>
      <c r="AKK8" s="3142"/>
      <c r="AKL8" s="3142"/>
      <c r="AKM8" s="3142"/>
      <c r="AKN8" s="3142"/>
      <c r="AKO8" s="3142"/>
      <c r="AKP8" s="3142"/>
      <c r="AKQ8" s="3142"/>
      <c r="AKR8" s="3142"/>
      <c r="AKS8" s="3142"/>
      <c r="AKT8" s="3142"/>
      <c r="AKU8" s="3142"/>
      <c r="AKV8" s="3142"/>
      <c r="AKW8" s="3142"/>
      <c r="AKX8" s="3142"/>
      <c r="AKY8" s="3142"/>
      <c r="AKZ8" s="3142"/>
      <c r="ALA8" s="3142"/>
      <c r="ALB8" s="3142"/>
      <c r="ALC8" s="3142"/>
      <c r="ALD8" s="3142"/>
      <c r="ALE8" s="3142"/>
      <c r="ALF8" s="3142"/>
      <c r="ALG8" s="3142"/>
      <c r="ALH8" s="3142"/>
      <c r="ALI8" s="3142"/>
      <c r="ALJ8" s="3142"/>
      <c r="ALK8" s="3142"/>
      <c r="ALL8" s="3142"/>
      <c r="ALM8" s="3142"/>
      <c r="ALN8" s="3142"/>
      <c r="ALO8" s="3142"/>
      <c r="ALP8" s="3142"/>
      <c r="ALQ8" s="3142"/>
      <c r="ALR8" s="3142"/>
      <c r="ALS8" s="3142"/>
      <c r="ALT8" s="3142"/>
      <c r="ALU8" s="3142"/>
      <c r="ALV8" s="3142"/>
      <c r="ALW8" s="3142"/>
      <c r="ALX8" s="3142"/>
      <c r="ALY8" s="3142"/>
      <c r="ALZ8" s="3142"/>
      <c r="AMA8" s="3142"/>
      <c r="AMB8" s="3142"/>
      <c r="AMC8" s="3142"/>
      <c r="AMD8" s="3142"/>
      <c r="AME8" s="3142"/>
      <c r="AMF8" s="3142"/>
      <c r="AMG8" s="3142"/>
      <c r="AMH8" s="3142"/>
      <c r="AMI8" s="3142"/>
      <c r="AMJ8" s="3142"/>
      <c r="AMK8" s="3142"/>
      <c r="AML8" s="3142"/>
      <c r="AMM8" s="3142"/>
      <c r="AMN8" s="3142"/>
      <c r="AMO8" s="3142"/>
      <c r="AMP8" s="3142"/>
      <c r="AMQ8" s="3142"/>
      <c r="AMR8" s="3142"/>
      <c r="AMS8" s="3142"/>
      <c r="AMT8" s="3142"/>
      <c r="AMU8" s="3142"/>
      <c r="AMV8" s="3142"/>
      <c r="AMW8" s="3142"/>
      <c r="AMX8" s="3142"/>
      <c r="AMY8" s="3142"/>
      <c r="AMZ8" s="3142"/>
      <c r="ANA8" s="3142"/>
      <c r="ANB8" s="3142"/>
      <c r="ANC8" s="3142"/>
      <c r="AND8" s="3142"/>
      <c r="ANE8" s="3142"/>
      <c r="ANF8" s="3142"/>
      <c r="ANG8" s="3142"/>
      <c r="ANH8" s="3142"/>
      <c r="ANI8" s="3142"/>
      <c r="ANJ8" s="3142"/>
      <c r="ANK8" s="3142"/>
      <c r="ANL8" s="3142"/>
      <c r="ANM8" s="3142"/>
      <c r="ANN8" s="3142"/>
      <c r="ANO8" s="3142"/>
      <c r="ANP8" s="3142"/>
      <c r="ANQ8" s="3142"/>
      <c r="ANR8" s="3142"/>
      <c r="ANS8" s="3142"/>
      <c r="ANT8" s="3142"/>
      <c r="ANU8" s="3142"/>
      <c r="ANV8" s="3142"/>
      <c r="ANW8" s="3142"/>
      <c r="ANX8" s="3142"/>
      <c r="ANY8" s="3142"/>
      <c r="ANZ8" s="3142"/>
      <c r="AOA8" s="3142"/>
      <c r="AOB8" s="3142"/>
      <c r="AOC8" s="3142"/>
      <c r="AOD8" s="3142"/>
      <c r="AOE8" s="3142"/>
      <c r="AOF8" s="3142"/>
      <c r="AOG8" s="3142"/>
      <c r="AOH8" s="3142"/>
      <c r="AOI8" s="3142"/>
      <c r="AOJ8" s="3142"/>
      <c r="AOK8" s="3142"/>
      <c r="AOL8" s="3142"/>
      <c r="AOM8" s="3142"/>
      <c r="AON8" s="3142"/>
      <c r="AOO8" s="3142"/>
      <c r="AOP8" s="3142"/>
      <c r="AOQ8" s="3142"/>
      <c r="AOR8" s="3142"/>
      <c r="AOS8" s="3142"/>
      <c r="AOT8" s="3142"/>
      <c r="AOU8" s="3142"/>
      <c r="AOV8" s="3142"/>
      <c r="AOW8" s="3142"/>
      <c r="AOX8" s="3142"/>
      <c r="AOY8" s="3142"/>
      <c r="AOZ8" s="3142"/>
      <c r="APA8" s="3142"/>
      <c r="APB8" s="3142"/>
      <c r="APC8" s="3142"/>
      <c r="APD8" s="3142"/>
      <c r="APE8" s="3142"/>
      <c r="APF8" s="3142"/>
      <c r="APG8" s="3142"/>
      <c r="APH8" s="3142"/>
      <c r="API8" s="3142"/>
      <c r="APJ8" s="3142"/>
      <c r="APK8" s="3142"/>
      <c r="APL8" s="3142"/>
      <c r="APM8" s="3142"/>
      <c r="APN8" s="3142"/>
      <c r="APO8" s="3142"/>
      <c r="APP8" s="3142"/>
      <c r="APQ8" s="3142"/>
      <c r="APR8" s="3142"/>
      <c r="APS8" s="3142"/>
      <c r="APT8" s="3142"/>
      <c r="APU8" s="3142"/>
      <c r="APV8" s="3142"/>
      <c r="APW8" s="3142"/>
      <c r="APX8" s="3142"/>
      <c r="APY8" s="3142"/>
      <c r="APZ8" s="3142"/>
      <c r="AQA8" s="3142"/>
      <c r="AQB8" s="3142"/>
      <c r="AQC8" s="3142"/>
      <c r="AQD8" s="3142"/>
      <c r="AQE8" s="3142"/>
      <c r="AQF8" s="3142"/>
      <c r="AQG8" s="3142"/>
      <c r="AQH8" s="3142"/>
      <c r="AQI8" s="3142"/>
      <c r="AQJ8" s="3142"/>
      <c r="AQK8" s="3142"/>
      <c r="AQL8" s="3142"/>
      <c r="AQM8" s="3142"/>
      <c r="AQN8" s="3142"/>
      <c r="AQO8" s="3142"/>
      <c r="AQP8" s="3142"/>
      <c r="AQQ8" s="3142"/>
      <c r="AQR8" s="3142"/>
      <c r="AQS8" s="3142"/>
      <c r="AQT8" s="3142"/>
      <c r="AQU8" s="3142"/>
      <c r="AQV8" s="3142"/>
      <c r="AQW8" s="3142"/>
      <c r="AQX8" s="3142"/>
      <c r="AQY8" s="3142"/>
      <c r="AQZ8" s="3142"/>
      <c r="ARA8" s="3142"/>
      <c r="ARB8" s="3142"/>
      <c r="ARC8" s="3142"/>
      <c r="ARD8" s="3142"/>
      <c r="ARE8" s="3142"/>
      <c r="ARF8" s="3142"/>
      <c r="ARG8" s="3142"/>
      <c r="ARH8" s="3142"/>
      <c r="ARI8" s="3142"/>
      <c r="ARJ8" s="3142"/>
      <c r="ARK8" s="3142"/>
      <c r="ARL8" s="3142"/>
      <c r="ARM8" s="3142"/>
      <c r="ARN8" s="3142"/>
      <c r="ARO8" s="3142"/>
      <c r="ARP8" s="3142"/>
      <c r="ARQ8" s="3142"/>
      <c r="ARR8" s="3142"/>
      <c r="ARS8" s="3142"/>
      <c r="ART8" s="3142"/>
      <c r="ARU8" s="3142"/>
      <c r="ARV8" s="3142"/>
      <c r="ARW8" s="3142"/>
      <c r="ARX8" s="3142"/>
      <c r="ARY8" s="3142"/>
      <c r="ARZ8" s="3142"/>
      <c r="ASA8" s="3142"/>
      <c r="ASB8" s="3142"/>
      <c r="ASC8" s="3142"/>
      <c r="ASD8" s="3142"/>
      <c r="ASE8" s="3142"/>
      <c r="ASF8" s="3142"/>
      <c r="ASG8" s="3142"/>
      <c r="ASH8" s="3142"/>
      <c r="ASI8" s="3142"/>
      <c r="ASJ8" s="3142"/>
      <c r="ASK8" s="3142"/>
      <c r="ASL8" s="3142"/>
      <c r="ASM8" s="3142"/>
      <c r="ASN8" s="3142"/>
      <c r="ASO8" s="3142"/>
      <c r="ASP8" s="3142"/>
      <c r="ASQ8" s="3142"/>
      <c r="ASR8" s="3142"/>
      <c r="ASS8" s="3142"/>
      <c r="AST8" s="3142"/>
      <c r="ASU8" s="3142"/>
      <c r="ASV8" s="3142"/>
      <c r="ASW8" s="3142"/>
      <c r="ASX8" s="3142"/>
      <c r="ASY8" s="3142"/>
      <c r="ASZ8" s="3142"/>
      <c r="ATA8" s="3142"/>
      <c r="ATB8" s="3142"/>
      <c r="ATC8" s="3142"/>
      <c r="ATD8" s="3142"/>
      <c r="ATE8" s="3142"/>
      <c r="ATF8" s="3142"/>
      <c r="ATG8" s="3142"/>
      <c r="ATH8" s="3142"/>
      <c r="ATI8" s="3142"/>
      <c r="ATJ8" s="3142"/>
      <c r="ATK8" s="3142"/>
      <c r="ATL8" s="3142"/>
      <c r="ATM8" s="3142"/>
      <c r="ATN8" s="3142"/>
      <c r="ATO8" s="3142"/>
      <c r="ATP8" s="3142"/>
      <c r="ATQ8" s="3142"/>
      <c r="ATR8" s="3142"/>
      <c r="ATS8" s="3142"/>
      <c r="ATT8" s="3142"/>
      <c r="ATU8" s="3142"/>
      <c r="ATV8" s="3142"/>
      <c r="ATW8" s="3142"/>
      <c r="ATX8" s="3142"/>
      <c r="ATY8" s="3142"/>
      <c r="ATZ8" s="3142"/>
      <c r="AUA8" s="3142"/>
      <c r="AUB8" s="3142"/>
      <c r="AUC8" s="3142"/>
      <c r="AUD8" s="3142"/>
      <c r="AUE8" s="3142"/>
      <c r="AUF8" s="3142"/>
      <c r="AUG8" s="3142"/>
      <c r="AUH8" s="3142"/>
      <c r="AUI8" s="3142"/>
      <c r="AUJ8" s="3142"/>
      <c r="AUK8" s="3142"/>
      <c r="AUL8" s="3142"/>
      <c r="AUM8" s="3142"/>
      <c r="AUN8" s="3142"/>
      <c r="AUO8" s="3142"/>
      <c r="AUP8" s="3142"/>
      <c r="AUQ8" s="3142"/>
      <c r="AUR8" s="3142"/>
      <c r="AUS8" s="3142"/>
      <c r="AUT8" s="3142"/>
      <c r="AUU8" s="3142"/>
      <c r="AUV8" s="3142"/>
      <c r="AUW8" s="3142"/>
      <c r="AUX8" s="3142"/>
      <c r="AUY8" s="3142"/>
      <c r="AUZ8" s="3142"/>
      <c r="AVA8" s="3142"/>
      <c r="AVB8" s="3142"/>
      <c r="AVC8" s="3142"/>
      <c r="AVD8" s="3142"/>
      <c r="AVE8" s="3142"/>
      <c r="AVF8" s="3142"/>
      <c r="AVG8" s="3142"/>
      <c r="AVH8" s="3142"/>
      <c r="AVI8" s="3142"/>
      <c r="AVJ8" s="3142"/>
      <c r="AVK8" s="3142"/>
      <c r="AVL8" s="3142"/>
      <c r="AVM8" s="3142"/>
      <c r="AVN8" s="3142"/>
      <c r="AVO8" s="3142"/>
      <c r="AVP8" s="3142"/>
      <c r="AVQ8" s="3142"/>
      <c r="AVR8" s="3142"/>
      <c r="AVS8" s="3142"/>
      <c r="AVT8" s="3142"/>
      <c r="AVU8" s="3142"/>
      <c r="AVV8" s="3142"/>
      <c r="AVW8" s="3142"/>
      <c r="AVX8" s="3142"/>
      <c r="AVY8" s="3142"/>
      <c r="AVZ8" s="3142"/>
      <c r="AWA8" s="3142"/>
      <c r="AWB8" s="3142"/>
      <c r="AWC8" s="3142"/>
      <c r="AWD8" s="3142"/>
      <c r="AWE8" s="3142"/>
      <c r="AWF8" s="3142"/>
      <c r="AWG8" s="3142"/>
      <c r="AWH8" s="3142"/>
      <c r="AWI8" s="3142"/>
      <c r="AWJ8" s="3142"/>
      <c r="AWK8" s="3142"/>
      <c r="AWL8" s="3142"/>
      <c r="AWM8" s="3142"/>
      <c r="AWN8" s="3142"/>
      <c r="AWO8" s="3142"/>
      <c r="AWP8" s="3142"/>
      <c r="AWQ8" s="3142"/>
      <c r="AWR8" s="3142"/>
      <c r="AWS8" s="3142"/>
      <c r="AWT8" s="3142"/>
      <c r="AWU8" s="3142"/>
      <c r="AWV8" s="3142"/>
      <c r="AWW8" s="3142"/>
      <c r="AWX8" s="3142"/>
      <c r="AWY8" s="3142"/>
      <c r="AWZ8" s="3142"/>
      <c r="AXA8" s="3142"/>
      <c r="AXB8" s="3142"/>
      <c r="AXC8" s="3142"/>
      <c r="AXD8" s="3142"/>
      <c r="AXE8" s="3142"/>
      <c r="AXF8" s="3142"/>
      <c r="AXG8" s="3142"/>
      <c r="AXH8" s="3142"/>
      <c r="AXI8" s="3142"/>
      <c r="AXJ8" s="3142"/>
      <c r="AXK8" s="3142"/>
      <c r="AXL8" s="3142"/>
      <c r="AXM8" s="3142"/>
      <c r="AXN8" s="3142"/>
      <c r="AXO8" s="3142"/>
      <c r="AXP8" s="3142"/>
      <c r="AXQ8" s="3142"/>
      <c r="AXR8" s="3142"/>
      <c r="AXS8" s="3142"/>
      <c r="AXT8" s="3142"/>
      <c r="AXU8" s="3142"/>
      <c r="AXV8" s="3142"/>
      <c r="AXW8" s="3142"/>
      <c r="AXX8" s="3142"/>
      <c r="AXY8" s="3142"/>
      <c r="AXZ8" s="3142"/>
      <c r="AYA8" s="3142"/>
      <c r="AYB8" s="3142"/>
      <c r="AYC8" s="3142"/>
      <c r="AYD8" s="3142"/>
      <c r="AYE8" s="3142"/>
      <c r="AYF8" s="3142"/>
      <c r="AYG8" s="3142"/>
      <c r="AYH8" s="3142"/>
      <c r="AYI8" s="3142"/>
      <c r="AYJ8" s="3142"/>
      <c r="AYK8" s="3142"/>
      <c r="AYL8" s="3142"/>
      <c r="AYM8" s="3142"/>
      <c r="AYN8" s="3142"/>
      <c r="AYO8" s="3142"/>
      <c r="AYP8" s="3142"/>
      <c r="AYQ8" s="3142"/>
      <c r="AYR8" s="3142"/>
      <c r="AYS8" s="3142"/>
      <c r="AYT8" s="3142"/>
      <c r="AYU8" s="3142"/>
      <c r="AYV8" s="3142"/>
      <c r="AYW8" s="3142"/>
      <c r="AYX8" s="3142"/>
      <c r="AYY8" s="3142"/>
      <c r="AYZ8" s="3142"/>
      <c r="AZA8" s="3142"/>
      <c r="AZB8" s="3142"/>
      <c r="AZC8" s="3142"/>
      <c r="AZD8" s="3142"/>
      <c r="AZE8" s="3142"/>
      <c r="AZF8" s="3142"/>
      <c r="AZG8" s="3142"/>
      <c r="AZH8" s="3142"/>
      <c r="AZI8" s="3142"/>
      <c r="AZJ8" s="3142"/>
      <c r="AZK8" s="3142"/>
      <c r="AZL8" s="3142"/>
      <c r="AZM8" s="3142"/>
      <c r="AZN8" s="3142"/>
      <c r="AZO8" s="3142"/>
      <c r="AZP8" s="3142"/>
      <c r="AZQ8" s="3142"/>
      <c r="AZR8" s="3142"/>
      <c r="AZS8" s="3142"/>
      <c r="AZT8" s="3142"/>
      <c r="AZU8" s="3142"/>
      <c r="AZV8" s="3142"/>
      <c r="AZW8" s="3142"/>
      <c r="AZX8" s="3142"/>
      <c r="AZY8" s="3142"/>
      <c r="AZZ8" s="3142"/>
      <c r="BAA8" s="3142"/>
      <c r="BAB8" s="3142"/>
      <c r="BAC8" s="3142"/>
      <c r="BAD8" s="3142"/>
      <c r="BAE8" s="3142"/>
      <c r="BAF8" s="3142"/>
      <c r="BAG8" s="3142"/>
      <c r="BAH8" s="3142"/>
      <c r="BAI8" s="3142"/>
      <c r="BAJ8" s="3142"/>
      <c r="BAK8" s="3142"/>
      <c r="BAL8" s="3142"/>
      <c r="BAM8" s="3142"/>
      <c r="BAN8" s="3142"/>
      <c r="BAO8" s="3142"/>
      <c r="BAP8" s="3142"/>
      <c r="BAQ8" s="3142"/>
      <c r="BAR8" s="3142"/>
      <c r="BAS8" s="3142"/>
      <c r="BAT8" s="3142"/>
      <c r="BAU8" s="3142"/>
      <c r="BAV8" s="3142"/>
      <c r="BAW8" s="3142"/>
      <c r="BAX8" s="3142"/>
      <c r="BAY8" s="3142"/>
      <c r="BAZ8" s="3142"/>
      <c r="BBA8" s="3142"/>
      <c r="BBB8" s="3142"/>
      <c r="BBC8" s="3142"/>
      <c r="BBD8" s="3142"/>
      <c r="BBE8" s="3142"/>
      <c r="BBF8" s="3142"/>
      <c r="BBG8" s="3142"/>
      <c r="BBH8" s="3142"/>
      <c r="BBI8" s="3142"/>
      <c r="BBJ8" s="3142"/>
      <c r="BBK8" s="3142"/>
      <c r="BBL8" s="3142"/>
      <c r="BBM8" s="3142"/>
      <c r="BBN8" s="3142"/>
      <c r="BBO8" s="3142"/>
      <c r="BBP8" s="3142"/>
      <c r="BBQ8" s="3142"/>
      <c r="BBR8" s="3142"/>
      <c r="BBS8" s="3142"/>
      <c r="BBT8" s="3142"/>
      <c r="BBU8" s="3142"/>
      <c r="BBV8" s="3142"/>
      <c r="BBW8" s="3142"/>
      <c r="BBX8" s="3142"/>
      <c r="BBY8" s="3142"/>
      <c r="BBZ8" s="3142"/>
      <c r="BCA8" s="3142"/>
      <c r="BCB8" s="3142"/>
      <c r="BCC8" s="3142"/>
      <c r="BCD8" s="3142"/>
      <c r="BCE8" s="3142"/>
      <c r="BCF8" s="3142"/>
      <c r="BCG8" s="3142"/>
      <c r="BCH8" s="3142"/>
      <c r="BCI8" s="3142"/>
      <c r="BCJ8" s="3142"/>
      <c r="BCK8" s="3142"/>
      <c r="BCL8" s="3142"/>
      <c r="BCM8" s="3142"/>
      <c r="BCN8" s="3142"/>
      <c r="BCO8" s="3142"/>
      <c r="BCP8" s="3142"/>
      <c r="BCQ8" s="3142"/>
      <c r="BCR8" s="3142"/>
      <c r="BCS8" s="3142"/>
      <c r="BCT8" s="3142"/>
      <c r="BCU8" s="3142"/>
      <c r="BCV8" s="3142"/>
      <c r="BCW8" s="3142"/>
      <c r="BCX8" s="3142"/>
      <c r="BCY8" s="3142"/>
      <c r="BCZ8" s="3142"/>
      <c r="BDA8" s="3142"/>
      <c r="BDB8" s="3142"/>
      <c r="BDC8" s="3142"/>
      <c r="BDD8" s="3142"/>
      <c r="BDE8" s="3142"/>
      <c r="BDF8" s="3142"/>
      <c r="BDG8" s="3142"/>
      <c r="BDH8" s="3142"/>
      <c r="BDI8" s="3142"/>
      <c r="BDJ8" s="3142"/>
      <c r="BDK8" s="3142"/>
      <c r="BDL8" s="3142"/>
      <c r="BDM8" s="3142"/>
      <c r="BDN8" s="3142"/>
      <c r="BDO8" s="3142"/>
      <c r="BDP8" s="3142"/>
      <c r="BDQ8" s="3142"/>
      <c r="BDR8" s="3142"/>
      <c r="BDS8" s="3142"/>
      <c r="BDT8" s="3142"/>
      <c r="BDU8" s="3142"/>
      <c r="BDV8" s="3142"/>
      <c r="BDW8" s="3142"/>
      <c r="BDX8" s="3142"/>
      <c r="BDY8" s="3142"/>
      <c r="BDZ8" s="3142"/>
      <c r="BEA8" s="3142"/>
      <c r="BEB8" s="3142"/>
      <c r="BEC8" s="3142"/>
      <c r="BED8" s="3142"/>
      <c r="BEE8" s="3142"/>
      <c r="BEF8" s="3142"/>
      <c r="BEG8" s="3142"/>
      <c r="BEH8" s="3142"/>
      <c r="BEI8" s="3142"/>
      <c r="BEJ8" s="3142"/>
      <c r="BEK8" s="3142"/>
      <c r="BEL8" s="3142"/>
      <c r="BEM8" s="3142"/>
      <c r="BEN8" s="3142"/>
      <c r="BEO8" s="3142"/>
      <c r="BEP8" s="3142"/>
      <c r="BEQ8" s="3142"/>
      <c r="BER8" s="3142"/>
      <c r="BES8" s="3142"/>
      <c r="BET8" s="3142"/>
      <c r="BEU8" s="3142"/>
      <c r="BEV8" s="3142"/>
      <c r="BEW8" s="3142"/>
      <c r="BEX8" s="3142"/>
      <c r="BEY8" s="3142"/>
      <c r="BEZ8" s="3142"/>
      <c r="BFA8" s="3142"/>
      <c r="BFB8" s="3142"/>
      <c r="BFC8" s="3142"/>
      <c r="BFD8" s="3142"/>
      <c r="BFE8" s="3142"/>
      <c r="BFF8" s="3142"/>
      <c r="BFG8" s="3142"/>
      <c r="BFH8" s="3142"/>
      <c r="BFI8" s="3142"/>
      <c r="BFJ8" s="3142"/>
      <c r="BFK8" s="3142"/>
      <c r="BFL8" s="3142"/>
      <c r="BFM8" s="3142"/>
      <c r="BFN8" s="3142"/>
      <c r="BFO8" s="3142"/>
      <c r="BFP8" s="3142"/>
      <c r="BFQ8" s="3142"/>
      <c r="BFR8" s="3142"/>
      <c r="BFS8" s="3142"/>
      <c r="BFT8" s="3142"/>
      <c r="BFU8" s="3142"/>
      <c r="BFV8" s="3142"/>
      <c r="BFW8" s="3142"/>
      <c r="BFX8" s="3142"/>
      <c r="BFY8" s="3142"/>
      <c r="BFZ8" s="3142"/>
      <c r="BGA8" s="3142"/>
      <c r="BGB8" s="3142"/>
      <c r="BGC8" s="3142"/>
      <c r="BGD8" s="3142"/>
      <c r="BGE8" s="3142"/>
      <c r="BGF8" s="3142"/>
      <c r="BGG8" s="3142"/>
      <c r="BGH8" s="3142"/>
      <c r="BGI8" s="3142"/>
      <c r="BGJ8" s="3142"/>
      <c r="BGK8" s="3142"/>
      <c r="BGL8" s="3142"/>
      <c r="BGM8" s="3142"/>
      <c r="BGN8" s="3142"/>
      <c r="BGO8" s="3142"/>
      <c r="BGP8" s="3142"/>
      <c r="BGQ8" s="3142"/>
      <c r="BGR8" s="3142"/>
      <c r="BGS8" s="3142"/>
      <c r="BGT8" s="3142"/>
      <c r="BGU8" s="3142"/>
      <c r="BGV8" s="3142"/>
      <c r="BGW8" s="3142"/>
      <c r="BGX8" s="3142"/>
      <c r="BGY8" s="3142"/>
      <c r="BGZ8" s="3142"/>
      <c r="BHA8" s="3142"/>
      <c r="BHB8" s="3142"/>
      <c r="BHC8" s="3142"/>
      <c r="BHD8" s="3142"/>
      <c r="BHE8" s="3142"/>
      <c r="BHF8" s="3142"/>
      <c r="BHG8" s="3142"/>
      <c r="BHH8" s="3142"/>
      <c r="BHI8" s="3142"/>
      <c r="BHJ8" s="3142"/>
      <c r="BHK8" s="3142"/>
      <c r="BHL8" s="3142"/>
      <c r="BHM8" s="3142"/>
      <c r="BHN8" s="3142"/>
      <c r="BHO8" s="3142"/>
      <c r="BHP8" s="3142"/>
      <c r="BHQ8" s="3142"/>
      <c r="BHR8" s="3142"/>
      <c r="BHS8" s="3142"/>
      <c r="BHT8" s="3142"/>
      <c r="BHU8" s="3142"/>
      <c r="BHV8" s="3142"/>
      <c r="BHW8" s="3142"/>
      <c r="BHX8" s="3142"/>
      <c r="BHY8" s="3142"/>
      <c r="BHZ8" s="3142"/>
      <c r="BIA8" s="3142"/>
      <c r="BIB8" s="3142"/>
      <c r="BIC8" s="3142"/>
      <c r="BID8" s="3142"/>
      <c r="BIE8" s="3142"/>
      <c r="BIF8" s="3142"/>
      <c r="BIG8" s="3142"/>
      <c r="BIH8" s="3142"/>
      <c r="BII8" s="3142"/>
      <c r="BIJ8" s="3142"/>
      <c r="BIK8" s="3142"/>
      <c r="BIL8" s="3142"/>
      <c r="BIM8" s="3142"/>
      <c r="BIN8" s="3142"/>
      <c r="BIO8" s="3142"/>
      <c r="BIP8" s="3142"/>
      <c r="BIQ8" s="3142"/>
      <c r="BIR8" s="3142"/>
      <c r="BIS8" s="3142"/>
      <c r="BIT8" s="3142"/>
      <c r="BIU8" s="3142"/>
      <c r="BIV8" s="3142"/>
      <c r="BIW8" s="3142"/>
      <c r="BIX8" s="3142"/>
      <c r="BIY8" s="3142"/>
      <c r="BIZ8" s="3142"/>
      <c r="BJA8" s="3142"/>
      <c r="BJB8" s="3142"/>
      <c r="BJC8" s="3142"/>
      <c r="BJD8" s="3142"/>
      <c r="BJE8" s="3142"/>
      <c r="BJF8" s="3142"/>
      <c r="BJG8" s="3142"/>
      <c r="BJH8" s="3142"/>
      <c r="BJI8" s="3142"/>
      <c r="BJJ8" s="3142"/>
      <c r="BJK8" s="3142"/>
      <c r="BJL8" s="3142"/>
      <c r="BJM8" s="3142"/>
      <c r="BJN8" s="3142"/>
      <c r="BJO8" s="3142"/>
      <c r="BJP8" s="3142"/>
      <c r="BJQ8" s="3142"/>
      <c r="BJR8" s="3142"/>
      <c r="BJS8" s="3142"/>
      <c r="BJT8" s="3142"/>
      <c r="BJU8" s="3142"/>
      <c r="BJV8" s="3142"/>
      <c r="BJW8" s="3142"/>
      <c r="BJX8" s="3142"/>
      <c r="BJY8" s="3142"/>
      <c r="BJZ8" s="3142"/>
      <c r="BKA8" s="3142"/>
      <c r="BKB8" s="3142"/>
      <c r="BKC8" s="3142"/>
      <c r="BKD8" s="3142"/>
      <c r="BKE8" s="3142"/>
      <c r="BKF8" s="3142"/>
      <c r="BKG8" s="3142"/>
      <c r="BKH8" s="3142"/>
      <c r="BKI8" s="3142"/>
      <c r="BKJ8" s="3142"/>
      <c r="BKK8" s="3142"/>
      <c r="BKL8" s="3142"/>
      <c r="BKM8" s="3142"/>
      <c r="BKN8" s="3142"/>
      <c r="BKO8" s="3142"/>
      <c r="BKP8" s="3142"/>
      <c r="BKQ8" s="3142"/>
      <c r="BKR8" s="3142"/>
      <c r="BKS8" s="3142"/>
      <c r="BKT8" s="3142"/>
      <c r="BKU8" s="3142"/>
      <c r="BKV8" s="3142"/>
      <c r="BKW8" s="3142"/>
      <c r="BKX8" s="3142"/>
      <c r="BKY8" s="3142"/>
      <c r="BKZ8" s="3142"/>
      <c r="BLA8" s="3142"/>
      <c r="BLB8" s="3142"/>
      <c r="BLC8" s="3142"/>
      <c r="BLD8" s="3142"/>
      <c r="BLE8" s="3142"/>
      <c r="BLF8" s="3142"/>
      <c r="BLG8" s="3142"/>
      <c r="BLH8" s="3142"/>
      <c r="BLI8" s="3142"/>
      <c r="BLJ8" s="3142"/>
      <c r="BLK8" s="3142"/>
      <c r="BLL8" s="3142"/>
      <c r="BLM8" s="3142"/>
      <c r="BLN8" s="3142"/>
      <c r="BLO8" s="3142"/>
      <c r="BLP8" s="3142"/>
      <c r="BLQ8" s="3142"/>
      <c r="BLR8" s="3142"/>
      <c r="BLS8" s="3142"/>
      <c r="BLT8" s="3142"/>
      <c r="BLU8" s="3142"/>
      <c r="BLV8" s="3142"/>
      <c r="BLW8" s="3142"/>
      <c r="BLX8" s="3142"/>
      <c r="BLY8" s="3142"/>
      <c r="BLZ8" s="3142"/>
      <c r="BMA8" s="3142"/>
      <c r="BMB8" s="3142"/>
      <c r="BMC8" s="3142"/>
      <c r="BMD8" s="3142"/>
      <c r="BME8" s="3142"/>
      <c r="BMF8" s="3142"/>
      <c r="BMG8" s="3142"/>
      <c r="BMH8" s="3142"/>
      <c r="BMI8" s="3142"/>
      <c r="BMJ8" s="3142"/>
      <c r="BMK8" s="3142"/>
      <c r="BML8" s="3142"/>
      <c r="BMM8" s="3142"/>
      <c r="BMN8" s="3142"/>
      <c r="BMO8" s="3142"/>
      <c r="BMP8" s="3142"/>
      <c r="BMQ8" s="3142"/>
      <c r="BMR8" s="3142"/>
      <c r="BMS8" s="3142"/>
      <c r="BMT8" s="3142"/>
      <c r="BMU8" s="3142"/>
      <c r="BMV8" s="3142"/>
      <c r="BMW8" s="3142"/>
      <c r="BMX8" s="3142"/>
      <c r="BMY8" s="3142"/>
      <c r="BMZ8" s="3142"/>
      <c r="BNA8" s="3142"/>
      <c r="BNB8" s="3142"/>
      <c r="BNC8" s="3142"/>
      <c r="BND8" s="3142"/>
      <c r="BNE8" s="3142"/>
      <c r="BNF8" s="3142"/>
      <c r="BNG8" s="3142"/>
      <c r="BNH8" s="3142"/>
      <c r="BNI8" s="3142"/>
      <c r="BNJ8" s="3142"/>
      <c r="BNK8" s="3142"/>
      <c r="BNL8" s="3142"/>
      <c r="BNM8" s="3142"/>
      <c r="BNN8" s="3142"/>
      <c r="BNO8" s="3142"/>
      <c r="BNP8" s="3142"/>
      <c r="BNQ8" s="3142"/>
      <c r="BNR8" s="3142"/>
      <c r="BNS8" s="3142"/>
      <c r="BNT8" s="3142"/>
      <c r="BNU8" s="3142"/>
      <c r="BNV8" s="3142"/>
      <c r="BNW8" s="3142"/>
      <c r="BNX8" s="3142"/>
      <c r="BNY8" s="3142"/>
      <c r="BNZ8" s="3142"/>
      <c r="BOA8" s="3142"/>
      <c r="BOB8" s="3142"/>
      <c r="BOC8" s="3142"/>
      <c r="BOD8" s="3142"/>
      <c r="BOE8" s="3142"/>
      <c r="BOF8" s="3142"/>
      <c r="BOG8" s="3142"/>
      <c r="BOH8" s="3142"/>
      <c r="BOI8" s="3142"/>
      <c r="BOJ8" s="3142"/>
      <c r="BOK8" s="3142"/>
      <c r="BOL8" s="3142"/>
      <c r="BOM8" s="3142"/>
      <c r="BON8" s="3142"/>
      <c r="BOO8" s="3142"/>
      <c r="BOP8" s="3142"/>
      <c r="BOQ8" s="3142"/>
      <c r="BOR8" s="3142"/>
      <c r="BOS8" s="3142"/>
      <c r="BOT8" s="3142"/>
      <c r="BOU8" s="3142"/>
      <c r="BOV8" s="3142"/>
      <c r="BOW8" s="3142"/>
      <c r="BOX8" s="3142"/>
      <c r="BOY8" s="3142"/>
      <c r="BOZ8" s="3142"/>
      <c r="BPA8" s="3142"/>
      <c r="BPB8" s="3142"/>
      <c r="BPC8" s="3142"/>
      <c r="BPD8" s="3142"/>
      <c r="BPE8" s="3142"/>
      <c r="BPF8" s="3142"/>
      <c r="BPG8" s="3142"/>
      <c r="BPH8" s="3142"/>
      <c r="BPI8" s="3142"/>
      <c r="BPJ8" s="3142"/>
      <c r="BPK8" s="3142"/>
      <c r="BPL8" s="3142"/>
      <c r="BPM8" s="3142"/>
      <c r="BPN8" s="3142"/>
      <c r="BPO8" s="3142"/>
      <c r="BPP8" s="3142"/>
      <c r="BPQ8" s="3142"/>
      <c r="BPR8" s="3142"/>
      <c r="BPS8" s="3142"/>
      <c r="BPT8" s="3142"/>
      <c r="BPU8" s="3142"/>
      <c r="BPV8" s="3142"/>
      <c r="BPW8" s="3142"/>
      <c r="BPX8" s="3142"/>
      <c r="BPY8" s="3142"/>
      <c r="BPZ8" s="3142"/>
      <c r="BQA8" s="3142"/>
      <c r="BQB8" s="3142"/>
      <c r="BQC8" s="3142"/>
      <c r="BQD8" s="3142"/>
      <c r="BQE8" s="3142"/>
      <c r="BQF8" s="3142"/>
      <c r="BQG8" s="3142"/>
      <c r="BQH8" s="3142"/>
      <c r="BQI8" s="3142"/>
      <c r="BQJ8" s="3142"/>
      <c r="BQK8" s="3142"/>
      <c r="BQL8" s="3142"/>
      <c r="BQM8" s="3142"/>
      <c r="BQN8" s="3142"/>
      <c r="BQO8" s="3142"/>
      <c r="BQP8" s="3142"/>
      <c r="BQQ8" s="3142"/>
      <c r="BQR8" s="3142"/>
      <c r="BQS8" s="3142"/>
      <c r="BQT8" s="3142"/>
      <c r="BQU8" s="3142"/>
      <c r="BQV8" s="3142"/>
      <c r="BQW8" s="3142"/>
      <c r="BQX8" s="3142"/>
      <c r="BQY8" s="3142"/>
      <c r="BQZ8" s="3142"/>
      <c r="BRA8" s="3142"/>
      <c r="BRB8" s="3142"/>
      <c r="BRC8" s="3142"/>
      <c r="BRD8" s="3142"/>
      <c r="BRE8" s="3142"/>
      <c r="BRF8" s="3142"/>
      <c r="BRG8" s="3142"/>
      <c r="BRH8" s="3142"/>
      <c r="BRI8" s="3142"/>
      <c r="BRJ8" s="3142"/>
      <c r="BRK8" s="3142"/>
      <c r="BRL8" s="3142"/>
      <c r="BRM8" s="3142"/>
      <c r="BRN8" s="3142"/>
      <c r="BRO8" s="3142"/>
      <c r="BRP8" s="3142"/>
      <c r="BRQ8" s="3142"/>
      <c r="BRR8" s="3142"/>
      <c r="BRS8" s="3142"/>
      <c r="BRT8" s="3142"/>
      <c r="BRU8" s="3142"/>
      <c r="BRV8" s="3142"/>
      <c r="BRW8" s="3142"/>
      <c r="BRX8" s="3142"/>
      <c r="BRY8" s="3142"/>
      <c r="BRZ8" s="3142"/>
      <c r="BSA8" s="3142"/>
      <c r="BSB8" s="3142"/>
      <c r="BSC8" s="3142"/>
      <c r="BSD8" s="3142"/>
      <c r="BSE8" s="3142"/>
      <c r="BSF8" s="3142"/>
      <c r="BSG8" s="3142"/>
      <c r="BSH8" s="3142"/>
      <c r="BSI8" s="3142"/>
      <c r="BSJ8" s="3142"/>
      <c r="BSK8" s="3142"/>
      <c r="BSL8" s="3142"/>
      <c r="BSM8" s="3142"/>
      <c r="BSN8" s="3142"/>
      <c r="BSO8" s="3142"/>
      <c r="BSP8" s="3142"/>
      <c r="BSQ8" s="3142"/>
      <c r="BSR8" s="3142"/>
      <c r="BSS8" s="3142"/>
      <c r="BST8" s="3142"/>
      <c r="BSU8" s="3142"/>
      <c r="BSV8" s="3142"/>
      <c r="BSW8" s="3142"/>
      <c r="BSX8" s="3142"/>
      <c r="BSY8" s="3142"/>
      <c r="BSZ8" s="3142"/>
      <c r="BTA8" s="3142"/>
      <c r="BTB8" s="3142"/>
      <c r="BTC8" s="3142"/>
      <c r="BTD8" s="3142"/>
      <c r="BTE8" s="3142"/>
      <c r="BTF8" s="3142"/>
      <c r="BTG8" s="3142"/>
      <c r="BTH8" s="3142"/>
      <c r="BTI8" s="3142"/>
      <c r="BTJ8" s="3142"/>
      <c r="BTK8" s="3142"/>
      <c r="BTL8" s="3142"/>
      <c r="BTM8" s="3142"/>
      <c r="BTN8" s="3142"/>
      <c r="BTO8" s="3142"/>
      <c r="BTP8" s="3142"/>
      <c r="BTQ8" s="3142"/>
      <c r="BTR8" s="3142"/>
      <c r="BTS8" s="3142"/>
      <c r="BTT8" s="3142"/>
      <c r="BTU8" s="3142"/>
      <c r="BTV8" s="3142"/>
      <c r="BTW8" s="3142"/>
      <c r="BTX8" s="3142"/>
      <c r="BTY8" s="3142"/>
      <c r="BTZ8" s="3142"/>
      <c r="BUA8" s="3142"/>
      <c r="BUB8" s="3142"/>
      <c r="BUC8" s="3142"/>
      <c r="BUD8" s="3142"/>
      <c r="BUE8" s="3142"/>
      <c r="BUF8" s="3142"/>
      <c r="BUG8" s="3142"/>
      <c r="BUH8" s="3142"/>
      <c r="BUI8" s="3142"/>
      <c r="BUJ8" s="3142"/>
      <c r="BUK8" s="3142"/>
      <c r="BUL8" s="3142"/>
      <c r="BUM8" s="3142"/>
      <c r="BUN8" s="3142"/>
      <c r="BUO8" s="3142"/>
      <c r="BUP8" s="3142"/>
      <c r="BUQ8" s="3142"/>
      <c r="BUR8" s="3142"/>
      <c r="BUS8" s="3142"/>
      <c r="BUT8" s="3142"/>
      <c r="BUU8" s="3142"/>
      <c r="BUV8" s="3142"/>
      <c r="BUW8" s="3142"/>
      <c r="BUX8" s="3142"/>
      <c r="BUY8" s="3142"/>
      <c r="BUZ8" s="3142"/>
      <c r="BVA8" s="3142"/>
      <c r="BVB8" s="3142"/>
      <c r="BVC8" s="3142"/>
      <c r="BVD8" s="3142"/>
      <c r="BVE8" s="3142"/>
      <c r="BVF8" s="3142"/>
      <c r="BVG8" s="3142"/>
      <c r="BVH8" s="3142"/>
      <c r="BVI8" s="3142"/>
      <c r="BVJ8" s="3142"/>
      <c r="BVK8" s="3142"/>
      <c r="BVL8" s="3142"/>
      <c r="BVM8" s="3142"/>
      <c r="BVN8" s="3142"/>
      <c r="BVO8" s="3142"/>
      <c r="BVP8" s="3142"/>
      <c r="BVQ8" s="3142"/>
      <c r="BVR8" s="3142"/>
      <c r="BVS8" s="3142"/>
      <c r="BVT8" s="3142"/>
      <c r="BVU8" s="3142"/>
      <c r="BVV8" s="3142"/>
      <c r="BVW8" s="3142"/>
      <c r="BVX8" s="3142"/>
      <c r="BVY8" s="3142"/>
      <c r="BVZ8" s="3142"/>
      <c r="BWA8" s="3142"/>
      <c r="BWB8" s="3142"/>
      <c r="BWC8" s="3142"/>
      <c r="BWD8" s="3142"/>
      <c r="BWE8" s="3142"/>
      <c r="BWF8" s="3142"/>
      <c r="BWG8" s="3142"/>
      <c r="BWH8" s="3142"/>
      <c r="BWI8" s="3142"/>
      <c r="BWJ8" s="3142"/>
      <c r="BWK8" s="3142"/>
      <c r="BWL8" s="3142"/>
      <c r="BWM8" s="3142"/>
      <c r="BWN8" s="3142"/>
      <c r="BWO8" s="3142"/>
      <c r="BWP8" s="3142"/>
      <c r="BWQ8" s="3142"/>
      <c r="BWR8" s="3142"/>
      <c r="BWS8" s="3142"/>
      <c r="BWT8" s="3142"/>
      <c r="BWU8" s="3142"/>
      <c r="BWV8" s="3142"/>
      <c r="BWW8" s="3142"/>
      <c r="BWX8" s="3142"/>
      <c r="BWY8" s="3142"/>
      <c r="BWZ8" s="3142"/>
      <c r="BXA8" s="3142"/>
      <c r="BXB8" s="3142"/>
      <c r="BXC8" s="3142"/>
      <c r="BXD8" s="3142"/>
      <c r="BXE8" s="3142"/>
      <c r="BXF8" s="3142"/>
      <c r="BXG8" s="3142"/>
      <c r="BXH8" s="3142"/>
      <c r="BXI8" s="3142"/>
      <c r="BXJ8" s="3142"/>
      <c r="BXK8" s="3142"/>
      <c r="BXL8" s="3142"/>
      <c r="BXM8" s="3142"/>
      <c r="BXN8" s="3142"/>
      <c r="BXO8" s="3142"/>
      <c r="BXP8" s="3142"/>
      <c r="BXQ8" s="3142"/>
      <c r="BXR8" s="3142"/>
      <c r="BXS8" s="3142"/>
      <c r="BXT8" s="3142"/>
      <c r="BXU8" s="3142"/>
      <c r="BXV8" s="3142"/>
      <c r="BXW8" s="3142"/>
      <c r="BXX8" s="3142"/>
      <c r="BXY8" s="3142"/>
      <c r="BXZ8" s="3142"/>
      <c r="BYA8" s="3142"/>
      <c r="BYB8" s="3142"/>
      <c r="BYC8" s="3142"/>
      <c r="BYD8" s="3142"/>
      <c r="BYE8" s="3142"/>
      <c r="BYF8" s="3142"/>
      <c r="BYG8" s="3142"/>
      <c r="BYH8" s="3142"/>
      <c r="BYI8" s="3142"/>
      <c r="BYJ8" s="3142"/>
      <c r="BYK8" s="3142"/>
      <c r="BYL8" s="3142"/>
      <c r="BYM8" s="3142"/>
      <c r="BYN8" s="3142"/>
      <c r="BYO8" s="3142"/>
      <c r="BYP8" s="3142"/>
      <c r="BYQ8" s="3142"/>
      <c r="BYR8" s="3142"/>
      <c r="BYS8" s="3142"/>
      <c r="BYT8" s="3142"/>
      <c r="BYU8" s="3142"/>
      <c r="BYV8" s="3142"/>
      <c r="BYW8" s="3142"/>
      <c r="BYX8" s="3142"/>
      <c r="BYY8" s="3142"/>
      <c r="BYZ8" s="3142"/>
      <c r="BZA8" s="3142"/>
      <c r="BZB8" s="3142"/>
      <c r="BZC8" s="3142"/>
      <c r="BZD8" s="3142"/>
      <c r="BZE8" s="3142"/>
      <c r="BZF8" s="3142"/>
      <c r="BZG8" s="3142"/>
      <c r="BZH8" s="3142"/>
      <c r="BZI8" s="3142"/>
      <c r="BZJ8" s="3142"/>
      <c r="BZK8" s="3142"/>
      <c r="BZL8" s="3142"/>
      <c r="BZM8" s="3142"/>
      <c r="BZN8" s="3142"/>
      <c r="BZO8" s="3142"/>
      <c r="BZP8" s="3142"/>
      <c r="BZQ8" s="3142"/>
      <c r="BZR8" s="3142"/>
      <c r="BZS8" s="3142"/>
      <c r="BZT8" s="3142"/>
      <c r="BZU8" s="3142"/>
      <c r="BZV8" s="3142"/>
      <c r="BZW8" s="3142"/>
      <c r="BZX8" s="3142"/>
      <c r="BZY8" s="3142"/>
      <c r="BZZ8" s="3142"/>
      <c r="CAA8" s="3142"/>
      <c r="CAB8" s="3142"/>
      <c r="CAC8" s="3142"/>
      <c r="CAD8" s="3142"/>
      <c r="CAE8" s="3142"/>
      <c r="CAF8" s="3142"/>
      <c r="CAG8" s="3142"/>
      <c r="CAH8" s="3142"/>
      <c r="CAI8" s="3142"/>
      <c r="CAJ8" s="3142"/>
      <c r="CAK8" s="3142"/>
      <c r="CAL8" s="3142"/>
      <c r="CAM8" s="3142"/>
      <c r="CAN8" s="3142"/>
      <c r="CAO8" s="3142"/>
      <c r="CAP8" s="3142"/>
      <c r="CAQ8" s="3142"/>
      <c r="CAR8" s="3142"/>
      <c r="CAS8" s="3142"/>
      <c r="CAT8" s="3142"/>
      <c r="CAU8" s="3142"/>
      <c r="CAV8" s="3142"/>
      <c r="CAW8" s="3142"/>
      <c r="CAX8" s="3142"/>
      <c r="CAY8" s="3142"/>
      <c r="CAZ8" s="3142"/>
      <c r="CBA8" s="3142"/>
      <c r="CBB8" s="3142"/>
      <c r="CBC8" s="3142"/>
      <c r="CBD8" s="3142"/>
      <c r="CBE8" s="3142"/>
      <c r="CBF8" s="3142"/>
      <c r="CBG8" s="3142"/>
      <c r="CBH8" s="3142"/>
      <c r="CBI8" s="3142"/>
      <c r="CBJ8" s="3142"/>
      <c r="CBK8" s="3142"/>
      <c r="CBL8" s="3142"/>
      <c r="CBM8" s="3142"/>
      <c r="CBN8" s="3142"/>
      <c r="CBO8" s="3142"/>
      <c r="CBP8" s="3142"/>
      <c r="CBQ8" s="3142"/>
      <c r="CBR8" s="3142"/>
      <c r="CBS8" s="3142"/>
      <c r="CBT8" s="3142"/>
      <c r="CBU8" s="3142"/>
      <c r="CBV8" s="3142"/>
      <c r="CBW8" s="3142"/>
      <c r="CBX8" s="3142"/>
      <c r="CBY8" s="3142"/>
      <c r="CBZ8" s="3142"/>
      <c r="CCA8" s="3142"/>
      <c r="CCB8" s="3142"/>
      <c r="CCC8" s="3142"/>
      <c r="CCD8" s="3142"/>
      <c r="CCE8" s="3142"/>
      <c r="CCF8" s="3142"/>
      <c r="CCG8" s="3142"/>
      <c r="CCH8" s="3142"/>
      <c r="CCI8" s="3142"/>
      <c r="CCJ8" s="3142"/>
      <c r="CCK8" s="3142"/>
      <c r="CCL8" s="3142"/>
      <c r="CCM8" s="3142"/>
      <c r="CCN8" s="3142"/>
      <c r="CCO8" s="3142"/>
      <c r="CCP8" s="3142"/>
      <c r="CCQ8" s="3142"/>
      <c r="CCR8" s="3142"/>
      <c r="CCS8" s="3142"/>
      <c r="CCT8" s="3142"/>
      <c r="CCU8" s="3142"/>
      <c r="CCV8" s="3142"/>
      <c r="CCW8" s="3142"/>
      <c r="CCX8" s="3142"/>
      <c r="CCY8" s="3142"/>
      <c r="CCZ8" s="3142"/>
      <c r="CDA8" s="3142"/>
      <c r="CDB8" s="3142"/>
      <c r="CDC8" s="3142"/>
      <c r="CDD8" s="3142"/>
      <c r="CDE8" s="3142"/>
      <c r="CDF8" s="3142"/>
      <c r="CDG8" s="3142"/>
      <c r="CDH8" s="3142"/>
      <c r="CDI8" s="3142"/>
      <c r="CDJ8" s="3142"/>
      <c r="CDK8" s="3142"/>
      <c r="CDL8" s="3142"/>
      <c r="CDM8" s="3142"/>
      <c r="CDN8" s="3142"/>
      <c r="CDO8" s="3142"/>
      <c r="CDP8" s="3142"/>
      <c r="CDQ8" s="3142"/>
      <c r="CDR8" s="3142"/>
      <c r="CDS8" s="3142"/>
      <c r="CDT8" s="3142"/>
      <c r="CDU8" s="3142"/>
      <c r="CDV8" s="3142"/>
      <c r="CDW8" s="3142"/>
      <c r="CDX8" s="3142"/>
      <c r="CDY8" s="3142"/>
      <c r="CDZ8" s="3142"/>
      <c r="CEA8" s="3142"/>
      <c r="CEB8" s="3142"/>
      <c r="CEC8" s="3142"/>
      <c r="CED8" s="3142"/>
      <c r="CEE8" s="3142"/>
      <c r="CEF8" s="3142"/>
      <c r="CEG8" s="3142"/>
      <c r="CEH8" s="3142"/>
      <c r="CEI8" s="3142"/>
      <c r="CEJ8" s="3142"/>
      <c r="CEK8" s="3142"/>
      <c r="CEL8" s="3142"/>
      <c r="CEM8" s="3142"/>
      <c r="CEN8" s="3142"/>
      <c r="CEO8" s="3142"/>
      <c r="CEP8" s="3142"/>
      <c r="CEQ8" s="3142"/>
      <c r="CER8" s="3142"/>
      <c r="CES8" s="3142"/>
      <c r="CET8" s="3142"/>
      <c r="CEU8" s="3142"/>
      <c r="CEV8" s="3142"/>
      <c r="CEW8" s="3142"/>
      <c r="CEX8" s="3142"/>
      <c r="CEY8" s="3142"/>
      <c r="CEZ8" s="3142"/>
      <c r="CFA8" s="3142"/>
      <c r="CFB8" s="3142"/>
      <c r="CFC8" s="3142"/>
      <c r="CFD8" s="3142"/>
      <c r="CFE8" s="3142"/>
      <c r="CFF8" s="3142"/>
      <c r="CFG8" s="3142"/>
      <c r="CFH8" s="3142"/>
      <c r="CFI8" s="3142"/>
      <c r="CFJ8" s="3142"/>
      <c r="CFK8" s="3142"/>
      <c r="CFL8" s="3142"/>
      <c r="CFM8" s="3142"/>
      <c r="CFN8" s="3142"/>
      <c r="CFO8" s="3142"/>
      <c r="CFP8" s="3142"/>
      <c r="CFQ8" s="3142"/>
      <c r="CFR8" s="3142"/>
      <c r="CFS8" s="3142"/>
      <c r="CFT8" s="3142"/>
      <c r="CFU8" s="3142"/>
      <c r="CFV8" s="3142"/>
      <c r="CFW8" s="3142"/>
      <c r="CFX8" s="3142"/>
      <c r="CFY8" s="3142"/>
      <c r="CFZ8" s="3142"/>
      <c r="CGA8" s="3142"/>
      <c r="CGB8" s="3142"/>
      <c r="CGC8" s="3142"/>
      <c r="CGD8" s="3142"/>
      <c r="CGE8" s="3142"/>
      <c r="CGF8" s="3142"/>
      <c r="CGG8" s="3142"/>
      <c r="CGH8" s="3142"/>
      <c r="CGI8" s="3142"/>
      <c r="CGJ8" s="3142"/>
      <c r="CGK8" s="3142"/>
      <c r="CGL8" s="3142"/>
      <c r="CGM8" s="3142"/>
      <c r="CGN8" s="3142"/>
      <c r="CGO8" s="3142"/>
      <c r="CGP8" s="3142"/>
      <c r="CGQ8" s="3142"/>
      <c r="CGR8" s="3142"/>
      <c r="CGS8" s="3142"/>
      <c r="CGT8" s="3142"/>
      <c r="CGU8" s="3142"/>
      <c r="CGV8" s="3142"/>
      <c r="CGW8" s="3142"/>
      <c r="CGX8" s="3142"/>
      <c r="CGY8" s="3142"/>
      <c r="CGZ8" s="3142"/>
      <c r="CHA8" s="3142"/>
      <c r="CHB8" s="3142"/>
      <c r="CHC8" s="3142"/>
      <c r="CHD8" s="3142"/>
      <c r="CHE8" s="3142"/>
      <c r="CHF8" s="3142"/>
      <c r="CHG8" s="3142"/>
      <c r="CHH8" s="3142"/>
      <c r="CHI8" s="3142"/>
      <c r="CHJ8" s="3142"/>
      <c r="CHK8" s="3142"/>
      <c r="CHL8" s="3142"/>
      <c r="CHM8" s="3142"/>
      <c r="CHN8" s="3142"/>
      <c r="CHO8" s="3142"/>
      <c r="CHP8" s="3142"/>
      <c r="CHQ8" s="3142"/>
      <c r="CHR8" s="3142"/>
      <c r="CHS8" s="3142"/>
      <c r="CHT8" s="3142"/>
      <c r="CHU8" s="3142"/>
      <c r="CHV8" s="3142"/>
      <c r="CHW8" s="3142"/>
      <c r="CHX8" s="3142"/>
      <c r="CHY8" s="3142"/>
      <c r="CHZ8" s="3142"/>
      <c r="CIA8" s="3142"/>
      <c r="CIB8" s="3142"/>
      <c r="CIC8" s="3142"/>
      <c r="CID8" s="3142"/>
      <c r="CIE8" s="3142"/>
      <c r="CIF8" s="3142"/>
      <c r="CIG8" s="3142"/>
      <c r="CIH8" s="3142"/>
      <c r="CII8" s="3142"/>
      <c r="CIJ8" s="3142"/>
      <c r="CIK8" s="3142"/>
      <c r="CIL8" s="3142"/>
      <c r="CIM8" s="3142"/>
      <c r="CIN8" s="3142"/>
      <c r="CIO8" s="3142"/>
      <c r="CIP8" s="3142"/>
      <c r="CIQ8" s="3142"/>
      <c r="CIR8" s="3142"/>
      <c r="CIS8" s="3142"/>
      <c r="CIT8" s="3142"/>
      <c r="CIU8" s="3142"/>
      <c r="CIV8" s="3142"/>
      <c r="CIW8" s="3142"/>
      <c r="CIX8" s="3142"/>
      <c r="CIY8" s="3142"/>
      <c r="CIZ8" s="3142"/>
      <c r="CJA8" s="3142"/>
      <c r="CJB8" s="3142"/>
      <c r="CJC8" s="3142"/>
      <c r="CJD8" s="3142"/>
      <c r="CJE8" s="3142"/>
      <c r="CJF8" s="3142"/>
      <c r="CJG8" s="3142"/>
      <c r="CJH8" s="3142"/>
      <c r="CJI8" s="3142"/>
      <c r="CJJ8" s="3142"/>
      <c r="CJK8" s="3142"/>
      <c r="CJL8" s="3142"/>
      <c r="CJM8" s="3142"/>
      <c r="CJN8" s="3142"/>
      <c r="CJO8" s="3142"/>
      <c r="CJP8" s="3142"/>
      <c r="CJQ8" s="3142"/>
      <c r="CJR8" s="3142"/>
      <c r="CJS8" s="3142"/>
      <c r="CJT8" s="3142"/>
      <c r="CJU8" s="3142"/>
      <c r="CJV8" s="3142"/>
      <c r="CJW8" s="3142"/>
      <c r="CJX8" s="3142"/>
      <c r="CJY8" s="3142"/>
      <c r="CJZ8" s="3142"/>
      <c r="CKA8" s="3142"/>
      <c r="CKB8" s="3142"/>
      <c r="CKC8" s="3142"/>
      <c r="CKD8" s="3142"/>
      <c r="CKE8" s="3142"/>
      <c r="CKF8" s="3142"/>
      <c r="CKG8" s="3142"/>
      <c r="CKH8" s="3142"/>
      <c r="CKI8" s="3142"/>
      <c r="CKJ8" s="3142"/>
      <c r="CKK8" s="3142"/>
      <c r="CKL8" s="3142"/>
      <c r="CKM8" s="3142"/>
      <c r="CKN8" s="3142"/>
      <c r="CKO8" s="3142"/>
      <c r="CKP8" s="3142"/>
      <c r="CKQ8" s="3142"/>
      <c r="CKR8" s="3142"/>
      <c r="CKS8" s="3142"/>
      <c r="CKT8" s="3142"/>
      <c r="CKU8" s="3142"/>
      <c r="CKV8" s="3142"/>
      <c r="CKW8" s="3142"/>
      <c r="CKX8" s="3142"/>
      <c r="CKY8" s="3142"/>
      <c r="CKZ8" s="3142"/>
      <c r="CLA8" s="3142"/>
      <c r="CLB8" s="3142"/>
      <c r="CLC8" s="3142"/>
      <c r="CLD8" s="3142"/>
      <c r="CLE8" s="3142"/>
      <c r="CLF8" s="3142"/>
      <c r="CLG8" s="3142"/>
      <c r="CLH8" s="3142"/>
      <c r="CLI8" s="3142"/>
      <c r="CLJ8" s="3142"/>
      <c r="CLK8" s="3142"/>
      <c r="CLL8" s="3142"/>
      <c r="CLM8" s="3142"/>
      <c r="CLN8" s="3142"/>
      <c r="CLO8" s="3142"/>
      <c r="CLP8" s="3142"/>
      <c r="CLQ8" s="3142"/>
      <c r="CLR8" s="3142"/>
      <c r="CLS8" s="3142"/>
      <c r="CLT8" s="3142"/>
      <c r="CLU8" s="3142"/>
      <c r="CLV8" s="3142"/>
      <c r="CLW8" s="3142"/>
    </row>
    <row r="9" spans="1:2363" ht="21.75" customHeight="1" x14ac:dyDescent="0.2">
      <c r="A9" s="3903"/>
      <c r="B9" s="3904"/>
      <c r="C9" s="2139">
        <v>1</v>
      </c>
      <c r="D9" s="2487">
        <v>2</v>
      </c>
      <c r="E9" s="2937">
        <v>3</v>
      </c>
      <c r="F9" s="2939">
        <v>4</v>
      </c>
      <c r="G9" s="2029" t="s">
        <v>97</v>
      </c>
      <c r="H9" s="2941">
        <v>6</v>
      </c>
      <c r="I9" s="2942">
        <v>7</v>
      </c>
      <c r="J9" s="2943" t="s">
        <v>98</v>
      </c>
      <c r="K9" s="2939">
        <v>9</v>
      </c>
      <c r="L9" s="2942">
        <v>10</v>
      </c>
      <c r="M9" s="2240" t="s">
        <v>99</v>
      </c>
      <c r="N9" s="2028" t="s">
        <v>100</v>
      </c>
      <c r="O9" s="2089" t="s">
        <v>609</v>
      </c>
      <c r="P9" s="2945">
        <v>14</v>
      </c>
      <c r="Q9" s="2946">
        <v>15</v>
      </c>
      <c r="R9" s="2772">
        <v>16</v>
      </c>
      <c r="S9" s="2028">
        <v>17</v>
      </c>
      <c r="T9" s="2089">
        <v>18</v>
      </c>
      <c r="U9" s="2948">
        <v>19</v>
      </c>
      <c r="V9" s="2949" t="s">
        <v>610</v>
      </c>
      <c r="W9" s="2947" t="s">
        <v>618</v>
      </c>
      <c r="X9" s="2950" t="s">
        <v>619</v>
      </c>
      <c r="Y9" s="2120" t="s">
        <v>620</v>
      </c>
      <c r="Z9" s="2811" t="s">
        <v>637</v>
      </c>
      <c r="AA9" s="2087">
        <v>22</v>
      </c>
      <c r="AB9" s="2084">
        <v>23</v>
      </c>
      <c r="AC9" s="2088" t="s">
        <v>611</v>
      </c>
      <c r="AD9" s="2088">
        <v>25</v>
      </c>
      <c r="AE9" s="2462">
        <v>26</v>
      </c>
      <c r="AF9" s="2913">
        <v>27</v>
      </c>
      <c r="AG9" s="2462" t="s">
        <v>653</v>
      </c>
      <c r="AH9" s="2088" t="s">
        <v>660</v>
      </c>
      <c r="AI9" s="2088">
        <v>28</v>
      </c>
      <c r="AJ9" s="2088">
        <v>29</v>
      </c>
      <c r="AK9" s="2663" t="s">
        <v>612</v>
      </c>
      <c r="AL9" s="2087">
        <v>31</v>
      </c>
      <c r="AM9" s="2084">
        <v>32</v>
      </c>
      <c r="AN9" s="2914" t="s">
        <v>614</v>
      </c>
      <c r="AO9" s="2915">
        <v>34</v>
      </c>
      <c r="AP9" s="2916">
        <v>35</v>
      </c>
      <c r="AQ9" s="2917">
        <v>36</v>
      </c>
      <c r="AR9" s="2913">
        <v>37</v>
      </c>
      <c r="AS9" s="2088" t="s">
        <v>624</v>
      </c>
      <c r="AT9" s="2087"/>
      <c r="AU9" s="2084">
        <v>39</v>
      </c>
      <c r="AV9" s="2084">
        <v>40</v>
      </c>
      <c r="AW9" s="2842" t="s">
        <v>613</v>
      </c>
      <c r="AX9" s="2087">
        <v>42</v>
      </c>
      <c r="AY9" s="2084">
        <v>43</v>
      </c>
      <c r="AZ9" s="2914" t="s">
        <v>659</v>
      </c>
      <c r="BA9" s="2915">
        <v>45</v>
      </c>
      <c r="BB9" s="2916">
        <v>46</v>
      </c>
      <c r="BC9" s="2917">
        <v>47</v>
      </c>
      <c r="BD9" s="2913">
        <v>48</v>
      </c>
      <c r="BE9" s="2088" t="s">
        <v>665</v>
      </c>
      <c r="BF9" s="2087">
        <v>50</v>
      </c>
      <c r="BG9" s="2084">
        <v>51</v>
      </c>
      <c r="BH9" s="2084">
        <v>52</v>
      </c>
      <c r="BI9" s="2842" t="s">
        <v>658</v>
      </c>
      <c r="BJ9" s="2462">
        <v>54</v>
      </c>
      <c r="BK9" s="2088">
        <v>55</v>
      </c>
      <c r="BL9" s="2088">
        <v>56</v>
      </c>
      <c r="BM9" s="3191">
        <v>57</v>
      </c>
      <c r="BN9" s="3191">
        <v>58</v>
      </c>
      <c r="BO9" s="2088">
        <v>59</v>
      </c>
      <c r="BP9" s="2084">
        <v>60</v>
      </c>
      <c r="BQ9" s="2084" t="s">
        <v>667</v>
      </c>
      <c r="BR9" s="3445">
        <v>62</v>
      </c>
      <c r="BS9" s="2088">
        <v>63</v>
      </c>
      <c r="BT9" s="3450" t="s">
        <v>668</v>
      </c>
      <c r="BU9" s="3143"/>
      <c r="BV9" s="3058"/>
      <c r="BW9" s="3058"/>
      <c r="BX9" s="3058"/>
      <c r="BY9" s="3140"/>
      <c r="BZ9" s="3140"/>
      <c r="CA9" s="2857"/>
      <c r="CB9" s="2857"/>
      <c r="CC9" s="3144"/>
      <c r="CD9" s="2857"/>
      <c r="CE9" s="2857"/>
      <c r="CF9" s="2857"/>
      <c r="CG9" s="2857"/>
      <c r="CH9" s="2857"/>
      <c r="CI9" s="3141"/>
      <c r="CJ9" s="3141"/>
      <c r="CK9" s="3141"/>
      <c r="CL9" s="3141"/>
      <c r="CM9" s="3141"/>
      <c r="CN9" s="3141"/>
      <c r="CO9" s="3141"/>
      <c r="CP9" s="3141"/>
      <c r="CQ9" s="3141"/>
      <c r="CR9" s="3141"/>
      <c r="CS9" s="3141"/>
      <c r="CT9" s="3141"/>
      <c r="CU9" s="3141"/>
      <c r="CV9" s="3141"/>
      <c r="CW9" s="3141"/>
      <c r="CX9" s="3141"/>
      <c r="CY9" s="3141"/>
      <c r="CZ9" s="3141"/>
      <c r="DA9" s="3141"/>
      <c r="DB9" s="3141"/>
      <c r="DC9" s="3141"/>
      <c r="DD9" s="3141"/>
      <c r="DE9" s="3141"/>
      <c r="DF9" s="3141"/>
      <c r="DG9" s="3141"/>
      <c r="DH9" s="3141"/>
      <c r="DI9" s="3141"/>
      <c r="DJ9" s="3141"/>
      <c r="DK9" s="3141"/>
      <c r="DL9" s="3141"/>
      <c r="DM9" s="3141"/>
      <c r="DN9" s="3141"/>
      <c r="DO9" s="3141"/>
      <c r="DP9" s="3141"/>
      <c r="DQ9" s="3141"/>
      <c r="DR9" s="3141"/>
      <c r="DS9" s="3141"/>
      <c r="DT9" s="3141"/>
      <c r="DU9" s="3141"/>
      <c r="DV9" s="3141"/>
      <c r="DW9" s="3141"/>
      <c r="DX9" s="3141"/>
      <c r="DY9" s="3141"/>
      <c r="DZ9" s="3141"/>
      <c r="EA9" s="3141"/>
      <c r="EB9" s="3141"/>
      <c r="EC9" s="3141"/>
      <c r="ED9" s="3141"/>
      <c r="EE9" s="3141"/>
      <c r="EF9" s="3141"/>
      <c r="EG9" s="3141"/>
      <c r="EH9" s="3141"/>
      <c r="EI9" s="3141"/>
      <c r="EJ9" s="3141"/>
      <c r="EK9" s="3141"/>
      <c r="EL9" s="3141"/>
      <c r="EM9" s="3141"/>
      <c r="EN9" s="3141"/>
      <c r="EO9" s="3141"/>
      <c r="EP9" s="3141"/>
      <c r="EQ9" s="3141"/>
      <c r="ER9" s="3141"/>
      <c r="ES9" s="3141"/>
      <c r="ET9" s="3141"/>
      <c r="EU9" s="3141"/>
      <c r="EV9" s="3141"/>
      <c r="EW9" s="3141"/>
      <c r="EX9" s="3141"/>
      <c r="EY9" s="3141"/>
      <c r="EZ9" s="3141"/>
      <c r="FA9" s="3141"/>
      <c r="FB9" s="3141"/>
      <c r="FC9" s="3141"/>
      <c r="FD9" s="3141"/>
      <c r="FE9" s="3141"/>
      <c r="FF9" s="3141"/>
      <c r="FG9" s="3141"/>
      <c r="FH9" s="3141"/>
      <c r="FI9" s="3141"/>
      <c r="FJ9" s="3141"/>
      <c r="FK9" s="3141"/>
      <c r="FL9" s="3141"/>
      <c r="FM9" s="3141"/>
      <c r="FN9" s="3141"/>
      <c r="FO9" s="3141"/>
      <c r="FP9" s="3141"/>
      <c r="FQ9" s="3141"/>
      <c r="FR9" s="3141"/>
      <c r="FS9" s="3141"/>
      <c r="FT9" s="3141"/>
      <c r="FU9" s="3141"/>
      <c r="FV9" s="3141"/>
      <c r="FW9" s="3141"/>
      <c r="FX9" s="3141"/>
      <c r="FY9" s="3141"/>
      <c r="FZ9" s="3141"/>
      <c r="GA9" s="3141"/>
      <c r="GB9" s="3141"/>
      <c r="GC9" s="3141"/>
      <c r="GD9" s="3141"/>
      <c r="GE9" s="3141"/>
      <c r="GF9" s="3141"/>
      <c r="GG9" s="2854"/>
      <c r="GH9" s="2854"/>
      <c r="GI9" s="2854"/>
      <c r="GJ9" s="2854"/>
      <c r="GK9" s="2854"/>
      <c r="GL9" s="2854"/>
      <c r="GM9" s="2854"/>
      <c r="GN9" s="2854"/>
      <c r="GO9" s="2854"/>
      <c r="GP9" s="2854"/>
      <c r="GQ9" s="2854"/>
      <c r="GR9" s="2854"/>
      <c r="GS9" s="2854"/>
      <c r="GT9" s="2854"/>
      <c r="GU9" s="2854"/>
      <c r="GV9" s="2854"/>
      <c r="GW9" s="2854"/>
      <c r="GX9" s="2854"/>
      <c r="GY9" s="2854"/>
      <c r="GZ9" s="2854"/>
      <c r="HA9" s="2854"/>
      <c r="HB9" s="2854"/>
      <c r="HC9" s="2854"/>
      <c r="HD9" s="2854"/>
      <c r="HE9" s="2854"/>
      <c r="HF9" s="2854"/>
      <c r="HG9" s="2854"/>
      <c r="HH9" s="2854"/>
      <c r="HI9" s="2854"/>
      <c r="HJ9" s="2854"/>
      <c r="HK9" s="2854"/>
      <c r="HL9" s="2854"/>
      <c r="HM9" s="2854"/>
      <c r="HN9" s="2854"/>
      <c r="HO9" s="2854"/>
      <c r="HP9" s="2854"/>
      <c r="HQ9" s="2854"/>
      <c r="HR9" s="2854"/>
      <c r="HS9" s="2854"/>
      <c r="HT9" s="2854"/>
      <c r="HU9" s="2854"/>
      <c r="HV9" s="2854"/>
      <c r="HW9" s="2854"/>
      <c r="HX9" s="2854"/>
      <c r="HY9" s="2854"/>
      <c r="HZ9" s="2854"/>
      <c r="IA9" s="2854"/>
      <c r="IB9" s="2854"/>
      <c r="IC9" s="2854"/>
      <c r="ID9" s="2854"/>
      <c r="IE9" s="2854"/>
      <c r="IF9" s="2854"/>
      <c r="IG9" s="2854"/>
      <c r="IH9" s="2854"/>
      <c r="II9" s="2854"/>
      <c r="IJ9" s="2854"/>
      <c r="IK9" s="2854"/>
      <c r="IL9" s="2854"/>
      <c r="IM9" s="2854"/>
      <c r="IN9" s="2854"/>
      <c r="IO9" s="2854"/>
      <c r="IP9" s="2854"/>
      <c r="IQ9" s="2854"/>
      <c r="IR9" s="2854"/>
      <c r="IS9" s="2854"/>
      <c r="IT9" s="2854"/>
      <c r="IU9" s="2854"/>
      <c r="IV9" s="2854"/>
      <c r="IW9" s="2854"/>
      <c r="IX9" s="2854"/>
      <c r="IY9" s="2854"/>
      <c r="IZ9" s="2854"/>
      <c r="JA9" s="2854"/>
      <c r="JB9" s="2854"/>
      <c r="JC9" s="2854"/>
      <c r="JD9" s="2854"/>
      <c r="JE9" s="2854"/>
      <c r="JF9" s="2854"/>
      <c r="JG9" s="2854"/>
      <c r="JH9" s="2854"/>
      <c r="JI9" s="2854"/>
      <c r="JJ9" s="2854"/>
      <c r="JK9" s="2854"/>
      <c r="JL9" s="2854"/>
      <c r="JM9" s="2854"/>
      <c r="JN9" s="2854"/>
      <c r="JO9" s="2854"/>
      <c r="JP9" s="2854"/>
      <c r="JQ9" s="2854"/>
      <c r="JR9" s="2854"/>
      <c r="JS9" s="2854"/>
      <c r="JT9" s="2854"/>
      <c r="JU9" s="2854"/>
      <c r="JV9" s="2854"/>
      <c r="JW9" s="2854"/>
      <c r="JX9" s="2854"/>
      <c r="JY9" s="2854"/>
      <c r="JZ9" s="2854"/>
      <c r="KA9" s="2854"/>
      <c r="KB9" s="2854"/>
      <c r="KC9" s="2854"/>
      <c r="KD9" s="2854"/>
      <c r="KE9" s="2854"/>
      <c r="KF9" s="2854"/>
      <c r="KG9" s="2854"/>
      <c r="KH9" s="2854"/>
      <c r="KI9" s="2854"/>
      <c r="KJ9" s="2854"/>
      <c r="KK9" s="2854"/>
      <c r="KL9" s="2854"/>
      <c r="KM9" s="2854"/>
      <c r="KN9" s="2854"/>
      <c r="KO9" s="2854"/>
      <c r="KP9" s="2854"/>
      <c r="KQ9" s="2854"/>
      <c r="KR9" s="2854"/>
      <c r="KS9" s="2854"/>
      <c r="KT9" s="2854"/>
      <c r="KU9" s="2854"/>
      <c r="KV9" s="2854"/>
      <c r="KW9" s="2854"/>
      <c r="KX9" s="2854"/>
      <c r="KY9" s="2854"/>
      <c r="KZ9" s="2854"/>
      <c r="LA9" s="2854"/>
      <c r="LB9" s="2854"/>
      <c r="LC9" s="2854"/>
      <c r="LD9" s="2854"/>
      <c r="LE9" s="2854"/>
      <c r="LF9" s="2854"/>
      <c r="LG9" s="2854"/>
      <c r="LH9" s="2854"/>
      <c r="LI9" s="2854"/>
      <c r="LJ9" s="2854"/>
      <c r="LK9" s="2854"/>
      <c r="LL9" s="2854"/>
      <c r="LM9" s="2854"/>
      <c r="LN9" s="2854"/>
      <c r="LO9" s="2854"/>
      <c r="LP9" s="2854"/>
      <c r="LQ9" s="2854"/>
      <c r="LR9" s="2854"/>
      <c r="LS9" s="2854"/>
      <c r="LT9" s="2854"/>
      <c r="LU9" s="2854"/>
      <c r="LV9" s="2854"/>
      <c r="LW9" s="2854"/>
      <c r="LX9" s="2854"/>
      <c r="LY9" s="2854"/>
      <c r="LZ9" s="2854"/>
      <c r="MA9" s="2854"/>
      <c r="MB9" s="2854"/>
      <c r="MC9" s="2854"/>
      <c r="MD9" s="2854"/>
      <c r="ME9" s="2854"/>
      <c r="MF9" s="2854"/>
      <c r="MG9" s="2854"/>
      <c r="MH9" s="2854"/>
      <c r="MI9" s="2854"/>
      <c r="MJ9" s="2854"/>
      <c r="MK9" s="2854"/>
      <c r="ML9" s="2854"/>
      <c r="MM9" s="2854"/>
      <c r="MN9" s="2854"/>
      <c r="MO9" s="2854"/>
      <c r="MP9" s="2854"/>
      <c r="MQ9" s="2854"/>
      <c r="MR9" s="2854"/>
      <c r="MS9" s="2854"/>
      <c r="MT9" s="2854"/>
      <c r="MU9" s="2854"/>
      <c r="MV9" s="2854"/>
      <c r="MW9" s="2854"/>
      <c r="MX9" s="2854"/>
      <c r="MY9" s="2854"/>
      <c r="MZ9" s="2854"/>
      <c r="NA9" s="2854"/>
      <c r="NB9" s="2854"/>
      <c r="NC9" s="2854"/>
      <c r="ND9" s="2854"/>
      <c r="NE9" s="2854"/>
      <c r="NF9" s="2854"/>
      <c r="NG9" s="2854"/>
      <c r="NH9" s="2854"/>
      <c r="NI9" s="2854"/>
      <c r="NJ9" s="2854"/>
      <c r="NK9" s="2854"/>
      <c r="NL9" s="2854"/>
      <c r="NM9" s="2854"/>
      <c r="NN9" s="2854"/>
      <c r="NO9" s="2854"/>
      <c r="NP9" s="2854"/>
      <c r="NQ9" s="2854"/>
      <c r="NR9" s="2854"/>
      <c r="NS9" s="2854"/>
      <c r="NT9" s="2854"/>
      <c r="NU9" s="2854"/>
      <c r="NV9" s="2854"/>
      <c r="NW9" s="2854"/>
      <c r="NX9" s="2854"/>
      <c r="NY9" s="2854"/>
      <c r="NZ9" s="2854"/>
      <c r="OA9" s="2854"/>
      <c r="OB9" s="2854"/>
      <c r="OC9" s="2854"/>
      <c r="OD9" s="2854"/>
      <c r="OE9" s="2854"/>
      <c r="OF9" s="2854"/>
      <c r="OG9" s="2854"/>
      <c r="OH9" s="2854"/>
      <c r="OI9" s="2854"/>
      <c r="OJ9" s="2854"/>
      <c r="OK9" s="2854"/>
      <c r="OL9" s="2854"/>
      <c r="OM9" s="2854"/>
      <c r="ON9" s="2854"/>
      <c r="OO9" s="2854"/>
      <c r="OP9" s="2854"/>
      <c r="OQ9" s="2854"/>
      <c r="OR9" s="2854"/>
      <c r="OS9" s="2854"/>
      <c r="OT9" s="2854"/>
      <c r="OU9" s="2854"/>
      <c r="OV9" s="2854"/>
      <c r="OW9" s="2854"/>
      <c r="OX9" s="2854"/>
      <c r="OY9" s="2854"/>
      <c r="OZ9" s="2854"/>
      <c r="PA9" s="2854"/>
      <c r="PB9" s="2854"/>
      <c r="PC9" s="2854"/>
      <c r="PD9" s="2854"/>
      <c r="PE9" s="2854"/>
      <c r="PF9" s="2854"/>
      <c r="PG9" s="2854"/>
      <c r="PH9" s="2854"/>
      <c r="PI9" s="2854"/>
      <c r="PJ9" s="2854"/>
      <c r="PK9" s="2854"/>
      <c r="PL9" s="2854"/>
      <c r="PM9" s="2854"/>
      <c r="PN9" s="2854"/>
      <c r="PO9" s="2854"/>
      <c r="PP9" s="2854"/>
      <c r="PQ9" s="2854"/>
      <c r="PR9" s="2854"/>
      <c r="PS9" s="2854"/>
      <c r="PT9" s="2854"/>
      <c r="PU9" s="2854"/>
      <c r="PV9" s="2854"/>
      <c r="PW9" s="2854"/>
      <c r="PX9" s="2854"/>
      <c r="PY9" s="2854"/>
      <c r="PZ9" s="2854"/>
      <c r="QA9" s="2854"/>
      <c r="QB9" s="2854"/>
      <c r="QC9" s="2854"/>
      <c r="QD9" s="2854"/>
      <c r="QE9" s="2854"/>
      <c r="QF9" s="2854"/>
      <c r="QG9" s="2854"/>
      <c r="QH9" s="2854"/>
      <c r="QI9" s="2854"/>
      <c r="QJ9" s="2854"/>
      <c r="QK9" s="2854"/>
      <c r="QL9" s="2854"/>
      <c r="QM9" s="2854"/>
      <c r="QN9" s="2854"/>
      <c r="QO9" s="2854"/>
      <c r="QP9" s="2854"/>
      <c r="QQ9" s="2854"/>
      <c r="QR9" s="2854"/>
      <c r="QS9" s="2854"/>
      <c r="QT9" s="2854"/>
      <c r="QU9" s="2854"/>
      <c r="QV9" s="2854"/>
      <c r="QW9" s="2854"/>
      <c r="QX9" s="2854"/>
      <c r="QY9" s="2854"/>
      <c r="QZ9" s="2854"/>
      <c r="RA9" s="2854"/>
      <c r="RB9" s="2854"/>
      <c r="RC9" s="2854"/>
      <c r="RD9" s="2854"/>
      <c r="RE9" s="2854"/>
      <c r="RF9" s="2854"/>
      <c r="RG9" s="2854"/>
      <c r="RH9" s="2854"/>
      <c r="RI9" s="2854"/>
      <c r="RJ9" s="2854"/>
      <c r="RK9" s="2854"/>
      <c r="RL9" s="2854"/>
      <c r="RM9" s="2854"/>
      <c r="RN9" s="2854"/>
      <c r="RO9" s="2854"/>
      <c r="RP9" s="2854"/>
      <c r="RQ9" s="2854"/>
      <c r="RR9" s="2854"/>
      <c r="RS9" s="2854"/>
      <c r="RT9" s="2854"/>
      <c r="RU9" s="2854"/>
      <c r="RV9" s="2854"/>
      <c r="RW9" s="2854"/>
      <c r="RX9" s="2854"/>
      <c r="RY9" s="2854"/>
      <c r="RZ9" s="2854"/>
      <c r="SA9" s="2854"/>
      <c r="SB9" s="2854"/>
      <c r="SC9" s="2854"/>
      <c r="SD9" s="2854"/>
      <c r="SE9" s="2854"/>
      <c r="SF9" s="2854"/>
      <c r="SG9" s="2854"/>
      <c r="SH9" s="2854"/>
      <c r="SI9" s="2854"/>
      <c r="SJ9" s="2854"/>
      <c r="SK9" s="2854"/>
      <c r="SL9" s="2854"/>
      <c r="SM9" s="2854"/>
      <c r="SN9" s="2854"/>
      <c r="SO9" s="2854"/>
      <c r="SP9" s="2854"/>
      <c r="SQ9" s="2854"/>
      <c r="SR9" s="2854"/>
      <c r="SS9" s="2854"/>
      <c r="ST9" s="2854"/>
      <c r="SU9" s="2854"/>
      <c r="SV9" s="2854"/>
      <c r="SW9" s="2854"/>
      <c r="SX9" s="2854"/>
      <c r="SY9" s="2854"/>
      <c r="SZ9" s="2854"/>
      <c r="TA9" s="2854"/>
      <c r="TB9" s="2854"/>
      <c r="TC9" s="2854"/>
      <c r="TD9" s="2854"/>
      <c r="TE9" s="2854"/>
      <c r="TF9" s="2854"/>
      <c r="TG9" s="2854"/>
      <c r="TH9" s="2854"/>
      <c r="TI9" s="2854"/>
      <c r="TJ9" s="2854"/>
      <c r="TK9" s="2854"/>
      <c r="TL9" s="2854"/>
      <c r="TM9" s="2854"/>
      <c r="TN9" s="2854"/>
      <c r="TO9" s="2854"/>
      <c r="TP9" s="2854"/>
      <c r="TQ9" s="2854"/>
      <c r="TR9" s="2854"/>
      <c r="TS9" s="2854"/>
      <c r="TT9" s="2854"/>
      <c r="TU9" s="3783"/>
      <c r="TV9" s="3783"/>
      <c r="TW9" s="3783"/>
      <c r="TX9" s="3783"/>
      <c r="TY9" s="3783"/>
      <c r="TZ9" s="3783"/>
      <c r="UA9" s="3783"/>
      <c r="UB9" s="3783"/>
      <c r="UC9" s="3783"/>
      <c r="UD9" s="3783"/>
      <c r="UE9" s="3783"/>
      <c r="UF9" s="3783"/>
      <c r="UG9" s="3783"/>
      <c r="UH9" s="3783"/>
      <c r="UI9" s="3783"/>
      <c r="UJ9" s="3783"/>
      <c r="UK9" s="3783"/>
      <c r="UL9" s="3783"/>
      <c r="UM9" s="3783"/>
      <c r="UN9" s="3783"/>
      <c r="UO9" s="3783"/>
      <c r="UP9" s="2854"/>
      <c r="UQ9" s="2854"/>
      <c r="UR9" s="2854"/>
      <c r="US9" s="2854"/>
      <c r="UT9" s="2854"/>
      <c r="UU9" s="2854"/>
      <c r="UV9" s="2854"/>
      <c r="UW9" s="2854"/>
      <c r="UX9" s="2854"/>
      <c r="UY9" s="2854"/>
      <c r="UZ9" s="2854"/>
      <c r="VA9" s="2854"/>
      <c r="VB9" s="2854"/>
      <c r="VC9" s="2854"/>
      <c r="VD9" s="2854"/>
      <c r="VE9" s="2854"/>
      <c r="VF9" s="2854"/>
      <c r="VG9" s="2854"/>
      <c r="VH9" s="2854"/>
      <c r="VI9" s="2854"/>
      <c r="VJ9" s="2854"/>
      <c r="VK9" s="2854"/>
      <c r="VL9" s="2854"/>
      <c r="VM9" s="2854"/>
      <c r="VN9" s="2854"/>
      <c r="VO9" s="2854"/>
      <c r="VP9" s="2854"/>
      <c r="VQ9" s="2854"/>
      <c r="VR9" s="2854"/>
      <c r="VS9" s="2854"/>
      <c r="VT9" s="2854"/>
      <c r="VU9" s="2854"/>
      <c r="VV9" s="2854"/>
      <c r="VW9" s="2854"/>
      <c r="VX9" s="2854"/>
      <c r="VY9" s="2854"/>
      <c r="VZ9" s="2854"/>
      <c r="WA9" s="2854"/>
      <c r="WB9" s="2854"/>
      <c r="WC9" s="2854"/>
      <c r="WD9" s="2854"/>
      <c r="WE9" s="2854"/>
      <c r="WF9" s="2854"/>
      <c r="WG9" s="2854"/>
      <c r="WH9" s="2854"/>
      <c r="WI9" s="2854"/>
      <c r="WJ9" s="2854"/>
      <c r="WK9" s="2854"/>
      <c r="WL9" s="2854"/>
      <c r="WM9" s="2854"/>
      <c r="WN9" s="2854"/>
      <c r="WO9" s="2854"/>
      <c r="WP9" s="2854"/>
      <c r="WQ9" s="2854"/>
      <c r="WR9" s="2854"/>
      <c r="WS9" s="2854"/>
      <c r="WT9" s="2854"/>
      <c r="WU9" s="2854"/>
      <c r="WV9" s="2854"/>
      <c r="WW9" s="2854"/>
      <c r="WX9" s="2854"/>
      <c r="WY9" s="2854"/>
      <c r="WZ9" s="2854"/>
      <c r="XA9" s="2854"/>
      <c r="XB9" s="2854"/>
      <c r="XC9" s="2854"/>
      <c r="XD9" s="2854"/>
      <c r="XE9" s="2854"/>
      <c r="XF9" s="2854"/>
      <c r="XG9" s="2854"/>
      <c r="XH9" s="2854"/>
      <c r="XI9" s="2854"/>
      <c r="XJ9" s="2854"/>
      <c r="XK9" s="2854"/>
      <c r="XL9" s="2854"/>
      <c r="XM9" s="2854"/>
      <c r="XN9" s="2854"/>
      <c r="XO9" s="2854"/>
      <c r="XP9" s="2854"/>
      <c r="XQ9" s="2854"/>
      <c r="XR9" s="2854"/>
      <c r="XS9" s="2854"/>
      <c r="XT9" s="2854"/>
      <c r="XU9" s="2854"/>
      <c r="XV9" s="2854"/>
      <c r="XW9" s="2854"/>
      <c r="XX9" s="2854"/>
      <c r="XY9" s="2854"/>
      <c r="XZ9" s="2854"/>
      <c r="YA9" s="2854"/>
      <c r="YB9" s="2854"/>
      <c r="YC9" s="2854"/>
      <c r="YD9" s="2854"/>
      <c r="YE9" s="2854"/>
      <c r="YF9" s="2854"/>
      <c r="YG9" s="2854"/>
      <c r="YH9" s="2854"/>
      <c r="YI9" s="2854"/>
      <c r="YJ9" s="2854"/>
      <c r="YK9" s="2854"/>
      <c r="YL9" s="2854"/>
      <c r="YM9" s="2854"/>
      <c r="YN9" s="2854"/>
      <c r="YO9" s="2854"/>
      <c r="YP9" s="2854"/>
      <c r="YQ9" s="2854"/>
      <c r="YR9" s="2854"/>
      <c r="YS9" s="2854"/>
      <c r="YT9" s="2854"/>
      <c r="YU9" s="2854"/>
      <c r="YV9" s="2854"/>
      <c r="YW9" s="2854"/>
      <c r="YX9" s="2854"/>
      <c r="YY9" s="2854"/>
      <c r="YZ9" s="2854"/>
      <c r="ZA9" s="2854"/>
      <c r="ZB9" s="2854"/>
      <c r="ZC9" s="2854"/>
      <c r="ZD9" s="2854"/>
      <c r="ZE9" s="2854"/>
      <c r="ZF9" s="2854"/>
      <c r="ZG9" s="2854"/>
      <c r="ZH9" s="2854"/>
      <c r="ZI9" s="2854"/>
      <c r="ZJ9" s="2854"/>
      <c r="ZK9" s="2854"/>
      <c r="ZL9" s="2854"/>
      <c r="ZM9" s="2854"/>
      <c r="ZN9" s="2854"/>
      <c r="ZO9" s="2854"/>
      <c r="ZP9" s="2854"/>
      <c r="ZQ9" s="2854"/>
      <c r="ZR9" s="2854"/>
      <c r="ZS9" s="2854"/>
      <c r="ZT9" s="2854"/>
      <c r="ZU9" s="2854"/>
      <c r="ZV9" s="2854"/>
      <c r="ZW9" s="2854"/>
      <c r="ZX9" s="2854"/>
      <c r="ZY9" s="2854"/>
      <c r="ZZ9" s="2854"/>
      <c r="AAA9" s="2854"/>
      <c r="AAB9" s="2854"/>
      <c r="AAC9" s="2854"/>
      <c r="AAD9" s="2854"/>
      <c r="AAE9" s="2854"/>
      <c r="AAF9" s="2854"/>
      <c r="AAG9" s="2854"/>
      <c r="AAH9" s="2854"/>
      <c r="AAI9" s="2854"/>
      <c r="AAJ9" s="2854"/>
      <c r="AAK9" s="2854"/>
      <c r="AAL9" s="2854"/>
      <c r="AAM9" s="2854"/>
      <c r="AAN9" s="2854"/>
      <c r="AAO9" s="2854"/>
      <c r="AAP9" s="2854"/>
      <c r="AAQ9" s="2854"/>
      <c r="AAR9" s="2854"/>
      <c r="AAS9" s="2854"/>
      <c r="AAT9" s="2854"/>
      <c r="AAU9" s="2854"/>
      <c r="AAV9" s="2854"/>
      <c r="AAW9" s="2854"/>
      <c r="AAX9" s="2854"/>
      <c r="AAY9" s="2854"/>
      <c r="AAZ9" s="2854"/>
      <c r="ABA9" s="2854"/>
      <c r="ABB9" s="2854"/>
      <c r="ABC9" s="2854"/>
      <c r="ABD9" s="2854"/>
      <c r="ABE9" s="2854"/>
      <c r="ABF9" s="2854"/>
      <c r="ABG9" s="2854"/>
      <c r="ABH9" s="2854"/>
      <c r="ABI9" s="2854"/>
      <c r="ABJ9" s="2854"/>
      <c r="ABK9" s="2854"/>
      <c r="ABL9" s="2854"/>
      <c r="ABM9" s="2854"/>
      <c r="ABN9" s="2854"/>
      <c r="ABO9" s="2854"/>
      <c r="ABP9" s="2854"/>
      <c r="ABQ9" s="2854"/>
      <c r="ABR9" s="2854"/>
      <c r="ABS9" s="2854"/>
      <c r="ABT9" s="2854"/>
      <c r="ABU9" s="2854"/>
      <c r="ABV9" s="2854"/>
      <c r="ABW9" s="2854"/>
      <c r="ABX9" s="2854"/>
      <c r="ABY9" s="2854"/>
      <c r="ABZ9" s="2854"/>
      <c r="ACA9" s="2854"/>
      <c r="ACB9" s="2854"/>
      <c r="ACC9" s="2854"/>
      <c r="ACD9" s="2854"/>
      <c r="ACE9" s="2854"/>
      <c r="ACF9" s="2854"/>
      <c r="ACG9" s="2854"/>
      <c r="ACH9" s="2854"/>
      <c r="ACI9" s="2854"/>
      <c r="ACJ9" s="2854"/>
      <c r="ACK9" s="2854"/>
      <c r="ACL9" s="2854"/>
      <c r="ACM9" s="2854"/>
      <c r="ACN9" s="2854"/>
      <c r="ACO9" s="2854"/>
      <c r="ACP9" s="2854"/>
      <c r="ACQ9" s="2854"/>
      <c r="ACR9" s="2854"/>
      <c r="ACS9" s="2854"/>
      <c r="ACT9" s="2854"/>
      <c r="ACU9" s="2854"/>
      <c r="ACV9" s="2854"/>
      <c r="ACW9" s="2854"/>
      <c r="ACX9" s="2854"/>
      <c r="ACY9" s="2854"/>
      <c r="ACZ9" s="2854"/>
      <c r="ADA9" s="2854"/>
      <c r="ADB9" s="2854"/>
      <c r="ADC9" s="2854"/>
      <c r="ADD9" s="2854"/>
      <c r="ADE9" s="2854"/>
      <c r="ADF9" s="2854"/>
      <c r="ADG9" s="2854"/>
      <c r="ADH9" s="2854"/>
      <c r="ADI9" s="2854"/>
      <c r="ADJ9" s="2854"/>
      <c r="ADK9" s="2854"/>
      <c r="ADL9" s="2854"/>
      <c r="ADM9" s="2854"/>
      <c r="ADN9" s="2854"/>
      <c r="ADO9" s="2854"/>
      <c r="ADP9" s="2854"/>
      <c r="ADQ9" s="2854"/>
      <c r="ADR9" s="2854"/>
      <c r="ADS9" s="2854"/>
      <c r="ADT9" s="2854"/>
      <c r="ADU9" s="2854"/>
      <c r="ADV9" s="2854"/>
      <c r="ADW9" s="2854"/>
      <c r="ADX9" s="2854"/>
      <c r="ADY9" s="2854"/>
      <c r="ADZ9" s="2854"/>
      <c r="AEA9" s="2854"/>
      <c r="AEB9" s="2854"/>
      <c r="AEC9" s="2854"/>
      <c r="AED9" s="2854"/>
      <c r="AEE9" s="2854"/>
      <c r="AEF9" s="2854"/>
      <c r="AEG9" s="2854"/>
      <c r="AEH9" s="2854"/>
      <c r="AEI9" s="2854"/>
      <c r="AEJ9" s="2854"/>
      <c r="AEK9" s="2854"/>
      <c r="AEL9" s="2854"/>
      <c r="AEM9" s="2854"/>
      <c r="AEN9" s="2854"/>
      <c r="AEO9" s="2854"/>
      <c r="AEP9" s="2854"/>
      <c r="AEQ9" s="2854"/>
      <c r="AER9" s="2854"/>
      <c r="AES9" s="2854"/>
      <c r="AET9" s="2854"/>
      <c r="AEU9" s="2854"/>
      <c r="AEV9" s="2854"/>
      <c r="AEW9" s="2854"/>
      <c r="AEX9" s="2854"/>
      <c r="AEY9" s="2854"/>
      <c r="AEZ9" s="2854"/>
      <c r="AFA9" s="2854"/>
      <c r="AFB9" s="2854"/>
      <c r="AFC9" s="2854"/>
      <c r="AFD9" s="2854"/>
      <c r="AFE9" s="2854"/>
      <c r="AFF9" s="2854"/>
      <c r="AFG9" s="2854"/>
      <c r="AFH9" s="2854"/>
      <c r="AFI9" s="2854"/>
      <c r="AFJ9" s="2854"/>
      <c r="AFK9" s="2854"/>
      <c r="AFL9" s="2854"/>
      <c r="AFM9" s="2854"/>
      <c r="AFN9" s="2854"/>
      <c r="AFO9" s="2854"/>
      <c r="AFP9" s="2854"/>
      <c r="AFQ9" s="2854"/>
      <c r="AFR9" s="2854"/>
      <c r="AFS9" s="2854"/>
      <c r="AFT9" s="2854"/>
      <c r="AFU9" s="2854"/>
      <c r="AFV9" s="2854"/>
      <c r="AFW9" s="2854"/>
      <c r="AFX9" s="2854"/>
      <c r="AFY9" s="2854"/>
      <c r="AFZ9" s="2854"/>
      <c r="AGA9" s="2854"/>
      <c r="AGB9" s="2854"/>
      <c r="AGC9" s="2854"/>
      <c r="AGD9" s="2854"/>
      <c r="AGE9" s="2854"/>
      <c r="AGF9" s="2854"/>
      <c r="AGG9" s="2854"/>
      <c r="AGH9" s="2854"/>
      <c r="AGI9" s="2854"/>
      <c r="AGJ9" s="2854"/>
      <c r="AGK9" s="2854"/>
      <c r="AGL9" s="2854"/>
      <c r="AGM9" s="2854"/>
      <c r="AGN9" s="2854"/>
      <c r="AGO9" s="2854"/>
      <c r="AGP9" s="2854"/>
      <c r="AGQ9" s="2854"/>
      <c r="AGR9" s="2854"/>
      <c r="AGS9" s="2854"/>
      <c r="AGT9" s="2854"/>
      <c r="AGU9" s="2854"/>
      <c r="AGV9" s="2854"/>
      <c r="AGW9" s="2854"/>
      <c r="AGX9" s="2854"/>
      <c r="AGY9" s="2854"/>
      <c r="AGZ9" s="2854"/>
      <c r="AHA9" s="2854"/>
      <c r="AHB9" s="2854"/>
      <c r="AHC9" s="2854"/>
      <c r="AHD9" s="2854"/>
      <c r="AHE9" s="2854"/>
      <c r="AHF9" s="2854"/>
      <c r="AHG9" s="2854"/>
      <c r="AHH9" s="2854"/>
      <c r="AHI9" s="2854"/>
      <c r="AHJ9" s="2854"/>
      <c r="AHK9" s="2854"/>
      <c r="AHL9" s="2854"/>
      <c r="AHM9" s="2854"/>
      <c r="AHN9" s="2854"/>
      <c r="AHO9" s="2854"/>
      <c r="AHP9" s="2854"/>
      <c r="AHQ9" s="2854"/>
      <c r="AHR9" s="2854"/>
      <c r="AHS9" s="2854"/>
      <c r="AHT9" s="2854"/>
      <c r="AHU9" s="2854"/>
      <c r="AHV9" s="2854"/>
      <c r="AHW9" s="2854"/>
      <c r="AHX9" s="2854"/>
      <c r="AHY9" s="2854"/>
      <c r="AHZ9" s="2854"/>
      <c r="AIA9" s="2854"/>
      <c r="AIB9" s="2854"/>
      <c r="AIC9" s="2854"/>
      <c r="AID9" s="2854"/>
      <c r="AIE9" s="2854"/>
      <c r="AIF9" s="2854"/>
      <c r="AIG9" s="2854"/>
      <c r="AIH9" s="2854"/>
      <c r="AII9" s="2854"/>
      <c r="AIJ9" s="2854"/>
      <c r="AIK9" s="2854"/>
      <c r="AIL9" s="2854"/>
      <c r="AIM9" s="2854"/>
      <c r="AIN9" s="2854"/>
      <c r="AIO9" s="2854"/>
      <c r="AIP9" s="2854"/>
      <c r="AIQ9" s="2854"/>
      <c r="AIR9" s="2854"/>
      <c r="AIS9" s="2854"/>
      <c r="AIT9" s="2854"/>
      <c r="AIU9" s="2854"/>
      <c r="AIV9" s="2854"/>
      <c r="AIW9" s="2854"/>
      <c r="AIX9" s="2854"/>
      <c r="AIY9" s="2854"/>
      <c r="AIZ9" s="2854"/>
      <c r="AJA9" s="2854"/>
      <c r="AJB9" s="2854"/>
      <c r="AJC9" s="2854"/>
      <c r="AJD9" s="2854"/>
      <c r="AJE9" s="2854"/>
      <c r="AJF9" s="2854"/>
      <c r="AJG9" s="2854"/>
      <c r="AJH9" s="2854"/>
      <c r="AJI9" s="2854"/>
      <c r="AJJ9" s="2854"/>
      <c r="AJK9" s="2854"/>
      <c r="AJL9" s="2854"/>
      <c r="AJM9" s="2854"/>
      <c r="AJN9" s="2854"/>
      <c r="AJO9" s="2854"/>
      <c r="AJP9" s="2854"/>
      <c r="AJQ9" s="2854"/>
      <c r="AJR9" s="2854"/>
      <c r="AJS9" s="2854"/>
      <c r="AJT9" s="2854"/>
      <c r="AJU9" s="2854"/>
      <c r="AJV9" s="2854"/>
      <c r="AJW9" s="2854"/>
      <c r="AJX9" s="2854"/>
      <c r="AJY9" s="2854"/>
      <c r="AJZ9" s="2854"/>
      <c r="AKA9" s="2854"/>
      <c r="AKB9" s="2854"/>
      <c r="AKC9" s="2854"/>
      <c r="AKD9" s="2854"/>
      <c r="AKE9" s="2854"/>
      <c r="AKF9" s="2854"/>
      <c r="AKG9" s="2854"/>
      <c r="AKH9" s="2854"/>
      <c r="AKI9" s="2854"/>
      <c r="AKJ9" s="2854"/>
      <c r="AKK9" s="2854"/>
      <c r="AKL9" s="2854"/>
      <c r="AKM9" s="2854"/>
      <c r="AKN9" s="2854"/>
      <c r="AKO9" s="2854"/>
      <c r="AKP9" s="2854"/>
      <c r="AKQ9" s="2854"/>
      <c r="AKR9" s="2854"/>
      <c r="AKS9" s="2854"/>
      <c r="AKT9" s="2854"/>
      <c r="AKU9" s="2854"/>
      <c r="AKV9" s="2854"/>
      <c r="AKW9" s="2854"/>
      <c r="AKX9" s="2854"/>
      <c r="AKY9" s="2854"/>
      <c r="AKZ9" s="2854"/>
      <c r="ALA9" s="2854"/>
      <c r="ALB9" s="2854"/>
      <c r="ALC9" s="2854"/>
      <c r="ALD9" s="2854"/>
      <c r="ALE9" s="2854"/>
      <c r="ALF9" s="2854"/>
      <c r="ALG9" s="2854"/>
      <c r="ALH9" s="2854"/>
      <c r="ALI9" s="2854"/>
      <c r="ALJ9" s="2854"/>
      <c r="ALK9" s="2854"/>
      <c r="ALL9" s="2854"/>
      <c r="ALM9" s="2854"/>
      <c r="ALN9" s="2854"/>
      <c r="ALO9" s="2854"/>
      <c r="ALP9" s="2854"/>
      <c r="ALQ9" s="2854"/>
      <c r="ALR9" s="2854"/>
      <c r="ALS9" s="2854"/>
      <c r="ALT9" s="2854"/>
      <c r="ALU9" s="2854"/>
      <c r="ALV9" s="2854"/>
      <c r="ALW9" s="2854"/>
      <c r="ALX9" s="2854"/>
      <c r="ALY9" s="2854"/>
      <c r="ALZ9" s="2854"/>
      <c r="AMA9" s="2854"/>
      <c r="AMB9" s="2854"/>
      <c r="AMC9" s="2854"/>
      <c r="AMD9" s="2854"/>
      <c r="AME9" s="2854"/>
      <c r="AMF9" s="2854"/>
      <c r="AMG9" s="2854"/>
      <c r="AMH9" s="2854"/>
      <c r="AMI9" s="2854"/>
      <c r="AMJ9" s="2854"/>
      <c r="AMK9" s="2854"/>
      <c r="AML9" s="2854"/>
      <c r="AMM9" s="2854"/>
      <c r="AMN9" s="2854"/>
      <c r="AMO9" s="2854"/>
      <c r="AMP9" s="2854"/>
      <c r="AMQ9" s="2854"/>
      <c r="AMR9" s="2854"/>
      <c r="AMS9" s="2854"/>
      <c r="AMT9" s="2854"/>
      <c r="AMU9" s="2854"/>
      <c r="AMV9" s="2854"/>
      <c r="AMW9" s="2854"/>
      <c r="AMX9" s="2854"/>
      <c r="AMY9" s="2854"/>
      <c r="AMZ9" s="2854"/>
      <c r="ANA9" s="2854"/>
      <c r="ANB9" s="2854"/>
      <c r="ANC9" s="2854"/>
      <c r="AND9" s="2854"/>
      <c r="ANE9" s="2854"/>
      <c r="ANF9" s="2854"/>
      <c r="ANG9" s="2854"/>
      <c r="ANH9" s="2854"/>
      <c r="ANI9" s="2854"/>
      <c r="ANJ9" s="2854"/>
      <c r="ANK9" s="2854"/>
      <c r="ANL9" s="2854"/>
      <c r="ANM9" s="2854"/>
      <c r="ANN9" s="2854"/>
      <c r="ANO9" s="2854"/>
      <c r="ANP9" s="2854"/>
      <c r="ANQ9" s="2854"/>
      <c r="ANR9" s="2854"/>
      <c r="ANS9" s="2854"/>
      <c r="ANT9" s="2854"/>
      <c r="ANU9" s="2854"/>
      <c r="ANV9" s="2854"/>
      <c r="ANW9" s="2854"/>
      <c r="ANX9" s="2854"/>
      <c r="ANY9" s="2854"/>
      <c r="ANZ9" s="2854"/>
      <c r="AOA9" s="2854"/>
      <c r="AOB9" s="2854"/>
      <c r="AOC9" s="2854"/>
      <c r="AOD9" s="2854"/>
      <c r="AOE9" s="2854"/>
      <c r="AOF9" s="2854"/>
      <c r="AOG9" s="2854"/>
      <c r="AOH9" s="2854"/>
      <c r="AOI9" s="2854"/>
      <c r="AOJ9" s="2854"/>
      <c r="AOK9" s="2854"/>
      <c r="AOL9" s="2854"/>
      <c r="AOM9" s="2854"/>
      <c r="AON9" s="2854"/>
      <c r="AOO9" s="2854"/>
      <c r="AOP9" s="2854"/>
      <c r="AOQ9" s="2854"/>
      <c r="AOR9" s="2854"/>
      <c r="AOS9" s="2854"/>
      <c r="AOT9" s="2854"/>
      <c r="AOU9" s="2854"/>
      <c r="AOV9" s="2854"/>
      <c r="AOW9" s="2854"/>
      <c r="AOX9" s="2854"/>
      <c r="AOY9" s="2854"/>
      <c r="AOZ9" s="2854"/>
      <c r="APA9" s="2854"/>
      <c r="APB9" s="2854"/>
      <c r="APC9" s="2854"/>
      <c r="APD9" s="2854"/>
      <c r="APE9" s="2854"/>
      <c r="APF9" s="2854"/>
      <c r="APG9" s="2854"/>
      <c r="APH9" s="2854"/>
      <c r="API9" s="2854"/>
      <c r="APJ9" s="2854"/>
      <c r="APK9" s="2854"/>
      <c r="APL9" s="2854"/>
      <c r="APM9" s="2854"/>
      <c r="APN9" s="2854"/>
      <c r="APO9" s="2854"/>
      <c r="APP9" s="2854"/>
      <c r="APQ9" s="2854"/>
      <c r="APR9" s="2854"/>
      <c r="APS9" s="2854"/>
      <c r="APT9" s="2854"/>
      <c r="APU9" s="2854"/>
      <c r="APV9" s="2854"/>
      <c r="APW9" s="2854"/>
      <c r="APX9" s="2854"/>
      <c r="APY9" s="2854"/>
      <c r="APZ9" s="2854"/>
      <c r="AQA9" s="2854"/>
      <c r="AQB9" s="2854"/>
      <c r="AQC9" s="2854"/>
      <c r="AQD9" s="2854"/>
      <c r="AQE9" s="2854"/>
      <c r="AQF9" s="2854"/>
      <c r="AQG9" s="2854"/>
      <c r="AQH9" s="2854"/>
      <c r="AQI9" s="2854"/>
      <c r="AQJ9" s="2854"/>
      <c r="AQK9" s="2854"/>
      <c r="AQL9" s="2854"/>
      <c r="AQM9" s="2854"/>
      <c r="AQN9" s="2854"/>
      <c r="AQO9" s="2854"/>
      <c r="AQP9" s="2854"/>
      <c r="AQQ9" s="2854"/>
      <c r="AQR9" s="2854"/>
      <c r="AQS9" s="2854"/>
      <c r="AQT9" s="2854"/>
      <c r="AQU9" s="2854"/>
      <c r="AQV9" s="2854"/>
      <c r="AQW9" s="2854"/>
      <c r="AQX9" s="2854"/>
      <c r="AQY9" s="2854"/>
      <c r="AQZ9" s="2854"/>
      <c r="ARA9" s="2854"/>
      <c r="ARB9" s="2854"/>
      <c r="ARC9" s="2854"/>
      <c r="ARD9" s="2854"/>
      <c r="ARE9" s="2854"/>
      <c r="ARF9" s="2854"/>
      <c r="ARG9" s="2854"/>
      <c r="ARH9" s="2854"/>
      <c r="ARI9" s="2854"/>
      <c r="ARJ9" s="2854"/>
      <c r="ARK9" s="2854"/>
      <c r="ARL9" s="2854"/>
      <c r="ARM9" s="2854"/>
      <c r="ARN9" s="2854"/>
      <c r="ARO9" s="2854"/>
      <c r="ARP9" s="2854"/>
      <c r="ARQ9" s="2854"/>
      <c r="ARR9" s="2854"/>
      <c r="ARS9" s="2854"/>
      <c r="ART9" s="2854"/>
      <c r="ARU9" s="2854"/>
      <c r="ARV9" s="2854"/>
      <c r="ARW9" s="2854"/>
      <c r="ARX9" s="2854"/>
      <c r="ARY9" s="2854"/>
      <c r="ARZ9" s="2854"/>
      <c r="ASA9" s="2854"/>
      <c r="ASB9" s="2854"/>
      <c r="ASC9" s="2854"/>
      <c r="ASD9" s="2854"/>
      <c r="ASE9" s="2854"/>
      <c r="ASF9" s="2854"/>
      <c r="ASG9" s="2854"/>
      <c r="ASH9" s="2854"/>
      <c r="ASI9" s="2854"/>
      <c r="ASJ9" s="2854"/>
      <c r="ASK9" s="2854"/>
      <c r="ASL9" s="2854"/>
      <c r="ASM9" s="2854"/>
      <c r="ASN9" s="2854"/>
      <c r="ASO9" s="2854"/>
      <c r="ASP9" s="2854"/>
      <c r="ASQ9" s="2854"/>
      <c r="ASR9" s="2854"/>
      <c r="ASS9" s="2854"/>
      <c r="AST9" s="2854"/>
      <c r="ASU9" s="2854"/>
      <c r="ASV9" s="2854"/>
      <c r="ASW9" s="2854"/>
      <c r="ASX9" s="2854"/>
      <c r="ASY9" s="2854"/>
      <c r="ASZ9" s="2854"/>
      <c r="ATA9" s="2854"/>
      <c r="ATB9" s="2854"/>
      <c r="ATC9" s="2854"/>
      <c r="ATD9" s="2854"/>
      <c r="ATE9" s="2854"/>
      <c r="ATF9" s="2854"/>
      <c r="ATG9" s="2854"/>
      <c r="ATH9" s="2854"/>
      <c r="ATI9" s="2854"/>
      <c r="ATJ9" s="2854"/>
      <c r="ATK9" s="2854"/>
      <c r="ATL9" s="2854"/>
      <c r="ATM9" s="2854"/>
      <c r="ATN9" s="2854"/>
      <c r="ATO9" s="2854"/>
      <c r="ATP9" s="2854"/>
      <c r="ATQ9" s="2854"/>
      <c r="ATR9" s="2854"/>
      <c r="ATS9" s="2854"/>
      <c r="ATT9" s="2854"/>
      <c r="ATU9" s="2854"/>
      <c r="ATV9" s="2854"/>
      <c r="ATW9" s="2854"/>
      <c r="ATX9" s="2854"/>
      <c r="ATY9" s="2854"/>
      <c r="ATZ9" s="2854"/>
      <c r="AUA9" s="2854"/>
      <c r="AUB9" s="2854"/>
      <c r="AUC9" s="2854"/>
      <c r="AUD9" s="2854"/>
      <c r="AUE9" s="2854"/>
      <c r="AUF9" s="2854"/>
      <c r="AUG9" s="2854"/>
      <c r="AUH9" s="2854"/>
      <c r="AUI9" s="2854"/>
      <c r="AUJ9" s="2854"/>
      <c r="AUK9" s="2854"/>
      <c r="AUL9" s="2854"/>
      <c r="AUM9" s="2854"/>
      <c r="AUN9" s="2854"/>
      <c r="AUO9" s="2854"/>
      <c r="AUP9" s="2854"/>
      <c r="AUQ9" s="2854"/>
      <c r="AUR9" s="2854"/>
      <c r="AUS9" s="2854"/>
      <c r="AUT9" s="2854"/>
      <c r="AUU9" s="2854"/>
      <c r="AUV9" s="2854"/>
      <c r="AUW9" s="2854"/>
      <c r="AUX9" s="2854"/>
      <c r="AUY9" s="2854"/>
      <c r="AUZ9" s="2854"/>
      <c r="AVA9" s="2854"/>
      <c r="AVB9" s="2854"/>
      <c r="AVC9" s="2854"/>
      <c r="AVD9" s="2854"/>
      <c r="AVE9" s="2854"/>
      <c r="AVF9" s="2854"/>
      <c r="AVG9" s="2854"/>
      <c r="AVH9" s="2854"/>
      <c r="AVI9" s="2854"/>
      <c r="AVJ9" s="2854"/>
      <c r="AVK9" s="2854"/>
      <c r="AVL9" s="2854"/>
      <c r="AVM9" s="2854"/>
      <c r="AVN9" s="2854"/>
      <c r="AVO9" s="2854"/>
      <c r="AVP9" s="2854"/>
      <c r="AVQ9" s="2854"/>
      <c r="AVR9" s="2854"/>
      <c r="AVS9" s="2854"/>
      <c r="AVT9" s="2854"/>
      <c r="AVU9" s="2854"/>
      <c r="AVV9" s="2854"/>
      <c r="AVW9" s="2854"/>
      <c r="AVX9" s="2854"/>
      <c r="AVY9" s="2854"/>
      <c r="AVZ9" s="2854"/>
      <c r="AWA9" s="2854"/>
      <c r="AWB9" s="2854"/>
      <c r="AWC9" s="2854"/>
      <c r="AWD9" s="2854"/>
      <c r="AWE9" s="2854"/>
      <c r="AWF9" s="2854"/>
      <c r="AWG9" s="2854"/>
      <c r="AWH9" s="2854"/>
      <c r="AWI9" s="2854"/>
      <c r="AWJ9" s="2854"/>
      <c r="AWK9" s="2854"/>
      <c r="AWL9" s="2854"/>
      <c r="AWM9" s="2854"/>
      <c r="AWN9" s="2854"/>
      <c r="AWO9" s="2854"/>
      <c r="AWP9" s="2854"/>
      <c r="AWQ9" s="2854"/>
      <c r="AWR9" s="2854"/>
      <c r="AWS9" s="2854"/>
      <c r="AWT9" s="2854"/>
      <c r="AWU9" s="2854"/>
      <c r="AWV9" s="2854"/>
      <c r="AWW9" s="2854"/>
      <c r="AWX9" s="2854"/>
      <c r="AWY9" s="2854"/>
      <c r="AWZ9" s="2854"/>
      <c r="AXA9" s="2854"/>
      <c r="AXB9" s="2854"/>
      <c r="AXC9" s="2854"/>
      <c r="AXD9" s="2854"/>
      <c r="AXE9" s="2854"/>
      <c r="AXF9" s="2854"/>
      <c r="AXG9" s="2854"/>
      <c r="AXH9" s="2854"/>
      <c r="AXI9" s="2854"/>
      <c r="AXJ9" s="2854"/>
      <c r="AXK9" s="2854"/>
      <c r="AXL9" s="2854"/>
      <c r="AXM9" s="2854"/>
      <c r="AXN9" s="2854"/>
      <c r="AXO9" s="2854"/>
      <c r="AXP9" s="2854"/>
      <c r="AXQ9" s="2854"/>
      <c r="AXR9" s="2854"/>
      <c r="AXS9" s="2854"/>
      <c r="AXT9" s="2854"/>
      <c r="AXU9" s="2854"/>
      <c r="AXV9" s="2854"/>
      <c r="AXW9" s="2854"/>
      <c r="AXX9" s="2854"/>
      <c r="AXY9" s="2854"/>
      <c r="AXZ9" s="2854"/>
      <c r="AYA9" s="2854"/>
      <c r="AYB9" s="2854"/>
      <c r="AYC9" s="2854"/>
      <c r="AYD9" s="2854"/>
      <c r="AYE9" s="2854"/>
      <c r="AYF9" s="2854"/>
      <c r="AYG9" s="2854"/>
      <c r="AYH9" s="2854"/>
      <c r="AYI9" s="2854"/>
      <c r="AYJ9" s="2854"/>
      <c r="AYK9" s="2854"/>
      <c r="AYL9" s="2854"/>
      <c r="AYM9" s="2854"/>
      <c r="AYN9" s="2854"/>
      <c r="AYO9" s="2854"/>
      <c r="AYP9" s="2854"/>
      <c r="AYQ9" s="2854"/>
      <c r="AYR9" s="2854"/>
      <c r="AYS9" s="2854"/>
      <c r="AYT9" s="2854"/>
      <c r="AYU9" s="2854"/>
      <c r="AYV9" s="2854"/>
      <c r="AYW9" s="2854"/>
      <c r="AYX9" s="2854"/>
      <c r="AYY9" s="2854"/>
      <c r="AYZ9" s="2854"/>
      <c r="AZA9" s="2854"/>
      <c r="AZB9" s="2854"/>
      <c r="AZC9" s="2854"/>
      <c r="AZD9" s="2854"/>
      <c r="AZE9" s="2854"/>
      <c r="AZF9" s="2854"/>
      <c r="AZG9" s="2854"/>
      <c r="AZH9" s="2854"/>
      <c r="AZI9" s="2854"/>
      <c r="AZJ9" s="2854"/>
      <c r="AZK9" s="2854"/>
      <c r="AZL9" s="2854"/>
      <c r="AZM9" s="2854"/>
      <c r="AZN9" s="2854"/>
      <c r="AZO9" s="2854"/>
      <c r="AZP9" s="2854"/>
      <c r="AZQ9" s="2854"/>
      <c r="AZR9" s="2854"/>
      <c r="AZS9" s="2854"/>
      <c r="AZT9" s="2854"/>
      <c r="AZU9" s="2854"/>
      <c r="AZV9" s="2854"/>
      <c r="AZW9" s="2854"/>
      <c r="AZX9" s="2854"/>
      <c r="AZY9" s="2854"/>
      <c r="AZZ9" s="2854"/>
      <c r="BAA9" s="2854"/>
      <c r="BAB9" s="2854"/>
      <c r="BAC9" s="2854"/>
      <c r="BAD9" s="2854"/>
      <c r="BAE9" s="2854"/>
      <c r="BAF9" s="2854"/>
      <c r="BAG9" s="2854"/>
      <c r="BAH9" s="2854"/>
      <c r="BAI9" s="2854"/>
      <c r="BAJ9" s="2854"/>
      <c r="BAK9" s="2854"/>
      <c r="BAL9" s="2854"/>
      <c r="BAM9" s="2854"/>
      <c r="BAN9" s="2854"/>
      <c r="BAO9" s="2854"/>
      <c r="BAP9" s="2854"/>
      <c r="BAQ9" s="2854"/>
      <c r="BAR9" s="2854"/>
      <c r="BAS9" s="2854"/>
      <c r="BAT9" s="2854"/>
      <c r="BAU9" s="2854"/>
      <c r="BAV9" s="2854"/>
      <c r="BAW9" s="2854"/>
      <c r="BAX9" s="2854"/>
      <c r="BAY9" s="2854"/>
      <c r="BAZ9" s="2854"/>
      <c r="BBA9" s="2854"/>
      <c r="BBB9" s="2854"/>
      <c r="BBC9" s="2854"/>
      <c r="BBD9" s="2854"/>
      <c r="BBE9" s="2854"/>
      <c r="BBF9" s="2854"/>
      <c r="BBG9" s="2854"/>
      <c r="BBH9" s="2854"/>
      <c r="BBI9" s="2854"/>
      <c r="BBJ9" s="2854"/>
      <c r="BBK9" s="2854"/>
      <c r="BBL9" s="2854"/>
      <c r="BBM9" s="2854"/>
      <c r="BBN9" s="2854"/>
      <c r="BBO9" s="2854"/>
      <c r="BBP9" s="2854"/>
      <c r="BBQ9" s="2854"/>
      <c r="BBR9" s="2854"/>
      <c r="BBS9" s="2854"/>
      <c r="BBT9" s="2854"/>
      <c r="BBU9" s="2854"/>
      <c r="BBV9" s="2854"/>
      <c r="BBW9" s="2854"/>
      <c r="BBX9" s="2854"/>
      <c r="BBY9" s="2854"/>
      <c r="BBZ9" s="2854"/>
      <c r="BCA9" s="2854"/>
      <c r="BCB9" s="2854"/>
      <c r="BCC9" s="2854"/>
      <c r="BCD9" s="2854"/>
      <c r="BCE9" s="2854"/>
      <c r="BCF9" s="2854"/>
      <c r="BCG9" s="2854"/>
      <c r="BCH9" s="2854"/>
      <c r="BCI9" s="2854"/>
      <c r="BCJ9" s="2854"/>
      <c r="BCK9" s="2854"/>
      <c r="BCL9" s="2854"/>
      <c r="BCM9" s="2854"/>
      <c r="BCN9" s="2854"/>
      <c r="BCO9" s="2854"/>
      <c r="BCP9" s="2854"/>
      <c r="BCQ9" s="2854"/>
      <c r="BCR9" s="2854"/>
      <c r="BCS9" s="2854"/>
      <c r="BCT9" s="2854"/>
      <c r="BCU9" s="2854"/>
      <c r="BCV9" s="2854"/>
      <c r="BCW9" s="2854"/>
      <c r="BCX9" s="2854"/>
      <c r="BCY9" s="2854"/>
      <c r="BCZ9" s="2854"/>
      <c r="BDA9" s="2854"/>
      <c r="BDB9" s="2854"/>
      <c r="BDC9" s="2854"/>
      <c r="BDD9" s="2854"/>
      <c r="BDE9" s="2854"/>
      <c r="BDF9" s="2854"/>
      <c r="BDG9" s="2854"/>
      <c r="BDH9" s="2854"/>
      <c r="BDI9" s="2854"/>
      <c r="BDJ9" s="2854"/>
      <c r="BDK9" s="2854"/>
      <c r="BDL9" s="2854"/>
      <c r="BDM9" s="2854"/>
      <c r="BDN9" s="2854"/>
      <c r="BDO9" s="2854"/>
      <c r="BDP9" s="2854"/>
      <c r="BDQ9" s="2854"/>
      <c r="BDR9" s="2854"/>
      <c r="BDS9" s="2854"/>
      <c r="BDT9" s="2854"/>
      <c r="BDU9" s="2854"/>
      <c r="BDV9" s="2854"/>
      <c r="BDW9" s="2854"/>
      <c r="BDX9" s="2854"/>
      <c r="BDY9" s="2854"/>
      <c r="BDZ9" s="2854"/>
      <c r="BEA9" s="2854"/>
      <c r="BEB9" s="2854"/>
      <c r="BEC9" s="2854"/>
      <c r="BED9" s="2854"/>
      <c r="BEE9" s="2854"/>
      <c r="BEF9" s="2854"/>
      <c r="BEG9" s="2854"/>
      <c r="BEH9" s="2854"/>
      <c r="BEI9" s="2854"/>
      <c r="BEJ9" s="2854"/>
      <c r="BEK9" s="2854"/>
      <c r="BEL9" s="2854"/>
      <c r="BEM9" s="2854"/>
      <c r="BEN9" s="2854"/>
      <c r="BEO9" s="2854"/>
      <c r="BEP9" s="2854"/>
      <c r="BEQ9" s="2854"/>
      <c r="BER9" s="2854"/>
      <c r="BES9" s="2854"/>
      <c r="BET9" s="2854"/>
      <c r="BEU9" s="2854"/>
      <c r="BEV9" s="2854"/>
      <c r="BEW9" s="2854"/>
      <c r="BEX9" s="2854"/>
      <c r="BEY9" s="2854"/>
      <c r="BEZ9" s="2854"/>
      <c r="BFA9" s="2854"/>
      <c r="BFB9" s="2854"/>
      <c r="BFC9" s="2854"/>
      <c r="BFD9" s="2854"/>
      <c r="BFE9" s="2854"/>
      <c r="BFF9" s="2854"/>
      <c r="BFG9" s="2854"/>
      <c r="BFH9" s="2854"/>
      <c r="BFI9" s="2854"/>
      <c r="BFJ9" s="2854"/>
      <c r="BFK9" s="2854"/>
      <c r="BFL9" s="2854"/>
      <c r="BFM9" s="2854"/>
      <c r="BFN9" s="2854"/>
      <c r="BFO9" s="2854"/>
      <c r="BFP9" s="2854"/>
      <c r="BFQ9" s="2854"/>
      <c r="BFR9" s="2854"/>
      <c r="BFS9" s="2854"/>
      <c r="BFT9" s="2854"/>
      <c r="BFU9" s="2854"/>
      <c r="BFV9" s="2854"/>
      <c r="BFW9" s="2854"/>
      <c r="BFX9" s="2854"/>
      <c r="BFY9" s="2854"/>
      <c r="BFZ9" s="2854"/>
      <c r="BGA9" s="2854"/>
      <c r="BGB9" s="2854"/>
      <c r="BGC9" s="2854"/>
      <c r="BGD9" s="2854"/>
      <c r="BGE9" s="2854"/>
      <c r="BGF9" s="2854"/>
      <c r="BGG9" s="2854"/>
      <c r="BGH9" s="2854"/>
      <c r="BGI9" s="2854"/>
      <c r="BGJ9" s="2854"/>
      <c r="BGK9" s="2854"/>
      <c r="BGL9" s="2854"/>
      <c r="BGM9" s="2854"/>
      <c r="BGN9" s="2854"/>
      <c r="BGO9" s="2854"/>
      <c r="BGP9" s="2854"/>
      <c r="BGQ9" s="2854"/>
      <c r="BGR9" s="2854"/>
      <c r="BGS9" s="2854"/>
      <c r="BGT9" s="2854"/>
      <c r="BGU9" s="2854"/>
      <c r="BGV9" s="2854"/>
      <c r="BGW9" s="2854"/>
      <c r="BGX9" s="2854"/>
      <c r="BGY9" s="2854"/>
      <c r="BGZ9" s="2854"/>
      <c r="BHA9" s="2854"/>
      <c r="BHB9" s="2854"/>
      <c r="BHC9" s="2854"/>
      <c r="BHD9" s="2854"/>
      <c r="BHE9" s="2854"/>
      <c r="BHF9" s="2854"/>
      <c r="BHG9" s="2854"/>
      <c r="BHH9" s="2854"/>
      <c r="BHI9" s="2854"/>
      <c r="BHJ9" s="2854"/>
      <c r="BHK9" s="2854"/>
      <c r="BHL9" s="2854"/>
      <c r="BHM9" s="2854"/>
      <c r="BHN9" s="2854"/>
      <c r="BHO9" s="2854"/>
      <c r="BHP9" s="2854"/>
      <c r="BHQ9" s="2854"/>
      <c r="BHR9" s="2854"/>
      <c r="BHS9" s="2854"/>
      <c r="BHT9" s="2854"/>
      <c r="BHU9" s="2854"/>
      <c r="BHV9" s="2854"/>
      <c r="BHW9" s="2854"/>
      <c r="BHX9" s="2854"/>
      <c r="BHY9" s="2854"/>
      <c r="BHZ9" s="2854"/>
      <c r="BIA9" s="2854"/>
      <c r="BIB9" s="2854"/>
      <c r="BIC9" s="2854"/>
      <c r="BID9" s="2854"/>
      <c r="BIE9" s="2854"/>
      <c r="BIF9" s="2854"/>
      <c r="BIG9" s="2854"/>
      <c r="BIH9" s="2854"/>
      <c r="BII9" s="2854"/>
      <c r="BIJ9" s="2854"/>
      <c r="BIK9" s="2854"/>
      <c r="BIL9" s="2854"/>
      <c r="BIM9" s="2854"/>
      <c r="BIN9" s="2854"/>
      <c r="BIO9" s="2854"/>
      <c r="BIP9" s="2854"/>
      <c r="BIQ9" s="2854"/>
      <c r="BIR9" s="2854"/>
      <c r="BIS9" s="2854"/>
      <c r="BIT9" s="2854"/>
      <c r="BIU9" s="2854"/>
      <c r="BIV9" s="2854"/>
      <c r="BIW9" s="2854"/>
      <c r="BIX9" s="2854"/>
      <c r="BIY9" s="2854"/>
      <c r="BIZ9" s="2854"/>
      <c r="BJA9" s="2854"/>
      <c r="BJB9" s="2854"/>
      <c r="BJC9" s="2854"/>
      <c r="BJD9" s="2854"/>
      <c r="BJE9" s="2854"/>
      <c r="BJF9" s="2854"/>
      <c r="BJG9" s="2854"/>
      <c r="BJH9" s="2854"/>
      <c r="BJI9" s="2854"/>
      <c r="BJJ9" s="2854"/>
      <c r="BJK9" s="2854"/>
      <c r="BJL9" s="2854"/>
      <c r="BJM9" s="2854"/>
      <c r="BJN9" s="2854"/>
      <c r="BJO9" s="2854"/>
      <c r="BJP9" s="2854"/>
      <c r="BJQ9" s="2854"/>
      <c r="BJR9" s="2854"/>
      <c r="BJS9" s="2854"/>
      <c r="BJT9" s="2854"/>
      <c r="BJU9" s="2854"/>
      <c r="BJV9" s="2854"/>
      <c r="BJW9" s="2854"/>
      <c r="BJX9" s="2854"/>
      <c r="BJY9" s="2854"/>
      <c r="BJZ9" s="2854"/>
      <c r="BKA9" s="2854"/>
      <c r="BKB9" s="2854"/>
      <c r="BKC9" s="2854"/>
      <c r="BKD9" s="2854"/>
      <c r="BKE9" s="2854"/>
      <c r="BKF9" s="2854"/>
      <c r="BKG9" s="2854"/>
      <c r="BKH9" s="2854"/>
      <c r="BKI9" s="2854"/>
      <c r="BKJ9" s="2854"/>
      <c r="BKK9" s="2854"/>
      <c r="BKL9" s="2854"/>
      <c r="BKM9" s="2854"/>
      <c r="BKN9" s="2854"/>
      <c r="BKO9" s="2854"/>
      <c r="BKP9" s="2854"/>
      <c r="BKQ9" s="2854"/>
      <c r="BKR9" s="2854"/>
      <c r="BKS9" s="2854"/>
      <c r="BKT9" s="2854"/>
      <c r="BKU9" s="2854"/>
      <c r="BKV9" s="2854"/>
      <c r="BKW9" s="2854"/>
      <c r="BKX9" s="2854"/>
      <c r="BKY9" s="2854"/>
      <c r="BKZ9" s="2854"/>
      <c r="BLA9" s="2854"/>
      <c r="BLB9" s="2854"/>
      <c r="BLC9" s="2854"/>
      <c r="BLD9" s="2854"/>
      <c r="BLE9" s="2854"/>
      <c r="BLF9" s="2854"/>
      <c r="BLG9" s="2854"/>
      <c r="BLH9" s="2854"/>
      <c r="BLI9" s="2854"/>
      <c r="BLJ9" s="2854"/>
      <c r="BLK9" s="2854"/>
      <c r="BLL9" s="2854"/>
      <c r="BLM9" s="2854"/>
      <c r="BLN9" s="2854"/>
      <c r="BLO9" s="2854"/>
      <c r="BLP9" s="2854"/>
      <c r="BLQ9" s="2854"/>
      <c r="BLR9" s="2854"/>
      <c r="BLS9" s="2854"/>
      <c r="BLT9" s="2854"/>
      <c r="BLU9" s="2854"/>
      <c r="BLV9" s="2854"/>
      <c r="BLW9" s="2854"/>
      <c r="BLX9" s="2854"/>
      <c r="BLY9" s="2854"/>
      <c r="BLZ9" s="2854"/>
      <c r="BMA9" s="2854"/>
      <c r="BMB9" s="2854"/>
      <c r="BMC9" s="2854"/>
      <c r="BMD9" s="2854"/>
      <c r="BME9" s="2854"/>
      <c r="BMF9" s="2854"/>
      <c r="BMG9" s="2854"/>
      <c r="BMH9" s="2854"/>
      <c r="BMI9" s="2854"/>
      <c r="BMJ9" s="2854"/>
      <c r="BMK9" s="2854"/>
      <c r="BML9" s="2854"/>
      <c r="BMM9" s="2854"/>
      <c r="BMN9" s="2854"/>
      <c r="BMO9" s="2854"/>
      <c r="BMP9" s="2854"/>
      <c r="BMQ9" s="2854"/>
      <c r="BMR9" s="2854"/>
      <c r="BMS9" s="2854"/>
      <c r="BMT9" s="2854"/>
      <c r="BMU9" s="2854"/>
      <c r="BMV9" s="2854"/>
      <c r="BMW9" s="2854"/>
      <c r="BMX9" s="2854"/>
      <c r="BMY9" s="2854"/>
      <c r="BMZ9" s="2854"/>
      <c r="BNA9" s="2854"/>
      <c r="BNB9" s="2854"/>
      <c r="BNC9" s="2854"/>
      <c r="BND9" s="2854"/>
      <c r="BNE9" s="2854"/>
      <c r="BNF9" s="2854"/>
      <c r="BNG9" s="2854"/>
      <c r="BNH9" s="2854"/>
      <c r="BNI9" s="2854"/>
      <c r="BNJ9" s="2854"/>
      <c r="BNK9" s="2854"/>
      <c r="BNL9" s="2854"/>
      <c r="BNM9" s="2854"/>
      <c r="BNN9" s="2854"/>
      <c r="BNO9" s="2854"/>
      <c r="BNP9" s="2854"/>
      <c r="BNQ9" s="2854"/>
      <c r="BNR9" s="2854"/>
      <c r="BNS9" s="2854"/>
      <c r="BNT9" s="2854"/>
      <c r="BNU9" s="2854"/>
      <c r="BNV9" s="2854"/>
      <c r="BNW9" s="2854"/>
      <c r="BNX9" s="2854"/>
      <c r="BNY9" s="2854"/>
      <c r="BNZ9" s="2854"/>
      <c r="BOA9" s="2854"/>
      <c r="BOB9" s="2854"/>
      <c r="BOC9" s="2854"/>
      <c r="BOD9" s="2854"/>
      <c r="BOE9" s="2854"/>
      <c r="BOF9" s="2854"/>
      <c r="BOG9" s="2854"/>
      <c r="BOH9" s="2854"/>
      <c r="BOI9" s="2854"/>
      <c r="BOJ9" s="2854"/>
      <c r="BOK9" s="2854"/>
      <c r="BOL9" s="2854"/>
      <c r="BOM9" s="2854"/>
      <c r="BON9" s="2854"/>
      <c r="BOO9" s="2854"/>
      <c r="BOP9" s="2854"/>
      <c r="BOQ9" s="2854"/>
      <c r="BOR9" s="2854"/>
      <c r="BOS9" s="2854"/>
      <c r="BOT9" s="2854"/>
      <c r="BOU9" s="2854"/>
      <c r="BOV9" s="2854"/>
      <c r="BOW9" s="2854"/>
      <c r="BOX9" s="2854"/>
      <c r="BOY9" s="2854"/>
      <c r="BOZ9" s="2854"/>
      <c r="BPA9" s="2854"/>
      <c r="BPB9" s="2854"/>
      <c r="BPC9" s="2854"/>
      <c r="BPD9" s="2854"/>
      <c r="BPE9" s="2854"/>
      <c r="BPF9" s="2854"/>
      <c r="BPG9" s="2854"/>
      <c r="BPH9" s="2854"/>
      <c r="BPI9" s="2854"/>
      <c r="BPJ9" s="2854"/>
      <c r="BPK9" s="2854"/>
      <c r="BPL9" s="2854"/>
      <c r="BPM9" s="2854"/>
      <c r="BPN9" s="2854"/>
      <c r="BPO9" s="2854"/>
      <c r="BPP9" s="2854"/>
      <c r="BPQ9" s="2854"/>
      <c r="BPR9" s="2854"/>
      <c r="BPS9" s="2854"/>
      <c r="BPT9" s="2854"/>
      <c r="BPU9" s="2854"/>
      <c r="BPV9" s="2854"/>
      <c r="BPW9" s="2854"/>
      <c r="BPX9" s="2854"/>
      <c r="BPY9" s="2854"/>
      <c r="BPZ9" s="2854"/>
      <c r="BQA9" s="2854"/>
      <c r="BQB9" s="2854"/>
      <c r="BQC9" s="2854"/>
      <c r="BQD9" s="2854"/>
      <c r="BQE9" s="2854"/>
      <c r="BQF9" s="2854"/>
      <c r="BQG9" s="2854"/>
      <c r="BQH9" s="2854"/>
      <c r="BQI9" s="2854"/>
      <c r="BQJ9" s="2854"/>
      <c r="BQK9" s="2854"/>
      <c r="BQL9" s="2854"/>
      <c r="BQM9" s="2854"/>
      <c r="BQN9" s="2854"/>
      <c r="BQO9" s="2854"/>
      <c r="BQP9" s="2854"/>
      <c r="BQQ9" s="2854"/>
      <c r="BQR9" s="2854"/>
      <c r="BQS9" s="2854"/>
      <c r="BQT9" s="2854"/>
      <c r="BQU9" s="2854"/>
      <c r="BQV9" s="2854"/>
      <c r="BQW9" s="2854"/>
      <c r="BQX9" s="2854"/>
      <c r="BQY9" s="2854"/>
      <c r="BQZ9" s="2854"/>
      <c r="BRA9" s="2854"/>
      <c r="BRB9" s="2854"/>
      <c r="BRC9" s="2854"/>
      <c r="BRD9" s="2854"/>
      <c r="BRE9" s="2854"/>
      <c r="BRF9" s="2854"/>
      <c r="BRG9" s="2854"/>
      <c r="BRH9" s="2854"/>
      <c r="BRI9" s="2854"/>
      <c r="BRJ9" s="2854"/>
      <c r="BRK9" s="2854"/>
      <c r="BRL9" s="2854"/>
      <c r="BRM9" s="2854"/>
      <c r="BRN9" s="2854"/>
      <c r="BRO9" s="2854"/>
      <c r="BRP9" s="2854"/>
      <c r="BRQ9" s="2854"/>
      <c r="BRR9" s="2854"/>
      <c r="BRS9" s="2854"/>
      <c r="BRT9" s="2854"/>
      <c r="BRU9" s="2854"/>
      <c r="BRV9" s="2854"/>
      <c r="BRW9" s="2854"/>
      <c r="BRX9" s="2854"/>
      <c r="BRY9" s="2854"/>
      <c r="BRZ9" s="2854"/>
      <c r="BSA9" s="2854"/>
      <c r="BSB9" s="2854"/>
      <c r="BSC9" s="2854"/>
      <c r="BSD9" s="2854"/>
      <c r="BSE9" s="2854"/>
      <c r="BSF9" s="2854"/>
      <c r="BSG9" s="2854"/>
      <c r="BSH9" s="2854"/>
      <c r="BSI9" s="2854"/>
      <c r="BSJ9" s="2854"/>
      <c r="BSK9" s="2854"/>
      <c r="BSL9" s="2854"/>
      <c r="BSM9" s="2854"/>
      <c r="BSN9" s="2854"/>
      <c r="BSO9" s="2854"/>
      <c r="BSP9" s="2854"/>
      <c r="BSQ9" s="2854"/>
      <c r="BSR9" s="2854"/>
      <c r="BSS9" s="2854"/>
      <c r="BST9" s="2854"/>
      <c r="BSU9" s="2854"/>
      <c r="BSV9" s="2854"/>
      <c r="BSW9" s="2854"/>
      <c r="BSX9" s="2854"/>
      <c r="BSY9" s="2854"/>
      <c r="BSZ9" s="2854"/>
      <c r="BTA9" s="2854"/>
      <c r="BTB9" s="2854"/>
      <c r="BTC9" s="2854"/>
      <c r="BTD9" s="2854"/>
      <c r="BTE9" s="2854"/>
      <c r="BTF9" s="2854"/>
      <c r="BTG9" s="2854"/>
      <c r="BTH9" s="2854"/>
      <c r="BTI9" s="2854"/>
      <c r="BTJ9" s="2854"/>
      <c r="BTK9" s="2854"/>
      <c r="BTL9" s="2854"/>
      <c r="BTM9" s="2854"/>
      <c r="BTN9" s="2854"/>
      <c r="BTO9" s="2854"/>
      <c r="BTP9" s="2854"/>
      <c r="BTQ9" s="2854"/>
      <c r="BTR9" s="2854"/>
      <c r="BTS9" s="2854"/>
      <c r="BTT9" s="2854"/>
      <c r="BTU9" s="2854"/>
      <c r="BTV9" s="2854"/>
      <c r="BTW9" s="2854"/>
      <c r="BTX9" s="2854"/>
      <c r="BTY9" s="2854"/>
      <c r="BTZ9" s="2854"/>
      <c r="BUA9" s="2854"/>
      <c r="BUB9" s="2854"/>
      <c r="BUC9" s="2854"/>
      <c r="BUD9" s="2854"/>
      <c r="BUE9" s="2854"/>
      <c r="BUF9" s="2854"/>
      <c r="BUG9" s="2854"/>
      <c r="BUH9" s="2854"/>
      <c r="BUI9" s="2854"/>
      <c r="BUJ9" s="2854"/>
      <c r="BUK9" s="2854"/>
      <c r="BUL9" s="2854"/>
      <c r="BUM9" s="2854"/>
      <c r="BUN9" s="2854"/>
      <c r="BUO9" s="2854"/>
      <c r="BUP9" s="2854"/>
      <c r="BUQ9" s="2854"/>
      <c r="BUR9" s="2854"/>
      <c r="BUS9" s="2854"/>
      <c r="BUT9" s="2854"/>
      <c r="BUU9" s="2854"/>
      <c r="BUV9" s="2854"/>
      <c r="BUW9" s="2854"/>
      <c r="BUX9" s="2854"/>
      <c r="BUY9" s="2854"/>
      <c r="BUZ9" s="2854"/>
      <c r="BVA9" s="2854"/>
      <c r="BVB9" s="2854"/>
      <c r="BVC9" s="2854"/>
      <c r="BVD9" s="2854"/>
      <c r="BVE9" s="2854"/>
      <c r="BVF9" s="2854"/>
      <c r="BVG9" s="2854"/>
      <c r="BVH9" s="2854"/>
      <c r="BVI9" s="2854"/>
      <c r="BVJ9" s="2854"/>
      <c r="BVK9" s="2854"/>
      <c r="BVL9" s="2854"/>
      <c r="BVM9" s="2854"/>
      <c r="BVN9" s="2854"/>
      <c r="BVO9" s="2854"/>
      <c r="BVP9" s="2854"/>
      <c r="BVQ9" s="2854"/>
      <c r="BVR9" s="2854"/>
      <c r="BVS9" s="2854"/>
      <c r="BVT9" s="2854"/>
      <c r="BVU9" s="2854"/>
      <c r="BVV9" s="2854"/>
      <c r="BVW9" s="2854"/>
      <c r="BVX9" s="2854"/>
      <c r="BVY9" s="2854"/>
      <c r="BVZ9" s="2854"/>
      <c r="BWA9" s="2854"/>
      <c r="BWB9" s="2854"/>
      <c r="BWC9" s="2854"/>
      <c r="BWD9" s="2854"/>
      <c r="BWE9" s="2854"/>
      <c r="BWF9" s="2854"/>
      <c r="BWG9" s="2854"/>
      <c r="BWH9" s="2854"/>
      <c r="BWI9" s="2854"/>
      <c r="BWJ9" s="2854"/>
      <c r="BWK9" s="2854"/>
      <c r="BWL9" s="2854"/>
      <c r="BWM9" s="2854"/>
      <c r="BWN9" s="2854"/>
      <c r="BWO9" s="2854"/>
      <c r="BWP9" s="2854"/>
      <c r="BWQ9" s="2854"/>
      <c r="BWR9" s="2854"/>
      <c r="BWS9" s="2854"/>
      <c r="BWT9" s="2854"/>
      <c r="BWU9" s="2854"/>
      <c r="BWV9" s="2854"/>
      <c r="BWW9" s="2854"/>
      <c r="BWX9" s="2854"/>
      <c r="BWY9" s="2854"/>
      <c r="BWZ9" s="2854"/>
      <c r="BXA9" s="2854"/>
      <c r="BXB9" s="2854"/>
      <c r="BXC9" s="2854"/>
      <c r="BXD9" s="2854"/>
      <c r="BXE9" s="2854"/>
      <c r="BXF9" s="2854"/>
      <c r="BXG9" s="2854"/>
      <c r="BXH9" s="2854"/>
      <c r="BXI9" s="2854"/>
      <c r="BXJ9" s="2854"/>
      <c r="BXK9" s="2854"/>
      <c r="BXL9" s="2854"/>
      <c r="BXM9" s="2854"/>
      <c r="BXN9" s="2854"/>
      <c r="BXO9" s="2854"/>
      <c r="BXP9" s="2854"/>
      <c r="BXQ9" s="2854"/>
      <c r="BXR9" s="2854"/>
      <c r="BXS9" s="2854"/>
      <c r="BXT9" s="2854"/>
      <c r="BXU9" s="2854"/>
      <c r="BXV9" s="2854"/>
      <c r="BXW9" s="2854"/>
      <c r="BXX9" s="2854"/>
      <c r="BXY9" s="2854"/>
      <c r="BXZ9" s="2854"/>
      <c r="BYA9" s="2854"/>
      <c r="BYB9" s="2854"/>
      <c r="BYC9" s="2854"/>
      <c r="BYD9" s="2854"/>
      <c r="BYE9" s="2854"/>
      <c r="BYF9" s="2854"/>
      <c r="BYG9" s="2854"/>
      <c r="BYH9" s="2854"/>
      <c r="BYI9" s="2854"/>
      <c r="BYJ9" s="2854"/>
      <c r="BYK9" s="2854"/>
      <c r="BYL9" s="2854"/>
      <c r="BYM9" s="2854"/>
      <c r="BYN9" s="2854"/>
      <c r="BYO9" s="2854"/>
      <c r="BYP9" s="2854"/>
      <c r="BYQ9" s="2854"/>
      <c r="BYR9" s="2854"/>
      <c r="BYS9" s="2854"/>
      <c r="BYT9" s="2854"/>
      <c r="BYU9" s="2854"/>
      <c r="BYV9" s="2854"/>
      <c r="BYW9" s="2854"/>
      <c r="BYX9" s="2854"/>
      <c r="BYY9" s="2854"/>
      <c r="BYZ9" s="2854"/>
      <c r="BZA9" s="2854"/>
      <c r="BZB9" s="2854"/>
      <c r="BZC9" s="2854"/>
      <c r="BZD9" s="2854"/>
      <c r="BZE9" s="2854"/>
      <c r="BZF9" s="2854"/>
      <c r="BZG9" s="2854"/>
      <c r="BZH9" s="2854"/>
      <c r="BZI9" s="2854"/>
      <c r="BZJ9" s="2854"/>
      <c r="BZK9" s="2854"/>
      <c r="BZL9" s="2854"/>
      <c r="BZM9" s="2854"/>
      <c r="BZN9" s="2854"/>
      <c r="BZO9" s="2854"/>
      <c r="BZP9" s="2854"/>
      <c r="BZQ9" s="2854"/>
      <c r="BZR9" s="2854"/>
      <c r="BZS9" s="2854"/>
      <c r="BZT9" s="2854"/>
      <c r="BZU9" s="2854"/>
      <c r="BZV9" s="2854"/>
      <c r="BZW9" s="2854"/>
      <c r="BZX9" s="2854"/>
      <c r="BZY9" s="2854"/>
      <c r="BZZ9" s="2854"/>
      <c r="CAA9" s="2854"/>
      <c r="CAB9" s="2854"/>
      <c r="CAC9" s="2854"/>
      <c r="CAD9" s="2854"/>
      <c r="CAE9" s="2854"/>
      <c r="CAF9" s="2854"/>
      <c r="CAG9" s="2854"/>
      <c r="CAH9" s="2854"/>
      <c r="CAI9" s="2854"/>
      <c r="CAJ9" s="2854"/>
      <c r="CAK9" s="2854"/>
      <c r="CAL9" s="2854"/>
      <c r="CAM9" s="2854"/>
      <c r="CAN9" s="2854"/>
      <c r="CAO9" s="2854"/>
      <c r="CAP9" s="2854"/>
      <c r="CAQ9" s="2854"/>
      <c r="CAR9" s="2854"/>
      <c r="CAS9" s="2854"/>
      <c r="CAT9" s="2854"/>
      <c r="CAU9" s="2854"/>
      <c r="CAV9" s="2854"/>
      <c r="CAW9" s="2854"/>
      <c r="CAX9" s="2854"/>
      <c r="CAY9" s="2854"/>
      <c r="CAZ9" s="2854"/>
      <c r="CBA9" s="2854"/>
      <c r="CBB9" s="2854"/>
      <c r="CBC9" s="2854"/>
      <c r="CBD9" s="2854"/>
      <c r="CBE9" s="2854"/>
      <c r="CBF9" s="2854"/>
      <c r="CBG9" s="2854"/>
      <c r="CBH9" s="2854"/>
      <c r="CBI9" s="2854"/>
      <c r="CBJ9" s="2854"/>
      <c r="CBK9" s="2854"/>
      <c r="CBL9" s="2854"/>
      <c r="CBM9" s="2854"/>
      <c r="CBN9" s="2854"/>
      <c r="CBO9" s="2854"/>
      <c r="CBP9" s="2854"/>
      <c r="CBQ9" s="2854"/>
      <c r="CBR9" s="2854"/>
      <c r="CBS9" s="2854"/>
      <c r="CBT9" s="2854"/>
      <c r="CBU9" s="2854"/>
      <c r="CBV9" s="2854"/>
      <c r="CBW9" s="2854"/>
      <c r="CBX9" s="2854"/>
      <c r="CBY9" s="2854"/>
      <c r="CBZ9" s="2854"/>
      <c r="CCA9" s="2854"/>
      <c r="CCB9" s="2854"/>
      <c r="CCC9" s="2854"/>
      <c r="CCD9" s="2854"/>
      <c r="CCE9" s="2854"/>
      <c r="CCF9" s="2854"/>
      <c r="CCG9" s="2854"/>
      <c r="CCH9" s="2854"/>
      <c r="CCI9" s="2854"/>
      <c r="CCJ9" s="2854"/>
      <c r="CCK9" s="2854"/>
      <c r="CCL9" s="2854"/>
      <c r="CCM9" s="2854"/>
      <c r="CCN9" s="2854"/>
      <c r="CCO9" s="2854"/>
      <c r="CCP9" s="2854"/>
      <c r="CCQ9" s="2854"/>
      <c r="CCR9" s="2854"/>
      <c r="CCS9" s="2854"/>
      <c r="CCT9" s="2854"/>
      <c r="CCU9" s="2854"/>
      <c r="CCV9" s="2854"/>
      <c r="CCW9" s="2854"/>
      <c r="CCX9" s="2854"/>
      <c r="CCY9" s="2854"/>
      <c r="CCZ9" s="2854"/>
      <c r="CDA9" s="2854"/>
      <c r="CDB9" s="2854"/>
      <c r="CDC9" s="2854"/>
      <c r="CDD9" s="2854"/>
      <c r="CDE9" s="2854"/>
      <c r="CDF9" s="2854"/>
      <c r="CDG9" s="2854"/>
      <c r="CDH9" s="2854"/>
      <c r="CDI9" s="2854"/>
      <c r="CDJ9" s="2854"/>
      <c r="CDK9" s="2854"/>
      <c r="CDL9" s="2854"/>
      <c r="CDM9" s="2854"/>
      <c r="CDN9" s="2854"/>
      <c r="CDO9" s="2854"/>
      <c r="CDP9" s="2854"/>
      <c r="CDQ9" s="2854"/>
      <c r="CDR9" s="2854"/>
      <c r="CDS9" s="2854"/>
      <c r="CDT9" s="2854"/>
      <c r="CDU9" s="2854"/>
      <c r="CDV9" s="2854"/>
      <c r="CDW9" s="2854"/>
      <c r="CDX9" s="2854"/>
      <c r="CDY9" s="2854"/>
      <c r="CDZ9" s="2854"/>
      <c r="CEA9" s="2854"/>
      <c r="CEB9" s="2854"/>
      <c r="CEC9" s="2854"/>
      <c r="CED9" s="2854"/>
      <c r="CEE9" s="2854"/>
      <c r="CEF9" s="2854"/>
      <c r="CEG9" s="2854"/>
      <c r="CEH9" s="2854"/>
      <c r="CEI9" s="2854"/>
      <c r="CEJ9" s="2854"/>
      <c r="CEK9" s="2854"/>
      <c r="CEL9" s="2854"/>
      <c r="CEM9" s="2854"/>
      <c r="CEN9" s="2854"/>
      <c r="CEO9" s="2854"/>
      <c r="CEP9" s="2854"/>
      <c r="CEQ9" s="2854"/>
      <c r="CER9" s="2854"/>
      <c r="CES9" s="2854"/>
      <c r="CET9" s="2854"/>
      <c r="CEU9" s="2854"/>
      <c r="CEV9" s="2854"/>
      <c r="CEW9" s="2854"/>
      <c r="CEX9" s="2854"/>
      <c r="CEY9" s="2854"/>
      <c r="CEZ9" s="2854"/>
      <c r="CFA9" s="2854"/>
      <c r="CFB9" s="2854"/>
      <c r="CFC9" s="2854"/>
      <c r="CFD9" s="2854"/>
      <c r="CFE9" s="2854"/>
      <c r="CFF9" s="2854"/>
      <c r="CFG9" s="2854"/>
      <c r="CFH9" s="2854"/>
      <c r="CFI9" s="2854"/>
      <c r="CFJ9" s="2854"/>
      <c r="CFK9" s="2854"/>
      <c r="CFL9" s="2854"/>
      <c r="CFM9" s="2854"/>
      <c r="CFN9" s="2854"/>
      <c r="CFO9" s="2854"/>
      <c r="CFP9" s="2854"/>
      <c r="CFQ9" s="2854"/>
      <c r="CFR9" s="2854"/>
      <c r="CFS9" s="2854"/>
      <c r="CFT9" s="2854"/>
      <c r="CFU9" s="2854"/>
      <c r="CFV9" s="2854"/>
      <c r="CFW9" s="2854"/>
      <c r="CFX9" s="2854"/>
      <c r="CFY9" s="2854"/>
      <c r="CFZ9" s="2854"/>
      <c r="CGA9" s="2854"/>
      <c r="CGB9" s="2854"/>
      <c r="CGC9" s="2854"/>
      <c r="CGD9" s="2854"/>
      <c r="CGE9" s="2854"/>
      <c r="CGF9" s="2854"/>
      <c r="CGG9" s="2854"/>
      <c r="CGH9" s="2854"/>
      <c r="CGI9" s="2854"/>
      <c r="CGJ9" s="2854"/>
      <c r="CGK9" s="2854"/>
      <c r="CGL9" s="2854"/>
      <c r="CGM9" s="2854"/>
      <c r="CGN9" s="2854"/>
      <c r="CGO9" s="2854"/>
      <c r="CGP9" s="2854"/>
      <c r="CGQ9" s="2854"/>
      <c r="CGR9" s="2854"/>
      <c r="CGS9" s="2854"/>
      <c r="CGT9" s="2854"/>
      <c r="CGU9" s="2854"/>
      <c r="CGV9" s="2854"/>
      <c r="CGW9" s="2854"/>
      <c r="CGX9" s="2854"/>
      <c r="CGY9" s="2854"/>
      <c r="CGZ9" s="2854"/>
      <c r="CHA9" s="2854"/>
      <c r="CHB9" s="2854"/>
      <c r="CHC9" s="2854"/>
      <c r="CHD9" s="2854"/>
      <c r="CHE9" s="2854"/>
      <c r="CHF9" s="2854"/>
      <c r="CHG9" s="2854"/>
      <c r="CHH9" s="2854"/>
      <c r="CHI9" s="2854"/>
      <c r="CHJ9" s="2854"/>
      <c r="CHK9" s="2854"/>
      <c r="CHL9" s="2854"/>
      <c r="CHM9" s="2854"/>
      <c r="CHN9" s="2854"/>
      <c r="CHO9" s="2854"/>
      <c r="CHP9" s="2854"/>
      <c r="CHQ9" s="2854"/>
      <c r="CHR9" s="2854"/>
      <c r="CHS9" s="2854"/>
      <c r="CHT9" s="2854"/>
      <c r="CHU9" s="2854"/>
      <c r="CHV9" s="2854"/>
      <c r="CHW9" s="2854"/>
      <c r="CHX9" s="2854"/>
      <c r="CHY9" s="2854"/>
      <c r="CHZ9" s="2854"/>
      <c r="CIA9" s="2854"/>
      <c r="CIB9" s="2854"/>
      <c r="CIC9" s="2854"/>
      <c r="CID9" s="2854"/>
      <c r="CIE9" s="2854"/>
      <c r="CIF9" s="2854"/>
      <c r="CIG9" s="2854"/>
      <c r="CIH9" s="2854"/>
      <c r="CII9" s="2854"/>
      <c r="CIJ9" s="2854"/>
      <c r="CIK9" s="2854"/>
      <c r="CIL9" s="2854"/>
      <c r="CIM9" s="2854"/>
      <c r="CIN9" s="2854"/>
      <c r="CIO9" s="2854"/>
      <c r="CIP9" s="2854"/>
      <c r="CIQ9" s="2854"/>
      <c r="CIR9" s="2854"/>
      <c r="CIS9" s="2854"/>
      <c r="CIT9" s="2854"/>
      <c r="CIU9" s="2854"/>
      <c r="CIV9" s="2854"/>
      <c r="CIW9" s="2854"/>
      <c r="CIX9" s="2854"/>
      <c r="CIY9" s="2854"/>
      <c r="CIZ9" s="2854"/>
      <c r="CJA9" s="2854"/>
      <c r="CJB9" s="2854"/>
      <c r="CJC9" s="2854"/>
      <c r="CJD9" s="2854"/>
      <c r="CJE9" s="2854"/>
      <c r="CJF9" s="2854"/>
      <c r="CJG9" s="2854"/>
      <c r="CJH9" s="2854"/>
      <c r="CJI9" s="2854"/>
      <c r="CJJ9" s="2854"/>
      <c r="CJK9" s="2854"/>
      <c r="CJL9" s="2854"/>
      <c r="CJM9" s="2854"/>
      <c r="CJN9" s="2854"/>
      <c r="CJO9" s="2854"/>
      <c r="CJP9" s="2854"/>
      <c r="CJQ9" s="2854"/>
      <c r="CJR9" s="2854"/>
      <c r="CJS9" s="2854"/>
      <c r="CJT9" s="2854"/>
      <c r="CJU9" s="2854"/>
      <c r="CJV9" s="2854"/>
      <c r="CJW9" s="2854"/>
      <c r="CJX9" s="2854"/>
      <c r="CJY9" s="2854"/>
      <c r="CJZ9" s="2854"/>
      <c r="CKA9" s="2854"/>
      <c r="CKB9" s="2854"/>
      <c r="CKC9" s="2854"/>
      <c r="CKD9" s="2854"/>
      <c r="CKE9" s="2854"/>
      <c r="CKF9" s="2854"/>
      <c r="CKG9" s="2854"/>
      <c r="CKH9" s="2854"/>
      <c r="CKI9" s="2854"/>
      <c r="CKJ9" s="2854"/>
      <c r="CKK9" s="2854"/>
      <c r="CKL9" s="2854"/>
      <c r="CKM9" s="2854"/>
      <c r="CKN9" s="2854"/>
      <c r="CKO9" s="2854"/>
      <c r="CKP9" s="2854"/>
      <c r="CKQ9" s="2854"/>
      <c r="CKR9" s="2854"/>
      <c r="CKS9" s="2854"/>
      <c r="CKT9" s="2854"/>
      <c r="CKU9" s="2854"/>
      <c r="CKV9" s="2854"/>
      <c r="CKW9" s="2854"/>
      <c r="CKX9" s="2854"/>
      <c r="CKY9" s="2854"/>
      <c r="CKZ9" s="2854"/>
      <c r="CLA9" s="2854"/>
      <c r="CLB9" s="2854"/>
      <c r="CLC9" s="2854"/>
      <c r="CLD9" s="2854"/>
      <c r="CLE9" s="2854"/>
      <c r="CLF9" s="2854"/>
      <c r="CLG9" s="2854"/>
      <c r="CLH9" s="2854"/>
      <c r="CLI9" s="2854"/>
      <c r="CLJ9" s="2854"/>
      <c r="CLK9" s="2854"/>
      <c r="CLL9" s="2854"/>
      <c r="CLM9" s="2854"/>
      <c r="CLN9" s="2854"/>
      <c r="CLO9" s="2854"/>
      <c r="CLP9" s="2854"/>
      <c r="CLQ9" s="2854"/>
      <c r="CLR9" s="2854"/>
      <c r="CLS9" s="2854"/>
      <c r="CLT9" s="2854"/>
      <c r="CLU9" s="2854"/>
      <c r="CLV9" s="2854"/>
      <c r="CLW9" s="2854"/>
    </row>
    <row r="10" spans="1:2363" s="2859" customFormat="1" ht="15" customHeight="1" x14ac:dyDescent="0.25">
      <c r="A10" s="3867" t="s">
        <v>577</v>
      </c>
      <c r="B10" s="3870" t="s">
        <v>578</v>
      </c>
      <c r="C10" s="3004">
        <v>1</v>
      </c>
      <c r="D10" s="2724" t="s">
        <v>651</v>
      </c>
      <c r="E10" s="3557">
        <v>124</v>
      </c>
      <c r="F10" s="3558">
        <v>10397.66</v>
      </c>
      <c r="G10" s="3558">
        <f t="shared" ref="G10:G15" si="0">+F10/E10</f>
        <v>83.852096774193541</v>
      </c>
      <c r="H10" s="3557">
        <v>253</v>
      </c>
      <c r="I10" s="3559">
        <v>3304.09</v>
      </c>
      <c r="J10" s="3560">
        <f>+I10/H10</f>
        <v>13.059644268774704</v>
      </c>
      <c r="K10" s="3557">
        <v>4</v>
      </c>
      <c r="L10" s="3559">
        <v>415</v>
      </c>
      <c r="M10" s="3560">
        <f>+L10/K10</f>
        <v>103.75</v>
      </c>
      <c r="N10" s="3558">
        <f>+F10+I10+L10</f>
        <v>14116.75</v>
      </c>
      <c r="O10" s="3561">
        <f>+F10+I10</f>
        <v>13701.75</v>
      </c>
      <c r="P10" s="3538"/>
      <c r="Q10" s="3539"/>
      <c r="R10" s="3552">
        <f xml:space="preserve"> ROUND(72197551.94/7.5345,2)</f>
        <v>9582261.8499999996</v>
      </c>
      <c r="S10" s="3539"/>
      <c r="T10" s="3540"/>
      <c r="U10" s="3552">
        <f>ROUND(9941563.94/7.5345,2)</f>
        <v>1319472.29</v>
      </c>
      <c r="V10" s="3554">
        <f>+P10+Q10+R10+S10+T10+U10</f>
        <v>10901734.140000001</v>
      </c>
      <c r="W10" s="3548">
        <v>124</v>
      </c>
      <c r="X10" s="3549">
        <v>124</v>
      </c>
      <c r="Y10" s="3541">
        <v>0.25</v>
      </c>
      <c r="Z10" s="3533">
        <f>ROUND(13586595.35/7.5345,2)</f>
        <v>1803251.09</v>
      </c>
      <c r="AA10" s="3417">
        <v>13586595.35</v>
      </c>
      <c r="AB10" s="3418">
        <v>13586595.35</v>
      </c>
      <c r="AC10" s="3427">
        <f>+AA10-AB10</f>
        <v>0</v>
      </c>
      <c r="AD10" s="1897">
        <v>82139115.879999995</v>
      </c>
      <c r="AE10" s="1897"/>
      <c r="AF10" s="1897">
        <v>0</v>
      </c>
      <c r="AG10" s="2461"/>
      <c r="AH10" s="3435">
        <f>AD10+AF10+AE10+AG10</f>
        <v>82139115.879999995</v>
      </c>
      <c r="AI10" s="2770">
        <v>82139115.879999995</v>
      </c>
      <c r="AJ10" s="2951">
        <v>0</v>
      </c>
      <c r="AK10" s="2768">
        <f>AI10+AJ10</f>
        <v>82139115.879999995</v>
      </c>
      <c r="AL10" s="1836">
        <v>0</v>
      </c>
      <c r="AM10" s="1836">
        <v>0</v>
      </c>
      <c r="AN10" s="2517">
        <f t="shared" ref="AN10:AN11" si="1">AL10+AM10</f>
        <v>0</v>
      </c>
      <c r="AO10" s="3227">
        <v>0</v>
      </c>
      <c r="AP10" s="2681">
        <v>0</v>
      </c>
      <c r="AQ10" s="2681">
        <v>0</v>
      </c>
      <c r="AR10" s="3572">
        <v>290600</v>
      </c>
      <c r="AS10" s="2165">
        <f>+AO10+AP10+AQ10+AR10</f>
        <v>290600</v>
      </c>
      <c r="AT10" s="3570">
        <v>290600</v>
      </c>
      <c r="AU10" s="2518">
        <v>0</v>
      </c>
      <c r="AV10" s="3573">
        <v>290600</v>
      </c>
      <c r="AW10" s="3429">
        <f>AU10+AV10</f>
        <v>290600</v>
      </c>
      <c r="AX10" s="1836">
        <f>ROUND(13586595.35/7.5345,2)</f>
        <v>1803251.09</v>
      </c>
      <c r="AY10" s="1836">
        <f>ROUND(13586595.35/7.5345,2)</f>
        <v>1803251.09</v>
      </c>
      <c r="AZ10" s="2517">
        <f>AX10-AY10</f>
        <v>0</v>
      </c>
      <c r="BA10" s="3281">
        <f>ROUND(82139115.88/7.5345,2)</f>
        <v>10901734.140000001</v>
      </c>
      <c r="BB10" s="3067">
        <v>0</v>
      </c>
      <c r="BC10" s="3068">
        <v>0</v>
      </c>
      <c r="BD10" s="3278">
        <f>1287775.11+528408.71+290589.41</f>
        <v>2106773.23</v>
      </c>
      <c r="BE10" s="3584">
        <f>+BA10+BB10+BC10+BD10</f>
        <v>13008507.370000001</v>
      </c>
      <c r="BF10" s="3462">
        <v>0</v>
      </c>
      <c r="BG10" s="3260">
        <f>ROUND(82139115.88/7.5345,2)</f>
        <v>10901734.140000001</v>
      </c>
      <c r="BH10" s="3260">
        <f>+BD10</f>
        <v>2106773.23</v>
      </c>
      <c r="BI10" s="3209">
        <f>BG10+BH10</f>
        <v>13008507.370000001</v>
      </c>
      <c r="BJ10" s="1837">
        <v>0</v>
      </c>
      <c r="BK10" s="3300">
        <v>0</v>
      </c>
      <c r="BL10" s="3300">
        <f>BJ10-BK10</f>
        <v>0</v>
      </c>
      <c r="BM10" s="3437">
        <v>0</v>
      </c>
      <c r="BN10" s="3430">
        <f t="shared" ref="BN10:BO13" si="2">+AP10+AE10</f>
        <v>0</v>
      </c>
      <c r="BO10" s="2065">
        <f t="shared" si="2"/>
        <v>0</v>
      </c>
      <c r="BP10" s="3438">
        <v>290600</v>
      </c>
      <c r="BQ10" s="3302">
        <f>BM10+BN10+BO10+BP10</f>
        <v>290600</v>
      </c>
      <c r="BR10" s="3446">
        <v>0</v>
      </c>
      <c r="BS10" s="1858">
        <v>290600</v>
      </c>
      <c r="BT10" s="3449">
        <f>+BS10+BR10</f>
        <v>290600</v>
      </c>
      <c r="BU10" s="2856"/>
      <c r="BV10" s="3058"/>
      <c r="BW10" s="3058"/>
      <c r="BX10" s="3058"/>
      <c r="BY10" s="3140"/>
      <c r="BZ10" s="3140"/>
      <c r="CA10" s="2857"/>
      <c r="CB10" s="2857"/>
      <c r="CC10" s="2857"/>
      <c r="CD10" s="2857"/>
      <c r="CE10" s="2857"/>
      <c r="CF10" s="2858"/>
      <c r="CG10" s="2858"/>
      <c r="CH10" s="2858"/>
      <c r="CI10" s="2858"/>
      <c r="CJ10" s="2858"/>
      <c r="CK10" s="2858"/>
      <c r="CL10" s="2858"/>
      <c r="CM10" s="2858"/>
      <c r="CN10" s="2858"/>
      <c r="CO10" s="2858"/>
      <c r="CP10" s="2858"/>
      <c r="CQ10" s="2858"/>
      <c r="CR10" s="2858"/>
      <c r="CS10" s="2858"/>
      <c r="CT10" s="2858"/>
      <c r="CU10" s="2858"/>
      <c r="CV10" s="2858"/>
      <c r="CW10" s="2858"/>
      <c r="CX10" s="2858"/>
      <c r="CY10" s="2858"/>
      <c r="CZ10" s="2858"/>
      <c r="DA10" s="2858"/>
      <c r="DB10" s="2858"/>
      <c r="DC10" s="2858"/>
      <c r="DD10" s="2858"/>
      <c r="DE10" s="2858"/>
      <c r="DF10" s="2858"/>
      <c r="DG10" s="2858"/>
      <c r="DH10" s="2858"/>
      <c r="DI10" s="2858"/>
      <c r="DJ10" s="2858"/>
      <c r="DK10" s="2858"/>
      <c r="DL10" s="2858"/>
      <c r="DM10" s="2858"/>
      <c r="DN10" s="2858"/>
      <c r="DO10" s="2858"/>
      <c r="DP10" s="2858"/>
      <c r="DQ10" s="2858"/>
      <c r="DR10" s="2858"/>
      <c r="DS10" s="2858"/>
      <c r="DT10" s="2858"/>
      <c r="DU10" s="2858"/>
      <c r="DV10" s="2858"/>
      <c r="DW10" s="2858"/>
      <c r="DX10" s="2858"/>
      <c r="DY10" s="2858"/>
      <c r="DZ10" s="2858"/>
      <c r="EA10" s="2858"/>
      <c r="EB10" s="2858"/>
      <c r="EC10" s="2858"/>
      <c r="ED10" s="2858"/>
      <c r="EE10" s="2858"/>
      <c r="EF10" s="2858"/>
      <c r="EG10" s="2858"/>
      <c r="TU10" s="3783"/>
      <c r="TV10" s="3783"/>
      <c r="TW10" s="3783"/>
      <c r="TX10" s="3783"/>
      <c r="TY10" s="3783"/>
      <c r="TZ10" s="3783"/>
      <c r="UA10" s="3783"/>
      <c r="UB10" s="3783"/>
      <c r="UC10" s="3783"/>
      <c r="UD10" s="3783"/>
      <c r="UE10" s="3783"/>
      <c r="UF10" s="3783"/>
      <c r="UG10" s="3783"/>
      <c r="UH10" s="3783"/>
      <c r="UI10" s="3783"/>
      <c r="UJ10" s="3783"/>
      <c r="UK10" s="3783"/>
      <c r="UL10" s="3783"/>
      <c r="UM10" s="3783"/>
      <c r="UN10" s="3783"/>
      <c r="UO10" s="3783"/>
    </row>
    <row r="11" spans="1:2363" ht="15" customHeight="1" x14ac:dyDescent="0.25">
      <c r="A11" s="3868"/>
      <c r="B11" s="3871"/>
      <c r="C11" s="3220">
        <v>2</v>
      </c>
      <c r="D11" s="2724" t="s">
        <v>652</v>
      </c>
      <c r="E11" s="3562">
        <v>80</v>
      </c>
      <c r="F11" s="3558">
        <v>5937.2</v>
      </c>
      <c r="G11" s="3563">
        <f t="shared" si="0"/>
        <v>74.215000000000003</v>
      </c>
      <c r="H11" s="3557">
        <v>36</v>
      </c>
      <c r="I11" s="3559">
        <v>494.16</v>
      </c>
      <c r="J11" s="3564">
        <f>+I11/H11</f>
        <v>13.726666666666667</v>
      </c>
      <c r="K11" s="3557"/>
      <c r="L11" s="3559"/>
      <c r="M11" s="3564"/>
      <c r="N11" s="3558">
        <f>+F11+I11+L11</f>
        <v>6431.36</v>
      </c>
      <c r="O11" s="3565">
        <f>+F11+I11</f>
        <v>6431.36</v>
      </c>
      <c r="P11" s="3545"/>
      <c r="Q11" s="3553"/>
      <c r="R11" s="3553">
        <f xml:space="preserve"> ROUND(39962641.08/7.5345,2)</f>
        <v>5303953.96</v>
      </c>
      <c r="S11" s="3553"/>
      <c r="T11" s="3546">
        <f>ROUND(331431.02/7.5345,2)</f>
        <v>43988.46</v>
      </c>
      <c r="U11" s="3553">
        <f>ROUND(10144166.47/7.5345,2)</f>
        <v>1346362.26</v>
      </c>
      <c r="V11" s="3555">
        <f>+P11+Q11+R11+S11+T11+U11</f>
        <v>6694304.6799999997</v>
      </c>
      <c r="W11" s="3550">
        <v>80</v>
      </c>
      <c r="X11" s="3551">
        <v>80</v>
      </c>
      <c r="Y11" s="3547">
        <v>0.25</v>
      </c>
      <c r="Z11" s="3535">
        <f>ROUND(9338103.48/7.5345,2)</f>
        <v>1239379.32</v>
      </c>
      <c r="AA11" s="2185">
        <v>9005560.1799999997</v>
      </c>
      <c r="AB11" s="2185">
        <v>9005560.1799999997</v>
      </c>
      <c r="AC11" s="3427">
        <f>+AA11-AB11</f>
        <v>0</v>
      </c>
      <c r="AD11" s="1897">
        <v>38851454.18</v>
      </c>
      <c r="AE11" s="1897">
        <v>9802895.1899999995</v>
      </c>
      <c r="AF11" s="1897">
        <v>0</v>
      </c>
      <c r="AG11" s="2461"/>
      <c r="AH11" s="2112">
        <f t="shared" ref="AH11:AH14" si="3">AD11+AF11+AE11+AG11</f>
        <v>48654349.369999997</v>
      </c>
      <c r="AI11" s="3434">
        <f>6063450.97+23571789.47+259006.62</f>
        <v>29894247.059999999</v>
      </c>
      <c r="AJ11" s="1929">
        <v>18715969.359999999</v>
      </c>
      <c r="AK11" s="2768">
        <f>AI11+AJ11</f>
        <v>48610216.420000002</v>
      </c>
      <c r="AL11" s="1836">
        <v>0</v>
      </c>
      <c r="AM11" s="1836">
        <v>0</v>
      </c>
      <c r="AN11" s="1835">
        <f t="shared" si="1"/>
        <v>0</v>
      </c>
      <c r="AO11" s="2670">
        <v>0</v>
      </c>
      <c r="AP11" s="2681">
        <v>0</v>
      </c>
      <c r="AQ11" s="2681">
        <v>0</v>
      </c>
      <c r="AR11" s="3572">
        <v>177200</v>
      </c>
      <c r="AS11" s="2507">
        <f>AO11+AQ11+AR11+AP11</f>
        <v>177200</v>
      </c>
      <c r="AT11" s="1835">
        <v>180500</v>
      </c>
      <c r="AU11" s="2104">
        <v>0</v>
      </c>
      <c r="AV11" s="2515">
        <f>+AR11</f>
        <v>177200</v>
      </c>
      <c r="AW11" s="3210">
        <f>+AU11+AV11</f>
        <v>177200</v>
      </c>
      <c r="AX11" s="1836">
        <f>ROUND(9338103.48/7.5345,2)</f>
        <v>1239379.32</v>
      </c>
      <c r="AY11" s="1836">
        <f>ROUND(9338103.48/7.5345,2)</f>
        <v>1239379.32</v>
      </c>
      <c r="AZ11" s="1835">
        <f>AX11-AY11</f>
        <v>0</v>
      </c>
      <c r="BA11" s="3069">
        <f>5303953.96+43988.46</f>
        <v>5347942.42</v>
      </c>
      <c r="BB11" s="3067">
        <v>1346362.26</v>
      </c>
      <c r="BC11" s="3068">
        <v>0</v>
      </c>
      <c r="BD11" s="3278">
        <f>2048116.01+AR11</f>
        <v>2225316.0099999998</v>
      </c>
      <c r="BE11" s="3584">
        <f>+BA11+BB11+BC11+BD11</f>
        <v>8919620.6899999995</v>
      </c>
      <c r="BF11" s="3305">
        <v>0</v>
      </c>
      <c r="BG11" s="1835">
        <f>ROUND((6063450.97+23571789.47+1078804.27+161399.75+1410787.18+44132.95)/7.5345,2)</f>
        <v>4290976.79</v>
      </c>
      <c r="BH11" s="2765">
        <f>ROUND((17465453.85+744108.75)/7.5345,2)</f>
        <v>2416824.29</v>
      </c>
      <c r="BI11" s="3250">
        <f t="shared" ref="BI11:BI14" si="4">BG11+BH11</f>
        <v>6707801.0800000001</v>
      </c>
      <c r="BJ11" s="2125">
        <v>0</v>
      </c>
      <c r="BK11" s="3301">
        <v>0</v>
      </c>
      <c r="BL11" s="3301">
        <f>BJ11-BK11</f>
        <v>0</v>
      </c>
      <c r="BM11" s="3431">
        <v>0</v>
      </c>
      <c r="BN11" s="3441">
        <v>0</v>
      </c>
      <c r="BO11" s="3442">
        <f t="shared" si="2"/>
        <v>0</v>
      </c>
      <c r="BP11" s="3303">
        <v>186800</v>
      </c>
      <c r="BQ11" s="3468">
        <f>+BP11+BM11+BN11+BO11</f>
        <v>186800</v>
      </c>
      <c r="BR11" s="3446">
        <v>0</v>
      </c>
      <c r="BS11" s="1858">
        <v>186800</v>
      </c>
      <c r="BT11" s="3449">
        <f>+BS11+BR11</f>
        <v>186800</v>
      </c>
      <c r="BU11" s="2856"/>
      <c r="BV11" s="3058"/>
      <c r="BW11" s="3058"/>
      <c r="BX11" s="3058"/>
      <c r="BY11" s="3140"/>
      <c r="BZ11" s="3140"/>
      <c r="CA11" s="2857"/>
      <c r="CB11" s="2857"/>
      <c r="CC11" s="2857"/>
      <c r="CD11" s="2857"/>
      <c r="CE11" s="2857"/>
      <c r="CF11" s="3141"/>
      <c r="CG11" s="3141"/>
      <c r="CH11" s="3141"/>
      <c r="CI11" s="3141"/>
      <c r="CJ11" s="3141"/>
      <c r="CK11" s="3141"/>
      <c r="CL11" s="3141"/>
      <c r="CM11" s="3141"/>
      <c r="CN11" s="3141"/>
      <c r="CO11" s="3141"/>
      <c r="CP11" s="3141"/>
      <c r="CQ11" s="3141"/>
      <c r="CR11" s="3141"/>
      <c r="CS11" s="3141"/>
      <c r="CT11" s="3141"/>
      <c r="CU11" s="3141"/>
      <c r="CV11" s="3141"/>
      <c r="CW11" s="3141"/>
      <c r="CX11" s="3141"/>
      <c r="CY11" s="3141"/>
      <c r="CZ11" s="3141"/>
      <c r="DA11" s="3141"/>
      <c r="DB11" s="3141"/>
      <c r="DC11" s="3141"/>
      <c r="DD11" s="3141"/>
      <c r="DE11" s="3141"/>
      <c r="DF11" s="3141"/>
      <c r="DG11" s="3141"/>
      <c r="DH11" s="3141"/>
      <c r="DI11" s="3141"/>
      <c r="DJ11" s="3141"/>
      <c r="DK11" s="3141"/>
      <c r="DL11" s="3141"/>
      <c r="DM11" s="3141"/>
      <c r="DN11" s="3141"/>
      <c r="DO11" s="3141"/>
      <c r="DP11" s="3141"/>
      <c r="DQ11" s="3141"/>
      <c r="DR11" s="3141"/>
      <c r="DS11" s="3141"/>
      <c r="DT11" s="3141"/>
      <c r="DU11" s="3141"/>
      <c r="DV11" s="3141"/>
      <c r="DW11" s="3141"/>
      <c r="DX11" s="3141"/>
      <c r="DY11" s="3141"/>
      <c r="DZ11" s="3141"/>
      <c r="EA11" s="3141"/>
      <c r="EB11" s="3141"/>
      <c r="EC11" s="3141"/>
      <c r="ED11" s="3141"/>
      <c r="EE11" s="3141"/>
      <c r="EF11" s="3141"/>
      <c r="EG11" s="3141"/>
      <c r="EH11" s="2854"/>
      <c r="EI11" s="2854"/>
      <c r="EJ11" s="2854"/>
      <c r="EK11" s="2854"/>
      <c r="EL11" s="2854"/>
      <c r="EM11" s="2854"/>
      <c r="EN11" s="2854"/>
      <c r="EO11" s="2854"/>
      <c r="EP11" s="2854"/>
      <c r="EQ11" s="2854"/>
      <c r="ER11" s="2854"/>
      <c r="ES11" s="2854"/>
      <c r="ET11" s="2854"/>
      <c r="EU11" s="2854"/>
      <c r="EV11" s="2854"/>
      <c r="EW11" s="2854"/>
      <c r="EX11" s="2854"/>
      <c r="EY11" s="2854"/>
      <c r="EZ11" s="2854"/>
      <c r="FA11" s="2854"/>
      <c r="FB11" s="2854"/>
      <c r="FC11" s="2854"/>
      <c r="FD11" s="2854"/>
      <c r="FE11" s="2854"/>
      <c r="FF11" s="2854"/>
      <c r="FG11" s="2854"/>
      <c r="FH11" s="2854"/>
      <c r="FI11" s="2854"/>
      <c r="FJ11" s="2854"/>
      <c r="FK11" s="2854"/>
      <c r="FL11" s="2854"/>
      <c r="FM11" s="2854"/>
      <c r="FN11" s="2854"/>
      <c r="FO11" s="2854"/>
      <c r="FP11" s="2854"/>
      <c r="FQ11" s="2854"/>
      <c r="FR11" s="2854"/>
      <c r="FS11" s="2854"/>
      <c r="FT11" s="2854"/>
      <c r="FU11" s="2854"/>
      <c r="FV11" s="2854"/>
      <c r="FW11" s="2854"/>
      <c r="FX11" s="2854"/>
      <c r="FY11" s="2854"/>
      <c r="FZ11" s="2854"/>
      <c r="GA11" s="2854"/>
      <c r="GB11" s="2854"/>
      <c r="GC11" s="2854"/>
      <c r="GD11" s="2854"/>
      <c r="GE11" s="2854"/>
      <c r="GF11" s="2854"/>
      <c r="GG11" s="2854"/>
      <c r="GH11" s="2854"/>
      <c r="GI11" s="2854"/>
      <c r="GJ11" s="2854"/>
      <c r="GK11" s="2854"/>
      <c r="GL11" s="2854"/>
      <c r="GM11" s="2854"/>
      <c r="GN11" s="2854"/>
      <c r="GO11" s="2854"/>
      <c r="GP11" s="2854"/>
      <c r="GQ11" s="2854"/>
      <c r="GR11" s="2854"/>
      <c r="GS11" s="2854"/>
      <c r="GT11" s="2854"/>
      <c r="GU11" s="2854"/>
      <c r="GV11" s="2854"/>
      <c r="GW11" s="2854"/>
      <c r="GX11" s="2854"/>
      <c r="GY11" s="2854"/>
      <c r="GZ11" s="2854"/>
      <c r="HA11" s="2854"/>
      <c r="HB11" s="2854"/>
      <c r="HC11" s="2854"/>
      <c r="HD11" s="2854"/>
      <c r="HE11" s="2854"/>
      <c r="HF11" s="2854"/>
      <c r="HG11" s="2854"/>
      <c r="HH11" s="2854"/>
      <c r="HI11" s="2854"/>
      <c r="HJ11" s="2854"/>
      <c r="HK11" s="2854"/>
      <c r="HL11" s="2854"/>
      <c r="HM11" s="2854"/>
      <c r="HN11" s="2854"/>
      <c r="HO11" s="2854"/>
      <c r="HP11" s="2854"/>
      <c r="HQ11" s="2854"/>
      <c r="HR11" s="2854"/>
      <c r="HS11" s="2854"/>
      <c r="HT11" s="2854"/>
      <c r="HU11" s="2854"/>
      <c r="HV11" s="2854"/>
      <c r="HW11" s="2854"/>
      <c r="HX11" s="2854"/>
      <c r="HY11" s="2854"/>
      <c r="HZ11" s="2854"/>
      <c r="IA11" s="2854"/>
      <c r="IB11" s="2854"/>
      <c r="IC11" s="2854"/>
      <c r="ID11" s="2854"/>
      <c r="IE11" s="2854"/>
      <c r="IF11" s="2854"/>
      <c r="IG11" s="2854"/>
      <c r="IH11" s="2854"/>
      <c r="II11" s="2854"/>
      <c r="IJ11" s="2854"/>
      <c r="IK11" s="2854"/>
      <c r="IL11" s="2854"/>
      <c r="IM11" s="2854"/>
      <c r="IN11" s="2854"/>
      <c r="IO11" s="2854"/>
      <c r="IP11" s="2854"/>
      <c r="IQ11" s="2854"/>
      <c r="IR11" s="2854"/>
      <c r="IS11" s="2854"/>
      <c r="IT11" s="2854"/>
      <c r="IU11" s="2854"/>
      <c r="IV11" s="2854"/>
      <c r="IW11" s="2854"/>
      <c r="IX11" s="2854"/>
      <c r="IY11" s="2854"/>
      <c r="IZ11" s="2854"/>
      <c r="JA11" s="2854"/>
      <c r="JB11" s="2854"/>
      <c r="JC11" s="2854"/>
      <c r="JD11" s="2854"/>
      <c r="JE11" s="2854"/>
      <c r="JF11" s="2854"/>
      <c r="JG11" s="2854"/>
      <c r="JH11" s="2854"/>
      <c r="JI11" s="2854"/>
      <c r="JJ11" s="2854"/>
      <c r="JK11" s="2854"/>
      <c r="JL11" s="2854"/>
      <c r="JM11" s="2854"/>
      <c r="JN11" s="2854"/>
      <c r="JO11" s="2854"/>
      <c r="JP11" s="2854"/>
      <c r="JQ11" s="2854"/>
      <c r="JR11" s="2854"/>
      <c r="JS11" s="2854"/>
      <c r="JT11" s="2854"/>
      <c r="JU11" s="2854"/>
      <c r="JV11" s="2854"/>
      <c r="JW11" s="2854"/>
      <c r="JX11" s="2854"/>
      <c r="JY11" s="2854"/>
      <c r="JZ11" s="2854"/>
      <c r="KA11" s="2854"/>
      <c r="KB11" s="2854"/>
      <c r="KC11" s="2854"/>
      <c r="KD11" s="2854"/>
      <c r="KE11" s="2854"/>
      <c r="KF11" s="2854"/>
      <c r="KG11" s="2854"/>
      <c r="KH11" s="2854"/>
      <c r="KI11" s="2854"/>
      <c r="KJ11" s="2854"/>
      <c r="KK11" s="2854"/>
      <c r="KL11" s="2854"/>
      <c r="KM11" s="2854"/>
      <c r="KN11" s="2854"/>
      <c r="KO11" s="2854"/>
      <c r="KP11" s="2854"/>
      <c r="KQ11" s="2854"/>
      <c r="KR11" s="2854"/>
      <c r="KS11" s="2854"/>
      <c r="KT11" s="2854"/>
      <c r="KU11" s="2854"/>
      <c r="KV11" s="2854"/>
      <c r="KW11" s="2854"/>
      <c r="KX11" s="2854"/>
      <c r="KY11" s="2854"/>
      <c r="KZ11" s="2854"/>
      <c r="LA11" s="2854"/>
      <c r="LB11" s="2854"/>
      <c r="LC11" s="2854"/>
      <c r="LD11" s="2854"/>
      <c r="LE11" s="2854"/>
      <c r="LF11" s="2854"/>
      <c r="LG11" s="2854"/>
      <c r="LH11" s="2854"/>
      <c r="LI11" s="2854"/>
      <c r="LJ11" s="2854"/>
      <c r="LK11" s="2854"/>
      <c r="LL11" s="2854"/>
      <c r="LM11" s="2854"/>
      <c r="LN11" s="2854"/>
      <c r="LO11" s="2854"/>
      <c r="LP11" s="2854"/>
      <c r="LQ11" s="2854"/>
      <c r="LR11" s="2854"/>
      <c r="LS11" s="2854"/>
      <c r="LT11" s="2854"/>
      <c r="LU11" s="2854"/>
      <c r="LV11" s="2854"/>
      <c r="LW11" s="2854"/>
      <c r="LX11" s="2854"/>
      <c r="LY11" s="2854"/>
      <c r="LZ11" s="2854"/>
      <c r="MA11" s="2854"/>
      <c r="MB11" s="2854"/>
      <c r="MC11" s="2854"/>
      <c r="MD11" s="2854"/>
      <c r="ME11" s="2854"/>
      <c r="MF11" s="2854"/>
      <c r="MG11" s="2854"/>
      <c r="MH11" s="2854"/>
      <c r="MI11" s="2854"/>
      <c r="MJ11" s="2854"/>
      <c r="MK11" s="2854"/>
      <c r="ML11" s="2854"/>
      <c r="MM11" s="2854"/>
      <c r="MN11" s="2854"/>
      <c r="MO11" s="2854"/>
      <c r="MP11" s="2854"/>
      <c r="MQ11" s="2854"/>
      <c r="MR11" s="2854"/>
      <c r="MS11" s="2854"/>
      <c r="MT11" s="2854"/>
      <c r="MU11" s="2854"/>
      <c r="MV11" s="2854"/>
      <c r="MW11" s="2854"/>
      <c r="MX11" s="2854"/>
      <c r="MY11" s="2854"/>
      <c r="MZ11" s="2854"/>
      <c r="NA11" s="2854"/>
      <c r="NB11" s="2854"/>
      <c r="NC11" s="2854"/>
      <c r="ND11" s="2854"/>
      <c r="NE11" s="2854"/>
      <c r="NF11" s="2854"/>
      <c r="NG11" s="2854"/>
      <c r="NH11" s="2854"/>
      <c r="NI11" s="2854"/>
      <c r="NJ11" s="2854"/>
      <c r="NK11" s="2854"/>
      <c r="NL11" s="2854"/>
      <c r="NM11" s="2854"/>
      <c r="NN11" s="2854"/>
      <c r="NO11" s="2854"/>
      <c r="NP11" s="2854"/>
      <c r="NQ11" s="2854"/>
      <c r="NR11" s="2854"/>
      <c r="NS11" s="2854"/>
      <c r="NT11" s="2854"/>
      <c r="NU11" s="2854"/>
      <c r="NV11" s="2854"/>
      <c r="NW11" s="2854"/>
      <c r="NX11" s="2854"/>
      <c r="NY11" s="2854"/>
      <c r="NZ11" s="2854"/>
      <c r="OA11" s="2854"/>
      <c r="OB11" s="2854"/>
      <c r="OC11" s="2854"/>
      <c r="OD11" s="2854"/>
      <c r="OE11" s="2854"/>
      <c r="OF11" s="2854"/>
      <c r="OG11" s="2854"/>
      <c r="OH11" s="2854"/>
      <c r="OI11" s="2854"/>
      <c r="OJ11" s="2854"/>
      <c r="OK11" s="2854"/>
      <c r="OL11" s="2854"/>
      <c r="OM11" s="2854"/>
      <c r="ON11" s="2854"/>
      <c r="OO11" s="2854"/>
      <c r="OP11" s="2854"/>
      <c r="OQ11" s="2854"/>
      <c r="OR11" s="2854"/>
      <c r="OS11" s="2854"/>
      <c r="OT11" s="2854"/>
      <c r="OU11" s="2854"/>
      <c r="OV11" s="2854"/>
      <c r="OW11" s="2854"/>
      <c r="OX11" s="2854"/>
      <c r="OY11" s="2854"/>
      <c r="OZ11" s="2854"/>
      <c r="PA11" s="2854"/>
      <c r="PB11" s="2854"/>
      <c r="PC11" s="2854"/>
      <c r="PD11" s="2854"/>
      <c r="PE11" s="2854"/>
      <c r="PF11" s="2854"/>
      <c r="PG11" s="2854"/>
      <c r="PH11" s="2854"/>
      <c r="PI11" s="2854"/>
      <c r="PJ11" s="2854"/>
      <c r="PK11" s="2854"/>
      <c r="PL11" s="2854"/>
      <c r="PM11" s="2854"/>
      <c r="PN11" s="2854"/>
      <c r="PO11" s="2854"/>
      <c r="PP11" s="2854"/>
      <c r="PQ11" s="2854"/>
      <c r="PR11" s="2854"/>
      <c r="PS11" s="2854"/>
      <c r="PT11" s="2854"/>
      <c r="PU11" s="2854"/>
      <c r="PV11" s="2854"/>
      <c r="PW11" s="2854"/>
      <c r="PX11" s="2854"/>
      <c r="PY11" s="2854"/>
      <c r="PZ11" s="2854"/>
      <c r="QA11" s="2854"/>
      <c r="QB11" s="2854"/>
      <c r="QC11" s="2854"/>
      <c r="QD11" s="2854"/>
      <c r="QE11" s="2854"/>
      <c r="QF11" s="2854"/>
      <c r="QG11" s="2854"/>
      <c r="QH11" s="2854"/>
      <c r="QI11" s="2854"/>
      <c r="QJ11" s="2854"/>
      <c r="QK11" s="2854"/>
      <c r="QL11" s="2854"/>
      <c r="QM11" s="2854"/>
      <c r="QN11" s="2854"/>
      <c r="QO11" s="2854"/>
      <c r="QP11" s="2854"/>
      <c r="QQ11" s="2854"/>
      <c r="QR11" s="2854"/>
      <c r="QS11" s="2854"/>
      <c r="QT11" s="2854"/>
      <c r="QU11" s="2854"/>
      <c r="QV11" s="2854"/>
      <c r="QW11" s="2854"/>
      <c r="QX11" s="2854"/>
      <c r="QY11" s="2854"/>
      <c r="QZ11" s="2854"/>
      <c r="RA11" s="2854"/>
      <c r="RB11" s="2854"/>
      <c r="RC11" s="2854"/>
      <c r="RD11" s="2854"/>
      <c r="RE11" s="2854"/>
      <c r="RF11" s="2854"/>
      <c r="RG11" s="2854"/>
      <c r="RH11" s="2854"/>
      <c r="RI11" s="2854"/>
      <c r="RJ11" s="2854"/>
      <c r="RK11" s="2854"/>
      <c r="RL11" s="2854"/>
      <c r="RM11" s="2854"/>
      <c r="RN11" s="2854"/>
      <c r="RO11" s="2854"/>
      <c r="RP11" s="2854"/>
      <c r="RQ11" s="2854"/>
      <c r="RR11" s="2854"/>
      <c r="RS11" s="2854"/>
      <c r="RT11" s="2854"/>
      <c r="RU11" s="2854"/>
      <c r="RV11" s="2854"/>
      <c r="RW11" s="2854"/>
      <c r="RX11" s="2854"/>
      <c r="RY11" s="2854"/>
      <c r="RZ11" s="2854"/>
      <c r="SA11" s="2854"/>
      <c r="SB11" s="2854"/>
      <c r="SC11" s="2854"/>
      <c r="SD11" s="2854"/>
      <c r="SE11" s="2854"/>
      <c r="SF11" s="2854"/>
      <c r="SG11" s="2854"/>
      <c r="SH11" s="2854"/>
      <c r="SI11" s="2854"/>
      <c r="SJ11" s="2854"/>
      <c r="SK11" s="2854"/>
      <c r="SL11" s="2854"/>
      <c r="SM11" s="2854"/>
      <c r="SN11" s="2854"/>
      <c r="SO11" s="2854"/>
      <c r="SP11" s="2854"/>
      <c r="SQ11" s="2854"/>
      <c r="SR11" s="2854"/>
      <c r="SS11" s="2854"/>
      <c r="ST11" s="2854"/>
      <c r="SU11" s="2854"/>
      <c r="SV11" s="2854"/>
      <c r="SW11" s="2854"/>
      <c r="SX11" s="2854"/>
      <c r="SY11" s="2854"/>
      <c r="SZ11" s="2854"/>
      <c r="TA11" s="2854"/>
      <c r="TB11" s="2854"/>
      <c r="TC11" s="2854"/>
      <c r="TD11" s="2854"/>
      <c r="TE11" s="2854"/>
      <c r="TF11" s="2854"/>
      <c r="TG11" s="2854"/>
      <c r="TH11" s="2854"/>
      <c r="TI11" s="2854"/>
      <c r="TJ11" s="2854"/>
      <c r="TK11" s="2854"/>
      <c r="TL11" s="2854"/>
      <c r="TM11" s="2854"/>
      <c r="TN11" s="2854"/>
      <c r="TO11" s="2854"/>
      <c r="TP11" s="2854"/>
      <c r="TQ11" s="2854"/>
      <c r="TR11" s="2854"/>
      <c r="TS11" s="2854"/>
      <c r="TT11" s="2854"/>
      <c r="TU11" s="3783"/>
      <c r="TV11" s="3783"/>
      <c r="TW11" s="3783"/>
      <c r="TX11" s="3783"/>
      <c r="TY11" s="3783"/>
      <c r="TZ11" s="3783"/>
      <c r="UA11" s="3783"/>
      <c r="UB11" s="3783"/>
      <c r="UC11" s="3783"/>
      <c r="UD11" s="3783"/>
      <c r="UE11" s="3783"/>
      <c r="UF11" s="3783"/>
      <c r="UG11" s="3783"/>
      <c r="UH11" s="3783"/>
      <c r="UI11" s="3783"/>
      <c r="UJ11" s="3783"/>
      <c r="UK11" s="3783"/>
      <c r="UL11" s="3783"/>
      <c r="UM11" s="3783"/>
      <c r="UN11" s="3783"/>
      <c r="UO11" s="3783"/>
      <c r="UP11" s="2854"/>
      <c r="UQ11" s="2854"/>
      <c r="UR11" s="2854"/>
      <c r="US11" s="2854"/>
      <c r="UT11" s="2854"/>
      <c r="UU11" s="2854"/>
      <c r="UV11" s="2854"/>
      <c r="UW11" s="2854"/>
      <c r="UX11" s="2854"/>
      <c r="UY11" s="2854"/>
      <c r="UZ11" s="2854"/>
      <c r="VA11" s="2854"/>
      <c r="VB11" s="2854"/>
      <c r="VC11" s="2854"/>
      <c r="VD11" s="2854"/>
      <c r="VE11" s="2854"/>
      <c r="VF11" s="2854"/>
      <c r="VG11" s="2854"/>
      <c r="VH11" s="2854"/>
      <c r="VI11" s="2854"/>
      <c r="VJ11" s="2854"/>
      <c r="VK11" s="2854"/>
      <c r="VL11" s="2854"/>
      <c r="VM11" s="2854"/>
      <c r="VN11" s="2854"/>
      <c r="VO11" s="2854"/>
      <c r="VP11" s="2854"/>
      <c r="VQ11" s="2854"/>
      <c r="VR11" s="2854"/>
      <c r="VS11" s="2854"/>
      <c r="VT11" s="2854"/>
      <c r="VU11" s="2854"/>
      <c r="VV11" s="2854"/>
      <c r="VW11" s="2854"/>
      <c r="VX11" s="2854"/>
      <c r="VY11" s="2854"/>
      <c r="VZ11" s="2854"/>
      <c r="WA11" s="2854"/>
      <c r="WB11" s="2854"/>
      <c r="WC11" s="2854"/>
      <c r="WD11" s="2854"/>
      <c r="WE11" s="2854"/>
      <c r="WF11" s="2854"/>
      <c r="WG11" s="2854"/>
      <c r="WH11" s="2854"/>
      <c r="WI11" s="2854"/>
      <c r="WJ11" s="2854"/>
      <c r="WK11" s="2854"/>
      <c r="WL11" s="2854"/>
      <c r="WM11" s="2854"/>
      <c r="WN11" s="2854"/>
      <c r="WO11" s="2854"/>
      <c r="WP11" s="2854"/>
      <c r="WQ11" s="2854"/>
      <c r="WR11" s="2854"/>
      <c r="WS11" s="2854"/>
      <c r="WT11" s="2854"/>
      <c r="WU11" s="2854"/>
      <c r="WV11" s="2854"/>
      <c r="WW11" s="2854"/>
      <c r="WX11" s="2854"/>
      <c r="WY11" s="2854"/>
      <c r="WZ11" s="2854"/>
      <c r="XA11" s="2854"/>
      <c r="XB11" s="2854"/>
      <c r="XC11" s="2854"/>
      <c r="XD11" s="2854"/>
      <c r="XE11" s="2854"/>
      <c r="XF11" s="2854"/>
      <c r="XG11" s="2854"/>
      <c r="XH11" s="2854"/>
      <c r="XI11" s="2854"/>
      <c r="XJ11" s="2854"/>
      <c r="XK11" s="2854"/>
      <c r="XL11" s="2854"/>
      <c r="XM11" s="2854"/>
      <c r="XN11" s="2854"/>
      <c r="XO11" s="2854"/>
      <c r="XP11" s="2854"/>
      <c r="XQ11" s="2854"/>
      <c r="XR11" s="2854"/>
      <c r="XS11" s="2854"/>
      <c r="XT11" s="2854"/>
      <c r="XU11" s="2854"/>
      <c r="XV11" s="2854"/>
      <c r="XW11" s="2854"/>
      <c r="XX11" s="2854"/>
      <c r="XY11" s="2854"/>
      <c r="XZ11" s="2854"/>
      <c r="YA11" s="2854"/>
      <c r="YB11" s="2854"/>
      <c r="YC11" s="2854"/>
      <c r="YD11" s="2854"/>
      <c r="YE11" s="2854"/>
      <c r="YF11" s="2854"/>
      <c r="YG11" s="2854"/>
      <c r="YH11" s="2854"/>
      <c r="YI11" s="2854"/>
      <c r="YJ11" s="2854"/>
      <c r="YK11" s="2854"/>
      <c r="YL11" s="2854"/>
      <c r="YM11" s="2854"/>
      <c r="YN11" s="2854"/>
      <c r="YO11" s="2854"/>
      <c r="YP11" s="2854"/>
      <c r="YQ11" s="2854"/>
      <c r="YR11" s="2854"/>
      <c r="YS11" s="2854"/>
      <c r="YT11" s="2854"/>
      <c r="YU11" s="2854"/>
      <c r="YV11" s="2854"/>
      <c r="YW11" s="2854"/>
      <c r="YX11" s="2854"/>
      <c r="YY11" s="2854"/>
      <c r="YZ11" s="2854"/>
      <c r="ZA11" s="2854"/>
      <c r="ZB11" s="2854"/>
      <c r="ZC11" s="2854"/>
      <c r="ZD11" s="2854"/>
      <c r="ZE11" s="2854"/>
      <c r="ZF11" s="2854"/>
      <c r="ZG11" s="2854"/>
      <c r="ZH11" s="2854"/>
      <c r="ZI11" s="2854"/>
      <c r="ZJ11" s="2854"/>
      <c r="ZK11" s="2854"/>
      <c r="ZL11" s="2854"/>
      <c r="ZM11" s="2854"/>
      <c r="ZN11" s="2854"/>
      <c r="ZO11" s="2854"/>
      <c r="ZP11" s="2854"/>
      <c r="ZQ11" s="2854"/>
      <c r="ZR11" s="2854"/>
      <c r="ZS11" s="2854"/>
      <c r="ZT11" s="2854"/>
      <c r="ZU11" s="2854"/>
      <c r="ZV11" s="2854"/>
      <c r="ZW11" s="2854"/>
      <c r="ZX11" s="2854"/>
      <c r="ZY11" s="2854"/>
      <c r="ZZ11" s="2854"/>
      <c r="AAA11" s="2854"/>
      <c r="AAB11" s="2854"/>
      <c r="AAC11" s="2854"/>
      <c r="AAD11" s="2854"/>
      <c r="AAE11" s="2854"/>
      <c r="AAF11" s="2854"/>
      <c r="AAG11" s="2854"/>
      <c r="AAH11" s="2854"/>
      <c r="AAI11" s="2854"/>
      <c r="AAJ11" s="2854"/>
      <c r="AAK11" s="2854"/>
      <c r="AAL11" s="2854"/>
      <c r="AAM11" s="2854"/>
      <c r="AAN11" s="2854"/>
      <c r="AAO11" s="2854"/>
      <c r="AAP11" s="2854"/>
      <c r="AAQ11" s="2854"/>
      <c r="AAR11" s="2854"/>
      <c r="AAS11" s="2854"/>
      <c r="AAT11" s="2854"/>
      <c r="AAU11" s="2854"/>
      <c r="AAV11" s="2854"/>
      <c r="AAW11" s="2854"/>
      <c r="AAX11" s="2854"/>
      <c r="AAY11" s="2854"/>
      <c r="AAZ11" s="2854"/>
      <c r="ABA11" s="2854"/>
      <c r="ABB11" s="2854"/>
      <c r="ABC11" s="2854"/>
      <c r="ABD11" s="2854"/>
      <c r="ABE11" s="2854"/>
      <c r="ABF11" s="2854"/>
      <c r="ABG11" s="2854"/>
      <c r="ABH11" s="2854"/>
      <c r="ABI11" s="2854"/>
      <c r="ABJ11" s="2854"/>
      <c r="ABK11" s="2854"/>
      <c r="ABL11" s="2854"/>
      <c r="ABM11" s="2854"/>
      <c r="ABN11" s="2854"/>
      <c r="ABO11" s="2854"/>
      <c r="ABP11" s="2854"/>
      <c r="ABQ11" s="2854"/>
      <c r="ABR11" s="2854"/>
      <c r="ABS11" s="2854"/>
      <c r="ABT11" s="2854"/>
      <c r="ABU11" s="2854"/>
      <c r="ABV11" s="2854"/>
      <c r="ABW11" s="2854"/>
      <c r="ABX11" s="2854"/>
      <c r="ABY11" s="2854"/>
      <c r="ABZ11" s="2854"/>
      <c r="ACA11" s="2854"/>
      <c r="ACB11" s="2854"/>
      <c r="ACC11" s="2854"/>
      <c r="ACD11" s="2854"/>
      <c r="ACE11" s="2854"/>
      <c r="ACF11" s="2854"/>
      <c r="ACG11" s="2854"/>
      <c r="ACH11" s="2854"/>
      <c r="ACI11" s="2854"/>
      <c r="ACJ11" s="2854"/>
      <c r="ACK11" s="2854"/>
      <c r="ACL11" s="2854"/>
      <c r="ACM11" s="2854"/>
      <c r="ACN11" s="2854"/>
      <c r="ACO11" s="2854"/>
      <c r="ACP11" s="2854"/>
      <c r="ACQ11" s="2854"/>
      <c r="ACR11" s="2854"/>
      <c r="ACS11" s="2854"/>
      <c r="ACT11" s="2854"/>
      <c r="ACU11" s="2854"/>
      <c r="ACV11" s="2854"/>
      <c r="ACW11" s="2854"/>
      <c r="ACX11" s="2854"/>
      <c r="ACY11" s="2854"/>
      <c r="ACZ11" s="2854"/>
      <c r="ADA11" s="2854"/>
      <c r="ADB11" s="2854"/>
      <c r="ADC11" s="2854"/>
      <c r="ADD11" s="2854"/>
      <c r="ADE11" s="2854"/>
      <c r="ADF11" s="2854"/>
      <c r="ADG11" s="2854"/>
      <c r="ADH11" s="2854"/>
      <c r="ADI11" s="2854"/>
      <c r="ADJ11" s="2854"/>
      <c r="ADK11" s="2854"/>
      <c r="ADL11" s="2854"/>
      <c r="ADM11" s="2854"/>
      <c r="ADN11" s="2854"/>
      <c r="ADO11" s="2854"/>
      <c r="ADP11" s="2854"/>
      <c r="ADQ11" s="2854"/>
      <c r="ADR11" s="2854"/>
      <c r="ADS11" s="2854"/>
      <c r="ADT11" s="2854"/>
      <c r="ADU11" s="2854"/>
      <c r="ADV11" s="2854"/>
      <c r="ADW11" s="2854"/>
      <c r="ADX11" s="2854"/>
      <c r="ADY11" s="2854"/>
      <c r="ADZ11" s="2854"/>
      <c r="AEA11" s="2854"/>
      <c r="AEB11" s="2854"/>
      <c r="AEC11" s="2854"/>
      <c r="AED11" s="2854"/>
      <c r="AEE11" s="2854"/>
      <c r="AEF11" s="2854"/>
      <c r="AEG11" s="2854"/>
      <c r="AEH11" s="2854"/>
      <c r="AEI11" s="2854"/>
      <c r="AEJ11" s="2854"/>
      <c r="AEK11" s="2854"/>
      <c r="AEL11" s="2854"/>
      <c r="AEM11" s="2854"/>
      <c r="AEN11" s="2854"/>
      <c r="AEO11" s="2854"/>
      <c r="AEP11" s="2854"/>
      <c r="AEQ11" s="2854"/>
      <c r="AER11" s="2854"/>
      <c r="AES11" s="2854"/>
      <c r="AET11" s="2854"/>
      <c r="AEU11" s="2854"/>
      <c r="AEV11" s="2854"/>
      <c r="AEW11" s="2854"/>
      <c r="AEX11" s="2854"/>
      <c r="AEY11" s="2854"/>
      <c r="AEZ11" s="2854"/>
      <c r="AFA11" s="2854"/>
      <c r="AFB11" s="2854"/>
      <c r="AFC11" s="2854"/>
      <c r="AFD11" s="2854"/>
      <c r="AFE11" s="2854"/>
      <c r="AFF11" s="2854"/>
      <c r="AFG11" s="2854"/>
      <c r="AFH11" s="2854"/>
      <c r="AFI11" s="2854"/>
      <c r="AFJ11" s="2854"/>
      <c r="AFK11" s="2854"/>
      <c r="AFL11" s="2854"/>
      <c r="AFM11" s="2854"/>
      <c r="AFN11" s="2854"/>
      <c r="AFO11" s="2854"/>
      <c r="AFP11" s="2854"/>
      <c r="AFQ11" s="2854"/>
      <c r="AFR11" s="2854"/>
      <c r="AFS11" s="2854"/>
      <c r="AFT11" s="2854"/>
      <c r="AFU11" s="2854"/>
      <c r="AFV11" s="2854"/>
      <c r="AFW11" s="2854"/>
      <c r="AFX11" s="2854"/>
      <c r="AFY11" s="2854"/>
      <c r="AFZ11" s="2854"/>
      <c r="AGA11" s="2854"/>
      <c r="AGB11" s="2854"/>
      <c r="AGC11" s="2854"/>
      <c r="AGD11" s="2854"/>
      <c r="AGE11" s="2854"/>
      <c r="AGF11" s="2854"/>
      <c r="AGG11" s="2854"/>
      <c r="AGH11" s="2854"/>
      <c r="AGI11" s="2854"/>
      <c r="AGJ11" s="2854"/>
      <c r="AGK11" s="2854"/>
      <c r="AGL11" s="2854"/>
      <c r="AGM11" s="2854"/>
      <c r="AGN11" s="2854"/>
      <c r="AGO11" s="2854"/>
      <c r="AGP11" s="2854"/>
      <c r="AGQ11" s="2854"/>
      <c r="AGR11" s="2854"/>
      <c r="AGS11" s="2854"/>
      <c r="AGT11" s="2854"/>
      <c r="AGU11" s="2854"/>
      <c r="AGV11" s="2854"/>
      <c r="AGW11" s="2854"/>
      <c r="AGX11" s="2854"/>
      <c r="AGY11" s="2854"/>
      <c r="AGZ11" s="2854"/>
      <c r="AHA11" s="2854"/>
      <c r="AHB11" s="2854"/>
      <c r="AHC11" s="2854"/>
      <c r="AHD11" s="2854"/>
      <c r="AHE11" s="2854"/>
      <c r="AHF11" s="2854"/>
      <c r="AHG11" s="2854"/>
      <c r="AHH11" s="2854"/>
      <c r="AHI11" s="2854"/>
      <c r="AHJ11" s="2854"/>
      <c r="AHK11" s="2854"/>
      <c r="AHL11" s="2854"/>
      <c r="AHM11" s="2854"/>
      <c r="AHN11" s="2854"/>
      <c r="AHO11" s="2854"/>
      <c r="AHP11" s="2854"/>
      <c r="AHQ11" s="2854"/>
      <c r="AHR11" s="2854"/>
      <c r="AHS11" s="2854"/>
      <c r="AHT11" s="2854"/>
      <c r="AHU11" s="2854"/>
      <c r="AHV11" s="2854"/>
      <c r="AHW11" s="2854"/>
      <c r="AHX11" s="2854"/>
      <c r="AHY11" s="2854"/>
      <c r="AHZ11" s="2854"/>
      <c r="AIA11" s="2854"/>
      <c r="AIB11" s="2854"/>
      <c r="AIC11" s="2854"/>
      <c r="AID11" s="2854"/>
      <c r="AIE11" s="2854"/>
      <c r="AIF11" s="2854"/>
      <c r="AIG11" s="2854"/>
      <c r="AIH11" s="2854"/>
      <c r="AII11" s="2854"/>
      <c r="AIJ11" s="2854"/>
      <c r="AIK11" s="2854"/>
      <c r="AIL11" s="2854"/>
      <c r="AIM11" s="2854"/>
      <c r="AIN11" s="2854"/>
      <c r="AIO11" s="2854"/>
      <c r="AIP11" s="2854"/>
      <c r="AIQ11" s="2854"/>
      <c r="AIR11" s="2854"/>
      <c r="AIS11" s="2854"/>
      <c r="AIT11" s="2854"/>
      <c r="AIU11" s="2854"/>
      <c r="AIV11" s="2854"/>
      <c r="AIW11" s="2854"/>
      <c r="AIX11" s="2854"/>
      <c r="AIY11" s="2854"/>
      <c r="AIZ11" s="2854"/>
      <c r="AJA11" s="2854"/>
      <c r="AJB11" s="2854"/>
      <c r="AJC11" s="2854"/>
      <c r="AJD11" s="2854"/>
      <c r="AJE11" s="2854"/>
      <c r="AJF11" s="2854"/>
      <c r="AJG11" s="2854"/>
      <c r="AJH11" s="2854"/>
      <c r="AJI11" s="2854"/>
      <c r="AJJ11" s="2854"/>
      <c r="AJK11" s="2854"/>
      <c r="AJL11" s="2854"/>
      <c r="AJM11" s="2854"/>
      <c r="AJN11" s="2854"/>
      <c r="AJO11" s="2854"/>
      <c r="AJP11" s="2854"/>
      <c r="AJQ11" s="2854"/>
      <c r="AJR11" s="2854"/>
      <c r="AJS11" s="2854"/>
      <c r="AJT11" s="2854"/>
      <c r="AJU11" s="2854"/>
      <c r="AJV11" s="2854"/>
      <c r="AJW11" s="2854"/>
      <c r="AJX11" s="2854"/>
      <c r="AJY11" s="2854"/>
      <c r="AJZ11" s="2854"/>
      <c r="AKA11" s="2854"/>
      <c r="AKB11" s="2854"/>
      <c r="AKC11" s="2854"/>
      <c r="AKD11" s="2854"/>
      <c r="AKE11" s="2854"/>
      <c r="AKF11" s="2854"/>
      <c r="AKG11" s="2854"/>
      <c r="AKH11" s="2854"/>
      <c r="AKI11" s="2854"/>
      <c r="AKJ11" s="2854"/>
      <c r="AKK11" s="2854"/>
      <c r="AKL11" s="2854"/>
      <c r="AKM11" s="2854"/>
      <c r="AKN11" s="2854"/>
      <c r="AKO11" s="2854"/>
      <c r="AKP11" s="2854"/>
      <c r="AKQ11" s="2854"/>
      <c r="AKR11" s="2854"/>
      <c r="AKS11" s="2854"/>
      <c r="AKT11" s="2854"/>
      <c r="AKU11" s="2854"/>
      <c r="AKV11" s="2854"/>
      <c r="AKW11" s="2854"/>
      <c r="AKX11" s="2854"/>
      <c r="AKY11" s="2854"/>
      <c r="AKZ11" s="2854"/>
      <c r="ALA11" s="2854"/>
      <c r="ALB11" s="2854"/>
      <c r="ALC11" s="2854"/>
      <c r="ALD11" s="2854"/>
      <c r="ALE11" s="2854"/>
      <c r="ALF11" s="2854"/>
      <c r="ALG11" s="2854"/>
      <c r="ALH11" s="2854"/>
      <c r="ALI11" s="2854"/>
      <c r="ALJ11" s="2854"/>
      <c r="ALK11" s="2854"/>
      <c r="ALL11" s="2854"/>
      <c r="ALM11" s="2854"/>
      <c r="ALN11" s="2854"/>
      <c r="ALO11" s="2854"/>
      <c r="ALP11" s="2854"/>
      <c r="ALQ11" s="2854"/>
      <c r="ALR11" s="2854"/>
      <c r="ALS11" s="2854"/>
      <c r="ALT11" s="2854"/>
      <c r="ALU11" s="2854"/>
      <c r="ALV11" s="2854"/>
      <c r="ALW11" s="2854"/>
      <c r="ALX11" s="2854"/>
      <c r="ALY11" s="2854"/>
      <c r="ALZ11" s="2854"/>
      <c r="AMA11" s="2854"/>
      <c r="AMB11" s="2854"/>
      <c r="AMC11" s="2854"/>
      <c r="AMD11" s="2854"/>
      <c r="AME11" s="2854"/>
      <c r="AMF11" s="2854"/>
      <c r="AMG11" s="2854"/>
      <c r="AMH11" s="2854"/>
      <c r="AMI11" s="2854"/>
      <c r="AMJ11" s="2854"/>
      <c r="AMK11" s="2854"/>
      <c r="AML11" s="2854"/>
      <c r="AMM11" s="2854"/>
      <c r="AMN11" s="2854"/>
      <c r="AMO11" s="2854"/>
      <c r="AMP11" s="2854"/>
      <c r="AMQ11" s="2854"/>
      <c r="AMR11" s="2854"/>
      <c r="AMS11" s="2854"/>
      <c r="AMT11" s="2854"/>
      <c r="AMU11" s="2854"/>
      <c r="AMV11" s="2854"/>
      <c r="AMW11" s="2854"/>
      <c r="AMX11" s="2854"/>
      <c r="AMY11" s="2854"/>
      <c r="AMZ11" s="2854"/>
      <c r="ANA11" s="2854"/>
      <c r="ANB11" s="2854"/>
      <c r="ANC11" s="2854"/>
      <c r="AND11" s="2854"/>
      <c r="ANE11" s="2854"/>
      <c r="ANF11" s="2854"/>
      <c r="ANG11" s="2854"/>
      <c r="ANH11" s="2854"/>
      <c r="ANI11" s="2854"/>
      <c r="ANJ11" s="2854"/>
      <c r="ANK11" s="2854"/>
      <c r="ANL11" s="2854"/>
      <c r="ANM11" s="2854"/>
      <c r="ANN11" s="2854"/>
      <c r="ANO11" s="2854"/>
      <c r="ANP11" s="2854"/>
      <c r="ANQ11" s="2854"/>
      <c r="ANR11" s="2854"/>
      <c r="ANS11" s="2854"/>
      <c r="ANT11" s="2854"/>
      <c r="ANU11" s="2854"/>
      <c r="ANV11" s="2854"/>
      <c r="ANW11" s="2854"/>
      <c r="ANX11" s="2854"/>
      <c r="ANY11" s="2854"/>
      <c r="ANZ11" s="2854"/>
      <c r="AOA11" s="2854"/>
      <c r="AOB11" s="2854"/>
      <c r="AOC11" s="2854"/>
      <c r="AOD11" s="2854"/>
      <c r="AOE11" s="2854"/>
      <c r="AOF11" s="2854"/>
      <c r="AOG11" s="2854"/>
      <c r="AOH11" s="2854"/>
      <c r="AOI11" s="2854"/>
      <c r="AOJ11" s="2854"/>
      <c r="AOK11" s="2854"/>
      <c r="AOL11" s="2854"/>
      <c r="AOM11" s="2854"/>
      <c r="AON11" s="2854"/>
      <c r="AOO11" s="2854"/>
      <c r="AOP11" s="2854"/>
      <c r="AOQ11" s="2854"/>
      <c r="AOR11" s="2854"/>
      <c r="AOS11" s="2854"/>
      <c r="AOT11" s="2854"/>
      <c r="AOU11" s="2854"/>
      <c r="AOV11" s="2854"/>
      <c r="AOW11" s="2854"/>
      <c r="AOX11" s="2854"/>
      <c r="AOY11" s="2854"/>
      <c r="AOZ11" s="2854"/>
      <c r="APA11" s="2854"/>
      <c r="APB11" s="2854"/>
      <c r="APC11" s="2854"/>
      <c r="APD11" s="2854"/>
      <c r="APE11" s="2854"/>
      <c r="APF11" s="2854"/>
      <c r="APG11" s="2854"/>
      <c r="APH11" s="2854"/>
      <c r="API11" s="2854"/>
      <c r="APJ11" s="2854"/>
      <c r="APK11" s="2854"/>
      <c r="APL11" s="2854"/>
      <c r="APM11" s="2854"/>
      <c r="APN11" s="2854"/>
      <c r="APO11" s="2854"/>
      <c r="APP11" s="2854"/>
      <c r="APQ11" s="2854"/>
      <c r="APR11" s="2854"/>
      <c r="APS11" s="2854"/>
      <c r="APT11" s="2854"/>
      <c r="APU11" s="2854"/>
      <c r="APV11" s="2854"/>
      <c r="APW11" s="2854"/>
      <c r="APX11" s="2854"/>
      <c r="APY11" s="2854"/>
      <c r="APZ11" s="2854"/>
      <c r="AQA11" s="2854"/>
      <c r="AQB11" s="2854"/>
      <c r="AQC11" s="2854"/>
      <c r="AQD11" s="2854"/>
      <c r="AQE11" s="2854"/>
      <c r="AQF11" s="2854"/>
      <c r="AQG11" s="2854"/>
      <c r="AQH11" s="2854"/>
      <c r="AQI11" s="2854"/>
      <c r="AQJ11" s="2854"/>
      <c r="AQK11" s="2854"/>
      <c r="AQL11" s="2854"/>
      <c r="AQM11" s="2854"/>
      <c r="AQN11" s="2854"/>
      <c r="AQO11" s="2854"/>
      <c r="AQP11" s="2854"/>
      <c r="AQQ11" s="2854"/>
      <c r="AQR11" s="2854"/>
      <c r="AQS11" s="2854"/>
      <c r="AQT11" s="2854"/>
      <c r="AQU11" s="2854"/>
      <c r="AQV11" s="2854"/>
      <c r="AQW11" s="2854"/>
      <c r="AQX11" s="2854"/>
      <c r="AQY11" s="2854"/>
      <c r="AQZ11" s="2854"/>
      <c r="ARA11" s="2854"/>
      <c r="ARB11" s="2854"/>
      <c r="ARC11" s="2854"/>
      <c r="ARD11" s="2854"/>
      <c r="ARE11" s="2854"/>
      <c r="ARF11" s="2854"/>
      <c r="ARG11" s="2854"/>
      <c r="ARH11" s="2854"/>
      <c r="ARI11" s="2854"/>
      <c r="ARJ11" s="2854"/>
      <c r="ARK11" s="2854"/>
      <c r="ARL11" s="2854"/>
      <c r="ARM11" s="2854"/>
      <c r="ARN11" s="2854"/>
      <c r="ARO11" s="2854"/>
      <c r="ARP11" s="2854"/>
      <c r="ARQ11" s="2854"/>
      <c r="ARR11" s="2854"/>
      <c r="ARS11" s="2854"/>
      <c r="ART11" s="2854"/>
      <c r="ARU11" s="2854"/>
      <c r="ARV11" s="2854"/>
      <c r="ARW11" s="2854"/>
      <c r="ARX11" s="2854"/>
      <c r="ARY11" s="2854"/>
      <c r="ARZ11" s="2854"/>
      <c r="ASA11" s="2854"/>
      <c r="ASB11" s="2854"/>
      <c r="ASC11" s="2854"/>
      <c r="ASD11" s="2854"/>
      <c r="ASE11" s="2854"/>
      <c r="ASF11" s="2854"/>
      <c r="ASG11" s="2854"/>
      <c r="ASH11" s="2854"/>
      <c r="ASI11" s="2854"/>
      <c r="ASJ11" s="2854"/>
      <c r="ASK11" s="2854"/>
      <c r="ASL11" s="2854"/>
      <c r="ASM11" s="2854"/>
      <c r="ASN11" s="2854"/>
      <c r="ASO11" s="2854"/>
      <c r="ASP11" s="2854"/>
      <c r="ASQ11" s="2854"/>
      <c r="ASR11" s="2854"/>
      <c r="ASS11" s="2854"/>
      <c r="AST11" s="2854"/>
      <c r="ASU11" s="2854"/>
      <c r="ASV11" s="2854"/>
      <c r="ASW11" s="2854"/>
      <c r="ASX11" s="2854"/>
      <c r="ASY11" s="2854"/>
      <c r="ASZ11" s="2854"/>
      <c r="ATA11" s="2854"/>
      <c r="ATB11" s="2854"/>
      <c r="ATC11" s="2854"/>
      <c r="ATD11" s="2854"/>
      <c r="ATE11" s="2854"/>
      <c r="ATF11" s="2854"/>
      <c r="ATG11" s="2854"/>
      <c r="ATH11" s="2854"/>
      <c r="ATI11" s="2854"/>
      <c r="ATJ11" s="2854"/>
      <c r="ATK11" s="2854"/>
      <c r="ATL11" s="2854"/>
      <c r="ATM11" s="2854"/>
      <c r="ATN11" s="2854"/>
      <c r="ATO11" s="2854"/>
      <c r="ATP11" s="2854"/>
      <c r="ATQ11" s="2854"/>
      <c r="ATR11" s="2854"/>
      <c r="ATS11" s="2854"/>
      <c r="ATT11" s="2854"/>
      <c r="ATU11" s="2854"/>
      <c r="ATV11" s="2854"/>
      <c r="ATW11" s="2854"/>
      <c r="ATX11" s="2854"/>
      <c r="ATY11" s="2854"/>
      <c r="ATZ11" s="2854"/>
      <c r="AUA11" s="2854"/>
      <c r="AUB11" s="2854"/>
      <c r="AUC11" s="2854"/>
      <c r="AUD11" s="2854"/>
      <c r="AUE11" s="2854"/>
      <c r="AUF11" s="2854"/>
      <c r="AUG11" s="2854"/>
      <c r="AUH11" s="2854"/>
      <c r="AUI11" s="2854"/>
      <c r="AUJ11" s="2854"/>
      <c r="AUK11" s="2854"/>
      <c r="AUL11" s="2854"/>
      <c r="AUM11" s="2854"/>
      <c r="AUN11" s="2854"/>
      <c r="AUO11" s="2854"/>
      <c r="AUP11" s="2854"/>
      <c r="AUQ11" s="2854"/>
      <c r="AUR11" s="2854"/>
      <c r="AUS11" s="2854"/>
      <c r="AUT11" s="2854"/>
      <c r="AUU11" s="2854"/>
      <c r="AUV11" s="2854"/>
      <c r="AUW11" s="2854"/>
      <c r="AUX11" s="2854"/>
      <c r="AUY11" s="2854"/>
      <c r="AUZ11" s="2854"/>
      <c r="AVA11" s="2854"/>
      <c r="AVB11" s="2854"/>
      <c r="AVC11" s="2854"/>
      <c r="AVD11" s="2854"/>
      <c r="AVE11" s="2854"/>
      <c r="AVF11" s="2854"/>
      <c r="AVG11" s="2854"/>
      <c r="AVH11" s="2854"/>
      <c r="AVI11" s="2854"/>
      <c r="AVJ11" s="2854"/>
      <c r="AVK11" s="2854"/>
      <c r="AVL11" s="2854"/>
      <c r="AVM11" s="2854"/>
      <c r="AVN11" s="2854"/>
      <c r="AVO11" s="2854"/>
      <c r="AVP11" s="2854"/>
      <c r="AVQ11" s="2854"/>
      <c r="AVR11" s="2854"/>
      <c r="AVS11" s="2854"/>
      <c r="AVT11" s="2854"/>
      <c r="AVU11" s="2854"/>
      <c r="AVV11" s="2854"/>
      <c r="AVW11" s="2854"/>
      <c r="AVX11" s="2854"/>
      <c r="AVY11" s="2854"/>
      <c r="AVZ11" s="2854"/>
      <c r="AWA11" s="2854"/>
      <c r="AWB11" s="2854"/>
      <c r="AWC11" s="2854"/>
      <c r="AWD11" s="2854"/>
      <c r="AWE11" s="2854"/>
      <c r="AWF11" s="2854"/>
      <c r="AWG11" s="2854"/>
      <c r="AWH11" s="2854"/>
      <c r="AWI11" s="2854"/>
      <c r="AWJ11" s="2854"/>
      <c r="AWK11" s="2854"/>
      <c r="AWL11" s="2854"/>
      <c r="AWM11" s="2854"/>
      <c r="AWN11" s="2854"/>
      <c r="AWO11" s="2854"/>
      <c r="AWP11" s="2854"/>
      <c r="AWQ11" s="2854"/>
      <c r="AWR11" s="2854"/>
      <c r="AWS11" s="2854"/>
      <c r="AWT11" s="2854"/>
      <c r="AWU11" s="2854"/>
      <c r="AWV11" s="2854"/>
      <c r="AWW11" s="2854"/>
      <c r="AWX11" s="2854"/>
      <c r="AWY11" s="2854"/>
      <c r="AWZ11" s="2854"/>
      <c r="AXA11" s="2854"/>
      <c r="AXB11" s="2854"/>
      <c r="AXC11" s="2854"/>
      <c r="AXD11" s="2854"/>
      <c r="AXE11" s="2854"/>
      <c r="AXF11" s="2854"/>
      <c r="AXG11" s="2854"/>
      <c r="AXH11" s="2854"/>
      <c r="AXI11" s="2854"/>
      <c r="AXJ11" s="2854"/>
      <c r="AXK11" s="2854"/>
      <c r="AXL11" s="2854"/>
      <c r="AXM11" s="2854"/>
      <c r="AXN11" s="2854"/>
      <c r="AXO11" s="2854"/>
      <c r="AXP11" s="2854"/>
      <c r="AXQ11" s="2854"/>
      <c r="AXR11" s="2854"/>
      <c r="AXS11" s="2854"/>
      <c r="AXT11" s="2854"/>
      <c r="AXU11" s="2854"/>
      <c r="AXV11" s="2854"/>
      <c r="AXW11" s="2854"/>
      <c r="AXX11" s="2854"/>
      <c r="AXY11" s="2854"/>
      <c r="AXZ11" s="2854"/>
      <c r="AYA11" s="2854"/>
      <c r="AYB11" s="2854"/>
      <c r="AYC11" s="2854"/>
      <c r="AYD11" s="2854"/>
      <c r="AYE11" s="2854"/>
      <c r="AYF11" s="2854"/>
      <c r="AYG11" s="2854"/>
      <c r="AYH11" s="2854"/>
      <c r="AYI11" s="2854"/>
      <c r="AYJ11" s="2854"/>
      <c r="AYK11" s="2854"/>
      <c r="AYL11" s="2854"/>
      <c r="AYM11" s="2854"/>
      <c r="AYN11" s="2854"/>
      <c r="AYO11" s="2854"/>
      <c r="AYP11" s="2854"/>
      <c r="AYQ11" s="2854"/>
      <c r="AYR11" s="2854"/>
      <c r="AYS11" s="2854"/>
      <c r="AYT11" s="2854"/>
      <c r="AYU11" s="2854"/>
      <c r="AYV11" s="2854"/>
      <c r="AYW11" s="2854"/>
      <c r="AYX11" s="2854"/>
      <c r="AYY11" s="2854"/>
      <c r="AYZ11" s="2854"/>
      <c r="AZA11" s="2854"/>
      <c r="AZB11" s="2854"/>
      <c r="AZC11" s="2854"/>
      <c r="AZD11" s="2854"/>
      <c r="AZE11" s="2854"/>
      <c r="AZF11" s="2854"/>
      <c r="AZG11" s="2854"/>
      <c r="AZH11" s="2854"/>
      <c r="AZI11" s="2854"/>
      <c r="AZJ11" s="2854"/>
      <c r="AZK11" s="2854"/>
      <c r="AZL11" s="2854"/>
      <c r="AZM11" s="2854"/>
      <c r="AZN11" s="2854"/>
      <c r="AZO11" s="2854"/>
      <c r="AZP11" s="2854"/>
      <c r="AZQ11" s="2854"/>
      <c r="AZR11" s="2854"/>
      <c r="AZS11" s="2854"/>
      <c r="AZT11" s="2854"/>
      <c r="AZU11" s="2854"/>
      <c r="AZV11" s="2854"/>
      <c r="AZW11" s="2854"/>
      <c r="AZX11" s="2854"/>
      <c r="AZY11" s="2854"/>
      <c r="AZZ11" s="2854"/>
      <c r="BAA11" s="2854"/>
      <c r="BAB11" s="2854"/>
      <c r="BAC11" s="2854"/>
      <c r="BAD11" s="2854"/>
      <c r="BAE11" s="2854"/>
      <c r="BAF11" s="2854"/>
      <c r="BAG11" s="2854"/>
      <c r="BAH11" s="2854"/>
      <c r="BAI11" s="2854"/>
      <c r="BAJ11" s="2854"/>
      <c r="BAK11" s="2854"/>
      <c r="BAL11" s="2854"/>
      <c r="BAM11" s="2854"/>
      <c r="BAN11" s="2854"/>
      <c r="BAO11" s="2854"/>
      <c r="BAP11" s="2854"/>
      <c r="BAQ11" s="2854"/>
      <c r="BAR11" s="2854"/>
      <c r="BAS11" s="2854"/>
      <c r="BAT11" s="2854"/>
      <c r="BAU11" s="2854"/>
      <c r="BAV11" s="2854"/>
      <c r="BAW11" s="2854"/>
      <c r="BAX11" s="2854"/>
      <c r="BAY11" s="2854"/>
      <c r="BAZ11" s="2854"/>
      <c r="BBA11" s="2854"/>
      <c r="BBB11" s="2854"/>
      <c r="BBC11" s="2854"/>
      <c r="BBD11" s="2854"/>
      <c r="BBE11" s="2854"/>
      <c r="BBF11" s="2854"/>
      <c r="BBG11" s="2854"/>
      <c r="BBH11" s="2854"/>
      <c r="BBI11" s="2854"/>
      <c r="BBJ11" s="2854"/>
      <c r="BBK11" s="2854"/>
      <c r="BBL11" s="2854"/>
      <c r="BBM11" s="2854"/>
      <c r="BBN11" s="2854"/>
      <c r="BBO11" s="2854"/>
      <c r="BBP11" s="2854"/>
      <c r="BBQ11" s="2854"/>
      <c r="BBR11" s="2854"/>
      <c r="BBS11" s="2854"/>
      <c r="BBT11" s="2854"/>
      <c r="BBU11" s="2854"/>
      <c r="BBV11" s="2854"/>
      <c r="BBW11" s="2854"/>
      <c r="BBX11" s="2854"/>
      <c r="BBY11" s="2854"/>
      <c r="BBZ11" s="2854"/>
      <c r="BCA11" s="2854"/>
      <c r="BCB11" s="2854"/>
      <c r="BCC11" s="2854"/>
      <c r="BCD11" s="2854"/>
      <c r="BCE11" s="2854"/>
      <c r="BCF11" s="2854"/>
      <c r="BCG11" s="2854"/>
      <c r="BCH11" s="2854"/>
      <c r="BCI11" s="2854"/>
      <c r="BCJ11" s="2854"/>
      <c r="BCK11" s="2854"/>
      <c r="BCL11" s="2854"/>
      <c r="BCM11" s="2854"/>
      <c r="BCN11" s="2854"/>
      <c r="BCO11" s="2854"/>
      <c r="BCP11" s="2854"/>
      <c r="BCQ11" s="2854"/>
      <c r="BCR11" s="2854"/>
      <c r="BCS11" s="2854"/>
      <c r="BCT11" s="2854"/>
      <c r="BCU11" s="2854"/>
      <c r="BCV11" s="2854"/>
      <c r="BCW11" s="2854"/>
      <c r="BCX11" s="2854"/>
      <c r="BCY11" s="2854"/>
      <c r="BCZ11" s="2854"/>
      <c r="BDA11" s="2854"/>
      <c r="BDB11" s="2854"/>
      <c r="BDC11" s="2854"/>
      <c r="BDD11" s="2854"/>
      <c r="BDE11" s="2854"/>
      <c r="BDF11" s="2854"/>
      <c r="BDG11" s="2854"/>
      <c r="BDH11" s="2854"/>
      <c r="BDI11" s="2854"/>
      <c r="BDJ11" s="2854"/>
      <c r="BDK11" s="2854"/>
      <c r="BDL11" s="2854"/>
      <c r="BDM11" s="2854"/>
      <c r="BDN11" s="2854"/>
      <c r="BDO11" s="2854"/>
      <c r="BDP11" s="2854"/>
      <c r="BDQ11" s="2854"/>
      <c r="BDR11" s="2854"/>
      <c r="BDS11" s="2854"/>
      <c r="BDT11" s="2854"/>
      <c r="BDU11" s="2854"/>
      <c r="BDV11" s="2854"/>
      <c r="BDW11" s="2854"/>
      <c r="BDX11" s="2854"/>
      <c r="BDY11" s="2854"/>
      <c r="BDZ11" s="2854"/>
      <c r="BEA11" s="2854"/>
      <c r="BEB11" s="2854"/>
      <c r="BEC11" s="2854"/>
      <c r="BED11" s="2854"/>
      <c r="BEE11" s="2854"/>
      <c r="BEF11" s="2854"/>
      <c r="BEG11" s="2854"/>
      <c r="BEH11" s="2854"/>
      <c r="BEI11" s="2854"/>
      <c r="BEJ11" s="2854"/>
      <c r="BEK11" s="2854"/>
      <c r="BEL11" s="2854"/>
      <c r="BEM11" s="2854"/>
      <c r="BEN11" s="2854"/>
      <c r="BEO11" s="2854"/>
      <c r="BEP11" s="2854"/>
      <c r="BEQ11" s="2854"/>
      <c r="BER11" s="2854"/>
      <c r="BES11" s="2854"/>
      <c r="BET11" s="2854"/>
      <c r="BEU11" s="2854"/>
      <c r="BEV11" s="2854"/>
      <c r="BEW11" s="2854"/>
      <c r="BEX11" s="2854"/>
      <c r="BEY11" s="2854"/>
      <c r="BEZ11" s="2854"/>
      <c r="BFA11" s="2854"/>
      <c r="BFB11" s="2854"/>
      <c r="BFC11" s="2854"/>
      <c r="BFD11" s="2854"/>
      <c r="BFE11" s="2854"/>
      <c r="BFF11" s="2854"/>
      <c r="BFG11" s="2854"/>
      <c r="BFH11" s="2854"/>
      <c r="BFI11" s="2854"/>
      <c r="BFJ11" s="2854"/>
      <c r="BFK11" s="2854"/>
      <c r="BFL11" s="2854"/>
      <c r="BFM11" s="2854"/>
      <c r="BFN11" s="2854"/>
      <c r="BFO11" s="2854"/>
      <c r="BFP11" s="2854"/>
      <c r="BFQ11" s="2854"/>
      <c r="BFR11" s="2854"/>
      <c r="BFS11" s="2854"/>
      <c r="BFT11" s="2854"/>
      <c r="BFU11" s="2854"/>
      <c r="BFV11" s="2854"/>
      <c r="BFW11" s="2854"/>
      <c r="BFX11" s="2854"/>
      <c r="BFY11" s="2854"/>
      <c r="BFZ11" s="2854"/>
      <c r="BGA11" s="2854"/>
      <c r="BGB11" s="2854"/>
      <c r="BGC11" s="2854"/>
      <c r="BGD11" s="2854"/>
      <c r="BGE11" s="2854"/>
      <c r="BGF11" s="2854"/>
      <c r="BGG11" s="2854"/>
      <c r="BGH11" s="2854"/>
      <c r="BGI11" s="2854"/>
      <c r="BGJ11" s="2854"/>
      <c r="BGK11" s="2854"/>
      <c r="BGL11" s="2854"/>
      <c r="BGM11" s="2854"/>
      <c r="BGN11" s="2854"/>
      <c r="BGO11" s="2854"/>
      <c r="BGP11" s="2854"/>
      <c r="BGQ11" s="2854"/>
      <c r="BGR11" s="2854"/>
      <c r="BGS11" s="2854"/>
      <c r="BGT11" s="2854"/>
      <c r="BGU11" s="2854"/>
      <c r="BGV11" s="2854"/>
      <c r="BGW11" s="2854"/>
      <c r="BGX11" s="2854"/>
      <c r="BGY11" s="2854"/>
      <c r="BGZ11" s="2854"/>
      <c r="BHA11" s="2854"/>
      <c r="BHB11" s="2854"/>
      <c r="BHC11" s="2854"/>
      <c r="BHD11" s="2854"/>
      <c r="BHE11" s="2854"/>
      <c r="BHF11" s="2854"/>
      <c r="BHG11" s="2854"/>
      <c r="BHH11" s="2854"/>
      <c r="BHI11" s="2854"/>
      <c r="BHJ11" s="2854"/>
      <c r="BHK11" s="2854"/>
      <c r="BHL11" s="2854"/>
      <c r="BHM11" s="2854"/>
      <c r="BHN11" s="2854"/>
      <c r="BHO11" s="2854"/>
      <c r="BHP11" s="2854"/>
      <c r="BHQ11" s="2854"/>
      <c r="BHR11" s="2854"/>
      <c r="BHS11" s="2854"/>
      <c r="BHT11" s="2854"/>
      <c r="BHU11" s="2854"/>
      <c r="BHV11" s="2854"/>
      <c r="BHW11" s="2854"/>
      <c r="BHX11" s="2854"/>
      <c r="BHY11" s="2854"/>
      <c r="BHZ11" s="2854"/>
      <c r="BIA11" s="2854"/>
      <c r="BIB11" s="2854"/>
      <c r="BIC11" s="2854"/>
      <c r="BID11" s="2854"/>
      <c r="BIE11" s="2854"/>
      <c r="BIF11" s="2854"/>
      <c r="BIG11" s="2854"/>
      <c r="BIH11" s="2854"/>
      <c r="BII11" s="2854"/>
      <c r="BIJ11" s="2854"/>
      <c r="BIK11" s="2854"/>
      <c r="BIL11" s="2854"/>
      <c r="BIM11" s="2854"/>
      <c r="BIN11" s="2854"/>
      <c r="BIO11" s="2854"/>
      <c r="BIP11" s="2854"/>
      <c r="BIQ11" s="2854"/>
      <c r="BIR11" s="2854"/>
      <c r="BIS11" s="2854"/>
      <c r="BIT11" s="2854"/>
      <c r="BIU11" s="2854"/>
      <c r="BIV11" s="2854"/>
      <c r="BIW11" s="2854"/>
      <c r="BIX11" s="2854"/>
      <c r="BIY11" s="2854"/>
      <c r="BIZ11" s="2854"/>
      <c r="BJA11" s="2854"/>
      <c r="BJB11" s="2854"/>
      <c r="BJC11" s="2854"/>
      <c r="BJD11" s="2854"/>
      <c r="BJE11" s="2854"/>
      <c r="BJF11" s="2854"/>
      <c r="BJG11" s="2854"/>
      <c r="BJH11" s="2854"/>
      <c r="BJI11" s="2854"/>
      <c r="BJJ11" s="2854"/>
      <c r="BJK11" s="2854"/>
      <c r="BJL11" s="2854"/>
      <c r="BJM11" s="2854"/>
      <c r="BJN11" s="2854"/>
      <c r="BJO11" s="2854"/>
      <c r="BJP11" s="2854"/>
      <c r="BJQ11" s="2854"/>
      <c r="BJR11" s="2854"/>
      <c r="BJS11" s="2854"/>
      <c r="BJT11" s="2854"/>
      <c r="BJU11" s="2854"/>
      <c r="BJV11" s="2854"/>
      <c r="BJW11" s="2854"/>
      <c r="BJX11" s="2854"/>
      <c r="BJY11" s="2854"/>
      <c r="BJZ11" s="2854"/>
      <c r="BKA11" s="2854"/>
      <c r="BKB11" s="2854"/>
      <c r="BKC11" s="2854"/>
      <c r="BKD11" s="2854"/>
      <c r="BKE11" s="2854"/>
      <c r="BKF11" s="2854"/>
      <c r="BKG11" s="2854"/>
      <c r="BKH11" s="2854"/>
      <c r="BKI11" s="2854"/>
      <c r="BKJ11" s="2854"/>
      <c r="BKK11" s="2854"/>
      <c r="BKL11" s="2854"/>
      <c r="BKM11" s="2854"/>
      <c r="BKN11" s="2854"/>
      <c r="BKO11" s="2854"/>
      <c r="BKP11" s="2854"/>
      <c r="BKQ11" s="2854"/>
      <c r="BKR11" s="2854"/>
      <c r="BKS11" s="2854"/>
      <c r="BKT11" s="2854"/>
      <c r="BKU11" s="2854"/>
      <c r="BKV11" s="2854"/>
      <c r="BKW11" s="2854"/>
      <c r="BKX11" s="2854"/>
      <c r="BKY11" s="2854"/>
      <c r="BKZ11" s="2854"/>
      <c r="BLA11" s="2854"/>
      <c r="BLB11" s="2854"/>
      <c r="BLC11" s="2854"/>
      <c r="BLD11" s="2854"/>
      <c r="BLE11" s="2854"/>
      <c r="BLF11" s="2854"/>
      <c r="BLG11" s="2854"/>
      <c r="BLH11" s="2854"/>
      <c r="BLI11" s="2854"/>
      <c r="BLJ11" s="2854"/>
      <c r="BLK11" s="2854"/>
      <c r="BLL11" s="2854"/>
      <c r="BLM11" s="2854"/>
      <c r="BLN11" s="2854"/>
      <c r="BLO11" s="2854"/>
      <c r="BLP11" s="2854"/>
      <c r="BLQ11" s="2854"/>
      <c r="BLR11" s="2854"/>
      <c r="BLS11" s="2854"/>
      <c r="BLT11" s="2854"/>
      <c r="BLU11" s="2854"/>
      <c r="BLV11" s="2854"/>
      <c r="BLW11" s="2854"/>
      <c r="BLX11" s="2854"/>
      <c r="BLY11" s="2854"/>
      <c r="BLZ11" s="2854"/>
      <c r="BMA11" s="2854"/>
      <c r="BMB11" s="2854"/>
      <c r="BMC11" s="2854"/>
      <c r="BMD11" s="2854"/>
      <c r="BME11" s="2854"/>
      <c r="BMF11" s="2854"/>
      <c r="BMG11" s="2854"/>
      <c r="BMH11" s="2854"/>
      <c r="BMI11" s="2854"/>
      <c r="BMJ11" s="2854"/>
      <c r="BMK11" s="2854"/>
      <c r="BML11" s="2854"/>
      <c r="BMM11" s="2854"/>
      <c r="BMN11" s="2854"/>
      <c r="BMO11" s="2854"/>
      <c r="BMP11" s="2854"/>
      <c r="BMQ11" s="2854"/>
      <c r="BMR11" s="2854"/>
      <c r="BMS11" s="2854"/>
      <c r="BMT11" s="2854"/>
      <c r="BMU11" s="2854"/>
      <c r="BMV11" s="2854"/>
      <c r="BMW11" s="2854"/>
      <c r="BMX11" s="2854"/>
      <c r="BMY11" s="2854"/>
      <c r="BMZ11" s="2854"/>
      <c r="BNA11" s="2854"/>
      <c r="BNB11" s="2854"/>
      <c r="BNC11" s="2854"/>
      <c r="BND11" s="2854"/>
      <c r="BNE11" s="2854"/>
      <c r="BNF11" s="2854"/>
      <c r="BNG11" s="2854"/>
      <c r="BNH11" s="2854"/>
      <c r="BNI11" s="2854"/>
      <c r="BNJ11" s="2854"/>
      <c r="BNK11" s="2854"/>
      <c r="BNL11" s="2854"/>
      <c r="BNM11" s="2854"/>
      <c r="BNN11" s="2854"/>
      <c r="BNO11" s="2854"/>
      <c r="BNP11" s="2854"/>
      <c r="BNQ11" s="2854"/>
      <c r="BNR11" s="2854"/>
      <c r="BNS11" s="2854"/>
      <c r="BNT11" s="2854"/>
      <c r="BNU11" s="2854"/>
      <c r="BNV11" s="2854"/>
      <c r="BNW11" s="2854"/>
      <c r="BNX11" s="2854"/>
      <c r="BNY11" s="2854"/>
      <c r="BNZ11" s="2854"/>
      <c r="BOA11" s="2854"/>
      <c r="BOB11" s="2854"/>
      <c r="BOC11" s="2854"/>
      <c r="BOD11" s="2854"/>
      <c r="BOE11" s="2854"/>
      <c r="BOF11" s="2854"/>
      <c r="BOG11" s="2854"/>
      <c r="BOH11" s="2854"/>
      <c r="BOI11" s="2854"/>
      <c r="BOJ11" s="2854"/>
      <c r="BOK11" s="2854"/>
      <c r="BOL11" s="2854"/>
      <c r="BOM11" s="2854"/>
      <c r="BON11" s="2854"/>
      <c r="BOO11" s="2854"/>
      <c r="BOP11" s="2854"/>
      <c r="BOQ11" s="2854"/>
      <c r="BOR11" s="2854"/>
      <c r="BOS11" s="2854"/>
      <c r="BOT11" s="2854"/>
      <c r="BOU11" s="2854"/>
      <c r="BOV11" s="2854"/>
      <c r="BOW11" s="2854"/>
      <c r="BOX11" s="2854"/>
      <c r="BOY11" s="2854"/>
      <c r="BOZ11" s="2854"/>
      <c r="BPA11" s="2854"/>
      <c r="BPB11" s="2854"/>
      <c r="BPC11" s="2854"/>
      <c r="BPD11" s="2854"/>
      <c r="BPE11" s="2854"/>
      <c r="BPF11" s="2854"/>
      <c r="BPG11" s="2854"/>
      <c r="BPH11" s="2854"/>
      <c r="BPI11" s="2854"/>
      <c r="BPJ11" s="2854"/>
      <c r="BPK11" s="2854"/>
      <c r="BPL11" s="2854"/>
      <c r="BPM11" s="2854"/>
      <c r="BPN11" s="2854"/>
      <c r="BPO11" s="2854"/>
      <c r="BPP11" s="2854"/>
      <c r="BPQ11" s="2854"/>
      <c r="BPR11" s="2854"/>
      <c r="BPS11" s="2854"/>
      <c r="BPT11" s="2854"/>
      <c r="BPU11" s="2854"/>
      <c r="BPV11" s="2854"/>
      <c r="BPW11" s="2854"/>
      <c r="BPX11" s="2854"/>
      <c r="BPY11" s="2854"/>
      <c r="BPZ11" s="2854"/>
      <c r="BQA11" s="2854"/>
      <c r="BQB11" s="2854"/>
      <c r="BQC11" s="2854"/>
      <c r="BQD11" s="2854"/>
      <c r="BQE11" s="2854"/>
      <c r="BQF11" s="2854"/>
      <c r="BQG11" s="2854"/>
      <c r="BQH11" s="2854"/>
      <c r="BQI11" s="2854"/>
      <c r="BQJ11" s="2854"/>
      <c r="BQK11" s="2854"/>
      <c r="BQL11" s="2854"/>
      <c r="BQM11" s="2854"/>
      <c r="BQN11" s="2854"/>
      <c r="BQO11" s="2854"/>
      <c r="BQP11" s="2854"/>
      <c r="BQQ11" s="2854"/>
      <c r="BQR11" s="2854"/>
      <c r="BQS11" s="2854"/>
      <c r="BQT11" s="2854"/>
      <c r="BQU11" s="2854"/>
      <c r="BQV11" s="2854"/>
      <c r="BQW11" s="2854"/>
      <c r="BQX11" s="2854"/>
      <c r="BQY11" s="2854"/>
      <c r="BQZ11" s="2854"/>
      <c r="BRA11" s="2854"/>
      <c r="BRB11" s="2854"/>
      <c r="BRC11" s="2854"/>
      <c r="BRD11" s="2854"/>
      <c r="BRE11" s="2854"/>
      <c r="BRF11" s="2854"/>
      <c r="BRG11" s="2854"/>
      <c r="BRH11" s="2854"/>
      <c r="BRI11" s="2854"/>
      <c r="BRJ11" s="2854"/>
      <c r="BRK11" s="2854"/>
      <c r="BRL11" s="2854"/>
      <c r="BRM11" s="2854"/>
      <c r="BRN11" s="2854"/>
      <c r="BRO11" s="2854"/>
      <c r="BRP11" s="2854"/>
      <c r="BRQ11" s="2854"/>
      <c r="BRR11" s="2854"/>
      <c r="BRS11" s="2854"/>
      <c r="BRT11" s="2854"/>
      <c r="BRU11" s="2854"/>
      <c r="BRV11" s="2854"/>
      <c r="BRW11" s="2854"/>
      <c r="BRX11" s="2854"/>
      <c r="BRY11" s="2854"/>
      <c r="BRZ11" s="2854"/>
      <c r="BSA11" s="2854"/>
      <c r="BSB11" s="2854"/>
      <c r="BSC11" s="2854"/>
      <c r="BSD11" s="2854"/>
      <c r="BSE11" s="2854"/>
      <c r="BSF11" s="2854"/>
      <c r="BSG11" s="2854"/>
      <c r="BSH11" s="2854"/>
      <c r="BSI11" s="2854"/>
      <c r="BSJ11" s="2854"/>
      <c r="BSK11" s="2854"/>
      <c r="BSL11" s="2854"/>
      <c r="BSM11" s="2854"/>
      <c r="BSN11" s="2854"/>
      <c r="BSO11" s="2854"/>
      <c r="BSP11" s="2854"/>
      <c r="BSQ11" s="2854"/>
      <c r="BSR11" s="2854"/>
      <c r="BSS11" s="2854"/>
      <c r="BST11" s="2854"/>
      <c r="BSU11" s="2854"/>
      <c r="BSV11" s="2854"/>
      <c r="BSW11" s="2854"/>
      <c r="BSX11" s="2854"/>
      <c r="BSY11" s="2854"/>
      <c r="BSZ11" s="2854"/>
      <c r="BTA11" s="2854"/>
      <c r="BTB11" s="2854"/>
      <c r="BTC11" s="2854"/>
      <c r="BTD11" s="2854"/>
      <c r="BTE11" s="2854"/>
      <c r="BTF11" s="2854"/>
      <c r="BTG11" s="2854"/>
      <c r="BTH11" s="2854"/>
      <c r="BTI11" s="2854"/>
      <c r="BTJ11" s="2854"/>
      <c r="BTK11" s="2854"/>
      <c r="BTL11" s="2854"/>
      <c r="BTM11" s="2854"/>
      <c r="BTN11" s="2854"/>
      <c r="BTO11" s="2854"/>
      <c r="BTP11" s="2854"/>
      <c r="BTQ11" s="2854"/>
      <c r="BTR11" s="2854"/>
      <c r="BTS11" s="2854"/>
      <c r="BTT11" s="2854"/>
      <c r="BTU11" s="2854"/>
      <c r="BTV11" s="2854"/>
      <c r="BTW11" s="2854"/>
      <c r="BTX11" s="2854"/>
      <c r="BTY11" s="2854"/>
      <c r="BTZ11" s="2854"/>
      <c r="BUA11" s="2854"/>
      <c r="BUB11" s="2854"/>
      <c r="BUC11" s="2854"/>
      <c r="BUD11" s="2854"/>
      <c r="BUE11" s="2854"/>
      <c r="BUF11" s="2854"/>
      <c r="BUG11" s="2854"/>
      <c r="BUH11" s="2854"/>
      <c r="BUI11" s="2854"/>
      <c r="BUJ11" s="2854"/>
      <c r="BUK11" s="2854"/>
      <c r="BUL11" s="2854"/>
      <c r="BUM11" s="2854"/>
      <c r="BUN11" s="2854"/>
      <c r="BUO11" s="2854"/>
      <c r="BUP11" s="2854"/>
      <c r="BUQ11" s="2854"/>
      <c r="BUR11" s="2854"/>
      <c r="BUS11" s="2854"/>
      <c r="BUT11" s="2854"/>
      <c r="BUU11" s="2854"/>
      <c r="BUV11" s="2854"/>
      <c r="BUW11" s="2854"/>
      <c r="BUX11" s="2854"/>
      <c r="BUY11" s="2854"/>
      <c r="BUZ11" s="2854"/>
      <c r="BVA11" s="2854"/>
      <c r="BVB11" s="2854"/>
      <c r="BVC11" s="2854"/>
      <c r="BVD11" s="2854"/>
      <c r="BVE11" s="2854"/>
      <c r="BVF11" s="2854"/>
      <c r="BVG11" s="2854"/>
      <c r="BVH11" s="2854"/>
      <c r="BVI11" s="2854"/>
      <c r="BVJ11" s="2854"/>
      <c r="BVK11" s="2854"/>
      <c r="BVL11" s="2854"/>
      <c r="BVM11" s="2854"/>
      <c r="BVN11" s="2854"/>
      <c r="BVO11" s="2854"/>
      <c r="BVP11" s="2854"/>
      <c r="BVQ11" s="2854"/>
      <c r="BVR11" s="2854"/>
      <c r="BVS11" s="2854"/>
      <c r="BVT11" s="2854"/>
      <c r="BVU11" s="2854"/>
      <c r="BVV11" s="2854"/>
      <c r="BVW11" s="2854"/>
      <c r="BVX11" s="2854"/>
      <c r="BVY11" s="2854"/>
      <c r="BVZ11" s="2854"/>
      <c r="BWA11" s="2854"/>
      <c r="BWB11" s="2854"/>
      <c r="BWC11" s="2854"/>
      <c r="BWD11" s="2854"/>
      <c r="BWE11" s="2854"/>
      <c r="BWF11" s="2854"/>
      <c r="BWG11" s="2854"/>
      <c r="BWH11" s="2854"/>
      <c r="BWI11" s="2854"/>
      <c r="BWJ11" s="2854"/>
      <c r="BWK11" s="2854"/>
      <c r="BWL11" s="2854"/>
      <c r="BWM11" s="2854"/>
      <c r="BWN11" s="2854"/>
      <c r="BWO11" s="2854"/>
      <c r="BWP11" s="2854"/>
      <c r="BWQ11" s="2854"/>
      <c r="BWR11" s="2854"/>
      <c r="BWS11" s="2854"/>
      <c r="BWT11" s="2854"/>
      <c r="BWU11" s="2854"/>
      <c r="BWV11" s="2854"/>
      <c r="BWW11" s="2854"/>
      <c r="BWX11" s="2854"/>
      <c r="BWY11" s="2854"/>
      <c r="BWZ11" s="2854"/>
      <c r="BXA11" s="2854"/>
      <c r="BXB11" s="2854"/>
      <c r="BXC11" s="2854"/>
      <c r="BXD11" s="2854"/>
      <c r="BXE11" s="2854"/>
      <c r="BXF11" s="2854"/>
      <c r="BXG11" s="2854"/>
      <c r="BXH11" s="2854"/>
      <c r="BXI11" s="2854"/>
      <c r="BXJ11" s="2854"/>
      <c r="BXK11" s="2854"/>
      <c r="BXL11" s="2854"/>
      <c r="BXM11" s="2854"/>
      <c r="BXN11" s="2854"/>
      <c r="BXO11" s="2854"/>
      <c r="BXP11" s="2854"/>
      <c r="BXQ11" s="2854"/>
      <c r="BXR11" s="2854"/>
      <c r="BXS11" s="2854"/>
      <c r="BXT11" s="2854"/>
      <c r="BXU11" s="2854"/>
      <c r="BXV11" s="2854"/>
      <c r="BXW11" s="2854"/>
      <c r="BXX11" s="2854"/>
      <c r="BXY11" s="2854"/>
      <c r="BXZ11" s="2854"/>
      <c r="BYA11" s="2854"/>
      <c r="BYB11" s="2854"/>
      <c r="BYC11" s="2854"/>
      <c r="BYD11" s="2854"/>
      <c r="BYE11" s="2854"/>
      <c r="BYF11" s="2854"/>
      <c r="BYG11" s="2854"/>
      <c r="BYH11" s="2854"/>
      <c r="BYI11" s="2854"/>
      <c r="BYJ11" s="2854"/>
      <c r="BYK11" s="2854"/>
      <c r="BYL11" s="2854"/>
      <c r="BYM11" s="2854"/>
      <c r="BYN11" s="2854"/>
      <c r="BYO11" s="2854"/>
      <c r="BYP11" s="2854"/>
      <c r="BYQ11" s="2854"/>
      <c r="BYR11" s="2854"/>
      <c r="BYS11" s="2854"/>
      <c r="BYT11" s="2854"/>
      <c r="BYU11" s="2854"/>
      <c r="BYV11" s="2854"/>
      <c r="BYW11" s="2854"/>
      <c r="BYX11" s="2854"/>
      <c r="BYY11" s="2854"/>
      <c r="BYZ11" s="2854"/>
      <c r="BZA11" s="2854"/>
      <c r="BZB11" s="2854"/>
      <c r="BZC11" s="2854"/>
      <c r="BZD11" s="2854"/>
      <c r="BZE11" s="2854"/>
      <c r="BZF11" s="2854"/>
      <c r="BZG11" s="2854"/>
      <c r="BZH11" s="2854"/>
      <c r="BZI11" s="2854"/>
      <c r="BZJ11" s="2854"/>
      <c r="BZK11" s="2854"/>
      <c r="BZL11" s="2854"/>
      <c r="BZM11" s="2854"/>
      <c r="BZN11" s="2854"/>
      <c r="BZO11" s="2854"/>
      <c r="BZP11" s="2854"/>
      <c r="BZQ11" s="2854"/>
      <c r="BZR11" s="2854"/>
      <c r="BZS11" s="2854"/>
      <c r="BZT11" s="2854"/>
      <c r="BZU11" s="2854"/>
      <c r="BZV11" s="2854"/>
      <c r="BZW11" s="2854"/>
      <c r="BZX11" s="2854"/>
      <c r="BZY11" s="2854"/>
      <c r="BZZ11" s="2854"/>
      <c r="CAA11" s="2854"/>
      <c r="CAB11" s="2854"/>
      <c r="CAC11" s="2854"/>
      <c r="CAD11" s="2854"/>
      <c r="CAE11" s="2854"/>
      <c r="CAF11" s="2854"/>
      <c r="CAG11" s="2854"/>
      <c r="CAH11" s="2854"/>
      <c r="CAI11" s="2854"/>
      <c r="CAJ11" s="2854"/>
      <c r="CAK11" s="2854"/>
      <c r="CAL11" s="2854"/>
      <c r="CAM11" s="2854"/>
      <c r="CAN11" s="2854"/>
      <c r="CAO11" s="2854"/>
      <c r="CAP11" s="2854"/>
      <c r="CAQ11" s="2854"/>
      <c r="CAR11" s="2854"/>
      <c r="CAS11" s="2854"/>
      <c r="CAT11" s="2854"/>
      <c r="CAU11" s="2854"/>
      <c r="CAV11" s="2854"/>
      <c r="CAW11" s="2854"/>
      <c r="CAX11" s="2854"/>
      <c r="CAY11" s="2854"/>
      <c r="CAZ11" s="2854"/>
      <c r="CBA11" s="2854"/>
      <c r="CBB11" s="2854"/>
      <c r="CBC11" s="2854"/>
      <c r="CBD11" s="2854"/>
      <c r="CBE11" s="2854"/>
      <c r="CBF11" s="2854"/>
      <c r="CBG11" s="2854"/>
      <c r="CBH11" s="2854"/>
      <c r="CBI11" s="2854"/>
      <c r="CBJ11" s="2854"/>
      <c r="CBK11" s="2854"/>
      <c r="CBL11" s="2854"/>
      <c r="CBM11" s="2854"/>
      <c r="CBN11" s="2854"/>
      <c r="CBO11" s="2854"/>
      <c r="CBP11" s="2854"/>
      <c r="CBQ11" s="2854"/>
      <c r="CBR11" s="2854"/>
      <c r="CBS11" s="2854"/>
      <c r="CBT11" s="2854"/>
      <c r="CBU11" s="2854"/>
      <c r="CBV11" s="2854"/>
      <c r="CBW11" s="2854"/>
      <c r="CBX11" s="2854"/>
      <c r="CBY11" s="2854"/>
      <c r="CBZ11" s="2854"/>
      <c r="CCA11" s="2854"/>
      <c r="CCB11" s="2854"/>
      <c r="CCC11" s="2854"/>
      <c r="CCD11" s="2854"/>
      <c r="CCE11" s="2854"/>
      <c r="CCF11" s="2854"/>
      <c r="CCG11" s="2854"/>
      <c r="CCH11" s="2854"/>
      <c r="CCI11" s="2854"/>
      <c r="CCJ11" s="2854"/>
      <c r="CCK11" s="2854"/>
      <c r="CCL11" s="2854"/>
      <c r="CCM11" s="2854"/>
      <c r="CCN11" s="2854"/>
      <c r="CCO11" s="2854"/>
      <c r="CCP11" s="2854"/>
      <c r="CCQ11" s="2854"/>
      <c r="CCR11" s="2854"/>
      <c r="CCS11" s="2854"/>
      <c r="CCT11" s="2854"/>
      <c r="CCU11" s="2854"/>
      <c r="CCV11" s="2854"/>
      <c r="CCW11" s="2854"/>
      <c r="CCX11" s="2854"/>
      <c r="CCY11" s="2854"/>
      <c r="CCZ11" s="2854"/>
      <c r="CDA11" s="2854"/>
      <c r="CDB11" s="2854"/>
      <c r="CDC11" s="2854"/>
      <c r="CDD11" s="2854"/>
      <c r="CDE11" s="2854"/>
      <c r="CDF11" s="2854"/>
      <c r="CDG11" s="2854"/>
      <c r="CDH11" s="2854"/>
      <c r="CDI11" s="2854"/>
      <c r="CDJ11" s="2854"/>
      <c r="CDK11" s="2854"/>
      <c r="CDL11" s="2854"/>
      <c r="CDM11" s="2854"/>
      <c r="CDN11" s="2854"/>
      <c r="CDO11" s="2854"/>
      <c r="CDP11" s="2854"/>
      <c r="CDQ11" s="2854"/>
      <c r="CDR11" s="2854"/>
      <c r="CDS11" s="2854"/>
      <c r="CDT11" s="2854"/>
      <c r="CDU11" s="2854"/>
      <c r="CDV11" s="2854"/>
      <c r="CDW11" s="2854"/>
      <c r="CDX11" s="2854"/>
      <c r="CDY11" s="2854"/>
      <c r="CDZ11" s="2854"/>
      <c r="CEA11" s="2854"/>
      <c r="CEB11" s="2854"/>
      <c r="CEC11" s="2854"/>
      <c r="CED11" s="2854"/>
      <c r="CEE11" s="2854"/>
      <c r="CEF11" s="2854"/>
      <c r="CEG11" s="2854"/>
      <c r="CEH11" s="2854"/>
      <c r="CEI11" s="2854"/>
      <c r="CEJ11" s="2854"/>
      <c r="CEK11" s="2854"/>
      <c r="CEL11" s="2854"/>
      <c r="CEM11" s="2854"/>
      <c r="CEN11" s="2854"/>
      <c r="CEO11" s="2854"/>
      <c r="CEP11" s="2854"/>
      <c r="CEQ11" s="2854"/>
      <c r="CER11" s="2854"/>
      <c r="CES11" s="2854"/>
      <c r="CET11" s="2854"/>
      <c r="CEU11" s="2854"/>
      <c r="CEV11" s="2854"/>
      <c r="CEW11" s="2854"/>
      <c r="CEX11" s="2854"/>
      <c r="CEY11" s="2854"/>
      <c r="CEZ11" s="2854"/>
      <c r="CFA11" s="2854"/>
      <c r="CFB11" s="2854"/>
      <c r="CFC11" s="2854"/>
      <c r="CFD11" s="2854"/>
      <c r="CFE11" s="2854"/>
      <c r="CFF11" s="2854"/>
      <c r="CFG11" s="2854"/>
      <c r="CFH11" s="2854"/>
      <c r="CFI11" s="2854"/>
      <c r="CFJ11" s="2854"/>
      <c r="CFK11" s="2854"/>
      <c r="CFL11" s="2854"/>
      <c r="CFM11" s="2854"/>
      <c r="CFN11" s="2854"/>
      <c r="CFO11" s="2854"/>
      <c r="CFP11" s="2854"/>
      <c r="CFQ11" s="2854"/>
      <c r="CFR11" s="2854"/>
      <c r="CFS11" s="2854"/>
      <c r="CFT11" s="2854"/>
      <c r="CFU11" s="2854"/>
      <c r="CFV11" s="2854"/>
      <c r="CFW11" s="2854"/>
      <c r="CFX11" s="2854"/>
      <c r="CFY11" s="2854"/>
      <c r="CFZ11" s="2854"/>
      <c r="CGA11" s="2854"/>
      <c r="CGB11" s="2854"/>
      <c r="CGC11" s="2854"/>
      <c r="CGD11" s="2854"/>
      <c r="CGE11" s="2854"/>
      <c r="CGF11" s="2854"/>
      <c r="CGG11" s="2854"/>
      <c r="CGH11" s="2854"/>
      <c r="CGI11" s="2854"/>
      <c r="CGJ11" s="2854"/>
      <c r="CGK11" s="2854"/>
      <c r="CGL11" s="2854"/>
      <c r="CGM11" s="2854"/>
      <c r="CGN11" s="2854"/>
      <c r="CGO11" s="2854"/>
      <c r="CGP11" s="2854"/>
      <c r="CGQ11" s="2854"/>
      <c r="CGR11" s="2854"/>
      <c r="CGS11" s="2854"/>
      <c r="CGT11" s="2854"/>
      <c r="CGU11" s="2854"/>
      <c r="CGV11" s="2854"/>
      <c r="CGW11" s="2854"/>
      <c r="CGX11" s="2854"/>
      <c r="CGY11" s="2854"/>
      <c r="CGZ11" s="2854"/>
      <c r="CHA11" s="2854"/>
      <c r="CHB11" s="2854"/>
      <c r="CHC11" s="2854"/>
      <c r="CHD11" s="2854"/>
      <c r="CHE11" s="2854"/>
      <c r="CHF11" s="2854"/>
      <c r="CHG11" s="2854"/>
      <c r="CHH11" s="2854"/>
      <c r="CHI11" s="2854"/>
      <c r="CHJ11" s="2854"/>
      <c r="CHK11" s="2854"/>
      <c r="CHL11" s="2854"/>
      <c r="CHM11" s="2854"/>
      <c r="CHN11" s="2854"/>
      <c r="CHO11" s="2854"/>
      <c r="CHP11" s="2854"/>
      <c r="CHQ11" s="2854"/>
      <c r="CHR11" s="2854"/>
      <c r="CHS11" s="2854"/>
      <c r="CHT11" s="2854"/>
      <c r="CHU11" s="2854"/>
      <c r="CHV11" s="2854"/>
      <c r="CHW11" s="2854"/>
      <c r="CHX11" s="2854"/>
      <c r="CHY11" s="2854"/>
      <c r="CHZ11" s="2854"/>
      <c r="CIA11" s="2854"/>
      <c r="CIB11" s="2854"/>
      <c r="CIC11" s="2854"/>
      <c r="CID11" s="2854"/>
      <c r="CIE11" s="2854"/>
      <c r="CIF11" s="2854"/>
      <c r="CIG11" s="2854"/>
      <c r="CIH11" s="2854"/>
      <c r="CII11" s="2854"/>
      <c r="CIJ11" s="2854"/>
      <c r="CIK11" s="2854"/>
      <c r="CIL11" s="2854"/>
      <c r="CIM11" s="2854"/>
      <c r="CIN11" s="2854"/>
      <c r="CIO11" s="2854"/>
      <c r="CIP11" s="2854"/>
      <c r="CIQ11" s="2854"/>
      <c r="CIR11" s="2854"/>
      <c r="CIS11" s="2854"/>
      <c r="CIT11" s="2854"/>
      <c r="CIU11" s="2854"/>
      <c r="CIV11" s="2854"/>
      <c r="CIW11" s="2854"/>
      <c r="CIX11" s="2854"/>
      <c r="CIY11" s="2854"/>
      <c r="CIZ11" s="2854"/>
      <c r="CJA11" s="2854"/>
      <c r="CJB11" s="2854"/>
      <c r="CJC11" s="2854"/>
      <c r="CJD11" s="2854"/>
      <c r="CJE11" s="2854"/>
      <c r="CJF11" s="2854"/>
      <c r="CJG11" s="2854"/>
      <c r="CJH11" s="2854"/>
      <c r="CJI11" s="2854"/>
      <c r="CJJ11" s="2854"/>
      <c r="CJK11" s="2854"/>
      <c r="CJL11" s="2854"/>
      <c r="CJM11" s="2854"/>
      <c r="CJN11" s="2854"/>
      <c r="CJO11" s="2854"/>
      <c r="CJP11" s="2854"/>
      <c r="CJQ11" s="2854"/>
      <c r="CJR11" s="2854"/>
      <c r="CJS11" s="2854"/>
      <c r="CJT11" s="2854"/>
      <c r="CJU11" s="2854"/>
      <c r="CJV11" s="2854"/>
      <c r="CJW11" s="2854"/>
      <c r="CJX11" s="2854"/>
      <c r="CJY11" s="2854"/>
      <c r="CJZ11" s="2854"/>
      <c r="CKA11" s="2854"/>
      <c r="CKB11" s="2854"/>
      <c r="CKC11" s="2854"/>
      <c r="CKD11" s="2854"/>
      <c r="CKE11" s="2854"/>
      <c r="CKF11" s="2854"/>
      <c r="CKG11" s="2854"/>
      <c r="CKH11" s="2854"/>
      <c r="CKI11" s="2854"/>
      <c r="CKJ11" s="2854"/>
      <c r="CKK11" s="2854"/>
      <c r="CKL11" s="2854"/>
      <c r="CKM11" s="2854"/>
      <c r="CKN11" s="2854"/>
      <c r="CKO11" s="2854"/>
      <c r="CKP11" s="2854"/>
      <c r="CKQ11" s="2854"/>
      <c r="CKR11" s="2854"/>
      <c r="CKS11" s="2854"/>
      <c r="CKT11" s="2854"/>
      <c r="CKU11" s="2854"/>
      <c r="CKV11" s="2854"/>
      <c r="CKW11" s="2854"/>
      <c r="CKX11" s="2854"/>
      <c r="CKY11" s="2854"/>
      <c r="CKZ11" s="2854"/>
      <c r="CLA11" s="2854"/>
      <c r="CLB11" s="2854"/>
      <c r="CLC11" s="2854"/>
      <c r="CLD11" s="2854"/>
      <c r="CLE11" s="2854"/>
      <c r="CLF11" s="2854"/>
      <c r="CLG11" s="2854"/>
      <c r="CLH11" s="2854"/>
      <c r="CLI11" s="2854"/>
      <c r="CLJ11" s="2854"/>
      <c r="CLK11" s="2854"/>
      <c r="CLL11" s="2854"/>
      <c r="CLM11" s="2854"/>
      <c r="CLN11" s="2854"/>
      <c r="CLO11" s="2854"/>
      <c r="CLP11" s="2854"/>
      <c r="CLQ11" s="2854"/>
      <c r="CLR11" s="2854"/>
      <c r="CLS11" s="2854"/>
      <c r="CLT11" s="2854"/>
      <c r="CLU11" s="2854"/>
      <c r="CLV11" s="2854"/>
      <c r="CLW11" s="2854"/>
    </row>
    <row r="12" spans="1:2363" s="3258" customFormat="1" ht="15" customHeight="1" outlineLevel="1" x14ac:dyDescent="0.25">
      <c r="A12" s="3868"/>
      <c r="B12" s="3871"/>
      <c r="C12" s="2203">
        <v>3</v>
      </c>
      <c r="D12" s="3578" t="s">
        <v>655</v>
      </c>
      <c r="E12" s="3271">
        <v>80</v>
      </c>
      <c r="F12" s="2667">
        <f>5027.05</f>
        <v>5027.05</v>
      </c>
      <c r="G12" s="2784">
        <f t="shared" si="0"/>
        <v>62.838125000000005</v>
      </c>
      <c r="H12" s="2245"/>
      <c r="I12" s="2667"/>
      <c r="J12" s="1805"/>
      <c r="K12" s="2245"/>
      <c r="L12" s="2667"/>
      <c r="M12" s="1805"/>
      <c r="N12" s="3566">
        <f>+L12+I12+F12</f>
        <v>5027.05</v>
      </c>
      <c r="O12" s="3272">
        <f>+I12+F12</f>
        <v>5027.05</v>
      </c>
      <c r="P12" s="3542">
        <f>ROUND(3339384/7.5345,2)</f>
        <v>443212.42</v>
      </c>
      <c r="Q12" s="3241">
        <f>ROUND(1301262/7.5345,2)</f>
        <v>172707.15</v>
      </c>
      <c r="R12" s="3543">
        <f>ROUND(32889115.33/7.5345,2)</f>
        <v>4365135.75</v>
      </c>
      <c r="S12" s="3543">
        <f>ROUND(337500/7.5345,2)</f>
        <v>44793.95</v>
      </c>
      <c r="T12" s="3544">
        <f>ROUND(349570.98/7.5345,2)-11422.94</f>
        <v>34973.1</v>
      </c>
      <c r="U12" s="1856">
        <f>ROUND(4063593.14/7.5345,2)</f>
        <v>539331.49</v>
      </c>
      <c r="V12" s="3556">
        <f>+P12+Q12+R12+S12+T12+U12</f>
        <v>5600153.8600000003</v>
      </c>
      <c r="W12" s="3273">
        <v>80</v>
      </c>
      <c r="X12" s="3273">
        <v>80</v>
      </c>
      <c r="Y12" s="3274">
        <v>0.35</v>
      </c>
      <c r="Z12" s="3534">
        <f>ROUND(10556805/7.5345,2)</f>
        <v>1401128.81</v>
      </c>
      <c r="AA12" s="3275">
        <f>10556805/5027.05*O12</f>
        <v>10556805</v>
      </c>
      <c r="AB12" s="1851">
        <v>10556805</v>
      </c>
      <c r="AC12" s="2770">
        <f>AA12-AB12</f>
        <v>0</v>
      </c>
      <c r="AD12" s="1897">
        <f>42280425.45-AE12</f>
        <v>35331999.300000004</v>
      </c>
      <c r="AE12" s="1897">
        <f>5028324.67+1920101.48</f>
        <v>6948426.1500000004</v>
      </c>
      <c r="AF12" s="1897"/>
      <c r="AG12" s="2461"/>
      <c r="AH12" s="1993">
        <f t="shared" si="3"/>
        <v>42280425.450000003</v>
      </c>
      <c r="AI12" s="2767">
        <f>42280425.45-AJ12</f>
        <v>29283411.539999999</v>
      </c>
      <c r="AJ12" s="3276">
        <f>12369773.72+828373.97-201133.78</f>
        <v>12997013.910000002</v>
      </c>
      <c r="AK12" s="2768">
        <f>AI12+AJ12</f>
        <v>42280425.450000003</v>
      </c>
      <c r="AL12" s="1836">
        <v>0</v>
      </c>
      <c r="AM12" s="1836">
        <v>0</v>
      </c>
      <c r="AN12" s="2765">
        <f>AL12+AM12</f>
        <v>0</v>
      </c>
      <c r="AO12" s="3277">
        <v>0</v>
      </c>
      <c r="AP12" s="2681">
        <v>0</v>
      </c>
      <c r="AQ12" s="2681">
        <v>0</v>
      </c>
      <c r="AR12" s="3572">
        <v>105400</v>
      </c>
      <c r="AS12" s="3269">
        <f>AO12+AQ12+AR12+AP12</f>
        <v>105400</v>
      </c>
      <c r="AT12" s="2765">
        <v>96800</v>
      </c>
      <c r="AU12" s="3283">
        <v>0</v>
      </c>
      <c r="AV12" s="3452">
        <f>+AR12</f>
        <v>105400</v>
      </c>
      <c r="AW12" s="3250">
        <f t="shared" ref="AW12:AW14" si="5">AU12+AV12</f>
        <v>105400</v>
      </c>
      <c r="AX12" s="1836">
        <f>ROUND(10556805/7.5345,2)</f>
        <v>1401128.81</v>
      </c>
      <c r="AY12" s="1836">
        <f>ROUND(10556805/7.5345,2)</f>
        <v>1401128.81</v>
      </c>
      <c r="AZ12" s="2765">
        <f>AX12-AY12</f>
        <v>0</v>
      </c>
      <c r="BA12" s="3282">
        <v>5060822.3899999997</v>
      </c>
      <c r="BB12" s="3067">
        <v>539331.49</v>
      </c>
      <c r="BC12" s="3067">
        <f>ROUND(1422257.6/7.5345,2)</f>
        <v>188766.02</v>
      </c>
      <c r="BD12" s="3278">
        <f>1070721.41+AR12</f>
        <v>1176121.4099999999</v>
      </c>
      <c r="BE12" s="3584">
        <f>+BA12+BB12+BC12+BD12</f>
        <v>6965041.3099999996</v>
      </c>
      <c r="BF12" s="2765">
        <v>0</v>
      </c>
      <c r="BG12" s="3283">
        <f>ROUND(30953290.97/7.5345,2)</f>
        <v>4108207.71</v>
      </c>
      <c r="BH12" s="3452">
        <f>ROUND(11327134.48/7.5345,2)</f>
        <v>1503369.1</v>
      </c>
      <c r="BI12" s="2515">
        <f t="shared" si="4"/>
        <v>5611576.8100000005</v>
      </c>
      <c r="BJ12" s="2051">
        <v>0</v>
      </c>
      <c r="BK12" s="1929">
        <v>0</v>
      </c>
      <c r="BL12" s="3382">
        <f>+BJ12-BK12</f>
        <v>0</v>
      </c>
      <c r="BM12" s="3431">
        <v>0</v>
      </c>
      <c r="BN12" s="3441">
        <v>0</v>
      </c>
      <c r="BO12" s="3442">
        <f t="shared" si="2"/>
        <v>0</v>
      </c>
      <c r="BP12" s="3303">
        <v>95400</v>
      </c>
      <c r="BQ12" s="3468">
        <f>+BP12+BM12+BN12+BO12</f>
        <v>95400</v>
      </c>
      <c r="BR12" s="3446">
        <v>0</v>
      </c>
      <c r="BS12" s="1858">
        <v>95400</v>
      </c>
      <c r="BT12" s="3449">
        <f>+BS12+BR12</f>
        <v>95400</v>
      </c>
      <c r="BU12" s="2856"/>
      <c r="BV12" s="3058"/>
      <c r="BW12" s="3058"/>
      <c r="BX12" s="3058"/>
      <c r="BY12" s="3140"/>
      <c r="BZ12" s="3140"/>
      <c r="CA12" s="2857"/>
      <c r="CB12" s="2857"/>
      <c r="CC12" s="2857"/>
      <c r="CD12" s="2857"/>
      <c r="CE12" s="2857"/>
      <c r="CF12" s="3279"/>
      <c r="CG12" s="3279"/>
      <c r="CH12" s="3279"/>
      <c r="CI12" s="3279"/>
      <c r="CJ12" s="3279"/>
      <c r="CK12" s="3279"/>
      <c r="CL12" s="3279"/>
      <c r="CM12" s="3279"/>
      <c r="CN12" s="3279"/>
      <c r="CO12" s="3279"/>
      <c r="CP12" s="3279"/>
      <c r="CQ12" s="3279"/>
      <c r="CR12" s="3279"/>
      <c r="CS12" s="3279"/>
      <c r="CT12" s="3279"/>
      <c r="CU12" s="3279"/>
      <c r="CV12" s="3279"/>
      <c r="CW12" s="3279"/>
      <c r="CX12" s="3279"/>
      <c r="CY12" s="3279"/>
      <c r="CZ12" s="3279"/>
      <c r="DA12" s="3279"/>
      <c r="DB12" s="3279"/>
      <c r="DC12" s="3279"/>
      <c r="DD12" s="3279"/>
      <c r="DE12" s="3279"/>
      <c r="DF12" s="3279"/>
      <c r="DG12" s="3279"/>
      <c r="DH12" s="3279"/>
      <c r="DI12" s="3279"/>
      <c r="DJ12" s="3279"/>
      <c r="DK12" s="3279"/>
      <c r="DL12" s="3279"/>
      <c r="DM12" s="3279"/>
      <c r="DN12" s="3279"/>
      <c r="DO12" s="3279"/>
      <c r="DP12" s="3279"/>
      <c r="DQ12" s="3279"/>
      <c r="DR12" s="3279"/>
      <c r="DS12" s="3279"/>
      <c r="DT12" s="3279"/>
      <c r="DU12" s="3279"/>
      <c r="DV12" s="3279"/>
      <c r="DW12" s="3279"/>
      <c r="DX12" s="3279"/>
      <c r="DY12" s="3279"/>
      <c r="DZ12" s="3279"/>
      <c r="EA12" s="3279"/>
      <c r="EB12" s="3279"/>
      <c r="EC12" s="3279"/>
      <c r="ED12" s="3279"/>
      <c r="EE12" s="3279"/>
      <c r="EF12" s="3279"/>
      <c r="EG12" s="3279"/>
      <c r="EH12" s="3280"/>
      <c r="EI12" s="3280"/>
      <c r="EJ12" s="3280"/>
      <c r="EK12" s="3280"/>
      <c r="EL12" s="3280"/>
      <c r="EM12" s="3280"/>
      <c r="EN12" s="3280"/>
      <c r="EO12" s="3280"/>
      <c r="EP12" s="3280"/>
      <c r="EQ12" s="3280"/>
      <c r="ER12" s="3280"/>
      <c r="ES12" s="3280"/>
      <c r="ET12" s="3280"/>
      <c r="EU12" s="3280"/>
      <c r="EV12" s="3280"/>
      <c r="EW12" s="3280"/>
      <c r="EX12" s="3280"/>
      <c r="EY12" s="3280"/>
      <c r="EZ12" s="3280"/>
      <c r="FA12" s="3280"/>
      <c r="FB12" s="3280"/>
      <c r="FC12" s="3280"/>
      <c r="FD12" s="3280"/>
      <c r="FE12" s="3280"/>
      <c r="FF12" s="3280"/>
      <c r="FG12" s="3280"/>
      <c r="FH12" s="3280"/>
      <c r="FI12" s="3280"/>
      <c r="FJ12" s="3280"/>
      <c r="FK12" s="3280"/>
      <c r="FL12" s="3280"/>
      <c r="FM12" s="3280"/>
      <c r="FN12" s="3280"/>
      <c r="FO12" s="3280"/>
      <c r="FP12" s="3280"/>
      <c r="FQ12" s="3280"/>
      <c r="FR12" s="3280"/>
      <c r="FS12" s="3280"/>
      <c r="FT12" s="3280"/>
      <c r="FU12" s="3280"/>
      <c r="FV12" s="3280"/>
      <c r="FW12" s="3280"/>
      <c r="FX12" s="3280"/>
      <c r="FY12" s="3280"/>
      <c r="FZ12" s="3280"/>
      <c r="GA12" s="3280"/>
      <c r="GB12" s="3280"/>
      <c r="GC12" s="3280"/>
      <c r="GD12" s="3280"/>
      <c r="GE12" s="3280"/>
      <c r="GF12" s="3280"/>
      <c r="GG12" s="3280"/>
      <c r="GH12" s="3280"/>
      <c r="GI12" s="3280"/>
      <c r="GJ12" s="3280"/>
      <c r="GK12" s="3280"/>
      <c r="GL12" s="3280"/>
      <c r="GM12" s="3280"/>
      <c r="GN12" s="3280"/>
      <c r="GO12" s="3280"/>
      <c r="GP12" s="3280"/>
      <c r="GQ12" s="3280"/>
      <c r="GR12" s="3280"/>
      <c r="GS12" s="3280"/>
      <c r="GT12" s="3280"/>
      <c r="GU12" s="3280"/>
      <c r="GV12" s="3280"/>
      <c r="GW12" s="3280"/>
      <c r="GX12" s="3280"/>
      <c r="GY12" s="3280"/>
      <c r="GZ12" s="3280"/>
      <c r="HA12" s="3280"/>
      <c r="HB12" s="3280"/>
      <c r="HC12" s="3280"/>
      <c r="HD12" s="3280"/>
      <c r="HE12" s="3280"/>
      <c r="HF12" s="3280"/>
      <c r="HG12" s="3280"/>
      <c r="HH12" s="3280"/>
      <c r="HI12" s="3280"/>
      <c r="HJ12" s="3280"/>
      <c r="HK12" s="3280"/>
      <c r="HL12" s="3280"/>
      <c r="HM12" s="3280"/>
      <c r="HN12" s="3280"/>
      <c r="HO12" s="3280"/>
      <c r="HP12" s="3280"/>
      <c r="HQ12" s="3280"/>
      <c r="HR12" s="3280"/>
      <c r="HS12" s="3280"/>
      <c r="HT12" s="3280"/>
      <c r="HU12" s="3280"/>
      <c r="HV12" s="3280"/>
      <c r="HW12" s="3280"/>
      <c r="HX12" s="3280"/>
      <c r="HY12" s="3280"/>
      <c r="HZ12" s="3280"/>
      <c r="IA12" s="3280"/>
      <c r="IB12" s="3280"/>
      <c r="IC12" s="3280"/>
      <c r="ID12" s="3280"/>
      <c r="IE12" s="3280"/>
      <c r="IF12" s="3280"/>
      <c r="IG12" s="3280"/>
      <c r="IH12" s="3280"/>
      <c r="II12" s="3280"/>
      <c r="IJ12" s="3280"/>
      <c r="IK12" s="3280"/>
      <c r="IL12" s="3280"/>
      <c r="IM12" s="3280"/>
      <c r="IN12" s="3280"/>
      <c r="IO12" s="3280"/>
      <c r="IP12" s="3280"/>
      <c r="IQ12" s="3280"/>
      <c r="IR12" s="3280"/>
      <c r="IS12" s="3280"/>
      <c r="IT12" s="3280"/>
      <c r="IU12" s="3280"/>
      <c r="IV12" s="3280"/>
      <c r="IW12" s="3280"/>
      <c r="IX12" s="3280"/>
      <c r="IY12" s="3280"/>
      <c r="IZ12" s="3280"/>
      <c r="JA12" s="3280"/>
      <c r="JB12" s="3280"/>
      <c r="JC12" s="3280"/>
      <c r="JD12" s="3280"/>
      <c r="JE12" s="3280"/>
      <c r="JF12" s="3280"/>
      <c r="JG12" s="3280"/>
      <c r="JH12" s="3280"/>
      <c r="JI12" s="3280"/>
      <c r="JJ12" s="3280"/>
      <c r="JK12" s="3280"/>
      <c r="JL12" s="3280"/>
      <c r="JM12" s="3280"/>
      <c r="JN12" s="3280"/>
      <c r="JO12" s="3280"/>
      <c r="JP12" s="3280"/>
      <c r="JQ12" s="3280"/>
      <c r="JR12" s="3280"/>
      <c r="JS12" s="3280"/>
      <c r="JT12" s="3280"/>
      <c r="JU12" s="3280"/>
      <c r="JV12" s="3280"/>
      <c r="JW12" s="3280"/>
      <c r="JX12" s="3280"/>
      <c r="JY12" s="3280"/>
      <c r="JZ12" s="3280"/>
      <c r="KA12" s="3280"/>
      <c r="KB12" s="3280"/>
      <c r="KC12" s="3280"/>
      <c r="KD12" s="3280"/>
      <c r="KE12" s="3280"/>
      <c r="KF12" s="3280"/>
      <c r="KG12" s="3280"/>
      <c r="KH12" s="3280"/>
      <c r="KI12" s="3280"/>
      <c r="KJ12" s="3280"/>
      <c r="KK12" s="3280"/>
      <c r="KL12" s="3280"/>
      <c r="KM12" s="3280"/>
      <c r="KN12" s="3280"/>
      <c r="KO12" s="3280"/>
      <c r="KP12" s="3280"/>
      <c r="KQ12" s="3280"/>
      <c r="KR12" s="3280"/>
      <c r="KS12" s="3280"/>
      <c r="KT12" s="3280"/>
      <c r="KU12" s="3280"/>
      <c r="KV12" s="3280"/>
      <c r="KW12" s="3280"/>
      <c r="KX12" s="3280"/>
      <c r="KY12" s="3280"/>
      <c r="KZ12" s="3280"/>
      <c r="LA12" s="3280"/>
      <c r="LB12" s="3280"/>
      <c r="LC12" s="3280"/>
      <c r="LD12" s="3280"/>
      <c r="LE12" s="3280"/>
      <c r="LF12" s="3280"/>
      <c r="LG12" s="3280"/>
      <c r="LH12" s="3280"/>
      <c r="LI12" s="3280"/>
      <c r="LJ12" s="3280"/>
      <c r="LK12" s="3280"/>
      <c r="LL12" s="3280"/>
      <c r="LM12" s="3280"/>
      <c r="LN12" s="3280"/>
      <c r="LO12" s="3280"/>
      <c r="LP12" s="3280"/>
      <c r="LQ12" s="3280"/>
      <c r="LR12" s="3280"/>
      <c r="LS12" s="3280"/>
      <c r="LT12" s="3280"/>
      <c r="LU12" s="3280"/>
      <c r="LV12" s="3280"/>
      <c r="LW12" s="3280"/>
      <c r="LX12" s="3280"/>
      <c r="LY12" s="3280"/>
      <c r="LZ12" s="3280"/>
      <c r="MA12" s="3280"/>
      <c r="MB12" s="3280"/>
      <c r="MC12" s="3280"/>
      <c r="MD12" s="3280"/>
      <c r="ME12" s="3280"/>
      <c r="MF12" s="3280"/>
      <c r="MG12" s="3280"/>
      <c r="MH12" s="3280"/>
      <c r="MI12" s="3280"/>
      <c r="MJ12" s="3280"/>
      <c r="MK12" s="3280"/>
      <c r="ML12" s="3280"/>
      <c r="MM12" s="3280"/>
      <c r="MN12" s="3280"/>
      <c r="MO12" s="3280"/>
      <c r="MP12" s="3280"/>
      <c r="MQ12" s="3280"/>
      <c r="MR12" s="3280"/>
      <c r="MS12" s="3280"/>
      <c r="MT12" s="3280"/>
      <c r="MU12" s="3280"/>
      <c r="MV12" s="3280"/>
      <c r="MW12" s="3280"/>
      <c r="MX12" s="3280"/>
      <c r="MY12" s="3280"/>
      <c r="MZ12" s="3280"/>
      <c r="NA12" s="3280"/>
      <c r="NB12" s="3280"/>
      <c r="NC12" s="3280"/>
      <c r="ND12" s="3280"/>
      <c r="NE12" s="3280"/>
      <c r="NF12" s="3280"/>
      <c r="NG12" s="3280"/>
      <c r="NH12" s="3280"/>
      <c r="NI12" s="3280"/>
      <c r="NJ12" s="3280"/>
      <c r="NK12" s="3280"/>
      <c r="NL12" s="3280"/>
      <c r="NM12" s="3280"/>
      <c r="NN12" s="3280"/>
      <c r="NO12" s="3280"/>
      <c r="NP12" s="3280"/>
      <c r="NQ12" s="3280"/>
      <c r="NR12" s="3280"/>
      <c r="NS12" s="3280"/>
      <c r="NT12" s="3280"/>
      <c r="NU12" s="3280"/>
      <c r="NV12" s="3280"/>
      <c r="NW12" s="3280"/>
      <c r="NX12" s="3280"/>
      <c r="NY12" s="3280"/>
      <c r="NZ12" s="3280"/>
      <c r="OA12" s="3280"/>
      <c r="OB12" s="3280"/>
      <c r="OC12" s="3280"/>
      <c r="OD12" s="3280"/>
      <c r="OE12" s="3280"/>
      <c r="OF12" s="3280"/>
      <c r="OG12" s="3280"/>
      <c r="OH12" s="3280"/>
      <c r="OI12" s="3280"/>
      <c r="OJ12" s="3280"/>
      <c r="OK12" s="3280"/>
      <c r="OL12" s="3280"/>
      <c r="OM12" s="3280"/>
      <c r="ON12" s="3280"/>
      <c r="OO12" s="3280"/>
      <c r="OP12" s="3280"/>
      <c r="OQ12" s="3280"/>
      <c r="OR12" s="3280"/>
      <c r="OS12" s="3280"/>
      <c r="OT12" s="3280"/>
      <c r="OU12" s="3280"/>
      <c r="OV12" s="3280"/>
      <c r="OW12" s="3280"/>
      <c r="OX12" s="3280"/>
      <c r="OY12" s="3280"/>
      <c r="OZ12" s="3280"/>
      <c r="PA12" s="3280"/>
      <c r="PB12" s="3280"/>
      <c r="PC12" s="3280"/>
      <c r="PD12" s="3280"/>
      <c r="PE12" s="3280"/>
      <c r="PF12" s="3280"/>
      <c r="PG12" s="3280"/>
      <c r="PH12" s="3280"/>
      <c r="PI12" s="3280"/>
      <c r="PJ12" s="3280"/>
      <c r="PK12" s="3280"/>
      <c r="PL12" s="3280"/>
      <c r="PM12" s="3280"/>
      <c r="PN12" s="3280"/>
      <c r="PO12" s="3280"/>
      <c r="PP12" s="3280"/>
      <c r="PQ12" s="3280"/>
      <c r="PR12" s="3280"/>
      <c r="PS12" s="3280"/>
      <c r="PT12" s="3280"/>
      <c r="PU12" s="3280"/>
      <c r="PV12" s="3280"/>
      <c r="PW12" s="3280"/>
      <c r="PX12" s="3280"/>
      <c r="PY12" s="3280"/>
      <c r="PZ12" s="3280"/>
      <c r="QA12" s="3280"/>
      <c r="QB12" s="3280"/>
      <c r="QC12" s="3280"/>
      <c r="QD12" s="3280"/>
      <c r="QE12" s="3280"/>
      <c r="QF12" s="3280"/>
      <c r="QG12" s="3280"/>
      <c r="QH12" s="3280"/>
      <c r="QI12" s="3280"/>
      <c r="QJ12" s="3280"/>
      <c r="QK12" s="3280"/>
      <c r="QL12" s="3280"/>
      <c r="QM12" s="3280"/>
      <c r="QN12" s="3280"/>
      <c r="QO12" s="3280"/>
      <c r="QP12" s="3280"/>
      <c r="QQ12" s="3280"/>
      <c r="QR12" s="3280"/>
      <c r="QS12" s="3280"/>
      <c r="QT12" s="3280"/>
      <c r="QU12" s="3280"/>
      <c r="QV12" s="3280"/>
      <c r="QW12" s="3280"/>
      <c r="QX12" s="3280"/>
      <c r="QY12" s="3280"/>
      <c r="QZ12" s="3280"/>
      <c r="RA12" s="3280"/>
      <c r="RB12" s="3280"/>
      <c r="RC12" s="3280"/>
      <c r="RD12" s="3280"/>
      <c r="RE12" s="3280"/>
      <c r="RF12" s="3280"/>
      <c r="RG12" s="3280"/>
      <c r="RH12" s="3280"/>
      <c r="RI12" s="3280"/>
      <c r="RJ12" s="3280"/>
      <c r="RK12" s="3280"/>
      <c r="RL12" s="3280"/>
      <c r="RM12" s="3280"/>
      <c r="RN12" s="3280"/>
      <c r="RO12" s="3280"/>
      <c r="RP12" s="3280"/>
      <c r="RQ12" s="3280"/>
      <c r="RR12" s="3280"/>
      <c r="RS12" s="3280"/>
      <c r="RT12" s="3280"/>
      <c r="RU12" s="3280"/>
      <c r="RV12" s="3280"/>
      <c r="RW12" s="3280"/>
      <c r="RX12" s="3280"/>
      <c r="RY12" s="3280"/>
      <c r="RZ12" s="3280"/>
      <c r="SA12" s="3280"/>
      <c r="SB12" s="3280"/>
      <c r="SC12" s="3280"/>
      <c r="SD12" s="3280"/>
      <c r="SE12" s="3280"/>
      <c r="SF12" s="3280"/>
      <c r="SG12" s="3280"/>
      <c r="SH12" s="3280"/>
      <c r="SI12" s="3280"/>
      <c r="SJ12" s="3280"/>
      <c r="SK12" s="3280"/>
      <c r="SL12" s="3280"/>
      <c r="SM12" s="3280"/>
      <c r="SN12" s="3280"/>
      <c r="SO12" s="3280"/>
      <c r="SP12" s="3280"/>
      <c r="SQ12" s="3280"/>
      <c r="SR12" s="3280"/>
      <c r="SS12" s="3280"/>
      <c r="ST12" s="3280"/>
      <c r="SU12" s="3280"/>
      <c r="SV12" s="3280"/>
      <c r="SW12" s="3280"/>
      <c r="SX12" s="3280"/>
      <c r="SY12" s="3280"/>
      <c r="SZ12" s="3280"/>
      <c r="TA12" s="3280"/>
      <c r="TB12" s="3280"/>
      <c r="TC12" s="3280"/>
      <c r="TD12" s="3280"/>
      <c r="TE12" s="3280"/>
      <c r="TF12" s="3280"/>
      <c r="TG12" s="3280"/>
      <c r="TH12" s="3280"/>
      <c r="TI12" s="3280"/>
      <c r="TJ12" s="3280"/>
      <c r="TK12" s="3280"/>
      <c r="TL12" s="3280"/>
      <c r="TM12" s="3280"/>
      <c r="TN12" s="3280"/>
      <c r="TO12" s="3280"/>
      <c r="TP12" s="3280"/>
      <c r="TQ12" s="3280"/>
      <c r="TR12" s="3280"/>
      <c r="TS12" s="3280"/>
      <c r="TT12" s="3280"/>
      <c r="TU12" s="3783"/>
      <c r="TV12" s="3783"/>
      <c r="TW12" s="3783"/>
      <c r="TX12" s="3783"/>
      <c r="TY12" s="3783"/>
      <c r="TZ12" s="3783"/>
      <c r="UA12" s="3783"/>
      <c r="UB12" s="3783"/>
      <c r="UC12" s="3783"/>
      <c r="UD12" s="3783"/>
      <c r="UE12" s="3783"/>
      <c r="UF12" s="3783"/>
      <c r="UG12" s="3783"/>
      <c r="UH12" s="3783"/>
      <c r="UI12" s="3783"/>
      <c r="UJ12" s="3783"/>
      <c r="UK12" s="3783"/>
      <c r="UL12" s="3783"/>
      <c r="UM12" s="3783"/>
      <c r="UN12" s="3783"/>
      <c r="UO12" s="3783"/>
      <c r="UP12" s="3280"/>
      <c r="UQ12" s="3280"/>
      <c r="UR12" s="3280"/>
      <c r="US12" s="3280"/>
      <c r="UT12" s="3280"/>
      <c r="UU12" s="3280"/>
      <c r="UV12" s="3280"/>
      <c r="UW12" s="3280"/>
      <c r="UX12" s="3280"/>
      <c r="UY12" s="3280"/>
      <c r="UZ12" s="3280"/>
      <c r="VA12" s="3280"/>
      <c r="VB12" s="3280"/>
      <c r="VC12" s="3280"/>
      <c r="VD12" s="3280"/>
      <c r="VE12" s="3280"/>
      <c r="VF12" s="3280"/>
      <c r="VG12" s="3280"/>
      <c r="VH12" s="3280"/>
      <c r="VI12" s="3280"/>
      <c r="VJ12" s="3280"/>
      <c r="VK12" s="3280"/>
      <c r="VL12" s="3280"/>
      <c r="VM12" s="3280"/>
      <c r="VN12" s="3280"/>
      <c r="VO12" s="3280"/>
      <c r="VP12" s="3280"/>
      <c r="VQ12" s="3280"/>
      <c r="VR12" s="3280"/>
      <c r="VS12" s="3280"/>
      <c r="VT12" s="3280"/>
      <c r="VU12" s="3280"/>
      <c r="VV12" s="3280"/>
      <c r="VW12" s="3280"/>
      <c r="VX12" s="3280"/>
      <c r="VY12" s="3280"/>
      <c r="VZ12" s="3280"/>
      <c r="WA12" s="3280"/>
      <c r="WB12" s="3280"/>
      <c r="WC12" s="3280"/>
      <c r="WD12" s="3280"/>
      <c r="WE12" s="3280"/>
      <c r="WF12" s="3280"/>
      <c r="WG12" s="3280"/>
      <c r="WH12" s="3280"/>
      <c r="WI12" s="3280"/>
      <c r="WJ12" s="3280"/>
      <c r="WK12" s="3280"/>
      <c r="WL12" s="3280"/>
      <c r="WM12" s="3280"/>
      <c r="WN12" s="3280"/>
      <c r="WO12" s="3280"/>
      <c r="WP12" s="3280"/>
      <c r="WQ12" s="3280"/>
      <c r="WR12" s="3280"/>
      <c r="WS12" s="3280"/>
      <c r="WT12" s="3280"/>
      <c r="WU12" s="3280"/>
      <c r="WV12" s="3280"/>
      <c r="WW12" s="3280"/>
      <c r="WX12" s="3280"/>
      <c r="WY12" s="3280"/>
      <c r="WZ12" s="3280"/>
      <c r="XA12" s="3280"/>
      <c r="XB12" s="3280"/>
      <c r="XC12" s="3280"/>
      <c r="XD12" s="3280"/>
      <c r="XE12" s="3280"/>
      <c r="XF12" s="3280"/>
      <c r="XG12" s="3280"/>
      <c r="XH12" s="3280"/>
      <c r="XI12" s="3280"/>
      <c r="XJ12" s="3280"/>
      <c r="XK12" s="3280"/>
      <c r="XL12" s="3280"/>
      <c r="XM12" s="3280"/>
      <c r="XN12" s="3280"/>
      <c r="XO12" s="3280"/>
      <c r="XP12" s="3280"/>
      <c r="XQ12" s="3280"/>
      <c r="XR12" s="3280"/>
      <c r="XS12" s="3280"/>
      <c r="XT12" s="3280"/>
      <c r="XU12" s="3280"/>
      <c r="XV12" s="3280"/>
      <c r="XW12" s="3280"/>
      <c r="XX12" s="3280"/>
      <c r="XY12" s="3280"/>
      <c r="XZ12" s="3280"/>
      <c r="YA12" s="3280"/>
      <c r="YB12" s="3280"/>
      <c r="YC12" s="3280"/>
      <c r="YD12" s="3280"/>
      <c r="YE12" s="3280"/>
      <c r="YF12" s="3280"/>
      <c r="YG12" s="3280"/>
      <c r="YH12" s="3280"/>
      <c r="YI12" s="3280"/>
      <c r="YJ12" s="3280"/>
      <c r="YK12" s="3280"/>
      <c r="YL12" s="3280"/>
      <c r="YM12" s="3280"/>
      <c r="YN12" s="3280"/>
      <c r="YO12" s="3280"/>
      <c r="YP12" s="3280"/>
      <c r="YQ12" s="3280"/>
      <c r="YR12" s="3280"/>
      <c r="YS12" s="3280"/>
      <c r="YT12" s="3280"/>
      <c r="YU12" s="3280"/>
      <c r="YV12" s="3280"/>
      <c r="YW12" s="3280"/>
      <c r="YX12" s="3280"/>
      <c r="YY12" s="3280"/>
      <c r="YZ12" s="3280"/>
      <c r="ZA12" s="3280"/>
      <c r="ZB12" s="3280"/>
      <c r="ZC12" s="3280"/>
      <c r="ZD12" s="3280"/>
      <c r="ZE12" s="3280"/>
      <c r="ZF12" s="3280"/>
      <c r="ZG12" s="3280"/>
      <c r="ZH12" s="3280"/>
      <c r="ZI12" s="3280"/>
      <c r="ZJ12" s="3280"/>
      <c r="ZK12" s="3280"/>
      <c r="ZL12" s="3280"/>
      <c r="ZM12" s="3280"/>
      <c r="ZN12" s="3280"/>
      <c r="ZO12" s="3280"/>
      <c r="ZP12" s="3280"/>
      <c r="ZQ12" s="3280"/>
      <c r="ZR12" s="3280"/>
      <c r="ZS12" s="3280"/>
      <c r="ZT12" s="3280"/>
      <c r="ZU12" s="3280"/>
      <c r="ZV12" s="3280"/>
      <c r="ZW12" s="3280"/>
      <c r="ZX12" s="3280"/>
      <c r="ZY12" s="3280"/>
      <c r="ZZ12" s="3280"/>
      <c r="AAA12" s="3280"/>
      <c r="AAB12" s="3280"/>
      <c r="AAC12" s="3280"/>
      <c r="AAD12" s="3280"/>
      <c r="AAE12" s="3280"/>
      <c r="AAF12" s="3280"/>
      <c r="AAG12" s="3280"/>
      <c r="AAH12" s="3280"/>
      <c r="AAI12" s="3280"/>
      <c r="AAJ12" s="3280"/>
      <c r="AAK12" s="3280"/>
      <c r="AAL12" s="3280"/>
      <c r="AAM12" s="3280"/>
      <c r="AAN12" s="3280"/>
      <c r="AAO12" s="3280"/>
      <c r="AAP12" s="3280"/>
      <c r="AAQ12" s="3280"/>
      <c r="AAR12" s="3280"/>
      <c r="AAS12" s="3280"/>
      <c r="AAT12" s="3280"/>
      <c r="AAU12" s="3280"/>
      <c r="AAV12" s="3280"/>
      <c r="AAW12" s="3280"/>
      <c r="AAX12" s="3280"/>
      <c r="AAY12" s="3280"/>
      <c r="AAZ12" s="3280"/>
      <c r="ABA12" s="3280"/>
      <c r="ABB12" s="3280"/>
      <c r="ABC12" s="3280"/>
      <c r="ABD12" s="3280"/>
      <c r="ABE12" s="3280"/>
      <c r="ABF12" s="3280"/>
      <c r="ABG12" s="3280"/>
      <c r="ABH12" s="3280"/>
      <c r="ABI12" s="3280"/>
      <c r="ABJ12" s="3280"/>
      <c r="ABK12" s="3280"/>
      <c r="ABL12" s="3280"/>
      <c r="ABM12" s="3280"/>
      <c r="ABN12" s="3280"/>
      <c r="ABO12" s="3280"/>
      <c r="ABP12" s="3280"/>
      <c r="ABQ12" s="3280"/>
      <c r="ABR12" s="3280"/>
      <c r="ABS12" s="3280"/>
      <c r="ABT12" s="3280"/>
      <c r="ABU12" s="3280"/>
      <c r="ABV12" s="3280"/>
      <c r="ABW12" s="3280"/>
      <c r="ABX12" s="3280"/>
      <c r="ABY12" s="3280"/>
      <c r="ABZ12" s="3280"/>
      <c r="ACA12" s="3280"/>
      <c r="ACB12" s="3280"/>
      <c r="ACC12" s="3280"/>
      <c r="ACD12" s="3280"/>
      <c r="ACE12" s="3280"/>
      <c r="ACF12" s="3280"/>
      <c r="ACG12" s="3280"/>
      <c r="ACH12" s="3280"/>
      <c r="ACI12" s="3280"/>
      <c r="ACJ12" s="3280"/>
      <c r="ACK12" s="3280"/>
      <c r="ACL12" s="3280"/>
      <c r="ACM12" s="3280"/>
      <c r="ACN12" s="3280"/>
      <c r="ACO12" s="3280"/>
      <c r="ACP12" s="3280"/>
      <c r="ACQ12" s="3280"/>
      <c r="ACR12" s="3280"/>
      <c r="ACS12" s="3280"/>
      <c r="ACT12" s="3280"/>
      <c r="ACU12" s="3280"/>
      <c r="ACV12" s="3280"/>
      <c r="ACW12" s="3280"/>
      <c r="ACX12" s="3280"/>
      <c r="ACY12" s="3280"/>
      <c r="ACZ12" s="3280"/>
      <c r="ADA12" s="3280"/>
      <c r="ADB12" s="3280"/>
      <c r="ADC12" s="3280"/>
      <c r="ADD12" s="3280"/>
      <c r="ADE12" s="3280"/>
      <c r="ADF12" s="3280"/>
      <c r="ADG12" s="3280"/>
      <c r="ADH12" s="3280"/>
      <c r="ADI12" s="3280"/>
      <c r="ADJ12" s="3280"/>
      <c r="ADK12" s="3280"/>
      <c r="ADL12" s="3280"/>
      <c r="ADM12" s="3280"/>
      <c r="ADN12" s="3280"/>
      <c r="ADO12" s="3280"/>
      <c r="ADP12" s="3280"/>
      <c r="ADQ12" s="3280"/>
      <c r="ADR12" s="3280"/>
      <c r="ADS12" s="3280"/>
      <c r="ADT12" s="3280"/>
      <c r="ADU12" s="3280"/>
      <c r="ADV12" s="3280"/>
      <c r="ADW12" s="3280"/>
      <c r="ADX12" s="3280"/>
      <c r="ADY12" s="3280"/>
      <c r="ADZ12" s="3280"/>
      <c r="AEA12" s="3280"/>
      <c r="AEB12" s="3280"/>
      <c r="AEC12" s="3280"/>
      <c r="AED12" s="3280"/>
      <c r="AEE12" s="3280"/>
      <c r="AEF12" s="3280"/>
      <c r="AEG12" s="3280"/>
      <c r="AEH12" s="3280"/>
      <c r="AEI12" s="3280"/>
      <c r="AEJ12" s="3280"/>
      <c r="AEK12" s="3280"/>
      <c r="AEL12" s="3280"/>
      <c r="AEM12" s="3280"/>
      <c r="AEN12" s="3280"/>
      <c r="AEO12" s="3280"/>
      <c r="AEP12" s="3280"/>
      <c r="AEQ12" s="3280"/>
      <c r="AER12" s="3280"/>
      <c r="AES12" s="3280"/>
      <c r="AET12" s="3280"/>
      <c r="AEU12" s="3280"/>
      <c r="AEV12" s="3280"/>
      <c r="AEW12" s="3280"/>
      <c r="AEX12" s="3280"/>
      <c r="AEY12" s="3280"/>
      <c r="AEZ12" s="3280"/>
      <c r="AFA12" s="3280"/>
      <c r="AFB12" s="3280"/>
      <c r="AFC12" s="3280"/>
      <c r="AFD12" s="3280"/>
      <c r="AFE12" s="3280"/>
      <c r="AFF12" s="3280"/>
      <c r="AFG12" s="3280"/>
      <c r="AFH12" s="3280"/>
      <c r="AFI12" s="3280"/>
      <c r="AFJ12" s="3280"/>
      <c r="AFK12" s="3280"/>
      <c r="AFL12" s="3280"/>
      <c r="AFM12" s="3280"/>
      <c r="AFN12" s="3280"/>
      <c r="AFO12" s="3280"/>
      <c r="AFP12" s="3280"/>
      <c r="AFQ12" s="3280"/>
      <c r="AFR12" s="3280"/>
      <c r="AFS12" s="3280"/>
      <c r="AFT12" s="3280"/>
      <c r="AFU12" s="3280"/>
      <c r="AFV12" s="3280"/>
      <c r="AFW12" s="3280"/>
      <c r="AFX12" s="3280"/>
      <c r="AFY12" s="3280"/>
      <c r="AFZ12" s="3280"/>
      <c r="AGA12" s="3280"/>
      <c r="AGB12" s="3280"/>
      <c r="AGC12" s="3280"/>
      <c r="AGD12" s="3280"/>
      <c r="AGE12" s="3280"/>
      <c r="AGF12" s="3280"/>
      <c r="AGG12" s="3280"/>
      <c r="AGH12" s="3280"/>
      <c r="AGI12" s="3280"/>
      <c r="AGJ12" s="3280"/>
      <c r="AGK12" s="3280"/>
      <c r="AGL12" s="3280"/>
      <c r="AGM12" s="3280"/>
      <c r="AGN12" s="3280"/>
      <c r="AGO12" s="3280"/>
      <c r="AGP12" s="3280"/>
      <c r="AGQ12" s="3280"/>
      <c r="AGR12" s="3280"/>
      <c r="AGS12" s="3280"/>
      <c r="AGT12" s="3280"/>
      <c r="AGU12" s="3280"/>
      <c r="AGV12" s="3280"/>
      <c r="AGW12" s="3280"/>
      <c r="AGX12" s="3280"/>
      <c r="AGY12" s="3280"/>
      <c r="AGZ12" s="3280"/>
      <c r="AHA12" s="3280"/>
      <c r="AHB12" s="3280"/>
      <c r="AHC12" s="3280"/>
      <c r="AHD12" s="3280"/>
      <c r="AHE12" s="3280"/>
      <c r="AHF12" s="3280"/>
      <c r="AHG12" s="3280"/>
      <c r="AHH12" s="3280"/>
      <c r="AHI12" s="3280"/>
      <c r="AHJ12" s="3280"/>
      <c r="AHK12" s="3280"/>
      <c r="AHL12" s="3280"/>
      <c r="AHM12" s="3280"/>
      <c r="AHN12" s="3280"/>
      <c r="AHO12" s="3280"/>
      <c r="AHP12" s="3280"/>
      <c r="AHQ12" s="3280"/>
      <c r="AHR12" s="3280"/>
      <c r="AHS12" s="3280"/>
      <c r="AHT12" s="3280"/>
      <c r="AHU12" s="3280"/>
      <c r="AHV12" s="3280"/>
      <c r="AHW12" s="3280"/>
      <c r="AHX12" s="3280"/>
      <c r="AHY12" s="3280"/>
      <c r="AHZ12" s="3280"/>
      <c r="AIA12" s="3280"/>
      <c r="AIB12" s="3280"/>
      <c r="AIC12" s="3280"/>
      <c r="AID12" s="3280"/>
      <c r="AIE12" s="3280"/>
      <c r="AIF12" s="3280"/>
      <c r="AIG12" s="3280"/>
      <c r="AIH12" s="3280"/>
      <c r="AII12" s="3280"/>
      <c r="AIJ12" s="3280"/>
      <c r="AIK12" s="3280"/>
      <c r="AIL12" s="3280"/>
      <c r="AIM12" s="3280"/>
      <c r="AIN12" s="3280"/>
      <c r="AIO12" s="3280"/>
      <c r="AIP12" s="3280"/>
      <c r="AIQ12" s="3280"/>
      <c r="AIR12" s="3280"/>
      <c r="AIS12" s="3280"/>
      <c r="AIT12" s="3280"/>
      <c r="AIU12" s="3280"/>
      <c r="AIV12" s="3280"/>
      <c r="AIW12" s="3280"/>
      <c r="AIX12" s="3280"/>
      <c r="AIY12" s="3280"/>
      <c r="AIZ12" s="3280"/>
      <c r="AJA12" s="3280"/>
      <c r="AJB12" s="3280"/>
      <c r="AJC12" s="3280"/>
      <c r="AJD12" s="3280"/>
      <c r="AJE12" s="3280"/>
      <c r="AJF12" s="3280"/>
      <c r="AJG12" s="3280"/>
      <c r="AJH12" s="3280"/>
      <c r="AJI12" s="3280"/>
      <c r="AJJ12" s="3280"/>
      <c r="AJK12" s="3280"/>
      <c r="AJL12" s="3280"/>
      <c r="AJM12" s="3280"/>
      <c r="AJN12" s="3280"/>
      <c r="AJO12" s="3280"/>
      <c r="AJP12" s="3280"/>
      <c r="AJQ12" s="3280"/>
      <c r="AJR12" s="3280"/>
      <c r="AJS12" s="3280"/>
      <c r="AJT12" s="3280"/>
      <c r="AJU12" s="3280"/>
      <c r="AJV12" s="3280"/>
      <c r="AJW12" s="3280"/>
      <c r="AJX12" s="3280"/>
      <c r="AJY12" s="3280"/>
      <c r="AJZ12" s="3280"/>
      <c r="AKA12" s="3280"/>
      <c r="AKB12" s="3280"/>
      <c r="AKC12" s="3280"/>
      <c r="AKD12" s="3280"/>
      <c r="AKE12" s="3280"/>
      <c r="AKF12" s="3280"/>
      <c r="AKG12" s="3280"/>
      <c r="AKH12" s="3280"/>
      <c r="AKI12" s="3280"/>
      <c r="AKJ12" s="3280"/>
      <c r="AKK12" s="3280"/>
      <c r="AKL12" s="3280"/>
      <c r="AKM12" s="3280"/>
      <c r="AKN12" s="3280"/>
      <c r="AKO12" s="3280"/>
      <c r="AKP12" s="3280"/>
      <c r="AKQ12" s="3280"/>
      <c r="AKR12" s="3280"/>
      <c r="AKS12" s="3280"/>
      <c r="AKT12" s="3280"/>
      <c r="AKU12" s="3280"/>
      <c r="AKV12" s="3280"/>
      <c r="AKW12" s="3280"/>
      <c r="AKX12" s="3280"/>
      <c r="AKY12" s="3280"/>
      <c r="AKZ12" s="3280"/>
      <c r="ALA12" s="3280"/>
      <c r="ALB12" s="3280"/>
      <c r="ALC12" s="3280"/>
      <c r="ALD12" s="3280"/>
      <c r="ALE12" s="3280"/>
      <c r="ALF12" s="3280"/>
      <c r="ALG12" s="3280"/>
      <c r="ALH12" s="3280"/>
      <c r="ALI12" s="3280"/>
      <c r="ALJ12" s="3280"/>
      <c r="ALK12" s="3280"/>
      <c r="ALL12" s="3280"/>
      <c r="ALM12" s="3280"/>
      <c r="ALN12" s="3280"/>
      <c r="ALO12" s="3280"/>
      <c r="ALP12" s="3280"/>
      <c r="ALQ12" s="3280"/>
      <c r="ALR12" s="3280"/>
      <c r="ALS12" s="3280"/>
      <c r="ALT12" s="3280"/>
      <c r="ALU12" s="3280"/>
      <c r="ALV12" s="3280"/>
      <c r="ALW12" s="3280"/>
      <c r="ALX12" s="3280"/>
      <c r="ALY12" s="3280"/>
      <c r="ALZ12" s="3280"/>
      <c r="AMA12" s="3280"/>
      <c r="AMB12" s="3280"/>
      <c r="AMC12" s="3280"/>
      <c r="AMD12" s="3280"/>
      <c r="AME12" s="3280"/>
      <c r="AMF12" s="3280"/>
      <c r="AMG12" s="3280"/>
      <c r="AMH12" s="3280"/>
      <c r="AMI12" s="3280"/>
      <c r="AMJ12" s="3280"/>
      <c r="AMK12" s="3280"/>
      <c r="AML12" s="3280"/>
      <c r="AMM12" s="3280"/>
      <c r="AMN12" s="3280"/>
      <c r="AMO12" s="3280"/>
      <c r="AMP12" s="3280"/>
      <c r="AMQ12" s="3280"/>
      <c r="AMR12" s="3280"/>
      <c r="AMS12" s="3280"/>
      <c r="AMT12" s="3280"/>
      <c r="AMU12" s="3280"/>
      <c r="AMV12" s="3280"/>
      <c r="AMW12" s="3280"/>
      <c r="AMX12" s="3280"/>
      <c r="AMY12" s="3280"/>
      <c r="AMZ12" s="3280"/>
      <c r="ANA12" s="3280"/>
      <c r="ANB12" s="3280"/>
      <c r="ANC12" s="3280"/>
      <c r="AND12" s="3280"/>
      <c r="ANE12" s="3280"/>
      <c r="ANF12" s="3280"/>
      <c r="ANG12" s="3280"/>
      <c r="ANH12" s="3280"/>
      <c r="ANI12" s="3280"/>
      <c r="ANJ12" s="3280"/>
      <c r="ANK12" s="3280"/>
      <c r="ANL12" s="3280"/>
      <c r="ANM12" s="3280"/>
      <c r="ANN12" s="3280"/>
      <c r="ANO12" s="3280"/>
      <c r="ANP12" s="3280"/>
      <c r="ANQ12" s="3280"/>
      <c r="ANR12" s="3280"/>
      <c r="ANS12" s="3280"/>
      <c r="ANT12" s="3280"/>
      <c r="ANU12" s="3280"/>
      <c r="ANV12" s="3280"/>
      <c r="ANW12" s="3280"/>
      <c r="ANX12" s="3280"/>
      <c r="ANY12" s="3280"/>
      <c r="ANZ12" s="3280"/>
      <c r="AOA12" s="3280"/>
      <c r="AOB12" s="3280"/>
      <c r="AOC12" s="3280"/>
      <c r="AOD12" s="3280"/>
      <c r="AOE12" s="3280"/>
      <c r="AOF12" s="3280"/>
      <c r="AOG12" s="3280"/>
      <c r="AOH12" s="3280"/>
      <c r="AOI12" s="3280"/>
      <c r="AOJ12" s="3280"/>
      <c r="AOK12" s="3280"/>
      <c r="AOL12" s="3280"/>
      <c r="AOM12" s="3280"/>
      <c r="AON12" s="3280"/>
      <c r="AOO12" s="3280"/>
      <c r="AOP12" s="3280"/>
      <c r="AOQ12" s="3280"/>
      <c r="AOR12" s="3280"/>
      <c r="AOS12" s="3280"/>
      <c r="AOT12" s="3280"/>
      <c r="AOU12" s="3280"/>
      <c r="AOV12" s="3280"/>
      <c r="AOW12" s="3280"/>
      <c r="AOX12" s="3280"/>
      <c r="AOY12" s="3280"/>
      <c r="AOZ12" s="3280"/>
      <c r="APA12" s="3280"/>
      <c r="APB12" s="3280"/>
      <c r="APC12" s="3280"/>
      <c r="APD12" s="3280"/>
      <c r="APE12" s="3280"/>
      <c r="APF12" s="3280"/>
      <c r="APG12" s="3280"/>
      <c r="APH12" s="3280"/>
      <c r="API12" s="3280"/>
      <c r="APJ12" s="3280"/>
      <c r="APK12" s="3280"/>
      <c r="APL12" s="3280"/>
      <c r="APM12" s="3280"/>
      <c r="APN12" s="3280"/>
      <c r="APO12" s="3280"/>
      <c r="APP12" s="3280"/>
      <c r="APQ12" s="3280"/>
      <c r="APR12" s="3280"/>
      <c r="APS12" s="3280"/>
      <c r="APT12" s="3280"/>
      <c r="APU12" s="3280"/>
      <c r="APV12" s="3280"/>
      <c r="APW12" s="3280"/>
      <c r="APX12" s="3280"/>
      <c r="APY12" s="3280"/>
      <c r="APZ12" s="3280"/>
      <c r="AQA12" s="3280"/>
      <c r="AQB12" s="3280"/>
      <c r="AQC12" s="3280"/>
      <c r="AQD12" s="3280"/>
      <c r="AQE12" s="3280"/>
      <c r="AQF12" s="3280"/>
      <c r="AQG12" s="3280"/>
      <c r="AQH12" s="3280"/>
      <c r="AQI12" s="3280"/>
      <c r="AQJ12" s="3280"/>
      <c r="AQK12" s="3280"/>
      <c r="AQL12" s="3280"/>
      <c r="AQM12" s="3280"/>
      <c r="AQN12" s="3280"/>
      <c r="AQO12" s="3280"/>
      <c r="AQP12" s="3280"/>
      <c r="AQQ12" s="3280"/>
      <c r="AQR12" s="3280"/>
      <c r="AQS12" s="3280"/>
      <c r="AQT12" s="3280"/>
      <c r="AQU12" s="3280"/>
      <c r="AQV12" s="3280"/>
      <c r="AQW12" s="3280"/>
      <c r="AQX12" s="3280"/>
      <c r="AQY12" s="3280"/>
      <c r="AQZ12" s="3280"/>
      <c r="ARA12" s="3280"/>
      <c r="ARB12" s="3280"/>
      <c r="ARC12" s="3280"/>
      <c r="ARD12" s="3280"/>
      <c r="ARE12" s="3280"/>
      <c r="ARF12" s="3280"/>
      <c r="ARG12" s="3280"/>
      <c r="ARH12" s="3280"/>
      <c r="ARI12" s="3280"/>
      <c r="ARJ12" s="3280"/>
      <c r="ARK12" s="3280"/>
      <c r="ARL12" s="3280"/>
      <c r="ARM12" s="3280"/>
      <c r="ARN12" s="3280"/>
      <c r="ARO12" s="3280"/>
      <c r="ARP12" s="3280"/>
      <c r="ARQ12" s="3280"/>
      <c r="ARR12" s="3280"/>
      <c r="ARS12" s="3280"/>
      <c r="ART12" s="3280"/>
      <c r="ARU12" s="3280"/>
      <c r="ARV12" s="3280"/>
      <c r="ARW12" s="3280"/>
      <c r="ARX12" s="3280"/>
      <c r="ARY12" s="3280"/>
      <c r="ARZ12" s="3280"/>
      <c r="ASA12" s="3280"/>
      <c r="ASB12" s="3280"/>
      <c r="ASC12" s="3280"/>
      <c r="ASD12" s="3280"/>
      <c r="ASE12" s="3280"/>
      <c r="ASF12" s="3280"/>
      <c r="ASG12" s="3280"/>
      <c r="ASH12" s="3280"/>
      <c r="ASI12" s="3280"/>
      <c r="ASJ12" s="3280"/>
      <c r="ASK12" s="3280"/>
      <c r="ASL12" s="3280"/>
      <c r="ASM12" s="3280"/>
      <c r="ASN12" s="3280"/>
      <c r="ASO12" s="3280"/>
      <c r="ASP12" s="3280"/>
      <c r="ASQ12" s="3280"/>
      <c r="ASR12" s="3280"/>
      <c r="ASS12" s="3280"/>
      <c r="AST12" s="3280"/>
      <c r="ASU12" s="3280"/>
      <c r="ASV12" s="3280"/>
      <c r="ASW12" s="3280"/>
      <c r="ASX12" s="3280"/>
      <c r="ASY12" s="3280"/>
      <c r="ASZ12" s="3280"/>
      <c r="ATA12" s="3280"/>
      <c r="ATB12" s="3280"/>
      <c r="ATC12" s="3280"/>
      <c r="ATD12" s="3280"/>
      <c r="ATE12" s="3280"/>
      <c r="ATF12" s="3280"/>
      <c r="ATG12" s="3280"/>
      <c r="ATH12" s="3280"/>
      <c r="ATI12" s="3280"/>
      <c r="ATJ12" s="3280"/>
      <c r="ATK12" s="3280"/>
      <c r="ATL12" s="3280"/>
      <c r="ATM12" s="3280"/>
      <c r="ATN12" s="3280"/>
      <c r="ATO12" s="3280"/>
      <c r="ATP12" s="3280"/>
      <c r="ATQ12" s="3280"/>
      <c r="ATR12" s="3280"/>
      <c r="ATS12" s="3280"/>
      <c r="ATT12" s="3280"/>
      <c r="ATU12" s="3280"/>
      <c r="ATV12" s="3280"/>
      <c r="ATW12" s="3280"/>
      <c r="ATX12" s="3280"/>
      <c r="ATY12" s="3280"/>
      <c r="ATZ12" s="3280"/>
      <c r="AUA12" s="3280"/>
      <c r="AUB12" s="3280"/>
      <c r="AUC12" s="3280"/>
      <c r="AUD12" s="3280"/>
      <c r="AUE12" s="3280"/>
      <c r="AUF12" s="3280"/>
      <c r="AUG12" s="3280"/>
      <c r="AUH12" s="3280"/>
      <c r="AUI12" s="3280"/>
      <c r="AUJ12" s="3280"/>
      <c r="AUK12" s="3280"/>
      <c r="AUL12" s="3280"/>
      <c r="AUM12" s="3280"/>
      <c r="AUN12" s="3280"/>
      <c r="AUO12" s="3280"/>
      <c r="AUP12" s="3280"/>
      <c r="AUQ12" s="3280"/>
      <c r="AUR12" s="3280"/>
      <c r="AUS12" s="3280"/>
      <c r="AUT12" s="3280"/>
      <c r="AUU12" s="3280"/>
      <c r="AUV12" s="3280"/>
      <c r="AUW12" s="3280"/>
      <c r="AUX12" s="3280"/>
      <c r="AUY12" s="3280"/>
      <c r="AUZ12" s="3280"/>
      <c r="AVA12" s="3280"/>
      <c r="AVB12" s="3280"/>
      <c r="AVC12" s="3280"/>
      <c r="AVD12" s="3280"/>
      <c r="AVE12" s="3280"/>
      <c r="AVF12" s="3280"/>
      <c r="AVG12" s="3280"/>
      <c r="AVH12" s="3280"/>
      <c r="AVI12" s="3280"/>
      <c r="AVJ12" s="3280"/>
      <c r="AVK12" s="3280"/>
      <c r="AVL12" s="3280"/>
      <c r="AVM12" s="3280"/>
      <c r="AVN12" s="3280"/>
      <c r="AVO12" s="3280"/>
      <c r="AVP12" s="3280"/>
      <c r="AVQ12" s="3280"/>
      <c r="AVR12" s="3280"/>
      <c r="AVS12" s="3280"/>
      <c r="AVT12" s="3280"/>
      <c r="AVU12" s="3280"/>
      <c r="AVV12" s="3280"/>
      <c r="AVW12" s="3280"/>
      <c r="AVX12" s="3280"/>
      <c r="AVY12" s="3280"/>
      <c r="AVZ12" s="3280"/>
      <c r="AWA12" s="3280"/>
      <c r="AWB12" s="3280"/>
      <c r="AWC12" s="3280"/>
      <c r="AWD12" s="3280"/>
      <c r="AWE12" s="3280"/>
      <c r="AWF12" s="3280"/>
      <c r="AWG12" s="3280"/>
      <c r="AWH12" s="3280"/>
      <c r="AWI12" s="3280"/>
      <c r="AWJ12" s="3280"/>
      <c r="AWK12" s="3280"/>
      <c r="AWL12" s="3280"/>
      <c r="AWM12" s="3280"/>
      <c r="AWN12" s="3280"/>
      <c r="AWO12" s="3280"/>
      <c r="AWP12" s="3280"/>
      <c r="AWQ12" s="3280"/>
      <c r="AWR12" s="3280"/>
      <c r="AWS12" s="3280"/>
      <c r="AWT12" s="3280"/>
      <c r="AWU12" s="3280"/>
      <c r="AWV12" s="3280"/>
      <c r="AWW12" s="3280"/>
      <c r="AWX12" s="3280"/>
      <c r="AWY12" s="3280"/>
      <c r="AWZ12" s="3280"/>
      <c r="AXA12" s="3280"/>
      <c r="AXB12" s="3280"/>
      <c r="AXC12" s="3280"/>
      <c r="AXD12" s="3280"/>
      <c r="AXE12" s="3280"/>
      <c r="AXF12" s="3280"/>
      <c r="AXG12" s="3280"/>
      <c r="AXH12" s="3280"/>
      <c r="AXI12" s="3280"/>
      <c r="AXJ12" s="3280"/>
      <c r="AXK12" s="3280"/>
      <c r="AXL12" s="3280"/>
      <c r="AXM12" s="3280"/>
      <c r="AXN12" s="3280"/>
      <c r="AXO12" s="3280"/>
      <c r="AXP12" s="3280"/>
      <c r="AXQ12" s="3280"/>
      <c r="AXR12" s="3280"/>
      <c r="AXS12" s="3280"/>
      <c r="AXT12" s="3280"/>
      <c r="AXU12" s="3280"/>
      <c r="AXV12" s="3280"/>
      <c r="AXW12" s="3280"/>
      <c r="AXX12" s="3280"/>
      <c r="AXY12" s="3280"/>
      <c r="AXZ12" s="3280"/>
      <c r="AYA12" s="3280"/>
      <c r="AYB12" s="3280"/>
      <c r="AYC12" s="3280"/>
      <c r="AYD12" s="3280"/>
      <c r="AYE12" s="3280"/>
      <c r="AYF12" s="3280"/>
      <c r="AYG12" s="3280"/>
      <c r="AYH12" s="3280"/>
      <c r="AYI12" s="3280"/>
      <c r="AYJ12" s="3280"/>
      <c r="AYK12" s="3280"/>
      <c r="AYL12" s="3280"/>
      <c r="AYM12" s="3280"/>
      <c r="AYN12" s="3280"/>
      <c r="AYO12" s="3280"/>
      <c r="AYP12" s="3280"/>
      <c r="AYQ12" s="3280"/>
      <c r="AYR12" s="3280"/>
      <c r="AYS12" s="3280"/>
      <c r="AYT12" s="3280"/>
      <c r="AYU12" s="3280"/>
      <c r="AYV12" s="3280"/>
      <c r="AYW12" s="3280"/>
      <c r="AYX12" s="3280"/>
      <c r="AYY12" s="3280"/>
      <c r="AYZ12" s="3280"/>
      <c r="AZA12" s="3280"/>
      <c r="AZB12" s="3280"/>
      <c r="AZC12" s="3280"/>
      <c r="AZD12" s="3280"/>
      <c r="AZE12" s="3280"/>
      <c r="AZF12" s="3280"/>
      <c r="AZG12" s="3280"/>
      <c r="AZH12" s="3280"/>
      <c r="AZI12" s="3280"/>
      <c r="AZJ12" s="3280"/>
      <c r="AZK12" s="3280"/>
      <c r="AZL12" s="3280"/>
      <c r="AZM12" s="3280"/>
      <c r="AZN12" s="3280"/>
      <c r="AZO12" s="3280"/>
      <c r="AZP12" s="3280"/>
      <c r="AZQ12" s="3280"/>
      <c r="AZR12" s="3280"/>
      <c r="AZS12" s="3280"/>
      <c r="AZT12" s="3280"/>
      <c r="AZU12" s="3280"/>
      <c r="AZV12" s="3280"/>
      <c r="AZW12" s="3280"/>
      <c r="AZX12" s="3280"/>
      <c r="AZY12" s="3280"/>
      <c r="AZZ12" s="3280"/>
      <c r="BAA12" s="3280"/>
      <c r="BAB12" s="3280"/>
      <c r="BAC12" s="3280"/>
      <c r="BAD12" s="3280"/>
      <c r="BAE12" s="3280"/>
      <c r="BAF12" s="3280"/>
      <c r="BAG12" s="3280"/>
      <c r="BAH12" s="3280"/>
      <c r="BAI12" s="3280"/>
      <c r="BAJ12" s="3280"/>
      <c r="BAK12" s="3280"/>
      <c r="BAL12" s="3280"/>
      <c r="BAM12" s="3280"/>
      <c r="BAN12" s="3280"/>
      <c r="BAO12" s="3280"/>
      <c r="BAP12" s="3280"/>
      <c r="BAQ12" s="3280"/>
      <c r="BAR12" s="3280"/>
      <c r="BAS12" s="3280"/>
      <c r="BAT12" s="3280"/>
      <c r="BAU12" s="3280"/>
      <c r="BAV12" s="3280"/>
      <c r="BAW12" s="3280"/>
      <c r="BAX12" s="3280"/>
      <c r="BAY12" s="3280"/>
      <c r="BAZ12" s="3280"/>
      <c r="BBA12" s="3280"/>
      <c r="BBB12" s="3280"/>
      <c r="BBC12" s="3280"/>
      <c r="BBD12" s="3280"/>
      <c r="BBE12" s="3280"/>
      <c r="BBF12" s="3280"/>
      <c r="BBG12" s="3280"/>
      <c r="BBH12" s="3280"/>
      <c r="BBI12" s="3280"/>
      <c r="BBJ12" s="3280"/>
      <c r="BBK12" s="3280"/>
      <c r="BBL12" s="3280"/>
      <c r="BBM12" s="3280"/>
      <c r="BBN12" s="3280"/>
      <c r="BBO12" s="3280"/>
      <c r="BBP12" s="3280"/>
      <c r="BBQ12" s="3280"/>
      <c r="BBR12" s="3280"/>
      <c r="BBS12" s="3280"/>
      <c r="BBT12" s="3280"/>
      <c r="BBU12" s="3280"/>
      <c r="BBV12" s="3280"/>
      <c r="BBW12" s="3280"/>
      <c r="BBX12" s="3280"/>
      <c r="BBY12" s="3280"/>
      <c r="BBZ12" s="3280"/>
      <c r="BCA12" s="3280"/>
      <c r="BCB12" s="3280"/>
      <c r="BCC12" s="3280"/>
      <c r="BCD12" s="3280"/>
      <c r="BCE12" s="3280"/>
      <c r="BCF12" s="3280"/>
      <c r="BCG12" s="3280"/>
      <c r="BCH12" s="3280"/>
      <c r="BCI12" s="3280"/>
      <c r="BCJ12" s="3280"/>
      <c r="BCK12" s="3280"/>
      <c r="BCL12" s="3280"/>
      <c r="BCM12" s="3280"/>
      <c r="BCN12" s="3280"/>
      <c r="BCO12" s="3280"/>
      <c r="BCP12" s="3280"/>
      <c r="BCQ12" s="3280"/>
      <c r="BCR12" s="3280"/>
      <c r="BCS12" s="3280"/>
      <c r="BCT12" s="3280"/>
      <c r="BCU12" s="3280"/>
      <c r="BCV12" s="3280"/>
      <c r="BCW12" s="3280"/>
      <c r="BCX12" s="3280"/>
      <c r="BCY12" s="3280"/>
      <c r="BCZ12" s="3280"/>
      <c r="BDA12" s="3280"/>
      <c r="BDB12" s="3280"/>
      <c r="BDC12" s="3280"/>
      <c r="BDD12" s="3280"/>
      <c r="BDE12" s="3280"/>
      <c r="BDF12" s="3280"/>
      <c r="BDG12" s="3280"/>
      <c r="BDH12" s="3280"/>
      <c r="BDI12" s="3280"/>
      <c r="BDJ12" s="3280"/>
      <c r="BDK12" s="3280"/>
      <c r="BDL12" s="3280"/>
      <c r="BDM12" s="3280"/>
      <c r="BDN12" s="3280"/>
      <c r="BDO12" s="3280"/>
      <c r="BDP12" s="3280"/>
      <c r="BDQ12" s="3280"/>
      <c r="BDR12" s="3280"/>
      <c r="BDS12" s="3280"/>
      <c r="BDT12" s="3280"/>
      <c r="BDU12" s="3280"/>
      <c r="BDV12" s="3280"/>
      <c r="BDW12" s="3280"/>
      <c r="BDX12" s="3280"/>
      <c r="BDY12" s="3280"/>
      <c r="BDZ12" s="3280"/>
      <c r="BEA12" s="3280"/>
      <c r="BEB12" s="3280"/>
      <c r="BEC12" s="3280"/>
      <c r="BED12" s="3280"/>
      <c r="BEE12" s="3280"/>
      <c r="BEF12" s="3280"/>
      <c r="BEG12" s="3280"/>
      <c r="BEH12" s="3280"/>
      <c r="BEI12" s="3280"/>
      <c r="BEJ12" s="3280"/>
      <c r="BEK12" s="3280"/>
      <c r="BEL12" s="3280"/>
      <c r="BEM12" s="3280"/>
      <c r="BEN12" s="3280"/>
      <c r="BEO12" s="3280"/>
      <c r="BEP12" s="3280"/>
      <c r="BEQ12" s="3280"/>
      <c r="BER12" s="3280"/>
      <c r="BES12" s="3280"/>
      <c r="BET12" s="3280"/>
      <c r="BEU12" s="3280"/>
      <c r="BEV12" s="3280"/>
      <c r="BEW12" s="3280"/>
      <c r="BEX12" s="3280"/>
      <c r="BEY12" s="3280"/>
      <c r="BEZ12" s="3280"/>
      <c r="BFA12" s="3280"/>
      <c r="BFB12" s="3280"/>
      <c r="BFC12" s="3280"/>
      <c r="BFD12" s="3280"/>
      <c r="BFE12" s="3280"/>
      <c r="BFF12" s="3280"/>
      <c r="BFG12" s="3280"/>
      <c r="BFH12" s="3280"/>
      <c r="BFI12" s="3280"/>
      <c r="BFJ12" s="3280"/>
      <c r="BFK12" s="3280"/>
      <c r="BFL12" s="3280"/>
      <c r="BFM12" s="3280"/>
      <c r="BFN12" s="3280"/>
      <c r="BFO12" s="3280"/>
      <c r="BFP12" s="3280"/>
      <c r="BFQ12" s="3280"/>
      <c r="BFR12" s="3280"/>
      <c r="BFS12" s="3280"/>
      <c r="BFT12" s="3280"/>
      <c r="BFU12" s="3280"/>
      <c r="BFV12" s="3280"/>
      <c r="BFW12" s="3280"/>
      <c r="BFX12" s="3280"/>
      <c r="BFY12" s="3280"/>
      <c r="BFZ12" s="3280"/>
      <c r="BGA12" s="3280"/>
      <c r="BGB12" s="3280"/>
      <c r="BGC12" s="3280"/>
      <c r="BGD12" s="3280"/>
      <c r="BGE12" s="3280"/>
      <c r="BGF12" s="3280"/>
      <c r="BGG12" s="3280"/>
      <c r="BGH12" s="3280"/>
      <c r="BGI12" s="3280"/>
      <c r="BGJ12" s="3280"/>
      <c r="BGK12" s="3280"/>
      <c r="BGL12" s="3280"/>
      <c r="BGM12" s="3280"/>
      <c r="BGN12" s="3280"/>
      <c r="BGO12" s="3280"/>
      <c r="BGP12" s="3280"/>
      <c r="BGQ12" s="3280"/>
      <c r="BGR12" s="3280"/>
      <c r="BGS12" s="3280"/>
      <c r="BGT12" s="3280"/>
      <c r="BGU12" s="3280"/>
      <c r="BGV12" s="3280"/>
      <c r="BGW12" s="3280"/>
      <c r="BGX12" s="3280"/>
      <c r="BGY12" s="3280"/>
      <c r="BGZ12" s="3280"/>
      <c r="BHA12" s="3280"/>
      <c r="BHB12" s="3280"/>
      <c r="BHC12" s="3280"/>
      <c r="BHD12" s="3280"/>
      <c r="BHE12" s="3280"/>
      <c r="BHF12" s="3280"/>
      <c r="BHG12" s="3280"/>
      <c r="BHH12" s="3280"/>
      <c r="BHI12" s="3280"/>
      <c r="BHJ12" s="3280"/>
      <c r="BHK12" s="3280"/>
      <c r="BHL12" s="3280"/>
      <c r="BHM12" s="3280"/>
      <c r="BHN12" s="3280"/>
      <c r="BHO12" s="3280"/>
      <c r="BHP12" s="3280"/>
      <c r="BHQ12" s="3280"/>
      <c r="BHR12" s="3280"/>
      <c r="BHS12" s="3280"/>
      <c r="BHT12" s="3280"/>
      <c r="BHU12" s="3280"/>
      <c r="BHV12" s="3280"/>
      <c r="BHW12" s="3280"/>
      <c r="BHX12" s="3280"/>
      <c r="BHY12" s="3280"/>
      <c r="BHZ12" s="3280"/>
      <c r="BIA12" s="3280"/>
      <c r="BIB12" s="3280"/>
      <c r="BIC12" s="3280"/>
      <c r="BID12" s="3280"/>
      <c r="BIE12" s="3280"/>
      <c r="BIF12" s="3280"/>
      <c r="BIG12" s="3280"/>
      <c r="BIH12" s="3280"/>
      <c r="BII12" s="3280"/>
      <c r="BIJ12" s="3280"/>
      <c r="BIK12" s="3280"/>
      <c r="BIL12" s="3280"/>
      <c r="BIM12" s="3280"/>
      <c r="BIN12" s="3280"/>
      <c r="BIO12" s="3280"/>
      <c r="BIP12" s="3280"/>
      <c r="BIQ12" s="3280"/>
      <c r="BIR12" s="3280"/>
      <c r="BIS12" s="3280"/>
      <c r="BIT12" s="3280"/>
      <c r="BIU12" s="3280"/>
      <c r="BIV12" s="3280"/>
      <c r="BIW12" s="3280"/>
      <c r="BIX12" s="3280"/>
      <c r="BIY12" s="3280"/>
      <c r="BIZ12" s="3280"/>
      <c r="BJA12" s="3280"/>
      <c r="BJB12" s="3280"/>
      <c r="BJC12" s="3280"/>
      <c r="BJD12" s="3280"/>
      <c r="BJE12" s="3280"/>
      <c r="BJF12" s="3280"/>
      <c r="BJG12" s="3280"/>
      <c r="BJH12" s="3280"/>
      <c r="BJI12" s="3280"/>
      <c r="BJJ12" s="3280"/>
      <c r="BJK12" s="3280"/>
      <c r="BJL12" s="3280"/>
      <c r="BJM12" s="3280"/>
      <c r="BJN12" s="3280"/>
      <c r="BJO12" s="3280"/>
      <c r="BJP12" s="3280"/>
      <c r="BJQ12" s="3280"/>
      <c r="BJR12" s="3280"/>
      <c r="BJS12" s="3280"/>
      <c r="BJT12" s="3280"/>
      <c r="BJU12" s="3280"/>
      <c r="BJV12" s="3280"/>
      <c r="BJW12" s="3280"/>
      <c r="BJX12" s="3280"/>
      <c r="BJY12" s="3280"/>
      <c r="BJZ12" s="3280"/>
      <c r="BKA12" s="3280"/>
      <c r="BKB12" s="3280"/>
      <c r="BKC12" s="3280"/>
      <c r="BKD12" s="3280"/>
      <c r="BKE12" s="3280"/>
      <c r="BKF12" s="3280"/>
      <c r="BKG12" s="3280"/>
      <c r="BKH12" s="3280"/>
      <c r="BKI12" s="3280"/>
      <c r="BKJ12" s="3280"/>
      <c r="BKK12" s="3280"/>
      <c r="BKL12" s="3280"/>
      <c r="BKM12" s="3280"/>
      <c r="BKN12" s="3280"/>
      <c r="BKO12" s="3280"/>
      <c r="BKP12" s="3280"/>
      <c r="BKQ12" s="3280"/>
      <c r="BKR12" s="3280"/>
      <c r="BKS12" s="3280"/>
      <c r="BKT12" s="3280"/>
      <c r="BKU12" s="3280"/>
      <c r="BKV12" s="3280"/>
      <c r="BKW12" s="3280"/>
      <c r="BKX12" s="3280"/>
      <c r="BKY12" s="3280"/>
      <c r="BKZ12" s="3280"/>
      <c r="BLA12" s="3280"/>
      <c r="BLB12" s="3280"/>
      <c r="BLC12" s="3280"/>
      <c r="BLD12" s="3280"/>
      <c r="BLE12" s="3280"/>
      <c r="BLF12" s="3280"/>
      <c r="BLG12" s="3280"/>
      <c r="BLH12" s="3280"/>
      <c r="BLI12" s="3280"/>
      <c r="BLJ12" s="3280"/>
      <c r="BLK12" s="3280"/>
      <c r="BLL12" s="3280"/>
      <c r="BLM12" s="3280"/>
      <c r="BLN12" s="3280"/>
      <c r="BLO12" s="3280"/>
      <c r="BLP12" s="3280"/>
      <c r="BLQ12" s="3280"/>
      <c r="BLR12" s="3280"/>
      <c r="BLS12" s="3280"/>
      <c r="BLT12" s="3280"/>
      <c r="BLU12" s="3280"/>
      <c r="BLV12" s="3280"/>
      <c r="BLW12" s="3280"/>
      <c r="BLX12" s="3280"/>
      <c r="BLY12" s="3280"/>
      <c r="BLZ12" s="3280"/>
      <c r="BMA12" s="3280"/>
      <c r="BMB12" s="3280"/>
      <c r="BMC12" s="3280"/>
      <c r="BMD12" s="3280"/>
      <c r="BME12" s="3280"/>
      <c r="BMF12" s="3280"/>
      <c r="BMG12" s="3280"/>
      <c r="BMH12" s="3280"/>
      <c r="BMI12" s="3280"/>
      <c r="BMJ12" s="3280"/>
      <c r="BMK12" s="3280"/>
      <c r="BML12" s="3280"/>
      <c r="BMM12" s="3280"/>
      <c r="BMN12" s="3280"/>
      <c r="BMO12" s="3280"/>
      <c r="BMP12" s="3280"/>
      <c r="BMQ12" s="3280"/>
      <c r="BMR12" s="3280"/>
      <c r="BMS12" s="3280"/>
      <c r="BMT12" s="3280"/>
      <c r="BMU12" s="3280"/>
      <c r="BMV12" s="3280"/>
      <c r="BMW12" s="3280"/>
      <c r="BMX12" s="3280"/>
      <c r="BMY12" s="3280"/>
      <c r="BMZ12" s="3280"/>
      <c r="BNA12" s="3280"/>
      <c r="BNB12" s="3280"/>
      <c r="BNC12" s="3280"/>
      <c r="BND12" s="3280"/>
      <c r="BNE12" s="3280"/>
      <c r="BNF12" s="3280"/>
      <c r="BNG12" s="3280"/>
      <c r="BNH12" s="3280"/>
      <c r="BNI12" s="3280"/>
      <c r="BNJ12" s="3280"/>
      <c r="BNK12" s="3280"/>
      <c r="BNL12" s="3280"/>
      <c r="BNM12" s="3280"/>
      <c r="BNN12" s="3280"/>
      <c r="BNO12" s="3280"/>
      <c r="BNP12" s="3280"/>
      <c r="BNQ12" s="3280"/>
      <c r="BNR12" s="3280"/>
      <c r="BNS12" s="3280"/>
      <c r="BNT12" s="3280"/>
      <c r="BNU12" s="3280"/>
      <c r="BNV12" s="3280"/>
      <c r="BNW12" s="3280"/>
      <c r="BNX12" s="3280"/>
      <c r="BNY12" s="3280"/>
      <c r="BNZ12" s="3280"/>
      <c r="BOA12" s="3280"/>
      <c r="BOB12" s="3280"/>
      <c r="BOC12" s="3280"/>
      <c r="BOD12" s="3280"/>
      <c r="BOE12" s="3280"/>
      <c r="BOF12" s="3280"/>
      <c r="BOG12" s="3280"/>
      <c r="BOH12" s="3280"/>
      <c r="BOI12" s="3280"/>
      <c r="BOJ12" s="3280"/>
      <c r="BOK12" s="3280"/>
      <c r="BOL12" s="3280"/>
      <c r="BOM12" s="3280"/>
      <c r="BON12" s="3280"/>
      <c r="BOO12" s="3280"/>
      <c r="BOP12" s="3280"/>
      <c r="BOQ12" s="3280"/>
      <c r="BOR12" s="3280"/>
      <c r="BOS12" s="3280"/>
      <c r="BOT12" s="3280"/>
      <c r="BOU12" s="3280"/>
      <c r="BOV12" s="3280"/>
      <c r="BOW12" s="3280"/>
      <c r="BOX12" s="3280"/>
      <c r="BOY12" s="3280"/>
      <c r="BOZ12" s="3280"/>
      <c r="BPA12" s="3280"/>
      <c r="BPB12" s="3280"/>
      <c r="BPC12" s="3280"/>
      <c r="BPD12" s="3280"/>
      <c r="BPE12" s="3280"/>
      <c r="BPF12" s="3280"/>
      <c r="BPG12" s="3280"/>
      <c r="BPH12" s="3280"/>
      <c r="BPI12" s="3280"/>
      <c r="BPJ12" s="3280"/>
      <c r="BPK12" s="3280"/>
      <c r="BPL12" s="3280"/>
      <c r="BPM12" s="3280"/>
      <c r="BPN12" s="3280"/>
      <c r="BPO12" s="3280"/>
      <c r="BPP12" s="3280"/>
      <c r="BPQ12" s="3280"/>
      <c r="BPR12" s="3280"/>
      <c r="BPS12" s="3280"/>
      <c r="BPT12" s="3280"/>
      <c r="BPU12" s="3280"/>
      <c r="BPV12" s="3280"/>
      <c r="BPW12" s="3280"/>
      <c r="BPX12" s="3280"/>
      <c r="BPY12" s="3280"/>
      <c r="BPZ12" s="3280"/>
      <c r="BQA12" s="3280"/>
      <c r="BQB12" s="3280"/>
      <c r="BQC12" s="3280"/>
      <c r="BQD12" s="3280"/>
      <c r="BQE12" s="3280"/>
      <c r="BQF12" s="3280"/>
      <c r="BQG12" s="3280"/>
      <c r="BQH12" s="3280"/>
      <c r="BQI12" s="3280"/>
      <c r="BQJ12" s="3280"/>
      <c r="BQK12" s="3280"/>
      <c r="BQL12" s="3280"/>
      <c r="BQM12" s="3280"/>
      <c r="BQN12" s="3280"/>
      <c r="BQO12" s="3280"/>
      <c r="BQP12" s="3280"/>
      <c r="BQQ12" s="3280"/>
      <c r="BQR12" s="3280"/>
      <c r="BQS12" s="3280"/>
      <c r="BQT12" s="3280"/>
      <c r="BQU12" s="3280"/>
      <c r="BQV12" s="3280"/>
      <c r="BQW12" s="3280"/>
      <c r="BQX12" s="3280"/>
      <c r="BQY12" s="3280"/>
      <c r="BQZ12" s="3280"/>
      <c r="BRA12" s="3280"/>
      <c r="BRB12" s="3280"/>
      <c r="BRC12" s="3280"/>
      <c r="BRD12" s="3280"/>
      <c r="BRE12" s="3280"/>
      <c r="BRF12" s="3280"/>
      <c r="BRG12" s="3280"/>
      <c r="BRH12" s="3280"/>
      <c r="BRI12" s="3280"/>
      <c r="BRJ12" s="3280"/>
      <c r="BRK12" s="3280"/>
      <c r="BRL12" s="3280"/>
      <c r="BRM12" s="3280"/>
      <c r="BRN12" s="3280"/>
      <c r="BRO12" s="3280"/>
      <c r="BRP12" s="3280"/>
      <c r="BRQ12" s="3280"/>
      <c r="BRR12" s="3280"/>
      <c r="BRS12" s="3280"/>
      <c r="BRT12" s="3280"/>
      <c r="BRU12" s="3280"/>
      <c r="BRV12" s="3280"/>
      <c r="BRW12" s="3280"/>
      <c r="BRX12" s="3280"/>
      <c r="BRY12" s="3280"/>
      <c r="BRZ12" s="3280"/>
      <c r="BSA12" s="3280"/>
      <c r="BSB12" s="3280"/>
      <c r="BSC12" s="3280"/>
      <c r="BSD12" s="3280"/>
      <c r="BSE12" s="3280"/>
      <c r="BSF12" s="3280"/>
      <c r="BSG12" s="3280"/>
      <c r="BSH12" s="3280"/>
      <c r="BSI12" s="3280"/>
      <c r="BSJ12" s="3280"/>
      <c r="BSK12" s="3280"/>
      <c r="BSL12" s="3280"/>
      <c r="BSM12" s="3280"/>
      <c r="BSN12" s="3280"/>
      <c r="BSO12" s="3280"/>
      <c r="BSP12" s="3280"/>
      <c r="BSQ12" s="3280"/>
      <c r="BSR12" s="3280"/>
      <c r="BSS12" s="3280"/>
      <c r="BST12" s="3280"/>
      <c r="BSU12" s="3280"/>
      <c r="BSV12" s="3280"/>
      <c r="BSW12" s="3280"/>
      <c r="BSX12" s="3280"/>
      <c r="BSY12" s="3280"/>
      <c r="BSZ12" s="3280"/>
      <c r="BTA12" s="3280"/>
      <c r="BTB12" s="3280"/>
      <c r="BTC12" s="3280"/>
      <c r="BTD12" s="3280"/>
      <c r="BTE12" s="3280"/>
      <c r="BTF12" s="3280"/>
      <c r="BTG12" s="3280"/>
      <c r="BTH12" s="3280"/>
      <c r="BTI12" s="3280"/>
      <c r="BTJ12" s="3280"/>
      <c r="BTK12" s="3280"/>
      <c r="BTL12" s="3280"/>
      <c r="BTM12" s="3280"/>
      <c r="BTN12" s="3280"/>
      <c r="BTO12" s="3280"/>
      <c r="BTP12" s="3280"/>
      <c r="BTQ12" s="3280"/>
      <c r="BTR12" s="3280"/>
      <c r="BTS12" s="3280"/>
      <c r="BTT12" s="3280"/>
      <c r="BTU12" s="3280"/>
      <c r="BTV12" s="3280"/>
      <c r="BTW12" s="3280"/>
      <c r="BTX12" s="3280"/>
      <c r="BTY12" s="3280"/>
      <c r="BTZ12" s="3280"/>
      <c r="BUA12" s="3280"/>
      <c r="BUB12" s="3280"/>
      <c r="BUC12" s="3280"/>
      <c r="BUD12" s="3280"/>
      <c r="BUE12" s="3280"/>
      <c r="BUF12" s="3280"/>
      <c r="BUG12" s="3280"/>
      <c r="BUH12" s="3280"/>
      <c r="BUI12" s="3280"/>
      <c r="BUJ12" s="3280"/>
      <c r="BUK12" s="3280"/>
      <c r="BUL12" s="3280"/>
      <c r="BUM12" s="3280"/>
      <c r="BUN12" s="3280"/>
      <c r="BUO12" s="3280"/>
      <c r="BUP12" s="3280"/>
      <c r="BUQ12" s="3280"/>
      <c r="BUR12" s="3280"/>
      <c r="BUS12" s="3280"/>
      <c r="BUT12" s="3280"/>
      <c r="BUU12" s="3280"/>
      <c r="BUV12" s="3280"/>
      <c r="BUW12" s="3280"/>
      <c r="BUX12" s="3280"/>
      <c r="BUY12" s="3280"/>
      <c r="BUZ12" s="3280"/>
      <c r="BVA12" s="3280"/>
      <c r="BVB12" s="3280"/>
      <c r="BVC12" s="3280"/>
      <c r="BVD12" s="3280"/>
      <c r="BVE12" s="3280"/>
      <c r="BVF12" s="3280"/>
      <c r="BVG12" s="3280"/>
      <c r="BVH12" s="3280"/>
      <c r="BVI12" s="3280"/>
      <c r="BVJ12" s="3280"/>
      <c r="BVK12" s="3280"/>
      <c r="BVL12" s="3280"/>
      <c r="BVM12" s="3280"/>
      <c r="BVN12" s="3280"/>
      <c r="BVO12" s="3280"/>
      <c r="BVP12" s="3280"/>
      <c r="BVQ12" s="3280"/>
      <c r="BVR12" s="3280"/>
      <c r="BVS12" s="3280"/>
      <c r="BVT12" s="3280"/>
      <c r="BVU12" s="3280"/>
      <c r="BVV12" s="3280"/>
      <c r="BVW12" s="3280"/>
      <c r="BVX12" s="3280"/>
      <c r="BVY12" s="3280"/>
      <c r="BVZ12" s="3280"/>
      <c r="BWA12" s="3280"/>
      <c r="BWB12" s="3280"/>
      <c r="BWC12" s="3280"/>
      <c r="BWD12" s="3280"/>
      <c r="BWE12" s="3280"/>
      <c r="BWF12" s="3280"/>
      <c r="BWG12" s="3280"/>
      <c r="BWH12" s="3280"/>
      <c r="BWI12" s="3280"/>
      <c r="BWJ12" s="3280"/>
      <c r="BWK12" s="3280"/>
      <c r="BWL12" s="3280"/>
      <c r="BWM12" s="3280"/>
      <c r="BWN12" s="3280"/>
      <c r="BWO12" s="3280"/>
      <c r="BWP12" s="3280"/>
      <c r="BWQ12" s="3280"/>
      <c r="BWR12" s="3280"/>
      <c r="BWS12" s="3280"/>
      <c r="BWT12" s="3280"/>
      <c r="BWU12" s="3280"/>
      <c r="BWV12" s="3280"/>
      <c r="BWW12" s="3280"/>
      <c r="BWX12" s="3280"/>
      <c r="BWY12" s="3280"/>
      <c r="BWZ12" s="3280"/>
      <c r="BXA12" s="3280"/>
      <c r="BXB12" s="3280"/>
      <c r="BXC12" s="3280"/>
      <c r="BXD12" s="3280"/>
      <c r="BXE12" s="3280"/>
      <c r="BXF12" s="3280"/>
      <c r="BXG12" s="3280"/>
      <c r="BXH12" s="3280"/>
      <c r="BXI12" s="3280"/>
      <c r="BXJ12" s="3280"/>
      <c r="BXK12" s="3280"/>
      <c r="BXL12" s="3280"/>
      <c r="BXM12" s="3280"/>
      <c r="BXN12" s="3280"/>
      <c r="BXO12" s="3280"/>
      <c r="BXP12" s="3280"/>
      <c r="BXQ12" s="3280"/>
      <c r="BXR12" s="3280"/>
      <c r="BXS12" s="3280"/>
      <c r="BXT12" s="3280"/>
      <c r="BXU12" s="3280"/>
      <c r="BXV12" s="3280"/>
      <c r="BXW12" s="3280"/>
      <c r="BXX12" s="3280"/>
      <c r="BXY12" s="3280"/>
      <c r="BXZ12" s="3280"/>
      <c r="BYA12" s="3280"/>
      <c r="BYB12" s="3280"/>
      <c r="BYC12" s="3280"/>
      <c r="BYD12" s="3280"/>
      <c r="BYE12" s="3280"/>
      <c r="BYF12" s="3280"/>
      <c r="BYG12" s="3280"/>
      <c r="BYH12" s="3280"/>
      <c r="BYI12" s="3280"/>
      <c r="BYJ12" s="3280"/>
      <c r="BYK12" s="3280"/>
      <c r="BYL12" s="3280"/>
      <c r="BYM12" s="3280"/>
      <c r="BYN12" s="3280"/>
      <c r="BYO12" s="3280"/>
      <c r="BYP12" s="3280"/>
      <c r="BYQ12" s="3280"/>
      <c r="BYR12" s="3280"/>
      <c r="BYS12" s="3280"/>
      <c r="BYT12" s="3280"/>
      <c r="BYU12" s="3280"/>
      <c r="BYV12" s="3280"/>
      <c r="BYW12" s="3280"/>
      <c r="BYX12" s="3280"/>
      <c r="BYY12" s="3280"/>
      <c r="BYZ12" s="3280"/>
      <c r="BZA12" s="3280"/>
      <c r="BZB12" s="3280"/>
      <c r="BZC12" s="3280"/>
      <c r="BZD12" s="3280"/>
      <c r="BZE12" s="3280"/>
      <c r="BZF12" s="3280"/>
      <c r="BZG12" s="3280"/>
      <c r="BZH12" s="3280"/>
      <c r="BZI12" s="3280"/>
      <c r="BZJ12" s="3280"/>
      <c r="BZK12" s="3280"/>
      <c r="BZL12" s="3280"/>
      <c r="BZM12" s="3280"/>
      <c r="BZN12" s="3280"/>
      <c r="BZO12" s="3280"/>
      <c r="BZP12" s="3280"/>
      <c r="BZQ12" s="3280"/>
      <c r="BZR12" s="3280"/>
      <c r="BZS12" s="3280"/>
      <c r="BZT12" s="3280"/>
      <c r="BZU12" s="3280"/>
      <c r="BZV12" s="3280"/>
      <c r="BZW12" s="3280"/>
      <c r="BZX12" s="3280"/>
      <c r="BZY12" s="3280"/>
      <c r="BZZ12" s="3280"/>
      <c r="CAA12" s="3280"/>
      <c r="CAB12" s="3280"/>
      <c r="CAC12" s="3280"/>
      <c r="CAD12" s="3280"/>
      <c r="CAE12" s="3280"/>
      <c r="CAF12" s="3280"/>
      <c r="CAG12" s="3280"/>
      <c r="CAH12" s="3280"/>
      <c r="CAI12" s="3280"/>
      <c r="CAJ12" s="3280"/>
      <c r="CAK12" s="3280"/>
      <c r="CAL12" s="3280"/>
      <c r="CAM12" s="3280"/>
      <c r="CAN12" s="3280"/>
      <c r="CAO12" s="3280"/>
      <c r="CAP12" s="3280"/>
      <c r="CAQ12" s="3280"/>
      <c r="CAR12" s="3280"/>
      <c r="CAS12" s="3280"/>
      <c r="CAT12" s="3280"/>
      <c r="CAU12" s="3280"/>
      <c r="CAV12" s="3280"/>
      <c r="CAW12" s="3280"/>
      <c r="CAX12" s="3280"/>
      <c r="CAY12" s="3280"/>
      <c r="CAZ12" s="3280"/>
      <c r="CBA12" s="3280"/>
      <c r="CBB12" s="3280"/>
      <c r="CBC12" s="3280"/>
      <c r="CBD12" s="3280"/>
      <c r="CBE12" s="3280"/>
      <c r="CBF12" s="3280"/>
      <c r="CBG12" s="3280"/>
      <c r="CBH12" s="3280"/>
      <c r="CBI12" s="3280"/>
      <c r="CBJ12" s="3280"/>
      <c r="CBK12" s="3280"/>
      <c r="CBL12" s="3280"/>
      <c r="CBM12" s="3280"/>
      <c r="CBN12" s="3280"/>
      <c r="CBO12" s="3280"/>
      <c r="CBP12" s="3280"/>
      <c r="CBQ12" s="3280"/>
      <c r="CBR12" s="3280"/>
      <c r="CBS12" s="3280"/>
      <c r="CBT12" s="3280"/>
      <c r="CBU12" s="3280"/>
      <c r="CBV12" s="3280"/>
      <c r="CBW12" s="3280"/>
      <c r="CBX12" s="3280"/>
      <c r="CBY12" s="3280"/>
      <c r="CBZ12" s="3280"/>
      <c r="CCA12" s="3280"/>
      <c r="CCB12" s="3280"/>
      <c r="CCC12" s="3280"/>
      <c r="CCD12" s="3280"/>
      <c r="CCE12" s="3280"/>
      <c r="CCF12" s="3280"/>
      <c r="CCG12" s="3280"/>
      <c r="CCH12" s="3280"/>
      <c r="CCI12" s="3280"/>
      <c r="CCJ12" s="3280"/>
      <c r="CCK12" s="3280"/>
      <c r="CCL12" s="3280"/>
      <c r="CCM12" s="3280"/>
      <c r="CCN12" s="3280"/>
      <c r="CCO12" s="3280"/>
      <c r="CCP12" s="3280"/>
      <c r="CCQ12" s="3280"/>
      <c r="CCR12" s="3280"/>
      <c r="CCS12" s="3280"/>
      <c r="CCT12" s="3280"/>
      <c r="CCU12" s="3280"/>
      <c r="CCV12" s="3280"/>
      <c r="CCW12" s="3280"/>
      <c r="CCX12" s="3280"/>
      <c r="CCY12" s="3280"/>
      <c r="CCZ12" s="3280"/>
      <c r="CDA12" s="3280"/>
      <c r="CDB12" s="3280"/>
      <c r="CDC12" s="3280"/>
      <c r="CDD12" s="3280"/>
      <c r="CDE12" s="3280"/>
      <c r="CDF12" s="3280"/>
      <c r="CDG12" s="3280"/>
      <c r="CDH12" s="3280"/>
      <c r="CDI12" s="3280"/>
      <c r="CDJ12" s="3280"/>
      <c r="CDK12" s="3280"/>
      <c r="CDL12" s="3280"/>
      <c r="CDM12" s="3280"/>
      <c r="CDN12" s="3280"/>
      <c r="CDO12" s="3280"/>
      <c r="CDP12" s="3280"/>
      <c r="CDQ12" s="3280"/>
      <c r="CDR12" s="3280"/>
      <c r="CDS12" s="3280"/>
      <c r="CDT12" s="3280"/>
      <c r="CDU12" s="3280"/>
      <c r="CDV12" s="3280"/>
      <c r="CDW12" s="3280"/>
      <c r="CDX12" s="3280"/>
      <c r="CDY12" s="3280"/>
      <c r="CDZ12" s="3280"/>
      <c r="CEA12" s="3280"/>
      <c r="CEB12" s="3280"/>
      <c r="CEC12" s="3280"/>
      <c r="CED12" s="3280"/>
      <c r="CEE12" s="3280"/>
      <c r="CEF12" s="3280"/>
      <c r="CEG12" s="3280"/>
      <c r="CEH12" s="3280"/>
      <c r="CEI12" s="3280"/>
      <c r="CEJ12" s="3280"/>
      <c r="CEK12" s="3280"/>
      <c r="CEL12" s="3280"/>
      <c r="CEM12" s="3280"/>
      <c r="CEN12" s="3280"/>
      <c r="CEO12" s="3280"/>
      <c r="CEP12" s="3280"/>
      <c r="CEQ12" s="3280"/>
      <c r="CER12" s="3280"/>
      <c r="CES12" s="3280"/>
      <c r="CET12" s="3280"/>
      <c r="CEU12" s="3280"/>
      <c r="CEV12" s="3280"/>
      <c r="CEW12" s="3280"/>
      <c r="CEX12" s="3280"/>
      <c r="CEY12" s="3280"/>
      <c r="CEZ12" s="3280"/>
      <c r="CFA12" s="3280"/>
      <c r="CFB12" s="3280"/>
      <c r="CFC12" s="3280"/>
      <c r="CFD12" s="3280"/>
      <c r="CFE12" s="3280"/>
      <c r="CFF12" s="3280"/>
      <c r="CFG12" s="3280"/>
      <c r="CFH12" s="3280"/>
      <c r="CFI12" s="3280"/>
      <c r="CFJ12" s="3280"/>
      <c r="CFK12" s="3280"/>
      <c r="CFL12" s="3280"/>
      <c r="CFM12" s="3280"/>
      <c r="CFN12" s="3280"/>
      <c r="CFO12" s="3280"/>
      <c r="CFP12" s="3280"/>
      <c r="CFQ12" s="3280"/>
      <c r="CFR12" s="3280"/>
      <c r="CFS12" s="3280"/>
      <c r="CFT12" s="3280"/>
      <c r="CFU12" s="3280"/>
      <c r="CFV12" s="3280"/>
      <c r="CFW12" s="3280"/>
      <c r="CFX12" s="3280"/>
      <c r="CFY12" s="3280"/>
      <c r="CFZ12" s="3280"/>
      <c r="CGA12" s="3280"/>
      <c r="CGB12" s="3280"/>
      <c r="CGC12" s="3280"/>
      <c r="CGD12" s="3280"/>
      <c r="CGE12" s="3280"/>
      <c r="CGF12" s="3280"/>
      <c r="CGG12" s="3280"/>
      <c r="CGH12" s="3280"/>
      <c r="CGI12" s="3280"/>
      <c r="CGJ12" s="3280"/>
      <c r="CGK12" s="3280"/>
      <c r="CGL12" s="3280"/>
      <c r="CGM12" s="3280"/>
      <c r="CGN12" s="3280"/>
      <c r="CGO12" s="3280"/>
      <c r="CGP12" s="3280"/>
      <c r="CGQ12" s="3280"/>
      <c r="CGR12" s="3280"/>
      <c r="CGS12" s="3280"/>
      <c r="CGT12" s="3280"/>
      <c r="CGU12" s="3280"/>
      <c r="CGV12" s="3280"/>
      <c r="CGW12" s="3280"/>
      <c r="CGX12" s="3280"/>
      <c r="CGY12" s="3280"/>
      <c r="CGZ12" s="3280"/>
      <c r="CHA12" s="3280"/>
      <c r="CHB12" s="3280"/>
      <c r="CHC12" s="3280"/>
      <c r="CHD12" s="3280"/>
      <c r="CHE12" s="3280"/>
      <c r="CHF12" s="3280"/>
      <c r="CHG12" s="3280"/>
      <c r="CHH12" s="3280"/>
      <c r="CHI12" s="3280"/>
      <c r="CHJ12" s="3280"/>
      <c r="CHK12" s="3280"/>
      <c r="CHL12" s="3280"/>
      <c r="CHM12" s="3280"/>
      <c r="CHN12" s="3280"/>
      <c r="CHO12" s="3280"/>
      <c r="CHP12" s="3280"/>
      <c r="CHQ12" s="3280"/>
      <c r="CHR12" s="3280"/>
      <c r="CHS12" s="3280"/>
      <c r="CHT12" s="3280"/>
      <c r="CHU12" s="3280"/>
      <c r="CHV12" s="3280"/>
      <c r="CHW12" s="3280"/>
      <c r="CHX12" s="3280"/>
      <c r="CHY12" s="3280"/>
      <c r="CHZ12" s="3280"/>
      <c r="CIA12" s="3280"/>
      <c r="CIB12" s="3280"/>
      <c r="CIC12" s="3280"/>
      <c r="CID12" s="3280"/>
      <c r="CIE12" s="3280"/>
      <c r="CIF12" s="3280"/>
      <c r="CIG12" s="3280"/>
      <c r="CIH12" s="3280"/>
      <c r="CII12" s="3280"/>
      <c r="CIJ12" s="3280"/>
      <c r="CIK12" s="3280"/>
      <c r="CIL12" s="3280"/>
      <c r="CIM12" s="3280"/>
      <c r="CIN12" s="3280"/>
      <c r="CIO12" s="3280"/>
      <c r="CIP12" s="3280"/>
      <c r="CIQ12" s="3280"/>
      <c r="CIR12" s="3280"/>
      <c r="CIS12" s="3280"/>
      <c r="CIT12" s="3280"/>
      <c r="CIU12" s="3280"/>
      <c r="CIV12" s="3280"/>
      <c r="CIW12" s="3280"/>
      <c r="CIX12" s="3280"/>
      <c r="CIY12" s="3280"/>
      <c r="CIZ12" s="3280"/>
      <c r="CJA12" s="3280"/>
      <c r="CJB12" s="3280"/>
      <c r="CJC12" s="3280"/>
      <c r="CJD12" s="3280"/>
      <c r="CJE12" s="3280"/>
      <c r="CJF12" s="3280"/>
      <c r="CJG12" s="3280"/>
      <c r="CJH12" s="3280"/>
      <c r="CJI12" s="3280"/>
      <c r="CJJ12" s="3280"/>
      <c r="CJK12" s="3280"/>
      <c r="CJL12" s="3280"/>
      <c r="CJM12" s="3280"/>
      <c r="CJN12" s="3280"/>
      <c r="CJO12" s="3280"/>
      <c r="CJP12" s="3280"/>
      <c r="CJQ12" s="3280"/>
      <c r="CJR12" s="3280"/>
      <c r="CJS12" s="3280"/>
      <c r="CJT12" s="3280"/>
      <c r="CJU12" s="3280"/>
      <c r="CJV12" s="3280"/>
      <c r="CJW12" s="3280"/>
      <c r="CJX12" s="3280"/>
      <c r="CJY12" s="3280"/>
      <c r="CJZ12" s="3280"/>
      <c r="CKA12" s="3280"/>
      <c r="CKB12" s="3280"/>
      <c r="CKC12" s="3280"/>
      <c r="CKD12" s="3280"/>
      <c r="CKE12" s="3280"/>
      <c r="CKF12" s="3280"/>
      <c r="CKG12" s="3280"/>
      <c r="CKH12" s="3280"/>
      <c r="CKI12" s="3280"/>
      <c r="CKJ12" s="3280"/>
      <c r="CKK12" s="3280"/>
      <c r="CKL12" s="3280"/>
      <c r="CKM12" s="3280"/>
      <c r="CKN12" s="3280"/>
      <c r="CKO12" s="3280"/>
      <c r="CKP12" s="3280"/>
      <c r="CKQ12" s="3280"/>
      <c r="CKR12" s="3280"/>
      <c r="CKS12" s="3280"/>
      <c r="CKT12" s="3280"/>
      <c r="CKU12" s="3280"/>
      <c r="CKV12" s="3280"/>
      <c r="CKW12" s="3280"/>
      <c r="CKX12" s="3280"/>
      <c r="CKY12" s="3280"/>
      <c r="CKZ12" s="3280"/>
      <c r="CLA12" s="3280"/>
      <c r="CLB12" s="3280"/>
      <c r="CLC12" s="3280"/>
      <c r="CLD12" s="3280"/>
      <c r="CLE12" s="3280"/>
      <c r="CLF12" s="3280"/>
      <c r="CLG12" s="3280"/>
      <c r="CLH12" s="3280"/>
      <c r="CLI12" s="3280"/>
      <c r="CLJ12" s="3280"/>
      <c r="CLK12" s="3280"/>
      <c r="CLL12" s="3280"/>
      <c r="CLM12" s="3280"/>
      <c r="CLN12" s="3280"/>
      <c r="CLO12" s="3280"/>
      <c r="CLP12" s="3280"/>
      <c r="CLQ12" s="3280"/>
      <c r="CLR12" s="3280"/>
      <c r="CLS12" s="3280"/>
      <c r="CLT12" s="3280"/>
      <c r="CLU12" s="3280"/>
      <c r="CLV12" s="3280"/>
      <c r="CLW12" s="3280"/>
    </row>
    <row r="13" spans="1:2363" ht="15" customHeight="1" outlineLevel="1" x14ac:dyDescent="0.25">
      <c r="A13" s="3868"/>
      <c r="B13" s="3871"/>
      <c r="C13" s="2203">
        <v>4</v>
      </c>
      <c r="D13" s="2724" t="s">
        <v>656</v>
      </c>
      <c r="E13" s="2722">
        <v>95</v>
      </c>
      <c r="F13" s="2776">
        <v>6629.56</v>
      </c>
      <c r="G13" s="2784">
        <f t="shared" si="0"/>
        <v>69.784842105263166</v>
      </c>
      <c r="H13" s="2782"/>
      <c r="I13" s="2776"/>
      <c r="J13" s="1805"/>
      <c r="K13" s="2782"/>
      <c r="L13" s="2776"/>
      <c r="M13" s="1885"/>
      <c r="N13" s="3256">
        <f>+F13+I13+L13</f>
        <v>6629.56</v>
      </c>
      <c r="O13" s="3219">
        <f>+I13+F13</f>
        <v>6629.56</v>
      </c>
      <c r="P13" s="2774"/>
      <c r="Q13" s="1886">
        <f>ROUND(1450264.58/7.5345,2)</f>
        <v>192483.19</v>
      </c>
      <c r="R13" s="1886">
        <f>ROUND(37676508.25/7.5345,2)</f>
        <v>5000531.99</v>
      </c>
      <c r="S13" s="1886">
        <f>ROUND(237500/7.5345,2)</f>
        <v>31521.67</v>
      </c>
      <c r="T13" s="2881">
        <f>ROUND(410966.92/7.5345,2)</f>
        <v>54544.68</v>
      </c>
      <c r="U13" s="1886">
        <f>ROUND(8066145.92/7.5345,2)</f>
        <v>1070561.54</v>
      </c>
      <c r="V13" s="3556">
        <f>+P13+Q13+R13+S13+T13+U13</f>
        <v>6349643.0700000003</v>
      </c>
      <c r="W13" s="3221">
        <v>95</v>
      </c>
      <c r="X13" s="3221">
        <v>95</v>
      </c>
      <c r="Y13" s="3222">
        <v>0.25</v>
      </c>
      <c r="Z13" s="3536">
        <f>ROUND(9944340/7.5345,2)</f>
        <v>1319840.73</v>
      </c>
      <c r="AA13" s="1892">
        <v>9944340</v>
      </c>
      <c r="AB13" s="1851">
        <v>9944340</v>
      </c>
      <c r="AC13" s="1851">
        <f t="shared" ref="AC13:AC14" si="6">AA13-AB13</f>
        <v>0</v>
      </c>
      <c r="AD13" s="1897">
        <f>(47239526.77+601858.9)-AE13</f>
        <v>39775239.75</v>
      </c>
      <c r="AE13" s="1897">
        <v>8066145.9199999999</v>
      </c>
      <c r="AF13" s="1897"/>
      <c r="AG13" s="2113"/>
      <c r="AH13" s="2062">
        <f>AD13+AF13+AE13+AG13</f>
        <v>47841385.670000002</v>
      </c>
      <c r="AI13" s="2767">
        <f>47841385.67-AJ13</f>
        <v>36075575</v>
      </c>
      <c r="AJ13" s="2767">
        <f>15187334.88-3421524.21</f>
        <v>11765810.670000002</v>
      </c>
      <c r="AK13" s="2831">
        <f>AI13+AJ13</f>
        <v>47841385.670000002</v>
      </c>
      <c r="AL13" s="1836">
        <v>0</v>
      </c>
      <c r="AM13" s="1836">
        <v>0</v>
      </c>
      <c r="AN13" s="2765">
        <f t="shared" ref="AN13:AN14" si="7">AL13+AM13</f>
        <v>0</v>
      </c>
      <c r="AO13" s="2764">
        <v>0</v>
      </c>
      <c r="AP13" s="2691">
        <v>0</v>
      </c>
      <c r="AQ13" s="2681">
        <v>0</v>
      </c>
      <c r="AR13" s="3277">
        <v>137700</v>
      </c>
      <c r="AS13" s="3269">
        <f>AO13+AQ13+AR13+AP13</f>
        <v>137700</v>
      </c>
      <c r="AT13" s="2765">
        <v>98300</v>
      </c>
      <c r="AU13" s="3452">
        <v>0</v>
      </c>
      <c r="AV13" s="1835">
        <f>+AR13</f>
        <v>137700</v>
      </c>
      <c r="AW13" s="3199">
        <f>AU13+AV13</f>
        <v>137700</v>
      </c>
      <c r="AX13" s="1836">
        <f>ROUND(9944340/7.5345,2)</f>
        <v>1319840.73</v>
      </c>
      <c r="AY13" s="1836">
        <f>ROUND(9944340/7.5345,2)</f>
        <v>1319840.73</v>
      </c>
      <c r="AZ13" s="2765">
        <f>AX13-AY13</f>
        <v>0</v>
      </c>
      <c r="BA13" s="3071">
        <f>ROUND(39775239.75/7.5345,2)+0.01</f>
        <v>5279081.5299999993</v>
      </c>
      <c r="BB13" s="3072">
        <f>ROUND(8066145.92/7.5345,2)</f>
        <v>1070561.54</v>
      </c>
      <c r="BC13" s="3068">
        <f>ROUND(2823151.07/7.5345,2)</f>
        <v>374696.54</v>
      </c>
      <c r="BD13" s="3282">
        <f>1327335.85+AR13</f>
        <v>1465035.85</v>
      </c>
      <c r="BE13" s="3584">
        <f>+BA13+BB13+BC13+BD13</f>
        <v>8189375.459999999</v>
      </c>
      <c r="BF13" s="2765">
        <v>0</v>
      </c>
      <c r="BG13" s="3452">
        <f>ROUND(36075575/7.5345,2)</f>
        <v>4788051.63</v>
      </c>
      <c r="BH13" s="1835">
        <f>ROUND(11765810.67/7.5345,2)</f>
        <v>1561591.44</v>
      </c>
      <c r="BI13" s="2516">
        <f t="shared" si="4"/>
        <v>6349643.0700000003</v>
      </c>
      <c r="BJ13" s="2125">
        <v>0</v>
      </c>
      <c r="BK13" s="1859">
        <v>0</v>
      </c>
      <c r="BL13" s="1859">
        <f>+BJ13-BK13</f>
        <v>0</v>
      </c>
      <c r="BM13" s="3431">
        <v>0</v>
      </c>
      <c r="BN13" s="3441">
        <v>0</v>
      </c>
      <c r="BO13" s="3442">
        <f t="shared" si="2"/>
        <v>0</v>
      </c>
      <c r="BP13" s="3303">
        <v>105200</v>
      </c>
      <c r="BQ13" s="3468">
        <f>+BP13+BM13+BN13+BO13</f>
        <v>105200</v>
      </c>
      <c r="BR13" s="3446">
        <v>0</v>
      </c>
      <c r="BS13" s="1858">
        <v>105200</v>
      </c>
      <c r="BT13" s="3449">
        <f>+BS13+0</f>
        <v>105200</v>
      </c>
      <c r="BU13" s="2856"/>
      <c r="BV13" s="3058"/>
      <c r="BW13" s="3058"/>
      <c r="BX13" s="3058"/>
      <c r="BY13" s="3140"/>
      <c r="BZ13" s="3140"/>
      <c r="CA13" s="2857"/>
      <c r="CB13" s="2857"/>
      <c r="CC13" s="2857"/>
      <c r="CD13" s="2857"/>
      <c r="CE13" s="2857"/>
      <c r="CF13" s="3141"/>
      <c r="CG13" s="3141"/>
      <c r="CH13" s="3141"/>
      <c r="CI13" s="3141"/>
      <c r="CJ13" s="3141"/>
      <c r="CK13" s="3141"/>
      <c r="CL13" s="3141"/>
      <c r="CM13" s="3141"/>
      <c r="CN13" s="3141"/>
      <c r="CO13" s="3141"/>
      <c r="CP13" s="3141"/>
      <c r="CQ13" s="3141"/>
      <c r="CR13" s="3141"/>
      <c r="CS13" s="3141"/>
      <c r="CT13" s="3141"/>
      <c r="CU13" s="3141"/>
      <c r="CV13" s="3141"/>
      <c r="CW13" s="3141"/>
      <c r="CX13" s="3141"/>
      <c r="CY13" s="3141"/>
      <c r="CZ13" s="3141"/>
      <c r="DA13" s="3141"/>
      <c r="DB13" s="3141"/>
      <c r="DC13" s="3141"/>
      <c r="DD13" s="3141"/>
      <c r="DE13" s="3141"/>
      <c r="DF13" s="3141"/>
      <c r="DG13" s="3141"/>
      <c r="DH13" s="3141"/>
      <c r="DI13" s="3141"/>
      <c r="DJ13" s="3141"/>
      <c r="DK13" s="3141"/>
      <c r="DL13" s="3141"/>
      <c r="DM13" s="3141"/>
      <c r="DN13" s="3141"/>
      <c r="DO13" s="3141"/>
      <c r="DP13" s="3141"/>
      <c r="DQ13" s="3141"/>
      <c r="DR13" s="3141"/>
      <c r="DS13" s="3141"/>
      <c r="DT13" s="3141"/>
      <c r="DU13" s="3141"/>
      <c r="DV13" s="3141"/>
      <c r="DW13" s="3141"/>
      <c r="DX13" s="3141"/>
      <c r="DY13" s="3141"/>
      <c r="DZ13" s="3141"/>
      <c r="EA13" s="3141"/>
      <c r="EB13" s="3141"/>
      <c r="EC13" s="3141"/>
      <c r="ED13" s="3141"/>
      <c r="EE13" s="3141"/>
      <c r="EF13" s="3141"/>
      <c r="EG13" s="3141"/>
      <c r="EH13" s="2854"/>
      <c r="EI13" s="2854"/>
      <c r="EJ13" s="2854"/>
      <c r="EK13" s="2854"/>
      <c r="EL13" s="2854"/>
      <c r="EM13" s="2854"/>
      <c r="EN13" s="2854"/>
      <c r="EO13" s="2854"/>
      <c r="EP13" s="2854"/>
      <c r="EQ13" s="2854"/>
      <c r="ER13" s="2854"/>
      <c r="ES13" s="2854"/>
      <c r="ET13" s="2854"/>
      <c r="EU13" s="2854"/>
      <c r="EV13" s="2854"/>
      <c r="EW13" s="2854"/>
      <c r="EX13" s="2854"/>
      <c r="EY13" s="2854"/>
      <c r="EZ13" s="2854"/>
      <c r="FA13" s="2854"/>
      <c r="FB13" s="2854"/>
      <c r="FC13" s="2854"/>
      <c r="FD13" s="2854"/>
      <c r="FE13" s="2854"/>
      <c r="FF13" s="2854"/>
      <c r="FG13" s="2854"/>
      <c r="FH13" s="2854"/>
      <c r="FI13" s="2854"/>
      <c r="FJ13" s="2854"/>
      <c r="FK13" s="2854"/>
      <c r="FL13" s="2854"/>
      <c r="FM13" s="2854"/>
      <c r="FN13" s="2854"/>
      <c r="FO13" s="2854"/>
      <c r="FP13" s="2854"/>
      <c r="FQ13" s="2854"/>
      <c r="FR13" s="2854"/>
      <c r="FS13" s="2854"/>
      <c r="FT13" s="2854"/>
      <c r="FU13" s="2854"/>
      <c r="FV13" s="2854"/>
      <c r="FW13" s="2854"/>
      <c r="FX13" s="2854"/>
      <c r="FY13" s="2854"/>
      <c r="FZ13" s="2854"/>
      <c r="GA13" s="2854"/>
      <c r="GB13" s="2854"/>
      <c r="GC13" s="2854"/>
      <c r="GD13" s="2854"/>
      <c r="GE13" s="2854"/>
      <c r="GF13" s="2854"/>
      <c r="GG13" s="2854"/>
      <c r="GH13" s="2854"/>
      <c r="GI13" s="2854"/>
      <c r="GJ13" s="2854"/>
      <c r="GK13" s="2854"/>
      <c r="GL13" s="2854"/>
      <c r="GM13" s="2854"/>
      <c r="GN13" s="2854"/>
      <c r="GO13" s="2854"/>
      <c r="GP13" s="2854"/>
      <c r="GQ13" s="2854"/>
      <c r="GR13" s="2854"/>
      <c r="GS13" s="2854"/>
      <c r="GT13" s="2854"/>
      <c r="GU13" s="2854"/>
      <c r="GV13" s="2854"/>
      <c r="GW13" s="2854"/>
      <c r="GX13" s="2854"/>
      <c r="GY13" s="2854"/>
      <c r="GZ13" s="2854"/>
      <c r="HA13" s="2854"/>
      <c r="HB13" s="2854"/>
      <c r="HC13" s="2854"/>
      <c r="HD13" s="2854"/>
      <c r="HE13" s="2854"/>
      <c r="HF13" s="2854"/>
      <c r="HG13" s="2854"/>
      <c r="HH13" s="2854"/>
      <c r="HI13" s="2854"/>
      <c r="HJ13" s="2854"/>
      <c r="HK13" s="2854"/>
      <c r="HL13" s="2854"/>
      <c r="HM13" s="2854"/>
      <c r="HN13" s="2854"/>
      <c r="HO13" s="2854"/>
      <c r="HP13" s="2854"/>
      <c r="HQ13" s="2854"/>
      <c r="HR13" s="2854"/>
      <c r="HS13" s="2854"/>
      <c r="HT13" s="2854"/>
      <c r="HU13" s="2854"/>
      <c r="HV13" s="2854"/>
      <c r="HW13" s="2854"/>
      <c r="HX13" s="2854"/>
      <c r="HY13" s="2854"/>
      <c r="HZ13" s="2854"/>
      <c r="IA13" s="2854"/>
      <c r="IB13" s="2854"/>
      <c r="IC13" s="2854"/>
      <c r="ID13" s="2854"/>
      <c r="IE13" s="2854"/>
      <c r="IF13" s="2854"/>
      <c r="IG13" s="2854"/>
      <c r="IH13" s="2854"/>
      <c r="II13" s="2854"/>
      <c r="IJ13" s="2854"/>
      <c r="IK13" s="2854"/>
      <c r="IL13" s="2854"/>
      <c r="IM13" s="2854"/>
      <c r="IN13" s="2854"/>
      <c r="IO13" s="2854"/>
      <c r="IP13" s="2854"/>
      <c r="IQ13" s="2854"/>
      <c r="IR13" s="2854"/>
      <c r="IS13" s="2854"/>
      <c r="IT13" s="2854"/>
      <c r="IU13" s="2854"/>
      <c r="IV13" s="2854"/>
      <c r="IW13" s="2854"/>
      <c r="IX13" s="2854"/>
      <c r="IY13" s="2854"/>
      <c r="IZ13" s="2854"/>
      <c r="JA13" s="2854"/>
      <c r="JB13" s="2854"/>
      <c r="JC13" s="2854"/>
      <c r="JD13" s="2854"/>
      <c r="JE13" s="2854"/>
      <c r="JF13" s="2854"/>
      <c r="JG13" s="2854"/>
      <c r="JH13" s="2854"/>
      <c r="JI13" s="2854"/>
      <c r="JJ13" s="2854"/>
      <c r="JK13" s="2854"/>
      <c r="JL13" s="2854"/>
      <c r="JM13" s="2854"/>
      <c r="JN13" s="2854"/>
      <c r="JO13" s="2854"/>
      <c r="JP13" s="2854"/>
      <c r="JQ13" s="2854"/>
      <c r="JR13" s="2854"/>
      <c r="JS13" s="2854"/>
      <c r="JT13" s="2854"/>
      <c r="JU13" s="2854"/>
      <c r="JV13" s="2854"/>
      <c r="JW13" s="2854"/>
      <c r="JX13" s="2854"/>
      <c r="JY13" s="2854"/>
      <c r="JZ13" s="2854"/>
      <c r="KA13" s="2854"/>
      <c r="KB13" s="2854"/>
      <c r="KC13" s="2854"/>
      <c r="KD13" s="2854"/>
      <c r="KE13" s="2854"/>
      <c r="KF13" s="2854"/>
      <c r="KG13" s="2854"/>
      <c r="KH13" s="2854"/>
      <c r="KI13" s="2854"/>
      <c r="KJ13" s="2854"/>
      <c r="KK13" s="2854"/>
      <c r="KL13" s="2854"/>
      <c r="KM13" s="2854"/>
      <c r="KN13" s="2854"/>
      <c r="KO13" s="2854"/>
      <c r="KP13" s="2854"/>
      <c r="KQ13" s="2854"/>
      <c r="KR13" s="2854"/>
      <c r="KS13" s="2854"/>
      <c r="KT13" s="2854"/>
      <c r="KU13" s="2854"/>
      <c r="KV13" s="2854"/>
      <c r="KW13" s="2854"/>
      <c r="KX13" s="2854"/>
      <c r="KY13" s="2854"/>
      <c r="KZ13" s="2854"/>
      <c r="LA13" s="2854"/>
      <c r="LB13" s="2854"/>
      <c r="LC13" s="2854"/>
      <c r="LD13" s="2854"/>
      <c r="LE13" s="2854"/>
      <c r="LF13" s="2854"/>
      <c r="LG13" s="2854"/>
      <c r="LH13" s="2854"/>
      <c r="LI13" s="2854"/>
      <c r="LJ13" s="2854"/>
      <c r="LK13" s="2854"/>
      <c r="LL13" s="2854"/>
      <c r="LM13" s="2854"/>
      <c r="LN13" s="2854"/>
      <c r="LO13" s="2854"/>
      <c r="LP13" s="2854"/>
      <c r="LQ13" s="2854"/>
      <c r="LR13" s="2854"/>
      <c r="LS13" s="2854"/>
      <c r="LT13" s="2854"/>
      <c r="LU13" s="2854"/>
      <c r="LV13" s="2854"/>
      <c r="LW13" s="2854"/>
      <c r="LX13" s="2854"/>
      <c r="LY13" s="2854"/>
      <c r="LZ13" s="2854"/>
      <c r="MA13" s="2854"/>
      <c r="MB13" s="2854"/>
      <c r="MC13" s="2854"/>
      <c r="MD13" s="2854"/>
      <c r="ME13" s="2854"/>
      <c r="MF13" s="2854"/>
      <c r="MG13" s="2854"/>
      <c r="MH13" s="2854"/>
      <c r="MI13" s="2854"/>
      <c r="MJ13" s="2854"/>
      <c r="MK13" s="2854"/>
      <c r="ML13" s="2854"/>
      <c r="MM13" s="2854"/>
      <c r="MN13" s="2854"/>
      <c r="MO13" s="2854"/>
      <c r="MP13" s="2854"/>
      <c r="MQ13" s="2854"/>
      <c r="MR13" s="2854"/>
      <c r="MS13" s="2854"/>
      <c r="MT13" s="2854"/>
      <c r="MU13" s="2854"/>
      <c r="MV13" s="2854"/>
      <c r="MW13" s="2854"/>
      <c r="MX13" s="2854"/>
      <c r="MY13" s="2854"/>
      <c r="MZ13" s="2854"/>
      <c r="NA13" s="2854"/>
      <c r="NB13" s="2854"/>
      <c r="NC13" s="2854"/>
      <c r="ND13" s="2854"/>
      <c r="NE13" s="2854"/>
      <c r="NF13" s="2854"/>
      <c r="NG13" s="2854"/>
      <c r="NH13" s="2854"/>
      <c r="NI13" s="2854"/>
      <c r="NJ13" s="2854"/>
      <c r="NK13" s="2854"/>
      <c r="NL13" s="2854"/>
      <c r="NM13" s="2854"/>
      <c r="NN13" s="2854"/>
      <c r="NO13" s="2854"/>
      <c r="NP13" s="2854"/>
      <c r="NQ13" s="2854"/>
      <c r="NR13" s="2854"/>
      <c r="NS13" s="2854"/>
      <c r="NT13" s="2854"/>
      <c r="NU13" s="2854"/>
      <c r="NV13" s="2854"/>
      <c r="NW13" s="2854"/>
      <c r="NX13" s="2854"/>
      <c r="NY13" s="2854"/>
      <c r="NZ13" s="2854"/>
      <c r="OA13" s="2854"/>
      <c r="OB13" s="2854"/>
      <c r="OC13" s="2854"/>
      <c r="OD13" s="2854"/>
      <c r="OE13" s="2854"/>
      <c r="OF13" s="2854"/>
      <c r="OG13" s="2854"/>
      <c r="OH13" s="2854"/>
      <c r="OI13" s="2854"/>
      <c r="OJ13" s="2854"/>
      <c r="OK13" s="2854"/>
      <c r="OL13" s="2854"/>
      <c r="OM13" s="2854"/>
      <c r="ON13" s="2854"/>
      <c r="OO13" s="2854"/>
      <c r="OP13" s="2854"/>
      <c r="OQ13" s="2854"/>
      <c r="OR13" s="2854"/>
      <c r="OS13" s="2854"/>
      <c r="OT13" s="2854"/>
      <c r="OU13" s="2854"/>
      <c r="OV13" s="2854"/>
      <c r="OW13" s="2854"/>
      <c r="OX13" s="2854"/>
      <c r="OY13" s="2854"/>
      <c r="OZ13" s="2854"/>
      <c r="PA13" s="2854"/>
      <c r="PB13" s="2854"/>
      <c r="PC13" s="2854"/>
      <c r="PD13" s="2854"/>
      <c r="PE13" s="2854"/>
      <c r="PF13" s="2854"/>
      <c r="PG13" s="2854"/>
      <c r="PH13" s="2854"/>
      <c r="PI13" s="2854"/>
      <c r="PJ13" s="2854"/>
      <c r="PK13" s="2854"/>
      <c r="PL13" s="2854"/>
      <c r="PM13" s="2854"/>
      <c r="PN13" s="2854"/>
      <c r="PO13" s="2854"/>
      <c r="PP13" s="2854"/>
      <c r="PQ13" s="2854"/>
      <c r="PR13" s="2854"/>
      <c r="PS13" s="2854"/>
      <c r="PT13" s="2854"/>
      <c r="PU13" s="2854"/>
      <c r="PV13" s="2854"/>
      <c r="PW13" s="2854"/>
      <c r="PX13" s="2854"/>
      <c r="PY13" s="2854"/>
      <c r="PZ13" s="2854"/>
      <c r="QA13" s="2854"/>
      <c r="QB13" s="2854"/>
      <c r="QC13" s="2854"/>
      <c r="QD13" s="2854"/>
      <c r="QE13" s="2854"/>
      <c r="QF13" s="2854"/>
      <c r="QG13" s="2854"/>
      <c r="QH13" s="2854"/>
      <c r="QI13" s="2854"/>
      <c r="QJ13" s="2854"/>
      <c r="QK13" s="2854"/>
      <c r="QL13" s="2854"/>
      <c r="QM13" s="2854"/>
      <c r="QN13" s="2854"/>
      <c r="QO13" s="2854"/>
      <c r="QP13" s="2854"/>
      <c r="QQ13" s="2854"/>
      <c r="QR13" s="2854"/>
      <c r="QS13" s="2854"/>
      <c r="QT13" s="2854"/>
      <c r="QU13" s="2854"/>
      <c r="QV13" s="2854"/>
      <c r="QW13" s="2854"/>
      <c r="QX13" s="2854"/>
      <c r="QY13" s="2854"/>
      <c r="QZ13" s="2854"/>
      <c r="RA13" s="2854"/>
      <c r="RB13" s="2854"/>
      <c r="RC13" s="2854"/>
      <c r="RD13" s="2854"/>
      <c r="RE13" s="2854"/>
      <c r="RF13" s="2854"/>
      <c r="RG13" s="2854"/>
      <c r="RH13" s="2854"/>
      <c r="RI13" s="2854"/>
      <c r="RJ13" s="2854"/>
      <c r="RK13" s="2854"/>
      <c r="RL13" s="2854"/>
      <c r="RM13" s="2854"/>
      <c r="RN13" s="2854"/>
      <c r="RO13" s="2854"/>
      <c r="RP13" s="2854"/>
      <c r="RQ13" s="2854"/>
      <c r="RR13" s="2854"/>
      <c r="RS13" s="2854"/>
      <c r="RT13" s="2854"/>
      <c r="RU13" s="2854"/>
      <c r="RV13" s="2854"/>
      <c r="RW13" s="2854"/>
      <c r="RX13" s="2854"/>
      <c r="RY13" s="2854"/>
      <c r="RZ13" s="2854"/>
      <c r="SA13" s="2854"/>
      <c r="SB13" s="2854"/>
      <c r="SC13" s="2854"/>
      <c r="SD13" s="2854"/>
      <c r="SE13" s="2854"/>
      <c r="SF13" s="2854"/>
      <c r="SG13" s="2854"/>
      <c r="SH13" s="2854"/>
      <c r="SI13" s="2854"/>
      <c r="SJ13" s="2854"/>
      <c r="SK13" s="2854"/>
      <c r="SL13" s="2854"/>
      <c r="SM13" s="2854"/>
      <c r="SN13" s="2854"/>
      <c r="SO13" s="2854"/>
      <c r="SP13" s="2854"/>
      <c r="SQ13" s="2854"/>
      <c r="SR13" s="2854"/>
      <c r="SS13" s="2854"/>
      <c r="ST13" s="2854"/>
      <c r="SU13" s="2854"/>
      <c r="SV13" s="2854"/>
      <c r="SW13" s="2854"/>
      <c r="SX13" s="2854"/>
      <c r="SY13" s="2854"/>
      <c r="SZ13" s="2854"/>
      <c r="TA13" s="2854"/>
      <c r="TB13" s="2854"/>
      <c r="TC13" s="2854"/>
      <c r="TD13" s="2854"/>
      <c r="TE13" s="2854"/>
      <c r="TF13" s="2854"/>
      <c r="TG13" s="2854"/>
      <c r="TH13" s="2854"/>
      <c r="TI13" s="2854"/>
      <c r="TJ13" s="2854"/>
      <c r="TK13" s="2854"/>
      <c r="TL13" s="2854"/>
      <c r="TM13" s="2854"/>
      <c r="TN13" s="2854"/>
      <c r="TO13" s="2854"/>
      <c r="TP13" s="2854"/>
      <c r="TQ13" s="2854"/>
      <c r="TR13" s="2854"/>
      <c r="TS13" s="2854"/>
      <c r="TT13" s="2854"/>
      <c r="TU13" s="3783"/>
      <c r="TV13" s="3783"/>
      <c r="TW13" s="3783"/>
      <c r="TX13" s="3783"/>
      <c r="TY13" s="3783"/>
      <c r="TZ13" s="3783"/>
      <c r="UA13" s="3783"/>
      <c r="UB13" s="3783"/>
      <c r="UC13" s="3783"/>
      <c r="UD13" s="3783"/>
      <c r="UE13" s="3783"/>
      <c r="UF13" s="3783"/>
      <c r="UG13" s="3783"/>
      <c r="UH13" s="3783"/>
      <c r="UI13" s="3783"/>
      <c r="UJ13" s="3783"/>
      <c r="UK13" s="3783"/>
      <c r="UL13" s="3783"/>
      <c r="UM13" s="3783"/>
      <c r="UN13" s="3783"/>
      <c r="UO13" s="3783"/>
      <c r="UP13" s="2854"/>
      <c r="UQ13" s="2854"/>
      <c r="UR13" s="2854"/>
      <c r="US13" s="2854"/>
      <c r="UT13" s="2854"/>
      <c r="UU13" s="2854"/>
      <c r="UV13" s="2854"/>
      <c r="UW13" s="2854"/>
      <c r="UX13" s="2854"/>
      <c r="UY13" s="2854"/>
      <c r="UZ13" s="2854"/>
      <c r="VA13" s="2854"/>
      <c r="VB13" s="2854"/>
      <c r="VC13" s="2854"/>
      <c r="VD13" s="2854"/>
      <c r="VE13" s="2854"/>
      <c r="VF13" s="2854"/>
      <c r="VG13" s="2854"/>
      <c r="VH13" s="2854"/>
      <c r="VI13" s="2854"/>
      <c r="VJ13" s="2854"/>
      <c r="VK13" s="2854"/>
      <c r="VL13" s="2854"/>
      <c r="VM13" s="2854"/>
      <c r="VN13" s="2854"/>
      <c r="VO13" s="2854"/>
      <c r="VP13" s="2854"/>
      <c r="VQ13" s="2854"/>
      <c r="VR13" s="2854"/>
      <c r="VS13" s="2854"/>
      <c r="VT13" s="2854"/>
      <c r="VU13" s="2854"/>
      <c r="VV13" s="2854"/>
      <c r="VW13" s="2854"/>
      <c r="VX13" s="2854"/>
      <c r="VY13" s="2854"/>
      <c r="VZ13" s="2854"/>
      <c r="WA13" s="2854"/>
      <c r="WB13" s="2854"/>
      <c r="WC13" s="2854"/>
      <c r="WD13" s="2854"/>
      <c r="WE13" s="2854"/>
      <c r="WF13" s="2854"/>
      <c r="WG13" s="2854"/>
      <c r="WH13" s="2854"/>
      <c r="WI13" s="2854"/>
      <c r="WJ13" s="2854"/>
      <c r="WK13" s="2854"/>
      <c r="WL13" s="2854"/>
      <c r="WM13" s="2854"/>
      <c r="WN13" s="2854"/>
      <c r="WO13" s="2854"/>
      <c r="WP13" s="2854"/>
      <c r="WQ13" s="2854"/>
      <c r="WR13" s="2854"/>
      <c r="WS13" s="2854"/>
      <c r="WT13" s="2854"/>
      <c r="WU13" s="2854"/>
      <c r="WV13" s="2854"/>
      <c r="WW13" s="2854"/>
      <c r="WX13" s="2854"/>
      <c r="WY13" s="2854"/>
      <c r="WZ13" s="2854"/>
      <c r="XA13" s="2854"/>
      <c r="XB13" s="2854"/>
      <c r="XC13" s="2854"/>
      <c r="XD13" s="2854"/>
      <c r="XE13" s="2854"/>
      <c r="XF13" s="2854"/>
      <c r="XG13" s="2854"/>
      <c r="XH13" s="2854"/>
      <c r="XI13" s="2854"/>
      <c r="XJ13" s="2854"/>
      <c r="XK13" s="2854"/>
      <c r="XL13" s="2854"/>
      <c r="XM13" s="2854"/>
      <c r="XN13" s="2854"/>
      <c r="XO13" s="2854"/>
      <c r="XP13" s="2854"/>
      <c r="XQ13" s="2854"/>
      <c r="XR13" s="2854"/>
      <c r="XS13" s="2854"/>
      <c r="XT13" s="2854"/>
      <c r="XU13" s="2854"/>
      <c r="XV13" s="2854"/>
      <c r="XW13" s="2854"/>
      <c r="XX13" s="2854"/>
      <c r="XY13" s="2854"/>
      <c r="XZ13" s="2854"/>
      <c r="YA13" s="2854"/>
      <c r="YB13" s="2854"/>
      <c r="YC13" s="2854"/>
      <c r="YD13" s="2854"/>
      <c r="YE13" s="2854"/>
      <c r="YF13" s="2854"/>
      <c r="YG13" s="2854"/>
      <c r="YH13" s="2854"/>
      <c r="YI13" s="2854"/>
      <c r="YJ13" s="2854"/>
      <c r="YK13" s="2854"/>
      <c r="YL13" s="2854"/>
      <c r="YM13" s="2854"/>
      <c r="YN13" s="2854"/>
      <c r="YO13" s="2854"/>
      <c r="YP13" s="2854"/>
      <c r="YQ13" s="2854"/>
      <c r="YR13" s="2854"/>
      <c r="YS13" s="2854"/>
      <c r="YT13" s="2854"/>
      <c r="YU13" s="2854"/>
      <c r="YV13" s="2854"/>
      <c r="YW13" s="2854"/>
      <c r="YX13" s="2854"/>
      <c r="YY13" s="2854"/>
      <c r="YZ13" s="2854"/>
      <c r="ZA13" s="2854"/>
      <c r="ZB13" s="2854"/>
      <c r="ZC13" s="2854"/>
      <c r="ZD13" s="2854"/>
      <c r="ZE13" s="2854"/>
      <c r="ZF13" s="2854"/>
      <c r="ZG13" s="2854"/>
      <c r="ZH13" s="2854"/>
      <c r="ZI13" s="2854"/>
      <c r="ZJ13" s="2854"/>
      <c r="ZK13" s="2854"/>
      <c r="ZL13" s="2854"/>
      <c r="ZM13" s="2854"/>
      <c r="ZN13" s="2854"/>
      <c r="ZO13" s="2854"/>
      <c r="ZP13" s="2854"/>
      <c r="ZQ13" s="2854"/>
      <c r="ZR13" s="2854"/>
      <c r="ZS13" s="2854"/>
      <c r="ZT13" s="2854"/>
      <c r="ZU13" s="2854"/>
      <c r="ZV13" s="2854"/>
      <c r="ZW13" s="2854"/>
      <c r="ZX13" s="2854"/>
      <c r="ZY13" s="2854"/>
      <c r="ZZ13" s="2854"/>
      <c r="AAA13" s="2854"/>
      <c r="AAB13" s="2854"/>
      <c r="AAC13" s="2854"/>
      <c r="AAD13" s="2854"/>
      <c r="AAE13" s="2854"/>
      <c r="AAF13" s="2854"/>
      <c r="AAG13" s="2854"/>
      <c r="AAH13" s="2854"/>
      <c r="AAI13" s="2854"/>
      <c r="AAJ13" s="2854"/>
      <c r="AAK13" s="2854"/>
      <c r="AAL13" s="2854"/>
      <c r="AAM13" s="2854"/>
      <c r="AAN13" s="2854"/>
      <c r="AAO13" s="2854"/>
      <c r="AAP13" s="2854"/>
      <c r="AAQ13" s="2854"/>
      <c r="AAR13" s="2854"/>
      <c r="AAS13" s="2854"/>
      <c r="AAT13" s="2854"/>
      <c r="AAU13" s="2854"/>
      <c r="AAV13" s="2854"/>
      <c r="AAW13" s="2854"/>
      <c r="AAX13" s="2854"/>
      <c r="AAY13" s="2854"/>
      <c r="AAZ13" s="2854"/>
      <c r="ABA13" s="2854"/>
      <c r="ABB13" s="2854"/>
      <c r="ABC13" s="2854"/>
      <c r="ABD13" s="2854"/>
      <c r="ABE13" s="2854"/>
      <c r="ABF13" s="2854"/>
      <c r="ABG13" s="2854"/>
      <c r="ABH13" s="2854"/>
      <c r="ABI13" s="2854"/>
      <c r="ABJ13" s="2854"/>
      <c r="ABK13" s="2854"/>
      <c r="ABL13" s="2854"/>
      <c r="ABM13" s="2854"/>
      <c r="ABN13" s="2854"/>
      <c r="ABO13" s="2854"/>
      <c r="ABP13" s="2854"/>
      <c r="ABQ13" s="2854"/>
      <c r="ABR13" s="2854"/>
      <c r="ABS13" s="2854"/>
      <c r="ABT13" s="2854"/>
      <c r="ABU13" s="2854"/>
      <c r="ABV13" s="2854"/>
      <c r="ABW13" s="2854"/>
      <c r="ABX13" s="2854"/>
      <c r="ABY13" s="2854"/>
      <c r="ABZ13" s="2854"/>
      <c r="ACA13" s="2854"/>
      <c r="ACB13" s="2854"/>
      <c r="ACC13" s="2854"/>
      <c r="ACD13" s="2854"/>
      <c r="ACE13" s="2854"/>
      <c r="ACF13" s="2854"/>
      <c r="ACG13" s="2854"/>
      <c r="ACH13" s="2854"/>
      <c r="ACI13" s="2854"/>
      <c r="ACJ13" s="2854"/>
      <c r="ACK13" s="2854"/>
      <c r="ACL13" s="2854"/>
      <c r="ACM13" s="2854"/>
      <c r="ACN13" s="2854"/>
      <c r="ACO13" s="2854"/>
      <c r="ACP13" s="2854"/>
      <c r="ACQ13" s="2854"/>
      <c r="ACR13" s="2854"/>
      <c r="ACS13" s="2854"/>
      <c r="ACT13" s="2854"/>
      <c r="ACU13" s="2854"/>
      <c r="ACV13" s="2854"/>
      <c r="ACW13" s="2854"/>
      <c r="ACX13" s="2854"/>
      <c r="ACY13" s="2854"/>
      <c r="ACZ13" s="2854"/>
      <c r="ADA13" s="2854"/>
      <c r="ADB13" s="2854"/>
      <c r="ADC13" s="2854"/>
      <c r="ADD13" s="2854"/>
      <c r="ADE13" s="2854"/>
      <c r="ADF13" s="2854"/>
      <c r="ADG13" s="2854"/>
      <c r="ADH13" s="2854"/>
      <c r="ADI13" s="2854"/>
      <c r="ADJ13" s="2854"/>
      <c r="ADK13" s="2854"/>
      <c r="ADL13" s="2854"/>
      <c r="ADM13" s="2854"/>
      <c r="ADN13" s="2854"/>
      <c r="ADO13" s="2854"/>
      <c r="ADP13" s="2854"/>
      <c r="ADQ13" s="2854"/>
      <c r="ADR13" s="2854"/>
      <c r="ADS13" s="2854"/>
      <c r="ADT13" s="2854"/>
      <c r="ADU13" s="2854"/>
      <c r="ADV13" s="2854"/>
      <c r="ADW13" s="2854"/>
      <c r="ADX13" s="2854"/>
      <c r="ADY13" s="2854"/>
      <c r="ADZ13" s="2854"/>
      <c r="AEA13" s="2854"/>
      <c r="AEB13" s="2854"/>
      <c r="AEC13" s="2854"/>
      <c r="AED13" s="2854"/>
      <c r="AEE13" s="2854"/>
      <c r="AEF13" s="2854"/>
      <c r="AEG13" s="2854"/>
      <c r="AEH13" s="2854"/>
      <c r="AEI13" s="2854"/>
      <c r="AEJ13" s="2854"/>
      <c r="AEK13" s="2854"/>
      <c r="AEL13" s="2854"/>
      <c r="AEM13" s="2854"/>
      <c r="AEN13" s="2854"/>
      <c r="AEO13" s="2854"/>
      <c r="AEP13" s="2854"/>
      <c r="AEQ13" s="2854"/>
      <c r="AER13" s="2854"/>
      <c r="AES13" s="2854"/>
      <c r="AET13" s="2854"/>
      <c r="AEU13" s="2854"/>
      <c r="AEV13" s="2854"/>
      <c r="AEW13" s="2854"/>
      <c r="AEX13" s="2854"/>
      <c r="AEY13" s="2854"/>
      <c r="AEZ13" s="2854"/>
      <c r="AFA13" s="2854"/>
      <c r="AFB13" s="2854"/>
      <c r="AFC13" s="2854"/>
      <c r="AFD13" s="2854"/>
      <c r="AFE13" s="2854"/>
      <c r="AFF13" s="2854"/>
      <c r="AFG13" s="2854"/>
      <c r="AFH13" s="2854"/>
      <c r="AFI13" s="2854"/>
      <c r="AFJ13" s="2854"/>
      <c r="AFK13" s="2854"/>
      <c r="AFL13" s="2854"/>
      <c r="AFM13" s="2854"/>
      <c r="AFN13" s="2854"/>
      <c r="AFO13" s="2854"/>
      <c r="AFP13" s="2854"/>
      <c r="AFQ13" s="2854"/>
      <c r="AFR13" s="2854"/>
      <c r="AFS13" s="2854"/>
      <c r="AFT13" s="2854"/>
      <c r="AFU13" s="2854"/>
      <c r="AFV13" s="2854"/>
      <c r="AFW13" s="2854"/>
      <c r="AFX13" s="2854"/>
      <c r="AFY13" s="2854"/>
      <c r="AFZ13" s="2854"/>
      <c r="AGA13" s="2854"/>
      <c r="AGB13" s="2854"/>
      <c r="AGC13" s="2854"/>
      <c r="AGD13" s="2854"/>
      <c r="AGE13" s="2854"/>
      <c r="AGF13" s="2854"/>
      <c r="AGG13" s="2854"/>
      <c r="AGH13" s="2854"/>
      <c r="AGI13" s="2854"/>
      <c r="AGJ13" s="2854"/>
      <c r="AGK13" s="2854"/>
      <c r="AGL13" s="2854"/>
      <c r="AGM13" s="2854"/>
      <c r="AGN13" s="2854"/>
      <c r="AGO13" s="2854"/>
      <c r="AGP13" s="2854"/>
      <c r="AGQ13" s="2854"/>
      <c r="AGR13" s="2854"/>
      <c r="AGS13" s="2854"/>
      <c r="AGT13" s="2854"/>
      <c r="AGU13" s="2854"/>
      <c r="AGV13" s="2854"/>
      <c r="AGW13" s="2854"/>
      <c r="AGX13" s="2854"/>
      <c r="AGY13" s="2854"/>
      <c r="AGZ13" s="2854"/>
      <c r="AHA13" s="2854"/>
      <c r="AHB13" s="2854"/>
      <c r="AHC13" s="2854"/>
      <c r="AHD13" s="2854"/>
      <c r="AHE13" s="2854"/>
      <c r="AHF13" s="2854"/>
      <c r="AHG13" s="2854"/>
      <c r="AHH13" s="2854"/>
      <c r="AHI13" s="2854"/>
      <c r="AHJ13" s="2854"/>
      <c r="AHK13" s="2854"/>
      <c r="AHL13" s="2854"/>
      <c r="AHM13" s="2854"/>
      <c r="AHN13" s="2854"/>
      <c r="AHO13" s="2854"/>
      <c r="AHP13" s="2854"/>
      <c r="AHQ13" s="2854"/>
      <c r="AHR13" s="2854"/>
      <c r="AHS13" s="2854"/>
      <c r="AHT13" s="2854"/>
      <c r="AHU13" s="2854"/>
      <c r="AHV13" s="2854"/>
      <c r="AHW13" s="2854"/>
      <c r="AHX13" s="2854"/>
      <c r="AHY13" s="2854"/>
      <c r="AHZ13" s="2854"/>
      <c r="AIA13" s="2854"/>
      <c r="AIB13" s="2854"/>
      <c r="AIC13" s="2854"/>
      <c r="AID13" s="2854"/>
      <c r="AIE13" s="2854"/>
      <c r="AIF13" s="2854"/>
      <c r="AIG13" s="2854"/>
      <c r="AIH13" s="2854"/>
      <c r="AII13" s="2854"/>
      <c r="AIJ13" s="2854"/>
      <c r="AIK13" s="2854"/>
      <c r="AIL13" s="2854"/>
      <c r="AIM13" s="2854"/>
      <c r="AIN13" s="2854"/>
      <c r="AIO13" s="2854"/>
      <c r="AIP13" s="2854"/>
      <c r="AIQ13" s="2854"/>
      <c r="AIR13" s="2854"/>
      <c r="AIS13" s="2854"/>
      <c r="AIT13" s="2854"/>
      <c r="AIU13" s="2854"/>
      <c r="AIV13" s="2854"/>
      <c r="AIW13" s="2854"/>
      <c r="AIX13" s="2854"/>
      <c r="AIY13" s="2854"/>
      <c r="AIZ13" s="2854"/>
      <c r="AJA13" s="2854"/>
      <c r="AJB13" s="2854"/>
      <c r="AJC13" s="2854"/>
      <c r="AJD13" s="2854"/>
      <c r="AJE13" s="2854"/>
      <c r="AJF13" s="2854"/>
      <c r="AJG13" s="2854"/>
      <c r="AJH13" s="2854"/>
      <c r="AJI13" s="2854"/>
      <c r="AJJ13" s="2854"/>
      <c r="AJK13" s="2854"/>
      <c r="AJL13" s="2854"/>
      <c r="AJM13" s="2854"/>
      <c r="AJN13" s="2854"/>
      <c r="AJO13" s="2854"/>
      <c r="AJP13" s="2854"/>
      <c r="AJQ13" s="2854"/>
      <c r="AJR13" s="2854"/>
      <c r="AJS13" s="2854"/>
      <c r="AJT13" s="2854"/>
      <c r="AJU13" s="2854"/>
      <c r="AJV13" s="2854"/>
      <c r="AJW13" s="2854"/>
      <c r="AJX13" s="2854"/>
      <c r="AJY13" s="2854"/>
      <c r="AJZ13" s="2854"/>
      <c r="AKA13" s="2854"/>
      <c r="AKB13" s="2854"/>
      <c r="AKC13" s="2854"/>
      <c r="AKD13" s="2854"/>
      <c r="AKE13" s="2854"/>
      <c r="AKF13" s="2854"/>
      <c r="AKG13" s="2854"/>
      <c r="AKH13" s="2854"/>
      <c r="AKI13" s="2854"/>
      <c r="AKJ13" s="2854"/>
      <c r="AKK13" s="2854"/>
      <c r="AKL13" s="2854"/>
      <c r="AKM13" s="2854"/>
      <c r="AKN13" s="2854"/>
      <c r="AKO13" s="2854"/>
      <c r="AKP13" s="2854"/>
      <c r="AKQ13" s="2854"/>
      <c r="AKR13" s="2854"/>
      <c r="AKS13" s="2854"/>
      <c r="AKT13" s="2854"/>
      <c r="AKU13" s="2854"/>
      <c r="AKV13" s="2854"/>
      <c r="AKW13" s="2854"/>
      <c r="AKX13" s="2854"/>
      <c r="AKY13" s="2854"/>
      <c r="AKZ13" s="2854"/>
      <c r="ALA13" s="2854"/>
      <c r="ALB13" s="2854"/>
      <c r="ALC13" s="2854"/>
      <c r="ALD13" s="2854"/>
      <c r="ALE13" s="2854"/>
      <c r="ALF13" s="2854"/>
      <c r="ALG13" s="2854"/>
      <c r="ALH13" s="2854"/>
      <c r="ALI13" s="2854"/>
      <c r="ALJ13" s="2854"/>
      <c r="ALK13" s="2854"/>
      <c r="ALL13" s="2854"/>
      <c r="ALM13" s="2854"/>
      <c r="ALN13" s="2854"/>
      <c r="ALO13" s="2854"/>
      <c r="ALP13" s="2854"/>
      <c r="ALQ13" s="2854"/>
      <c r="ALR13" s="2854"/>
      <c r="ALS13" s="2854"/>
      <c r="ALT13" s="2854"/>
      <c r="ALU13" s="2854"/>
      <c r="ALV13" s="2854"/>
      <c r="ALW13" s="2854"/>
      <c r="ALX13" s="2854"/>
      <c r="ALY13" s="2854"/>
      <c r="ALZ13" s="2854"/>
      <c r="AMA13" s="2854"/>
      <c r="AMB13" s="2854"/>
      <c r="AMC13" s="2854"/>
      <c r="AMD13" s="2854"/>
      <c r="AME13" s="2854"/>
      <c r="AMF13" s="2854"/>
      <c r="AMG13" s="2854"/>
      <c r="AMH13" s="2854"/>
      <c r="AMI13" s="2854"/>
      <c r="AMJ13" s="2854"/>
      <c r="AMK13" s="2854"/>
      <c r="AML13" s="2854"/>
      <c r="AMM13" s="2854"/>
      <c r="AMN13" s="2854"/>
      <c r="AMO13" s="2854"/>
      <c r="AMP13" s="2854"/>
      <c r="AMQ13" s="2854"/>
      <c r="AMR13" s="2854"/>
      <c r="AMS13" s="2854"/>
      <c r="AMT13" s="2854"/>
      <c r="AMU13" s="2854"/>
      <c r="AMV13" s="2854"/>
      <c r="AMW13" s="2854"/>
      <c r="AMX13" s="2854"/>
      <c r="AMY13" s="2854"/>
      <c r="AMZ13" s="2854"/>
      <c r="ANA13" s="2854"/>
      <c r="ANB13" s="2854"/>
      <c r="ANC13" s="2854"/>
      <c r="AND13" s="2854"/>
      <c r="ANE13" s="2854"/>
      <c r="ANF13" s="2854"/>
      <c r="ANG13" s="2854"/>
      <c r="ANH13" s="2854"/>
      <c r="ANI13" s="2854"/>
      <c r="ANJ13" s="2854"/>
      <c r="ANK13" s="2854"/>
      <c r="ANL13" s="2854"/>
      <c r="ANM13" s="2854"/>
      <c r="ANN13" s="2854"/>
      <c r="ANO13" s="2854"/>
      <c r="ANP13" s="2854"/>
      <c r="ANQ13" s="2854"/>
      <c r="ANR13" s="2854"/>
      <c r="ANS13" s="2854"/>
      <c r="ANT13" s="2854"/>
      <c r="ANU13" s="2854"/>
      <c r="ANV13" s="2854"/>
      <c r="ANW13" s="2854"/>
      <c r="ANX13" s="2854"/>
      <c r="ANY13" s="2854"/>
      <c r="ANZ13" s="2854"/>
      <c r="AOA13" s="2854"/>
      <c r="AOB13" s="2854"/>
      <c r="AOC13" s="2854"/>
      <c r="AOD13" s="2854"/>
      <c r="AOE13" s="2854"/>
      <c r="AOF13" s="2854"/>
      <c r="AOG13" s="2854"/>
      <c r="AOH13" s="2854"/>
      <c r="AOI13" s="2854"/>
      <c r="AOJ13" s="2854"/>
      <c r="AOK13" s="2854"/>
      <c r="AOL13" s="2854"/>
      <c r="AOM13" s="2854"/>
      <c r="AON13" s="2854"/>
      <c r="AOO13" s="2854"/>
      <c r="AOP13" s="2854"/>
      <c r="AOQ13" s="2854"/>
      <c r="AOR13" s="2854"/>
      <c r="AOS13" s="2854"/>
      <c r="AOT13" s="2854"/>
      <c r="AOU13" s="2854"/>
      <c r="AOV13" s="2854"/>
      <c r="AOW13" s="2854"/>
      <c r="AOX13" s="2854"/>
      <c r="AOY13" s="2854"/>
      <c r="AOZ13" s="2854"/>
      <c r="APA13" s="2854"/>
      <c r="APB13" s="2854"/>
      <c r="APC13" s="2854"/>
      <c r="APD13" s="2854"/>
      <c r="APE13" s="2854"/>
      <c r="APF13" s="2854"/>
      <c r="APG13" s="2854"/>
      <c r="APH13" s="2854"/>
      <c r="API13" s="2854"/>
      <c r="APJ13" s="2854"/>
      <c r="APK13" s="2854"/>
      <c r="APL13" s="2854"/>
      <c r="APM13" s="2854"/>
      <c r="APN13" s="2854"/>
      <c r="APO13" s="2854"/>
      <c r="APP13" s="2854"/>
      <c r="APQ13" s="2854"/>
      <c r="APR13" s="2854"/>
      <c r="APS13" s="2854"/>
      <c r="APT13" s="2854"/>
      <c r="APU13" s="2854"/>
      <c r="APV13" s="2854"/>
      <c r="APW13" s="2854"/>
      <c r="APX13" s="2854"/>
      <c r="APY13" s="2854"/>
      <c r="APZ13" s="2854"/>
      <c r="AQA13" s="2854"/>
      <c r="AQB13" s="2854"/>
      <c r="AQC13" s="2854"/>
      <c r="AQD13" s="2854"/>
      <c r="AQE13" s="2854"/>
      <c r="AQF13" s="2854"/>
      <c r="AQG13" s="2854"/>
      <c r="AQH13" s="2854"/>
      <c r="AQI13" s="2854"/>
      <c r="AQJ13" s="2854"/>
      <c r="AQK13" s="2854"/>
      <c r="AQL13" s="2854"/>
      <c r="AQM13" s="2854"/>
      <c r="AQN13" s="2854"/>
      <c r="AQO13" s="2854"/>
      <c r="AQP13" s="2854"/>
      <c r="AQQ13" s="2854"/>
      <c r="AQR13" s="2854"/>
      <c r="AQS13" s="2854"/>
      <c r="AQT13" s="2854"/>
      <c r="AQU13" s="2854"/>
      <c r="AQV13" s="2854"/>
      <c r="AQW13" s="2854"/>
      <c r="AQX13" s="2854"/>
      <c r="AQY13" s="2854"/>
      <c r="AQZ13" s="2854"/>
      <c r="ARA13" s="2854"/>
      <c r="ARB13" s="2854"/>
      <c r="ARC13" s="2854"/>
      <c r="ARD13" s="2854"/>
      <c r="ARE13" s="2854"/>
      <c r="ARF13" s="2854"/>
      <c r="ARG13" s="2854"/>
      <c r="ARH13" s="2854"/>
      <c r="ARI13" s="2854"/>
      <c r="ARJ13" s="2854"/>
      <c r="ARK13" s="2854"/>
      <c r="ARL13" s="2854"/>
      <c r="ARM13" s="2854"/>
      <c r="ARN13" s="2854"/>
      <c r="ARO13" s="2854"/>
      <c r="ARP13" s="2854"/>
      <c r="ARQ13" s="2854"/>
      <c r="ARR13" s="2854"/>
      <c r="ARS13" s="2854"/>
      <c r="ART13" s="2854"/>
      <c r="ARU13" s="2854"/>
      <c r="ARV13" s="2854"/>
      <c r="ARW13" s="2854"/>
      <c r="ARX13" s="2854"/>
      <c r="ARY13" s="2854"/>
      <c r="ARZ13" s="2854"/>
      <c r="ASA13" s="2854"/>
      <c r="ASB13" s="2854"/>
      <c r="ASC13" s="2854"/>
      <c r="ASD13" s="2854"/>
      <c r="ASE13" s="2854"/>
      <c r="ASF13" s="2854"/>
      <c r="ASG13" s="2854"/>
      <c r="ASH13" s="2854"/>
      <c r="ASI13" s="2854"/>
      <c r="ASJ13" s="2854"/>
      <c r="ASK13" s="2854"/>
      <c r="ASL13" s="2854"/>
      <c r="ASM13" s="2854"/>
      <c r="ASN13" s="2854"/>
      <c r="ASO13" s="2854"/>
      <c r="ASP13" s="2854"/>
      <c r="ASQ13" s="2854"/>
      <c r="ASR13" s="2854"/>
      <c r="ASS13" s="2854"/>
      <c r="AST13" s="2854"/>
      <c r="ASU13" s="2854"/>
      <c r="ASV13" s="2854"/>
      <c r="ASW13" s="2854"/>
      <c r="ASX13" s="2854"/>
      <c r="ASY13" s="2854"/>
      <c r="ASZ13" s="2854"/>
      <c r="ATA13" s="2854"/>
      <c r="ATB13" s="2854"/>
      <c r="ATC13" s="2854"/>
      <c r="ATD13" s="2854"/>
      <c r="ATE13" s="2854"/>
      <c r="ATF13" s="2854"/>
      <c r="ATG13" s="2854"/>
      <c r="ATH13" s="2854"/>
      <c r="ATI13" s="2854"/>
      <c r="ATJ13" s="2854"/>
      <c r="ATK13" s="2854"/>
      <c r="ATL13" s="2854"/>
      <c r="ATM13" s="2854"/>
      <c r="ATN13" s="2854"/>
      <c r="ATO13" s="2854"/>
      <c r="ATP13" s="2854"/>
      <c r="ATQ13" s="2854"/>
      <c r="ATR13" s="2854"/>
      <c r="ATS13" s="2854"/>
      <c r="ATT13" s="2854"/>
      <c r="ATU13" s="2854"/>
      <c r="ATV13" s="2854"/>
      <c r="ATW13" s="2854"/>
      <c r="ATX13" s="2854"/>
      <c r="ATY13" s="2854"/>
      <c r="ATZ13" s="2854"/>
      <c r="AUA13" s="2854"/>
      <c r="AUB13" s="2854"/>
      <c r="AUC13" s="2854"/>
      <c r="AUD13" s="2854"/>
      <c r="AUE13" s="2854"/>
      <c r="AUF13" s="2854"/>
      <c r="AUG13" s="2854"/>
      <c r="AUH13" s="2854"/>
      <c r="AUI13" s="2854"/>
      <c r="AUJ13" s="2854"/>
      <c r="AUK13" s="2854"/>
      <c r="AUL13" s="2854"/>
      <c r="AUM13" s="2854"/>
      <c r="AUN13" s="2854"/>
      <c r="AUO13" s="2854"/>
      <c r="AUP13" s="2854"/>
      <c r="AUQ13" s="2854"/>
      <c r="AUR13" s="2854"/>
      <c r="AUS13" s="2854"/>
      <c r="AUT13" s="2854"/>
      <c r="AUU13" s="2854"/>
      <c r="AUV13" s="2854"/>
      <c r="AUW13" s="2854"/>
      <c r="AUX13" s="2854"/>
      <c r="AUY13" s="2854"/>
      <c r="AUZ13" s="2854"/>
      <c r="AVA13" s="2854"/>
      <c r="AVB13" s="2854"/>
      <c r="AVC13" s="2854"/>
      <c r="AVD13" s="2854"/>
      <c r="AVE13" s="2854"/>
      <c r="AVF13" s="2854"/>
      <c r="AVG13" s="2854"/>
      <c r="AVH13" s="2854"/>
      <c r="AVI13" s="2854"/>
      <c r="AVJ13" s="2854"/>
      <c r="AVK13" s="2854"/>
      <c r="AVL13" s="2854"/>
      <c r="AVM13" s="2854"/>
      <c r="AVN13" s="2854"/>
      <c r="AVO13" s="2854"/>
      <c r="AVP13" s="2854"/>
      <c r="AVQ13" s="2854"/>
      <c r="AVR13" s="2854"/>
      <c r="AVS13" s="2854"/>
      <c r="AVT13" s="2854"/>
      <c r="AVU13" s="2854"/>
      <c r="AVV13" s="2854"/>
      <c r="AVW13" s="2854"/>
      <c r="AVX13" s="2854"/>
      <c r="AVY13" s="2854"/>
      <c r="AVZ13" s="2854"/>
      <c r="AWA13" s="2854"/>
      <c r="AWB13" s="2854"/>
      <c r="AWC13" s="2854"/>
      <c r="AWD13" s="2854"/>
      <c r="AWE13" s="2854"/>
      <c r="AWF13" s="2854"/>
      <c r="AWG13" s="2854"/>
      <c r="AWH13" s="2854"/>
      <c r="AWI13" s="2854"/>
      <c r="AWJ13" s="2854"/>
      <c r="AWK13" s="2854"/>
      <c r="AWL13" s="2854"/>
      <c r="AWM13" s="2854"/>
      <c r="AWN13" s="2854"/>
      <c r="AWO13" s="2854"/>
      <c r="AWP13" s="2854"/>
      <c r="AWQ13" s="2854"/>
      <c r="AWR13" s="2854"/>
      <c r="AWS13" s="2854"/>
      <c r="AWT13" s="2854"/>
      <c r="AWU13" s="2854"/>
      <c r="AWV13" s="2854"/>
      <c r="AWW13" s="2854"/>
      <c r="AWX13" s="2854"/>
      <c r="AWY13" s="2854"/>
      <c r="AWZ13" s="2854"/>
      <c r="AXA13" s="2854"/>
      <c r="AXB13" s="2854"/>
      <c r="AXC13" s="2854"/>
      <c r="AXD13" s="2854"/>
      <c r="AXE13" s="2854"/>
      <c r="AXF13" s="2854"/>
      <c r="AXG13" s="2854"/>
      <c r="AXH13" s="2854"/>
      <c r="AXI13" s="2854"/>
      <c r="AXJ13" s="2854"/>
      <c r="AXK13" s="2854"/>
      <c r="AXL13" s="2854"/>
      <c r="AXM13" s="2854"/>
      <c r="AXN13" s="2854"/>
      <c r="AXO13" s="2854"/>
      <c r="AXP13" s="2854"/>
      <c r="AXQ13" s="2854"/>
      <c r="AXR13" s="2854"/>
      <c r="AXS13" s="2854"/>
      <c r="AXT13" s="2854"/>
      <c r="AXU13" s="2854"/>
      <c r="AXV13" s="2854"/>
      <c r="AXW13" s="2854"/>
      <c r="AXX13" s="2854"/>
      <c r="AXY13" s="2854"/>
      <c r="AXZ13" s="2854"/>
      <c r="AYA13" s="2854"/>
      <c r="AYB13" s="2854"/>
      <c r="AYC13" s="2854"/>
      <c r="AYD13" s="2854"/>
      <c r="AYE13" s="2854"/>
      <c r="AYF13" s="2854"/>
      <c r="AYG13" s="2854"/>
      <c r="AYH13" s="2854"/>
      <c r="AYI13" s="2854"/>
      <c r="AYJ13" s="2854"/>
      <c r="AYK13" s="2854"/>
      <c r="AYL13" s="2854"/>
      <c r="AYM13" s="2854"/>
      <c r="AYN13" s="2854"/>
      <c r="AYO13" s="2854"/>
      <c r="AYP13" s="2854"/>
      <c r="AYQ13" s="2854"/>
      <c r="AYR13" s="2854"/>
      <c r="AYS13" s="2854"/>
      <c r="AYT13" s="2854"/>
      <c r="AYU13" s="2854"/>
      <c r="AYV13" s="2854"/>
      <c r="AYW13" s="2854"/>
      <c r="AYX13" s="2854"/>
      <c r="AYY13" s="2854"/>
      <c r="AYZ13" s="2854"/>
      <c r="AZA13" s="2854"/>
      <c r="AZB13" s="2854"/>
      <c r="AZC13" s="2854"/>
      <c r="AZD13" s="2854"/>
      <c r="AZE13" s="2854"/>
      <c r="AZF13" s="2854"/>
      <c r="AZG13" s="2854"/>
      <c r="AZH13" s="2854"/>
      <c r="AZI13" s="2854"/>
      <c r="AZJ13" s="2854"/>
      <c r="AZK13" s="2854"/>
      <c r="AZL13" s="2854"/>
      <c r="AZM13" s="2854"/>
      <c r="AZN13" s="2854"/>
      <c r="AZO13" s="2854"/>
      <c r="AZP13" s="2854"/>
      <c r="AZQ13" s="2854"/>
      <c r="AZR13" s="2854"/>
      <c r="AZS13" s="2854"/>
      <c r="AZT13" s="2854"/>
      <c r="AZU13" s="2854"/>
      <c r="AZV13" s="2854"/>
      <c r="AZW13" s="2854"/>
      <c r="AZX13" s="2854"/>
      <c r="AZY13" s="2854"/>
      <c r="AZZ13" s="2854"/>
      <c r="BAA13" s="2854"/>
      <c r="BAB13" s="2854"/>
      <c r="BAC13" s="2854"/>
      <c r="BAD13" s="2854"/>
      <c r="BAE13" s="2854"/>
      <c r="BAF13" s="2854"/>
      <c r="BAG13" s="2854"/>
      <c r="BAH13" s="2854"/>
      <c r="BAI13" s="2854"/>
      <c r="BAJ13" s="2854"/>
      <c r="BAK13" s="2854"/>
      <c r="BAL13" s="2854"/>
      <c r="BAM13" s="2854"/>
      <c r="BAN13" s="2854"/>
      <c r="BAO13" s="2854"/>
      <c r="BAP13" s="2854"/>
      <c r="BAQ13" s="2854"/>
      <c r="BAR13" s="2854"/>
      <c r="BAS13" s="2854"/>
      <c r="BAT13" s="2854"/>
      <c r="BAU13" s="2854"/>
      <c r="BAV13" s="2854"/>
      <c r="BAW13" s="2854"/>
      <c r="BAX13" s="2854"/>
      <c r="BAY13" s="2854"/>
      <c r="BAZ13" s="2854"/>
      <c r="BBA13" s="2854"/>
      <c r="BBB13" s="2854"/>
      <c r="BBC13" s="2854"/>
      <c r="BBD13" s="2854"/>
      <c r="BBE13" s="2854"/>
      <c r="BBF13" s="2854"/>
      <c r="BBG13" s="2854"/>
      <c r="BBH13" s="2854"/>
      <c r="BBI13" s="2854"/>
      <c r="BBJ13" s="2854"/>
      <c r="BBK13" s="2854"/>
      <c r="BBL13" s="2854"/>
      <c r="BBM13" s="2854"/>
      <c r="BBN13" s="2854"/>
      <c r="BBO13" s="2854"/>
      <c r="BBP13" s="2854"/>
      <c r="BBQ13" s="2854"/>
      <c r="BBR13" s="2854"/>
      <c r="BBS13" s="2854"/>
      <c r="BBT13" s="2854"/>
      <c r="BBU13" s="2854"/>
      <c r="BBV13" s="2854"/>
      <c r="BBW13" s="2854"/>
      <c r="BBX13" s="2854"/>
      <c r="BBY13" s="2854"/>
      <c r="BBZ13" s="2854"/>
      <c r="BCA13" s="2854"/>
      <c r="BCB13" s="2854"/>
      <c r="BCC13" s="2854"/>
      <c r="BCD13" s="2854"/>
      <c r="BCE13" s="2854"/>
      <c r="BCF13" s="2854"/>
      <c r="BCG13" s="2854"/>
      <c r="BCH13" s="2854"/>
      <c r="BCI13" s="2854"/>
      <c r="BCJ13" s="2854"/>
      <c r="BCK13" s="2854"/>
      <c r="BCL13" s="2854"/>
      <c r="BCM13" s="2854"/>
      <c r="BCN13" s="2854"/>
      <c r="BCO13" s="2854"/>
      <c r="BCP13" s="2854"/>
      <c r="BCQ13" s="2854"/>
      <c r="BCR13" s="2854"/>
      <c r="BCS13" s="2854"/>
      <c r="BCT13" s="2854"/>
      <c r="BCU13" s="2854"/>
      <c r="BCV13" s="2854"/>
      <c r="BCW13" s="2854"/>
      <c r="BCX13" s="2854"/>
      <c r="BCY13" s="2854"/>
      <c r="BCZ13" s="2854"/>
      <c r="BDA13" s="2854"/>
      <c r="BDB13" s="2854"/>
      <c r="BDC13" s="2854"/>
      <c r="BDD13" s="2854"/>
      <c r="BDE13" s="2854"/>
      <c r="BDF13" s="2854"/>
      <c r="BDG13" s="2854"/>
      <c r="BDH13" s="2854"/>
      <c r="BDI13" s="2854"/>
      <c r="BDJ13" s="2854"/>
      <c r="BDK13" s="2854"/>
      <c r="BDL13" s="2854"/>
      <c r="BDM13" s="2854"/>
      <c r="BDN13" s="2854"/>
      <c r="BDO13" s="2854"/>
      <c r="BDP13" s="2854"/>
      <c r="BDQ13" s="2854"/>
      <c r="BDR13" s="2854"/>
      <c r="BDS13" s="2854"/>
      <c r="BDT13" s="2854"/>
      <c r="BDU13" s="2854"/>
      <c r="BDV13" s="2854"/>
      <c r="BDW13" s="2854"/>
      <c r="BDX13" s="2854"/>
      <c r="BDY13" s="2854"/>
      <c r="BDZ13" s="2854"/>
      <c r="BEA13" s="2854"/>
      <c r="BEB13" s="2854"/>
      <c r="BEC13" s="2854"/>
      <c r="BED13" s="2854"/>
      <c r="BEE13" s="2854"/>
      <c r="BEF13" s="2854"/>
      <c r="BEG13" s="2854"/>
      <c r="BEH13" s="2854"/>
      <c r="BEI13" s="2854"/>
      <c r="BEJ13" s="2854"/>
      <c r="BEK13" s="2854"/>
      <c r="BEL13" s="2854"/>
      <c r="BEM13" s="2854"/>
      <c r="BEN13" s="2854"/>
      <c r="BEO13" s="2854"/>
      <c r="BEP13" s="2854"/>
      <c r="BEQ13" s="2854"/>
      <c r="BER13" s="2854"/>
      <c r="BES13" s="2854"/>
      <c r="BET13" s="2854"/>
      <c r="BEU13" s="2854"/>
      <c r="BEV13" s="2854"/>
      <c r="BEW13" s="2854"/>
      <c r="BEX13" s="2854"/>
      <c r="BEY13" s="2854"/>
      <c r="BEZ13" s="2854"/>
      <c r="BFA13" s="2854"/>
      <c r="BFB13" s="2854"/>
      <c r="BFC13" s="2854"/>
      <c r="BFD13" s="2854"/>
      <c r="BFE13" s="2854"/>
      <c r="BFF13" s="2854"/>
      <c r="BFG13" s="2854"/>
      <c r="BFH13" s="2854"/>
      <c r="BFI13" s="2854"/>
      <c r="BFJ13" s="2854"/>
      <c r="BFK13" s="2854"/>
      <c r="BFL13" s="2854"/>
      <c r="BFM13" s="2854"/>
      <c r="BFN13" s="2854"/>
      <c r="BFO13" s="2854"/>
      <c r="BFP13" s="2854"/>
      <c r="BFQ13" s="2854"/>
      <c r="BFR13" s="2854"/>
      <c r="BFS13" s="2854"/>
      <c r="BFT13" s="2854"/>
      <c r="BFU13" s="2854"/>
      <c r="BFV13" s="2854"/>
      <c r="BFW13" s="2854"/>
      <c r="BFX13" s="2854"/>
      <c r="BFY13" s="2854"/>
      <c r="BFZ13" s="2854"/>
      <c r="BGA13" s="2854"/>
      <c r="BGB13" s="2854"/>
      <c r="BGC13" s="2854"/>
      <c r="BGD13" s="2854"/>
      <c r="BGE13" s="2854"/>
      <c r="BGF13" s="2854"/>
      <c r="BGG13" s="2854"/>
      <c r="BGH13" s="2854"/>
      <c r="BGI13" s="2854"/>
      <c r="BGJ13" s="2854"/>
      <c r="BGK13" s="2854"/>
      <c r="BGL13" s="2854"/>
      <c r="BGM13" s="2854"/>
      <c r="BGN13" s="2854"/>
      <c r="BGO13" s="2854"/>
      <c r="BGP13" s="2854"/>
      <c r="BGQ13" s="2854"/>
      <c r="BGR13" s="2854"/>
      <c r="BGS13" s="2854"/>
      <c r="BGT13" s="2854"/>
      <c r="BGU13" s="2854"/>
      <c r="BGV13" s="2854"/>
      <c r="BGW13" s="2854"/>
      <c r="BGX13" s="2854"/>
      <c r="BGY13" s="2854"/>
      <c r="BGZ13" s="2854"/>
      <c r="BHA13" s="2854"/>
      <c r="BHB13" s="2854"/>
      <c r="BHC13" s="2854"/>
      <c r="BHD13" s="2854"/>
      <c r="BHE13" s="2854"/>
      <c r="BHF13" s="2854"/>
      <c r="BHG13" s="2854"/>
      <c r="BHH13" s="2854"/>
      <c r="BHI13" s="2854"/>
      <c r="BHJ13" s="2854"/>
      <c r="BHK13" s="2854"/>
      <c r="BHL13" s="2854"/>
      <c r="BHM13" s="2854"/>
      <c r="BHN13" s="2854"/>
      <c r="BHO13" s="2854"/>
      <c r="BHP13" s="2854"/>
      <c r="BHQ13" s="2854"/>
      <c r="BHR13" s="2854"/>
      <c r="BHS13" s="2854"/>
      <c r="BHT13" s="2854"/>
      <c r="BHU13" s="2854"/>
      <c r="BHV13" s="2854"/>
      <c r="BHW13" s="2854"/>
      <c r="BHX13" s="2854"/>
      <c r="BHY13" s="2854"/>
      <c r="BHZ13" s="2854"/>
      <c r="BIA13" s="2854"/>
      <c r="BIB13" s="2854"/>
      <c r="BIC13" s="2854"/>
      <c r="BID13" s="2854"/>
      <c r="BIE13" s="2854"/>
      <c r="BIF13" s="2854"/>
      <c r="BIG13" s="2854"/>
      <c r="BIH13" s="2854"/>
      <c r="BII13" s="2854"/>
      <c r="BIJ13" s="2854"/>
      <c r="BIK13" s="2854"/>
      <c r="BIL13" s="2854"/>
      <c r="BIM13" s="2854"/>
      <c r="BIN13" s="2854"/>
      <c r="BIO13" s="2854"/>
      <c r="BIP13" s="2854"/>
      <c r="BIQ13" s="2854"/>
      <c r="BIR13" s="2854"/>
      <c r="BIS13" s="2854"/>
      <c r="BIT13" s="2854"/>
      <c r="BIU13" s="2854"/>
      <c r="BIV13" s="2854"/>
      <c r="BIW13" s="2854"/>
      <c r="BIX13" s="2854"/>
      <c r="BIY13" s="2854"/>
      <c r="BIZ13" s="2854"/>
      <c r="BJA13" s="2854"/>
      <c r="BJB13" s="2854"/>
      <c r="BJC13" s="2854"/>
      <c r="BJD13" s="2854"/>
      <c r="BJE13" s="2854"/>
      <c r="BJF13" s="2854"/>
      <c r="BJG13" s="2854"/>
      <c r="BJH13" s="2854"/>
      <c r="BJI13" s="2854"/>
      <c r="BJJ13" s="2854"/>
      <c r="BJK13" s="2854"/>
      <c r="BJL13" s="2854"/>
      <c r="BJM13" s="2854"/>
      <c r="BJN13" s="2854"/>
      <c r="BJO13" s="2854"/>
      <c r="BJP13" s="2854"/>
      <c r="BJQ13" s="2854"/>
      <c r="BJR13" s="2854"/>
      <c r="BJS13" s="2854"/>
      <c r="BJT13" s="2854"/>
      <c r="BJU13" s="2854"/>
      <c r="BJV13" s="2854"/>
      <c r="BJW13" s="2854"/>
      <c r="BJX13" s="2854"/>
      <c r="BJY13" s="2854"/>
      <c r="BJZ13" s="2854"/>
      <c r="BKA13" s="2854"/>
      <c r="BKB13" s="2854"/>
      <c r="BKC13" s="2854"/>
      <c r="BKD13" s="2854"/>
      <c r="BKE13" s="2854"/>
      <c r="BKF13" s="2854"/>
      <c r="BKG13" s="2854"/>
      <c r="BKH13" s="2854"/>
      <c r="BKI13" s="2854"/>
      <c r="BKJ13" s="2854"/>
      <c r="BKK13" s="2854"/>
      <c r="BKL13" s="2854"/>
      <c r="BKM13" s="2854"/>
      <c r="BKN13" s="2854"/>
      <c r="BKO13" s="2854"/>
      <c r="BKP13" s="2854"/>
      <c r="BKQ13" s="2854"/>
      <c r="BKR13" s="2854"/>
      <c r="BKS13" s="2854"/>
      <c r="BKT13" s="2854"/>
      <c r="BKU13" s="2854"/>
      <c r="BKV13" s="2854"/>
      <c r="BKW13" s="2854"/>
      <c r="BKX13" s="2854"/>
      <c r="BKY13" s="2854"/>
      <c r="BKZ13" s="2854"/>
      <c r="BLA13" s="2854"/>
      <c r="BLB13" s="2854"/>
      <c r="BLC13" s="2854"/>
      <c r="BLD13" s="2854"/>
      <c r="BLE13" s="2854"/>
      <c r="BLF13" s="2854"/>
      <c r="BLG13" s="2854"/>
      <c r="BLH13" s="2854"/>
      <c r="BLI13" s="2854"/>
      <c r="BLJ13" s="2854"/>
      <c r="BLK13" s="2854"/>
      <c r="BLL13" s="2854"/>
      <c r="BLM13" s="2854"/>
      <c r="BLN13" s="2854"/>
      <c r="BLO13" s="2854"/>
      <c r="BLP13" s="2854"/>
      <c r="BLQ13" s="2854"/>
      <c r="BLR13" s="2854"/>
      <c r="BLS13" s="2854"/>
      <c r="BLT13" s="2854"/>
      <c r="BLU13" s="2854"/>
      <c r="BLV13" s="2854"/>
      <c r="BLW13" s="2854"/>
      <c r="BLX13" s="2854"/>
      <c r="BLY13" s="2854"/>
      <c r="BLZ13" s="2854"/>
      <c r="BMA13" s="2854"/>
      <c r="BMB13" s="2854"/>
      <c r="BMC13" s="2854"/>
      <c r="BMD13" s="2854"/>
      <c r="BME13" s="2854"/>
      <c r="BMF13" s="2854"/>
      <c r="BMG13" s="2854"/>
      <c r="BMH13" s="2854"/>
      <c r="BMI13" s="2854"/>
      <c r="BMJ13" s="2854"/>
      <c r="BMK13" s="2854"/>
      <c r="BML13" s="2854"/>
      <c r="BMM13" s="2854"/>
      <c r="BMN13" s="2854"/>
      <c r="BMO13" s="2854"/>
      <c r="BMP13" s="2854"/>
      <c r="BMQ13" s="2854"/>
      <c r="BMR13" s="2854"/>
      <c r="BMS13" s="2854"/>
      <c r="BMT13" s="2854"/>
      <c r="BMU13" s="2854"/>
      <c r="BMV13" s="2854"/>
      <c r="BMW13" s="2854"/>
      <c r="BMX13" s="2854"/>
      <c r="BMY13" s="2854"/>
      <c r="BMZ13" s="2854"/>
      <c r="BNA13" s="2854"/>
      <c r="BNB13" s="2854"/>
      <c r="BNC13" s="2854"/>
      <c r="BND13" s="2854"/>
      <c r="BNE13" s="2854"/>
      <c r="BNF13" s="2854"/>
      <c r="BNG13" s="2854"/>
      <c r="BNH13" s="2854"/>
      <c r="BNI13" s="2854"/>
      <c r="BNJ13" s="2854"/>
      <c r="BNK13" s="2854"/>
      <c r="BNL13" s="2854"/>
      <c r="BNM13" s="2854"/>
      <c r="BNN13" s="2854"/>
      <c r="BNO13" s="2854"/>
      <c r="BNP13" s="2854"/>
      <c r="BNQ13" s="2854"/>
      <c r="BNR13" s="2854"/>
      <c r="BNS13" s="2854"/>
      <c r="BNT13" s="2854"/>
      <c r="BNU13" s="2854"/>
      <c r="BNV13" s="2854"/>
      <c r="BNW13" s="2854"/>
      <c r="BNX13" s="2854"/>
      <c r="BNY13" s="2854"/>
      <c r="BNZ13" s="2854"/>
      <c r="BOA13" s="2854"/>
      <c r="BOB13" s="2854"/>
      <c r="BOC13" s="2854"/>
      <c r="BOD13" s="2854"/>
      <c r="BOE13" s="2854"/>
      <c r="BOF13" s="2854"/>
      <c r="BOG13" s="2854"/>
      <c r="BOH13" s="2854"/>
      <c r="BOI13" s="2854"/>
      <c r="BOJ13" s="2854"/>
      <c r="BOK13" s="2854"/>
      <c r="BOL13" s="2854"/>
      <c r="BOM13" s="2854"/>
      <c r="BON13" s="2854"/>
      <c r="BOO13" s="2854"/>
      <c r="BOP13" s="2854"/>
      <c r="BOQ13" s="2854"/>
      <c r="BOR13" s="2854"/>
      <c r="BOS13" s="2854"/>
      <c r="BOT13" s="2854"/>
      <c r="BOU13" s="2854"/>
      <c r="BOV13" s="2854"/>
      <c r="BOW13" s="2854"/>
      <c r="BOX13" s="2854"/>
      <c r="BOY13" s="2854"/>
      <c r="BOZ13" s="2854"/>
      <c r="BPA13" s="2854"/>
      <c r="BPB13" s="2854"/>
      <c r="BPC13" s="2854"/>
      <c r="BPD13" s="2854"/>
      <c r="BPE13" s="2854"/>
      <c r="BPF13" s="2854"/>
      <c r="BPG13" s="2854"/>
      <c r="BPH13" s="2854"/>
      <c r="BPI13" s="2854"/>
      <c r="BPJ13" s="2854"/>
      <c r="BPK13" s="2854"/>
      <c r="BPL13" s="2854"/>
      <c r="BPM13" s="2854"/>
      <c r="BPN13" s="2854"/>
      <c r="BPO13" s="2854"/>
      <c r="BPP13" s="2854"/>
      <c r="BPQ13" s="2854"/>
      <c r="BPR13" s="2854"/>
      <c r="BPS13" s="2854"/>
      <c r="BPT13" s="2854"/>
      <c r="BPU13" s="2854"/>
      <c r="BPV13" s="2854"/>
      <c r="BPW13" s="2854"/>
      <c r="BPX13" s="2854"/>
      <c r="BPY13" s="2854"/>
      <c r="BPZ13" s="2854"/>
      <c r="BQA13" s="2854"/>
      <c r="BQB13" s="2854"/>
      <c r="BQC13" s="2854"/>
      <c r="BQD13" s="2854"/>
      <c r="BQE13" s="2854"/>
      <c r="BQF13" s="2854"/>
      <c r="BQG13" s="2854"/>
      <c r="BQH13" s="2854"/>
      <c r="BQI13" s="2854"/>
      <c r="BQJ13" s="2854"/>
      <c r="BQK13" s="2854"/>
      <c r="BQL13" s="2854"/>
      <c r="BQM13" s="2854"/>
      <c r="BQN13" s="2854"/>
      <c r="BQO13" s="2854"/>
      <c r="BQP13" s="2854"/>
      <c r="BQQ13" s="2854"/>
      <c r="BQR13" s="2854"/>
      <c r="BQS13" s="2854"/>
      <c r="BQT13" s="2854"/>
      <c r="BQU13" s="2854"/>
      <c r="BQV13" s="2854"/>
      <c r="BQW13" s="2854"/>
      <c r="BQX13" s="2854"/>
      <c r="BQY13" s="2854"/>
      <c r="BQZ13" s="2854"/>
      <c r="BRA13" s="2854"/>
      <c r="BRB13" s="2854"/>
      <c r="BRC13" s="2854"/>
      <c r="BRD13" s="2854"/>
      <c r="BRE13" s="2854"/>
      <c r="BRF13" s="2854"/>
      <c r="BRG13" s="2854"/>
      <c r="BRH13" s="2854"/>
      <c r="BRI13" s="2854"/>
      <c r="BRJ13" s="2854"/>
      <c r="BRK13" s="2854"/>
      <c r="BRL13" s="2854"/>
      <c r="BRM13" s="2854"/>
      <c r="BRN13" s="2854"/>
      <c r="BRO13" s="2854"/>
      <c r="BRP13" s="2854"/>
      <c r="BRQ13" s="2854"/>
      <c r="BRR13" s="2854"/>
      <c r="BRS13" s="2854"/>
      <c r="BRT13" s="2854"/>
      <c r="BRU13" s="2854"/>
      <c r="BRV13" s="2854"/>
      <c r="BRW13" s="2854"/>
      <c r="BRX13" s="2854"/>
      <c r="BRY13" s="2854"/>
      <c r="BRZ13" s="2854"/>
      <c r="BSA13" s="2854"/>
      <c r="BSB13" s="2854"/>
      <c r="BSC13" s="2854"/>
      <c r="BSD13" s="2854"/>
      <c r="BSE13" s="2854"/>
      <c r="BSF13" s="2854"/>
      <c r="BSG13" s="2854"/>
      <c r="BSH13" s="2854"/>
      <c r="BSI13" s="2854"/>
      <c r="BSJ13" s="2854"/>
      <c r="BSK13" s="2854"/>
      <c r="BSL13" s="2854"/>
      <c r="BSM13" s="2854"/>
      <c r="BSN13" s="2854"/>
      <c r="BSO13" s="2854"/>
      <c r="BSP13" s="2854"/>
      <c r="BSQ13" s="2854"/>
      <c r="BSR13" s="2854"/>
      <c r="BSS13" s="2854"/>
      <c r="BST13" s="2854"/>
      <c r="BSU13" s="2854"/>
      <c r="BSV13" s="2854"/>
      <c r="BSW13" s="2854"/>
      <c r="BSX13" s="2854"/>
      <c r="BSY13" s="2854"/>
      <c r="BSZ13" s="2854"/>
      <c r="BTA13" s="2854"/>
      <c r="BTB13" s="2854"/>
      <c r="BTC13" s="2854"/>
      <c r="BTD13" s="2854"/>
      <c r="BTE13" s="2854"/>
      <c r="BTF13" s="2854"/>
      <c r="BTG13" s="2854"/>
      <c r="BTH13" s="2854"/>
      <c r="BTI13" s="2854"/>
      <c r="BTJ13" s="2854"/>
      <c r="BTK13" s="2854"/>
      <c r="BTL13" s="2854"/>
      <c r="BTM13" s="2854"/>
      <c r="BTN13" s="2854"/>
      <c r="BTO13" s="2854"/>
      <c r="BTP13" s="2854"/>
      <c r="BTQ13" s="2854"/>
      <c r="BTR13" s="2854"/>
      <c r="BTS13" s="2854"/>
      <c r="BTT13" s="2854"/>
      <c r="BTU13" s="2854"/>
      <c r="BTV13" s="2854"/>
      <c r="BTW13" s="2854"/>
      <c r="BTX13" s="2854"/>
      <c r="BTY13" s="2854"/>
      <c r="BTZ13" s="2854"/>
      <c r="BUA13" s="2854"/>
      <c r="BUB13" s="2854"/>
      <c r="BUC13" s="2854"/>
      <c r="BUD13" s="2854"/>
      <c r="BUE13" s="2854"/>
      <c r="BUF13" s="2854"/>
      <c r="BUG13" s="2854"/>
      <c r="BUH13" s="2854"/>
      <c r="BUI13" s="2854"/>
      <c r="BUJ13" s="2854"/>
      <c r="BUK13" s="2854"/>
      <c r="BUL13" s="2854"/>
      <c r="BUM13" s="2854"/>
      <c r="BUN13" s="2854"/>
      <c r="BUO13" s="2854"/>
      <c r="BUP13" s="2854"/>
      <c r="BUQ13" s="2854"/>
      <c r="BUR13" s="2854"/>
      <c r="BUS13" s="2854"/>
      <c r="BUT13" s="2854"/>
      <c r="BUU13" s="2854"/>
      <c r="BUV13" s="2854"/>
      <c r="BUW13" s="2854"/>
      <c r="BUX13" s="2854"/>
      <c r="BUY13" s="2854"/>
      <c r="BUZ13" s="2854"/>
      <c r="BVA13" s="2854"/>
      <c r="BVB13" s="2854"/>
      <c r="BVC13" s="2854"/>
      <c r="BVD13" s="2854"/>
      <c r="BVE13" s="2854"/>
      <c r="BVF13" s="2854"/>
      <c r="BVG13" s="2854"/>
      <c r="BVH13" s="2854"/>
      <c r="BVI13" s="2854"/>
      <c r="BVJ13" s="2854"/>
      <c r="BVK13" s="2854"/>
      <c r="BVL13" s="2854"/>
      <c r="BVM13" s="2854"/>
      <c r="BVN13" s="2854"/>
      <c r="BVO13" s="2854"/>
      <c r="BVP13" s="2854"/>
      <c r="BVQ13" s="2854"/>
      <c r="BVR13" s="2854"/>
      <c r="BVS13" s="2854"/>
      <c r="BVT13" s="2854"/>
      <c r="BVU13" s="2854"/>
      <c r="BVV13" s="2854"/>
      <c r="BVW13" s="2854"/>
      <c r="BVX13" s="2854"/>
      <c r="BVY13" s="2854"/>
      <c r="BVZ13" s="2854"/>
      <c r="BWA13" s="2854"/>
      <c r="BWB13" s="2854"/>
      <c r="BWC13" s="2854"/>
      <c r="BWD13" s="2854"/>
      <c r="BWE13" s="2854"/>
      <c r="BWF13" s="2854"/>
      <c r="BWG13" s="2854"/>
      <c r="BWH13" s="2854"/>
      <c r="BWI13" s="2854"/>
      <c r="BWJ13" s="2854"/>
      <c r="BWK13" s="2854"/>
      <c r="BWL13" s="2854"/>
      <c r="BWM13" s="2854"/>
      <c r="BWN13" s="2854"/>
      <c r="BWO13" s="2854"/>
      <c r="BWP13" s="2854"/>
      <c r="BWQ13" s="2854"/>
      <c r="BWR13" s="2854"/>
      <c r="BWS13" s="2854"/>
      <c r="BWT13" s="2854"/>
      <c r="BWU13" s="2854"/>
      <c r="BWV13" s="2854"/>
      <c r="BWW13" s="2854"/>
      <c r="BWX13" s="2854"/>
      <c r="BWY13" s="2854"/>
      <c r="BWZ13" s="2854"/>
      <c r="BXA13" s="2854"/>
      <c r="BXB13" s="2854"/>
      <c r="BXC13" s="2854"/>
      <c r="BXD13" s="2854"/>
      <c r="BXE13" s="2854"/>
      <c r="BXF13" s="2854"/>
      <c r="BXG13" s="2854"/>
      <c r="BXH13" s="2854"/>
      <c r="BXI13" s="2854"/>
      <c r="BXJ13" s="2854"/>
      <c r="BXK13" s="2854"/>
      <c r="BXL13" s="2854"/>
      <c r="BXM13" s="2854"/>
      <c r="BXN13" s="2854"/>
      <c r="BXO13" s="2854"/>
      <c r="BXP13" s="2854"/>
      <c r="BXQ13" s="2854"/>
      <c r="BXR13" s="2854"/>
      <c r="BXS13" s="2854"/>
      <c r="BXT13" s="2854"/>
      <c r="BXU13" s="2854"/>
      <c r="BXV13" s="2854"/>
      <c r="BXW13" s="2854"/>
      <c r="BXX13" s="2854"/>
      <c r="BXY13" s="2854"/>
      <c r="BXZ13" s="2854"/>
      <c r="BYA13" s="2854"/>
      <c r="BYB13" s="2854"/>
      <c r="BYC13" s="2854"/>
      <c r="BYD13" s="2854"/>
      <c r="BYE13" s="2854"/>
      <c r="BYF13" s="2854"/>
      <c r="BYG13" s="2854"/>
      <c r="BYH13" s="2854"/>
      <c r="BYI13" s="2854"/>
      <c r="BYJ13" s="2854"/>
      <c r="BYK13" s="2854"/>
      <c r="BYL13" s="2854"/>
      <c r="BYM13" s="2854"/>
      <c r="BYN13" s="2854"/>
      <c r="BYO13" s="2854"/>
      <c r="BYP13" s="2854"/>
      <c r="BYQ13" s="2854"/>
      <c r="BYR13" s="2854"/>
      <c r="BYS13" s="2854"/>
      <c r="BYT13" s="2854"/>
      <c r="BYU13" s="2854"/>
      <c r="BYV13" s="2854"/>
      <c r="BYW13" s="2854"/>
      <c r="BYX13" s="2854"/>
      <c r="BYY13" s="2854"/>
      <c r="BYZ13" s="2854"/>
      <c r="BZA13" s="2854"/>
      <c r="BZB13" s="2854"/>
      <c r="BZC13" s="2854"/>
      <c r="BZD13" s="2854"/>
      <c r="BZE13" s="2854"/>
      <c r="BZF13" s="2854"/>
      <c r="BZG13" s="2854"/>
      <c r="BZH13" s="2854"/>
      <c r="BZI13" s="2854"/>
      <c r="BZJ13" s="2854"/>
      <c r="BZK13" s="2854"/>
      <c r="BZL13" s="2854"/>
      <c r="BZM13" s="2854"/>
      <c r="BZN13" s="2854"/>
      <c r="BZO13" s="2854"/>
      <c r="BZP13" s="2854"/>
      <c r="BZQ13" s="2854"/>
      <c r="BZR13" s="2854"/>
      <c r="BZS13" s="2854"/>
      <c r="BZT13" s="2854"/>
      <c r="BZU13" s="2854"/>
      <c r="BZV13" s="2854"/>
      <c r="BZW13" s="2854"/>
      <c r="BZX13" s="2854"/>
      <c r="BZY13" s="2854"/>
      <c r="BZZ13" s="2854"/>
      <c r="CAA13" s="2854"/>
      <c r="CAB13" s="2854"/>
      <c r="CAC13" s="2854"/>
      <c r="CAD13" s="2854"/>
      <c r="CAE13" s="2854"/>
      <c r="CAF13" s="2854"/>
      <c r="CAG13" s="2854"/>
      <c r="CAH13" s="2854"/>
      <c r="CAI13" s="2854"/>
      <c r="CAJ13" s="2854"/>
      <c r="CAK13" s="2854"/>
      <c r="CAL13" s="2854"/>
      <c r="CAM13" s="2854"/>
      <c r="CAN13" s="2854"/>
      <c r="CAO13" s="2854"/>
      <c r="CAP13" s="2854"/>
      <c r="CAQ13" s="2854"/>
      <c r="CAR13" s="2854"/>
      <c r="CAS13" s="2854"/>
      <c r="CAT13" s="2854"/>
      <c r="CAU13" s="2854"/>
      <c r="CAV13" s="2854"/>
      <c r="CAW13" s="2854"/>
      <c r="CAX13" s="2854"/>
      <c r="CAY13" s="2854"/>
      <c r="CAZ13" s="2854"/>
      <c r="CBA13" s="2854"/>
      <c r="CBB13" s="2854"/>
      <c r="CBC13" s="2854"/>
      <c r="CBD13" s="2854"/>
      <c r="CBE13" s="2854"/>
      <c r="CBF13" s="2854"/>
      <c r="CBG13" s="2854"/>
      <c r="CBH13" s="2854"/>
      <c r="CBI13" s="2854"/>
      <c r="CBJ13" s="2854"/>
      <c r="CBK13" s="2854"/>
      <c r="CBL13" s="2854"/>
      <c r="CBM13" s="2854"/>
      <c r="CBN13" s="2854"/>
      <c r="CBO13" s="2854"/>
      <c r="CBP13" s="2854"/>
      <c r="CBQ13" s="2854"/>
      <c r="CBR13" s="2854"/>
      <c r="CBS13" s="2854"/>
      <c r="CBT13" s="2854"/>
      <c r="CBU13" s="2854"/>
      <c r="CBV13" s="2854"/>
      <c r="CBW13" s="2854"/>
      <c r="CBX13" s="2854"/>
      <c r="CBY13" s="2854"/>
      <c r="CBZ13" s="2854"/>
      <c r="CCA13" s="2854"/>
      <c r="CCB13" s="2854"/>
      <c r="CCC13" s="2854"/>
      <c r="CCD13" s="2854"/>
      <c r="CCE13" s="2854"/>
      <c r="CCF13" s="2854"/>
      <c r="CCG13" s="2854"/>
      <c r="CCH13" s="2854"/>
      <c r="CCI13" s="2854"/>
      <c r="CCJ13" s="2854"/>
      <c r="CCK13" s="2854"/>
      <c r="CCL13" s="2854"/>
      <c r="CCM13" s="2854"/>
      <c r="CCN13" s="2854"/>
      <c r="CCO13" s="2854"/>
      <c r="CCP13" s="2854"/>
      <c r="CCQ13" s="2854"/>
      <c r="CCR13" s="2854"/>
      <c r="CCS13" s="2854"/>
      <c r="CCT13" s="2854"/>
      <c r="CCU13" s="2854"/>
      <c r="CCV13" s="2854"/>
      <c r="CCW13" s="2854"/>
      <c r="CCX13" s="2854"/>
      <c r="CCY13" s="2854"/>
      <c r="CCZ13" s="2854"/>
      <c r="CDA13" s="2854"/>
      <c r="CDB13" s="2854"/>
      <c r="CDC13" s="2854"/>
      <c r="CDD13" s="2854"/>
      <c r="CDE13" s="2854"/>
      <c r="CDF13" s="2854"/>
      <c r="CDG13" s="2854"/>
      <c r="CDH13" s="2854"/>
      <c r="CDI13" s="2854"/>
      <c r="CDJ13" s="2854"/>
      <c r="CDK13" s="2854"/>
      <c r="CDL13" s="2854"/>
      <c r="CDM13" s="2854"/>
      <c r="CDN13" s="2854"/>
      <c r="CDO13" s="2854"/>
      <c r="CDP13" s="2854"/>
      <c r="CDQ13" s="2854"/>
      <c r="CDR13" s="2854"/>
      <c r="CDS13" s="2854"/>
      <c r="CDT13" s="2854"/>
      <c r="CDU13" s="2854"/>
      <c r="CDV13" s="2854"/>
      <c r="CDW13" s="2854"/>
      <c r="CDX13" s="2854"/>
      <c r="CDY13" s="2854"/>
      <c r="CDZ13" s="2854"/>
      <c r="CEA13" s="2854"/>
      <c r="CEB13" s="2854"/>
      <c r="CEC13" s="2854"/>
      <c r="CED13" s="2854"/>
      <c r="CEE13" s="2854"/>
      <c r="CEF13" s="2854"/>
      <c r="CEG13" s="2854"/>
      <c r="CEH13" s="2854"/>
      <c r="CEI13" s="2854"/>
      <c r="CEJ13" s="2854"/>
      <c r="CEK13" s="2854"/>
      <c r="CEL13" s="2854"/>
      <c r="CEM13" s="2854"/>
      <c r="CEN13" s="2854"/>
      <c r="CEO13" s="2854"/>
      <c r="CEP13" s="2854"/>
      <c r="CEQ13" s="2854"/>
      <c r="CER13" s="2854"/>
      <c r="CES13" s="2854"/>
      <c r="CET13" s="2854"/>
      <c r="CEU13" s="2854"/>
      <c r="CEV13" s="2854"/>
      <c r="CEW13" s="2854"/>
      <c r="CEX13" s="2854"/>
      <c r="CEY13" s="2854"/>
      <c r="CEZ13" s="2854"/>
      <c r="CFA13" s="2854"/>
      <c r="CFB13" s="2854"/>
      <c r="CFC13" s="2854"/>
      <c r="CFD13" s="2854"/>
      <c r="CFE13" s="2854"/>
      <c r="CFF13" s="2854"/>
      <c r="CFG13" s="2854"/>
      <c r="CFH13" s="2854"/>
      <c r="CFI13" s="2854"/>
      <c r="CFJ13" s="2854"/>
      <c r="CFK13" s="2854"/>
      <c r="CFL13" s="2854"/>
      <c r="CFM13" s="2854"/>
      <c r="CFN13" s="2854"/>
      <c r="CFO13" s="2854"/>
      <c r="CFP13" s="2854"/>
      <c r="CFQ13" s="2854"/>
      <c r="CFR13" s="2854"/>
      <c r="CFS13" s="2854"/>
      <c r="CFT13" s="2854"/>
      <c r="CFU13" s="2854"/>
      <c r="CFV13" s="2854"/>
      <c r="CFW13" s="2854"/>
      <c r="CFX13" s="2854"/>
      <c r="CFY13" s="2854"/>
      <c r="CFZ13" s="2854"/>
      <c r="CGA13" s="2854"/>
      <c r="CGB13" s="2854"/>
      <c r="CGC13" s="2854"/>
      <c r="CGD13" s="2854"/>
      <c r="CGE13" s="2854"/>
      <c r="CGF13" s="2854"/>
      <c r="CGG13" s="2854"/>
      <c r="CGH13" s="2854"/>
      <c r="CGI13" s="2854"/>
      <c r="CGJ13" s="2854"/>
      <c r="CGK13" s="2854"/>
      <c r="CGL13" s="2854"/>
      <c r="CGM13" s="2854"/>
      <c r="CGN13" s="2854"/>
      <c r="CGO13" s="2854"/>
      <c r="CGP13" s="2854"/>
      <c r="CGQ13" s="2854"/>
      <c r="CGR13" s="2854"/>
      <c r="CGS13" s="2854"/>
      <c r="CGT13" s="2854"/>
      <c r="CGU13" s="2854"/>
      <c r="CGV13" s="2854"/>
      <c r="CGW13" s="2854"/>
      <c r="CGX13" s="2854"/>
      <c r="CGY13" s="2854"/>
      <c r="CGZ13" s="2854"/>
      <c r="CHA13" s="2854"/>
      <c r="CHB13" s="2854"/>
      <c r="CHC13" s="2854"/>
      <c r="CHD13" s="2854"/>
      <c r="CHE13" s="2854"/>
      <c r="CHF13" s="2854"/>
      <c r="CHG13" s="2854"/>
      <c r="CHH13" s="2854"/>
      <c r="CHI13" s="2854"/>
      <c r="CHJ13" s="2854"/>
      <c r="CHK13" s="2854"/>
      <c r="CHL13" s="2854"/>
      <c r="CHM13" s="2854"/>
      <c r="CHN13" s="2854"/>
      <c r="CHO13" s="2854"/>
      <c r="CHP13" s="2854"/>
      <c r="CHQ13" s="2854"/>
      <c r="CHR13" s="2854"/>
      <c r="CHS13" s="2854"/>
      <c r="CHT13" s="2854"/>
      <c r="CHU13" s="2854"/>
      <c r="CHV13" s="2854"/>
      <c r="CHW13" s="2854"/>
      <c r="CHX13" s="2854"/>
      <c r="CHY13" s="2854"/>
      <c r="CHZ13" s="2854"/>
      <c r="CIA13" s="2854"/>
      <c r="CIB13" s="2854"/>
      <c r="CIC13" s="2854"/>
      <c r="CID13" s="2854"/>
      <c r="CIE13" s="2854"/>
      <c r="CIF13" s="2854"/>
      <c r="CIG13" s="2854"/>
      <c r="CIH13" s="2854"/>
      <c r="CII13" s="2854"/>
      <c r="CIJ13" s="2854"/>
      <c r="CIK13" s="2854"/>
      <c r="CIL13" s="2854"/>
      <c r="CIM13" s="2854"/>
      <c r="CIN13" s="2854"/>
      <c r="CIO13" s="2854"/>
      <c r="CIP13" s="2854"/>
      <c r="CIQ13" s="2854"/>
      <c r="CIR13" s="2854"/>
      <c r="CIS13" s="2854"/>
      <c r="CIT13" s="2854"/>
      <c r="CIU13" s="2854"/>
      <c r="CIV13" s="2854"/>
      <c r="CIW13" s="2854"/>
      <c r="CIX13" s="2854"/>
      <c r="CIY13" s="2854"/>
      <c r="CIZ13" s="2854"/>
      <c r="CJA13" s="2854"/>
      <c r="CJB13" s="2854"/>
      <c r="CJC13" s="2854"/>
      <c r="CJD13" s="2854"/>
      <c r="CJE13" s="2854"/>
      <c r="CJF13" s="2854"/>
      <c r="CJG13" s="2854"/>
      <c r="CJH13" s="2854"/>
      <c r="CJI13" s="2854"/>
      <c r="CJJ13" s="2854"/>
      <c r="CJK13" s="2854"/>
      <c r="CJL13" s="2854"/>
      <c r="CJM13" s="2854"/>
      <c r="CJN13" s="2854"/>
      <c r="CJO13" s="2854"/>
      <c r="CJP13" s="2854"/>
      <c r="CJQ13" s="2854"/>
      <c r="CJR13" s="2854"/>
      <c r="CJS13" s="2854"/>
      <c r="CJT13" s="2854"/>
      <c r="CJU13" s="2854"/>
      <c r="CJV13" s="2854"/>
      <c r="CJW13" s="2854"/>
      <c r="CJX13" s="2854"/>
      <c r="CJY13" s="2854"/>
      <c r="CJZ13" s="2854"/>
      <c r="CKA13" s="2854"/>
      <c r="CKB13" s="2854"/>
      <c r="CKC13" s="2854"/>
      <c r="CKD13" s="2854"/>
      <c r="CKE13" s="2854"/>
      <c r="CKF13" s="2854"/>
      <c r="CKG13" s="2854"/>
      <c r="CKH13" s="2854"/>
      <c r="CKI13" s="2854"/>
      <c r="CKJ13" s="2854"/>
      <c r="CKK13" s="2854"/>
      <c r="CKL13" s="2854"/>
      <c r="CKM13" s="2854"/>
      <c r="CKN13" s="2854"/>
      <c r="CKO13" s="2854"/>
      <c r="CKP13" s="2854"/>
      <c r="CKQ13" s="2854"/>
      <c r="CKR13" s="2854"/>
      <c r="CKS13" s="2854"/>
      <c r="CKT13" s="2854"/>
      <c r="CKU13" s="2854"/>
      <c r="CKV13" s="2854"/>
      <c r="CKW13" s="2854"/>
      <c r="CKX13" s="2854"/>
      <c r="CKY13" s="2854"/>
      <c r="CKZ13" s="2854"/>
      <c r="CLA13" s="2854"/>
      <c r="CLB13" s="2854"/>
      <c r="CLC13" s="2854"/>
      <c r="CLD13" s="2854"/>
      <c r="CLE13" s="2854"/>
      <c r="CLF13" s="2854"/>
      <c r="CLG13" s="2854"/>
      <c r="CLH13" s="2854"/>
      <c r="CLI13" s="2854"/>
      <c r="CLJ13" s="2854"/>
      <c r="CLK13" s="2854"/>
      <c r="CLL13" s="2854"/>
      <c r="CLM13" s="2854"/>
      <c r="CLN13" s="2854"/>
      <c r="CLO13" s="2854"/>
      <c r="CLP13" s="2854"/>
      <c r="CLQ13" s="2854"/>
      <c r="CLR13" s="2854"/>
      <c r="CLS13" s="2854"/>
      <c r="CLT13" s="2854"/>
      <c r="CLU13" s="2854"/>
      <c r="CLV13" s="2854"/>
      <c r="CLW13" s="2854"/>
    </row>
    <row r="14" spans="1:2363" ht="22.5" customHeight="1" outlineLevel="1" x14ac:dyDescent="0.25">
      <c r="A14" s="3868"/>
      <c r="B14" s="3871"/>
      <c r="C14" s="2204">
        <v>5</v>
      </c>
      <c r="D14" s="3568" t="s">
        <v>671</v>
      </c>
      <c r="E14" s="2723">
        <v>90</v>
      </c>
      <c r="F14" s="2777">
        <v>5379.27</v>
      </c>
      <c r="G14" s="2784">
        <f t="shared" si="0"/>
        <v>59.769666666666673</v>
      </c>
      <c r="H14" s="2245"/>
      <c r="I14" s="2667"/>
      <c r="J14" s="1805"/>
      <c r="K14" s="2245"/>
      <c r="L14" s="2667"/>
      <c r="M14" s="1805"/>
      <c r="N14" s="3218">
        <f>+F14+I14+K14</f>
        <v>5379.27</v>
      </c>
      <c r="O14" s="2463">
        <f>+F14+I14</f>
        <v>5379.27</v>
      </c>
      <c r="P14" s="3131"/>
      <c r="Q14" s="1842">
        <v>228615.04000000001</v>
      </c>
      <c r="R14" s="1847">
        <v>6408058.8799999999</v>
      </c>
      <c r="S14" s="1847">
        <v>30692.15</v>
      </c>
      <c r="T14" s="2880">
        <f>11682.36+18880.14</f>
        <v>30562.5</v>
      </c>
      <c r="U14" s="1842">
        <f>410401.44+173978.59</f>
        <v>584380.03</v>
      </c>
      <c r="V14" s="1842">
        <f>+P14+Q14+R14+S14+T14+U14</f>
        <v>7282308.6000000006</v>
      </c>
      <c r="W14" s="3569">
        <v>90</v>
      </c>
      <c r="X14" s="3569">
        <v>90</v>
      </c>
      <c r="Y14" s="3222">
        <v>0.25</v>
      </c>
      <c r="Z14" s="2128">
        <f>+O14*225.628774</f>
        <v>1213718.0951149801</v>
      </c>
      <c r="AA14" s="1892">
        <v>0</v>
      </c>
      <c r="AB14" s="1851">
        <v>0</v>
      </c>
      <c r="AC14" s="1970">
        <f t="shared" si="6"/>
        <v>0</v>
      </c>
      <c r="AD14" s="1897">
        <v>0</v>
      </c>
      <c r="AE14" s="1897"/>
      <c r="AF14" s="1897">
        <v>0</v>
      </c>
      <c r="AG14" s="3047"/>
      <c r="AH14" s="3436">
        <f t="shared" si="3"/>
        <v>0</v>
      </c>
      <c r="AI14" s="1851">
        <v>0</v>
      </c>
      <c r="AJ14" s="1851">
        <f t="shared" ref="AJ14" si="8">AD14+AF14</f>
        <v>0</v>
      </c>
      <c r="AK14" s="2831">
        <f t="shared" ref="AK14" si="9">AI14+AJ14</f>
        <v>0</v>
      </c>
      <c r="AL14" s="1836">
        <v>0</v>
      </c>
      <c r="AM14" s="1836">
        <v>0</v>
      </c>
      <c r="AN14" s="1836">
        <f t="shared" si="7"/>
        <v>0</v>
      </c>
      <c r="AO14" s="2764">
        <v>0</v>
      </c>
      <c r="AP14" s="2681">
        <v>0</v>
      </c>
      <c r="AQ14" s="2681">
        <v>0</v>
      </c>
      <c r="AR14" s="3572">
        <v>44400</v>
      </c>
      <c r="AS14" s="3269">
        <f>AO14+AQ14+AR14+AP14</f>
        <v>44400</v>
      </c>
      <c r="AT14" s="3182">
        <v>48100</v>
      </c>
      <c r="AU14" s="2168">
        <v>0</v>
      </c>
      <c r="AV14" s="1835">
        <f>+AR14</f>
        <v>44400</v>
      </c>
      <c r="AW14" s="2171">
        <f t="shared" si="5"/>
        <v>44400</v>
      </c>
      <c r="AX14" s="1836">
        <v>1213718.1000000001</v>
      </c>
      <c r="AY14" s="1836">
        <v>1213718.1000000001</v>
      </c>
      <c r="AZ14" s="1836">
        <f>AX14-AY14</f>
        <v>0</v>
      </c>
      <c r="BA14" s="3071">
        <f>6408058.88+289869.69</f>
        <v>6697928.5700000003</v>
      </c>
      <c r="BB14" s="3067">
        <v>584380.03</v>
      </c>
      <c r="BC14" s="3068">
        <f>163626.41+429827.23</f>
        <v>593453.64</v>
      </c>
      <c r="BD14" s="3278">
        <f>+AR14+14.14+1308.26+2548.97+2842.26</f>
        <v>51113.630000000005</v>
      </c>
      <c r="BE14" s="3584">
        <f>+BA14+BB14+BC14+BD14</f>
        <v>7926875.8700000001</v>
      </c>
      <c r="BF14" s="1836">
        <v>0</v>
      </c>
      <c r="BG14" s="1835">
        <f>1092346.29+4672366.6+429827.23</f>
        <v>6194540.1199999992</v>
      </c>
      <c r="BH14" s="1835">
        <v>1087768.48</v>
      </c>
      <c r="BI14" s="2515">
        <f t="shared" si="4"/>
        <v>7282308.5999999996</v>
      </c>
      <c r="BJ14" s="1892">
        <f t="shared" ref="BJ14" si="10">AA14+AL14</f>
        <v>0</v>
      </c>
      <c r="BK14" s="1848">
        <f t="shared" ref="BK14" si="11">AB14+AN14</f>
        <v>0</v>
      </c>
      <c r="BL14" s="1859">
        <f t="shared" ref="BL14" si="12">BJ14+BK14</f>
        <v>0</v>
      </c>
      <c r="BM14" s="3432">
        <v>0</v>
      </c>
      <c r="BN14" s="3439">
        <v>0</v>
      </c>
      <c r="BO14" s="2065">
        <v>0</v>
      </c>
      <c r="BP14" s="3574">
        <v>55300</v>
      </c>
      <c r="BQ14" s="3440">
        <f>+BM14+BN14+BO14+BP14</f>
        <v>55300</v>
      </c>
      <c r="BR14" s="3304">
        <v>0</v>
      </c>
      <c r="BS14" s="1858">
        <v>55300</v>
      </c>
      <c r="BT14" s="3448">
        <f>+BR14+BS14</f>
        <v>55300</v>
      </c>
      <c r="BU14" s="3140"/>
      <c r="BV14" s="3058"/>
      <c r="BW14" s="3058"/>
      <c r="BX14" s="3058"/>
      <c r="BY14" s="3140"/>
      <c r="BZ14" s="3140"/>
      <c r="CA14" s="2857"/>
      <c r="CB14" s="2857"/>
      <c r="CC14" s="2857"/>
      <c r="CD14" s="2857"/>
      <c r="CE14" s="2857"/>
      <c r="CF14" s="3141"/>
      <c r="CG14" s="3141"/>
      <c r="CH14" s="3141"/>
      <c r="CI14" s="3141"/>
      <c r="CJ14" s="3141"/>
      <c r="CK14" s="3141"/>
      <c r="CL14" s="3141"/>
      <c r="CM14" s="3141"/>
      <c r="CN14" s="3141"/>
      <c r="CO14" s="3141"/>
      <c r="CP14" s="3141"/>
      <c r="CQ14" s="3141"/>
      <c r="CR14" s="3141"/>
      <c r="CS14" s="3141"/>
      <c r="CT14" s="3141"/>
      <c r="CU14" s="3141"/>
      <c r="CV14" s="3141"/>
      <c r="CW14" s="3141"/>
      <c r="CX14" s="3141"/>
      <c r="CY14" s="3141"/>
      <c r="CZ14" s="3141"/>
      <c r="DA14" s="3141"/>
      <c r="DB14" s="3141"/>
      <c r="DC14" s="3141"/>
      <c r="DD14" s="3141"/>
      <c r="DE14" s="3141"/>
      <c r="DF14" s="3141"/>
      <c r="DG14" s="3141"/>
      <c r="DH14" s="3141"/>
      <c r="DI14" s="3141"/>
      <c r="DJ14" s="3141"/>
      <c r="DK14" s="3141"/>
      <c r="DL14" s="3141"/>
      <c r="DM14" s="3141"/>
      <c r="DN14" s="3141"/>
      <c r="DO14" s="3141"/>
      <c r="DP14" s="3141"/>
      <c r="DQ14" s="3141"/>
      <c r="DR14" s="3141"/>
      <c r="DS14" s="3141"/>
      <c r="DT14" s="3141"/>
      <c r="DU14" s="3141"/>
      <c r="DV14" s="3141"/>
      <c r="DW14" s="3141"/>
      <c r="DX14" s="3141"/>
      <c r="DY14" s="3141"/>
      <c r="DZ14" s="3141"/>
      <c r="EA14" s="3141"/>
      <c r="EB14" s="3141"/>
      <c r="EC14" s="3141"/>
      <c r="ED14" s="3141"/>
      <c r="EE14" s="3141"/>
      <c r="EF14" s="3141"/>
      <c r="EG14" s="3141"/>
      <c r="EH14" s="2854"/>
      <c r="EI14" s="2854"/>
      <c r="EJ14" s="2854"/>
      <c r="EK14" s="2854"/>
      <c r="EL14" s="2854"/>
      <c r="EM14" s="2854"/>
      <c r="EN14" s="2854"/>
      <c r="EO14" s="2854"/>
      <c r="EP14" s="2854"/>
      <c r="EQ14" s="2854"/>
      <c r="ER14" s="2854"/>
      <c r="ES14" s="2854"/>
      <c r="ET14" s="2854"/>
      <c r="EU14" s="2854"/>
      <c r="EV14" s="2854"/>
      <c r="EW14" s="2854"/>
      <c r="EX14" s="2854"/>
      <c r="EY14" s="2854"/>
      <c r="EZ14" s="2854"/>
      <c r="FA14" s="2854"/>
      <c r="FB14" s="2854"/>
      <c r="FC14" s="2854"/>
      <c r="FD14" s="2854"/>
      <c r="FE14" s="2854"/>
      <c r="FF14" s="2854"/>
      <c r="FG14" s="2854"/>
      <c r="FH14" s="2854"/>
      <c r="FI14" s="2854"/>
      <c r="FJ14" s="2854"/>
      <c r="FK14" s="2854"/>
      <c r="FL14" s="2854"/>
      <c r="FM14" s="2854"/>
      <c r="FN14" s="2854"/>
      <c r="FO14" s="2854"/>
      <c r="FP14" s="2854"/>
      <c r="FQ14" s="2854"/>
      <c r="FR14" s="2854"/>
      <c r="FS14" s="2854"/>
      <c r="FT14" s="2854"/>
      <c r="FU14" s="2854"/>
      <c r="FV14" s="2854"/>
      <c r="FW14" s="2854"/>
      <c r="FX14" s="2854"/>
      <c r="FY14" s="2854"/>
      <c r="FZ14" s="2854"/>
      <c r="GA14" s="2854"/>
      <c r="GB14" s="2854"/>
      <c r="GC14" s="2854"/>
      <c r="GD14" s="2854"/>
      <c r="GE14" s="2854"/>
      <c r="GF14" s="2854"/>
      <c r="GG14" s="2854"/>
      <c r="GH14" s="2854"/>
      <c r="GI14" s="2854"/>
      <c r="GJ14" s="2854"/>
      <c r="GK14" s="2854"/>
      <c r="GL14" s="2854"/>
      <c r="GM14" s="2854"/>
      <c r="GN14" s="2854"/>
      <c r="GO14" s="2854"/>
      <c r="GP14" s="2854"/>
      <c r="GQ14" s="2854"/>
      <c r="GR14" s="2854"/>
      <c r="GS14" s="2854"/>
      <c r="GT14" s="2854"/>
      <c r="GU14" s="2854"/>
      <c r="GV14" s="2854"/>
      <c r="GW14" s="2854"/>
      <c r="GX14" s="2854"/>
      <c r="GY14" s="2854"/>
      <c r="GZ14" s="2854"/>
      <c r="HA14" s="2854"/>
      <c r="HB14" s="2854"/>
      <c r="HC14" s="2854"/>
      <c r="HD14" s="2854"/>
      <c r="HE14" s="2854"/>
      <c r="HF14" s="2854"/>
      <c r="HG14" s="2854"/>
      <c r="HH14" s="2854"/>
      <c r="HI14" s="2854"/>
      <c r="HJ14" s="2854"/>
      <c r="HK14" s="2854"/>
      <c r="HL14" s="2854"/>
      <c r="HM14" s="2854"/>
      <c r="HN14" s="2854"/>
      <c r="HO14" s="2854"/>
      <c r="HP14" s="2854"/>
      <c r="HQ14" s="2854"/>
      <c r="HR14" s="2854"/>
      <c r="HS14" s="2854"/>
      <c r="HT14" s="2854"/>
      <c r="HU14" s="2854"/>
      <c r="HV14" s="2854"/>
      <c r="HW14" s="2854"/>
      <c r="HX14" s="2854"/>
      <c r="HY14" s="2854"/>
      <c r="HZ14" s="2854"/>
      <c r="IA14" s="2854"/>
      <c r="IB14" s="2854"/>
      <c r="IC14" s="2854"/>
      <c r="ID14" s="2854"/>
      <c r="IE14" s="2854"/>
      <c r="IF14" s="2854"/>
      <c r="IG14" s="2854"/>
      <c r="IH14" s="2854"/>
      <c r="II14" s="2854"/>
      <c r="IJ14" s="2854"/>
      <c r="IK14" s="2854"/>
      <c r="IL14" s="2854"/>
      <c r="IM14" s="2854"/>
      <c r="IN14" s="2854"/>
      <c r="IO14" s="2854"/>
      <c r="IP14" s="2854"/>
      <c r="IQ14" s="2854"/>
      <c r="IR14" s="2854"/>
      <c r="IS14" s="2854"/>
      <c r="IT14" s="2854"/>
      <c r="IU14" s="2854"/>
      <c r="IV14" s="2854"/>
      <c r="IW14" s="2854"/>
      <c r="IX14" s="2854"/>
      <c r="IY14" s="2854"/>
      <c r="IZ14" s="2854"/>
      <c r="JA14" s="2854"/>
      <c r="JB14" s="2854"/>
      <c r="JC14" s="2854"/>
      <c r="JD14" s="2854"/>
      <c r="JE14" s="2854"/>
      <c r="JF14" s="2854"/>
      <c r="JG14" s="2854"/>
      <c r="JH14" s="2854"/>
      <c r="JI14" s="2854"/>
      <c r="JJ14" s="2854"/>
      <c r="JK14" s="2854"/>
      <c r="JL14" s="2854"/>
      <c r="JM14" s="2854"/>
      <c r="JN14" s="2854"/>
      <c r="JO14" s="2854"/>
      <c r="JP14" s="2854"/>
      <c r="JQ14" s="2854"/>
      <c r="JR14" s="2854"/>
      <c r="JS14" s="2854"/>
      <c r="JT14" s="2854"/>
      <c r="JU14" s="2854"/>
      <c r="JV14" s="2854"/>
      <c r="JW14" s="2854"/>
      <c r="JX14" s="2854"/>
      <c r="JY14" s="2854"/>
      <c r="JZ14" s="2854"/>
      <c r="KA14" s="2854"/>
      <c r="KB14" s="2854"/>
      <c r="KC14" s="2854"/>
      <c r="KD14" s="2854"/>
      <c r="KE14" s="2854"/>
      <c r="KF14" s="2854"/>
      <c r="KG14" s="2854"/>
      <c r="KH14" s="2854"/>
      <c r="KI14" s="2854"/>
      <c r="KJ14" s="2854"/>
      <c r="KK14" s="2854"/>
      <c r="KL14" s="2854"/>
      <c r="KM14" s="2854"/>
      <c r="KN14" s="2854"/>
      <c r="KO14" s="2854"/>
      <c r="KP14" s="2854"/>
      <c r="KQ14" s="2854"/>
      <c r="KR14" s="2854"/>
      <c r="KS14" s="2854"/>
      <c r="KT14" s="2854"/>
      <c r="KU14" s="2854"/>
      <c r="KV14" s="2854"/>
      <c r="KW14" s="2854"/>
      <c r="KX14" s="2854"/>
      <c r="KY14" s="2854"/>
      <c r="KZ14" s="2854"/>
      <c r="LA14" s="2854"/>
      <c r="LB14" s="2854"/>
      <c r="LC14" s="2854"/>
      <c r="LD14" s="2854"/>
      <c r="LE14" s="2854"/>
      <c r="LF14" s="2854"/>
      <c r="LG14" s="2854"/>
      <c r="LH14" s="2854"/>
      <c r="LI14" s="2854"/>
      <c r="LJ14" s="2854"/>
      <c r="LK14" s="2854"/>
      <c r="LL14" s="2854"/>
      <c r="LM14" s="2854"/>
      <c r="LN14" s="2854"/>
      <c r="LO14" s="2854"/>
      <c r="LP14" s="2854"/>
      <c r="LQ14" s="2854"/>
      <c r="LR14" s="2854"/>
      <c r="LS14" s="2854"/>
      <c r="LT14" s="2854"/>
      <c r="LU14" s="2854"/>
      <c r="LV14" s="2854"/>
      <c r="LW14" s="2854"/>
      <c r="LX14" s="2854"/>
      <c r="LY14" s="2854"/>
      <c r="LZ14" s="2854"/>
      <c r="MA14" s="2854"/>
      <c r="MB14" s="2854"/>
      <c r="MC14" s="2854"/>
      <c r="MD14" s="2854"/>
      <c r="ME14" s="2854"/>
      <c r="MF14" s="2854"/>
      <c r="MG14" s="2854"/>
      <c r="MH14" s="2854"/>
      <c r="MI14" s="2854"/>
      <c r="MJ14" s="2854"/>
      <c r="MK14" s="2854"/>
      <c r="ML14" s="2854"/>
      <c r="MM14" s="2854"/>
      <c r="MN14" s="2854"/>
      <c r="MO14" s="2854"/>
      <c r="MP14" s="2854"/>
      <c r="MQ14" s="2854"/>
      <c r="MR14" s="2854"/>
      <c r="MS14" s="2854"/>
      <c r="MT14" s="2854"/>
      <c r="MU14" s="2854"/>
      <c r="MV14" s="2854"/>
      <c r="MW14" s="2854"/>
      <c r="MX14" s="2854"/>
      <c r="MY14" s="2854"/>
      <c r="MZ14" s="2854"/>
      <c r="NA14" s="2854"/>
      <c r="NB14" s="2854"/>
      <c r="NC14" s="2854"/>
      <c r="ND14" s="2854"/>
      <c r="NE14" s="2854"/>
      <c r="NF14" s="2854"/>
      <c r="NG14" s="2854"/>
      <c r="NH14" s="2854"/>
      <c r="NI14" s="2854"/>
      <c r="NJ14" s="2854"/>
      <c r="NK14" s="2854"/>
      <c r="NL14" s="2854"/>
      <c r="NM14" s="2854"/>
      <c r="NN14" s="2854"/>
      <c r="NO14" s="2854"/>
      <c r="NP14" s="2854"/>
      <c r="NQ14" s="2854"/>
      <c r="NR14" s="2854"/>
      <c r="NS14" s="2854"/>
      <c r="NT14" s="2854"/>
      <c r="NU14" s="2854"/>
      <c r="NV14" s="2854"/>
      <c r="NW14" s="2854"/>
      <c r="NX14" s="2854"/>
      <c r="NY14" s="2854"/>
      <c r="NZ14" s="2854"/>
      <c r="OA14" s="2854"/>
      <c r="OB14" s="2854"/>
      <c r="OC14" s="2854"/>
      <c r="OD14" s="2854"/>
      <c r="OE14" s="2854"/>
      <c r="OF14" s="2854"/>
      <c r="OG14" s="2854"/>
      <c r="OH14" s="2854"/>
      <c r="OI14" s="2854"/>
      <c r="OJ14" s="2854"/>
      <c r="OK14" s="2854"/>
      <c r="OL14" s="2854"/>
      <c r="OM14" s="2854"/>
      <c r="ON14" s="2854"/>
      <c r="OO14" s="2854"/>
      <c r="OP14" s="2854"/>
      <c r="OQ14" s="2854"/>
      <c r="OR14" s="2854"/>
      <c r="OS14" s="2854"/>
      <c r="OT14" s="2854"/>
      <c r="OU14" s="2854"/>
      <c r="OV14" s="2854"/>
      <c r="OW14" s="2854"/>
      <c r="OX14" s="2854"/>
      <c r="OY14" s="2854"/>
      <c r="OZ14" s="2854"/>
      <c r="PA14" s="2854"/>
      <c r="PB14" s="2854"/>
      <c r="PC14" s="2854"/>
      <c r="PD14" s="2854"/>
      <c r="PE14" s="2854"/>
      <c r="PF14" s="2854"/>
      <c r="PG14" s="2854"/>
      <c r="PH14" s="2854"/>
      <c r="PI14" s="2854"/>
      <c r="PJ14" s="2854"/>
      <c r="PK14" s="2854"/>
      <c r="PL14" s="2854"/>
      <c r="PM14" s="2854"/>
      <c r="PN14" s="2854"/>
      <c r="PO14" s="2854"/>
      <c r="PP14" s="2854"/>
      <c r="PQ14" s="2854"/>
      <c r="PR14" s="2854"/>
      <c r="PS14" s="2854"/>
      <c r="PT14" s="2854"/>
      <c r="PU14" s="2854"/>
      <c r="PV14" s="2854"/>
      <c r="PW14" s="2854"/>
      <c r="PX14" s="2854"/>
      <c r="PY14" s="2854"/>
      <c r="PZ14" s="2854"/>
      <c r="QA14" s="2854"/>
      <c r="QB14" s="2854"/>
      <c r="QC14" s="2854"/>
      <c r="QD14" s="2854"/>
      <c r="QE14" s="2854"/>
      <c r="QF14" s="2854"/>
      <c r="QG14" s="2854"/>
      <c r="QH14" s="2854"/>
      <c r="QI14" s="2854"/>
      <c r="QJ14" s="2854"/>
      <c r="QK14" s="2854"/>
      <c r="QL14" s="2854"/>
      <c r="QM14" s="2854"/>
      <c r="QN14" s="2854"/>
      <c r="QO14" s="2854"/>
      <c r="QP14" s="2854"/>
      <c r="QQ14" s="2854"/>
      <c r="QR14" s="2854"/>
      <c r="QS14" s="2854"/>
      <c r="QT14" s="2854"/>
      <c r="QU14" s="2854"/>
      <c r="QV14" s="2854"/>
      <c r="QW14" s="2854"/>
      <c r="QX14" s="2854"/>
      <c r="QY14" s="2854"/>
      <c r="QZ14" s="2854"/>
      <c r="RA14" s="2854"/>
      <c r="RB14" s="2854"/>
      <c r="RC14" s="2854"/>
      <c r="RD14" s="2854"/>
      <c r="RE14" s="2854"/>
      <c r="RF14" s="2854"/>
      <c r="RG14" s="2854"/>
      <c r="RH14" s="2854"/>
      <c r="RI14" s="2854"/>
      <c r="RJ14" s="2854"/>
      <c r="RK14" s="2854"/>
      <c r="RL14" s="2854"/>
      <c r="RM14" s="2854"/>
      <c r="RN14" s="2854"/>
      <c r="RO14" s="2854"/>
      <c r="RP14" s="2854"/>
      <c r="RQ14" s="2854"/>
      <c r="RR14" s="2854"/>
      <c r="RS14" s="2854"/>
      <c r="RT14" s="2854"/>
      <c r="RU14" s="2854"/>
      <c r="RV14" s="2854"/>
      <c r="RW14" s="2854"/>
      <c r="RX14" s="2854"/>
      <c r="RY14" s="2854"/>
      <c r="RZ14" s="2854"/>
      <c r="SA14" s="2854"/>
      <c r="SB14" s="2854"/>
      <c r="SC14" s="2854"/>
      <c r="SD14" s="2854"/>
      <c r="SE14" s="2854"/>
      <c r="SF14" s="2854"/>
      <c r="SG14" s="2854"/>
      <c r="SH14" s="2854"/>
      <c r="SI14" s="2854"/>
      <c r="SJ14" s="2854"/>
      <c r="SK14" s="2854"/>
      <c r="SL14" s="2854"/>
      <c r="SM14" s="2854"/>
      <c r="SN14" s="2854"/>
      <c r="SO14" s="2854"/>
      <c r="SP14" s="2854"/>
      <c r="SQ14" s="2854"/>
      <c r="SR14" s="2854"/>
      <c r="SS14" s="2854"/>
      <c r="ST14" s="2854"/>
      <c r="SU14" s="2854"/>
      <c r="SV14" s="2854"/>
      <c r="SW14" s="2854"/>
      <c r="SX14" s="2854"/>
      <c r="SY14" s="2854"/>
      <c r="SZ14" s="2854"/>
      <c r="TA14" s="2854"/>
      <c r="TB14" s="2854"/>
      <c r="TC14" s="2854"/>
      <c r="TD14" s="2854"/>
      <c r="TE14" s="2854"/>
      <c r="TF14" s="2854"/>
      <c r="TG14" s="2854"/>
      <c r="TH14" s="2854"/>
      <c r="TI14" s="2854"/>
      <c r="TJ14" s="2854"/>
      <c r="TK14" s="2854"/>
      <c r="TL14" s="2854"/>
      <c r="TM14" s="2854"/>
      <c r="TN14" s="2854"/>
      <c r="TO14" s="2854"/>
      <c r="TP14" s="2854"/>
      <c r="TQ14" s="2854"/>
      <c r="TR14" s="2854"/>
      <c r="TS14" s="2854"/>
      <c r="TT14" s="2854"/>
      <c r="TU14" s="3783"/>
      <c r="TV14" s="3783"/>
      <c r="TW14" s="3783"/>
      <c r="TX14" s="3783"/>
      <c r="TY14" s="3783"/>
      <c r="TZ14" s="3783"/>
      <c r="UA14" s="3783"/>
      <c r="UB14" s="3783"/>
      <c r="UC14" s="3783"/>
      <c r="UD14" s="3783"/>
      <c r="UE14" s="3783"/>
      <c r="UF14" s="3783"/>
      <c r="UG14" s="3783"/>
      <c r="UH14" s="3783"/>
      <c r="UI14" s="3783"/>
      <c r="UJ14" s="3783"/>
      <c r="UK14" s="3783"/>
      <c r="UL14" s="3783"/>
      <c r="UM14" s="3783"/>
      <c r="UN14" s="3783"/>
      <c r="UO14" s="3783"/>
      <c r="UP14" s="2854"/>
      <c r="UQ14" s="2854"/>
      <c r="UR14" s="2854"/>
      <c r="US14" s="2854"/>
      <c r="UT14" s="2854"/>
      <c r="UU14" s="2854"/>
      <c r="UV14" s="2854"/>
      <c r="UW14" s="2854"/>
      <c r="UX14" s="2854"/>
      <c r="UY14" s="2854"/>
      <c r="UZ14" s="2854"/>
      <c r="VA14" s="2854"/>
      <c r="VB14" s="2854"/>
      <c r="VC14" s="2854"/>
      <c r="VD14" s="2854"/>
      <c r="VE14" s="2854"/>
      <c r="VF14" s="2854"/>
      <c r="VG14" s="2854"/>
      <c r="VH14" s="2854"/>
      <c r="VI14" s="2854"/>
      <c r="VJ14" s="2854"/>
      <c r="VK14" s="2854"/>
      <c r="VL14" s="2854"/>
      <c r="VM14" s="2854"/>
      <c r="VN14" s="2854"/>
      <c r="VO14" s="2854"/>
      <c r="VP14" s="2854"/>
      <c r="VQ14" s="2854"/>
      <c r="VR14" s="2854"/>
      <c r="VS14" s="2854"/>
      <c r="VT14" s="2854"/>
      <c r="VU14" s="2854"/>
      <c r="VV14" s="2854"/>
      <c r="VW14" s="2854"/>
      <c r="VX14" s="2854"/>
      <c r="VY14" s="2854"/>
      <c r="VZ14" s="2854"/>
      <c r="WA14" s="2854"/>
      <c r="WB14" s="2854"/>
      <c r="WC14" s="2854"/>
      <c r="WD14" s="2854"/>
      <c r="WE14" s="2854"/>
      <c r="WF14" s="2854"/>
      <c r="WG14" s="2854"/>
      <c r="WH14" s="2854"/>
      <c r="WI14" s="2854"/>
      <c r="WJ14" s="2854"/>
      <c r="WK14" s="2854"/>
      <c r="WL14" s="2854"/>
      <c r="WM14" s="2854"/>
      <c r="WN14" s="2854"/>
      <c r="WO14" s="2854"/>
      <c r="WP14" s="2854"/>
      <c r="WQ14" s="2854"/>
      <c r="WR14" s="2854"/>
      <c r="WS14" s="2854"/>
      <c r="WT14" s="2854"/>
      <c r="WU14" s="2854"/>
      <c r="WV14" s="2854"/>
      <c r="WW14" s="2854"/>
      <c r="WX14" s="2854"/>
      <c r="WY14" s="2854"/>
      <c r="WZ14" s="2854"/>
      <c r="XA14" s="2854"/>
      <c r="XB14" s="2854"/>
      <c r="XC14" s="2854"/>
      <c r="XD14" s="2854"/>
      <c r="XE14" s="2854"/>
      <c r="XF14" s="2854"/>
      <c r="XG14" s="2854"/>
      <c r="XH14" s="2854"/>
      <c r="XI14" s="2854"/>
      <c r="XJ14" s="2854"/>
      <c r="XK14" s="2854"/>
      <c r="XL14" s="2854"/>
      <c r="XM14" s="2854"/>
      <c r="XN14" s="2854"/>
      <c r="XO14" s="2854"/>
      <c r="XP14" s="2854"/>
      <c r="XQ14" s="2854"/>
      <c r="XR14" s="2854"/>
      <c r="XS14" s="2854"/>
      <c r="XT14" s="2854"/>
      <c r="XU14" s="2854"/>
      <c r="XV14" s="2854"/>
      <c r="XW14" s="2854"/>
      <c r="XX14" s="2854"/>
      <c r="XY14" s="2854"/>
      <c r="XZ14" s="2854"/>
      <c r="YA14" s="2854"/>
      <c r="YB14" s="2854"/>
      <c r="YC14" s="2854"/>
      <c r="YD14" s="2854"/>
      <c r="YE14" s="2854"/>
      <c r="YF14" s="2854"/>
      <c r="YG14" s="2854"/>
      <c r="YH14" s="2854"/>
      <c r="YI14" s="2854"/>
      <c r="YJ14" s="2854"/>
      <c r="YK14" s="2854"/>
      <c r="YL14" s="2854"/>
      <c r="YM14" s="2854"/>
      <c r="YN14" s="2854"/>
      <c r="YO14" s="2854"/>
      <c r="YP14" s="2854"/>
      <c r="YQ14" s="2854"/>
      <c r="YR14" s="2854"/>
      <c r="YS14" s="2854"/>
      <c r="YT14" s="2854"/>
      <c r="YU14" s="2854"/>
      <c r="YV14" s="2854"/>
      <c r="YW14" s="2854"/>
      <c r="YX14" s="2854"/>
      <c r="YY14" s="2854"/>
      <c r="YZ14" s="2854"/>
      <c r="ZA14" s="2854"/>
      <c r="ZB14" s="2854"/>
      <c r="ZC14" s="2854"/>
      <c r="ZD14" s="2854"/>
      <c r="ZE14" s="2854"/>
      <c r="ZF14" s="2854"/>
      <c r="ZG14" s="2854"/>
      <c r="ZH14" s="2854"/>
      <c r="ZI14" s="2854"/>
      <c r="ZJ14" s="2854"/>
      <c r="ZK14" s="2854"/>
      <c r="ZL14" s="2854"/>
      <c r="ZM14" s="2854"/>
      <c r="ZN14" s="2854"/>
      <c r="ZO14" s="2854"/>
      <c r="ZP14" s="2854"/>
      <c r="ZQ14" s="2854"/>
      <c r="ZR14" s="2854"/>
      <c r="ZS14" s="2854"/>
      <c r="ZT14" s="2854"/>
      <c r="ZU14" s="2854"/>
      <c r="ZV14" s="2854"/>
      <c r="ZW14" s="2854"/>
      <c r="ZX14" s="2854"/>
      <c r="ZY14" s="2854"/>
      <c r="ZZ14" s="2854"/>
      <c r="AAA14" s="2854"/>
      <c r="AAB14" s="2854"/>
      <c r="AAC14" s="2854"/>
      <c r="AAD14" s="2854"/>
      <c r="AAE14" s="2854"/>
      <c r="AAF14" s="2854"/>
      <c r="AAG14" s="2854"/>
      <c r="AAH14" s="2854"/>
      <c r="AAI14" s="2854"/>
      <c r="AAJ14" s="2854"/>
      <c r="AAK14" s="2854"/>
      <c r="AAL14" s="2854"/>
      <c r="AAM14" s="2854"/>
      <c r="AAN14" s="2854"/>
      <c r="AAO14" s="2854"/>
      <c r="AAP14" s="2854"/>
      <c r="AAQ14" s="2854"/>
      <c r="AAR14" s="2854"/>
      <c r="AAS14" s="2854"/>
      <c r="AAT14" s="2854"/>
      <c r="AAU14" s="2854"/>
      <c r="AAV14" s="2854"/>
      <c r="AAW14" s="2854"/>
      <c r="AAX14" s="2854"/>
      <c r="AAY14" s="2854"/>
      <c r="AAZ14" s="2854"/>
      <c r="ABA14" s="2854"/>
      <c r="ABB14" s="2854"/>
      <c r="ABC14" s="2854"/>
      <c r="ABD14" s="2854"/>
      <c r="ABE14" s="2854"/>
      <c r="ABF14" s="2854"/>
      <c r="ABG14" s="2854"/>
      <c r="ABH14" s="2854"/>
      <c r="ABI14" s="2854"/>
      <c r="ABJ14" s="2854"/>
      <c r="ABK14" s="2854"/>
      <c r="ABL14" s="2854"/>
      <c r="ABM14" s="2854"/>
      <c r="ABN14" s="2854"/>
      <c r="ABO14" s="2854"/>
      <c r="ABP14" s="2854"/>
      <c r="ABQ14" s="2854"/>
      <c r="ABR14" s="2854"/>
      <c r="ABS14" s="2854"/>
      <c r="ABT14" s="2854"/>
      <c r="ABU14" s="2854"/>
      <c r="ABV14" s="2854"/>
      <c r="ABW14" s="2854"/>
      <c r="ABX14" s="2854"/>
      <c r="ABY14" s="2854"/>
      <c r="ABZ14" s="2854"/>
      <c r="ACA14" s="2854"/>
      <c r="ACB14" s="2854"/>
      <c r="ACC14" s="2854"/>
      <c r="ACD14" s="2854"/>
      <c r="ACE14" s="2854"/>
      <c r="ACF14" s="2854"/>
      <c r="ACG14" s="2854"/>
      <c r="ACH14" s="2854"/>
      <c r="ACI14" s="2854"/>
      <c r="ACJ14" s="2854"/>
      <c r="ACK14" s="2854"/>
      <c r="ACL14" s="2854"/>
      <c r="ACM14" s="2854"/>
      <c r="ACN14" s="2854"/>
      <c r="ACO14" s="2854"/>
      <c r="ACP14" s="2854"/>
      <c r="ACQ14" s="2854"/>
      <c r="ACR14" s="2854"/>
      <c r="ACS14" s="2854"/>
      <c r="ACT14" s="2854"/>
      <c r="ACU14" s="2854"/>
      <c r="ACV14" s="2854"/>
      <c r="ACW14" s="2854"/>
      <c r="ACX14" s="2854"/>
      <c r="ACY14" s="2854"/>
      <c r="ACZ14" s="2854"/>
      <c r="ADA14" s="2854"/>
      <c r="ADB14" s="2854"/>
      <c r="ADC14" s="2854"/>
      <c r="ADD14" s="2854"/>
      <c r="ADE14" s="2854"/>
      <c r="ADF14" s="2854"/>
      <c r="ADG14" s="2854"/>
      <c r="ADH14" s="2854"/>
      <c r="ADI14" s="2854"/>
      <c r="ADJ14" s="2854"/>
      <c r="ADK14" s="2854"/>
      <c r="ADL14" s="2854"/>
      <c r="ADM14" s="2854"/>
      <c r="ADN14" s="2854"/>
      <c r="ADO14" s="2854"/>
      <c r="ADP14" s="2854"/>
      <c r="ADQ14" s="2854"/>
      <c r="ADR14" s="2854"/>
      <c r="ADS14" s="2854"/>
      <c r="ADT14" s="2854"/>
      <c r="ADU14" s="2854"/>
      <c r="ADV14" s="2854"/>
      <c r="ADW14" s="2854"/>
      <c r="ADX14" s="2854"/>
      <c r="ADY14" s="2854"/>
      <c r="ADZ14" s="2854"/>
      <c r="AEA14" s="2854"/>
      <c r="AEB14" s="2854"/>
      <c r="AEC14" s="2854"/>
      <c r="AED14" s="2854"/>
      <c r="AEE14" s="2854"/>
      <c r="AEF14" s="2854"/>
      <c r="AEG14" s="2854"/>
      <c r="AEH14" s="2854"/>
      <c r="AEI14" s="2854"/>
      <c r="AEJ14" s="2854"/>
      <c r="AEK14" s="2854"/>
      <c r="AEL14" s="2854"/>
      <c r="AEM14" s="2854"/>
      <c r="AEN14" s="2854"/>
      <c r="AEO14" s="2854"/>
      <c r="AEP14" s="2854"/>
      <c r="AEQ14" s="2854"/>
      <c r="AER14" s="2854"/>
      <c r="AES14" s="2854"/>
      <c r="AET14" s="2854"/>
      <c r="AEU14" s="2854"/>
      <c r="AEV14" s="2854"/>
      <c r="AEW14" s="2854"/>
      <c r="AEX14" s="2854"/>
      <c r="AEY14" s="2854"/>
      <c r="AEZ14" s="2854"/>
      <c r="AFA14" s="2854"/>
      <c r="AFB14" s="2854"/>
      <c r="AFC14" s="2854"/>
      <c r="AFD14" s="2854"/>
      <c r="AFE14" s="2854"/>
      <c r="AFF14" s="2854"/>
      <c r="AFG14" s="2854"/>
      <c r="AFH14" s="2854"/>
      <c r="AFI14" s="2854"/>
      <c r="AFJ14" s="2854"/>
      <c r="AFK14" s="2854"/>
      <c r="AFL14" s="2854"/>
      <c r="AFM14" s="2854"/>
      <c r="AFN14" s="2854"/>
      <c r="AFO14" s="2854"/>
      <c r="AFP14" s="2854"/>
      <c r="AFQ14" s="2854"/>
      <c r="AFR14" s="2854"/>
      <c r="AFS14" s="2854"/>
      <c r="AFT14" s="2854"/>
      <c r="AFU14" s="2854"/>
      <c r="AFV14" s="2854"/>
      <c r="AFW14" s="2854"/>
      <c r="AFX14" s="2854"/>
      <c r="AFY14" s="2854"/>
      <c r="AFZ14" s="2854"/>
      <c r="AGA14" s="2854"/>
      <c r="AGB14" s="2854"/>
      <c r="AGC14" s="2854"/>
      <c r="AGD14" s="2854"/>
      <c r="AGE14" s="2854"/>
      <c r="AGF14" s="2854"/>
      <c r="AGG14" s="2854"/>
      <c r="AGH14" s="2854"/>
      <c r="AGI14" s="2854"/>
      <c r="AGJ14" s="2854"/>
      <c r="AGK14" s="2854"/>
      <c r="AGL14" s="2854"/>
      <c r="AGM14" s="2854"/>
      <c r="AGN14" s="2854"/>
      <c r="AGO14" s="2854"/>
      <c r="AGP14" s="2854"/>
      <c r="AGQ14" s="2854"/>
      <c r="AGR14" s="2854"/>
      <c r="AGS14" s="2854"/>
      <c r="AGT14" s="2854"/>
      <c r="AGU14" s="2854"/>
      <c r="AGV14" s="2854"/>
      <c r="AGW14" s="2854"/>
      <c r="AGX14" s="2854"/>
      <c r="AGY14" s="2854"/>
      <c r="AGZ14" s="2854"/>
      <c r="AHA14" s="2854"/>
      <c r="AHB14" s="2854"/>
      <c r="AHC14" s="2854"/>
      <c r="AHD14" s="2854"/>
      <c r="AHE14" s="2854"/>
      <c r="AHF14" s="2854"/>
      <c r="AHG14" s="2854"/>
      <c r="AHH14" s="2854"/>
      <c r="AHI14" s="2854"/>
      <c r="AHJ14" s="2854"/>
      <c r="AHK14" s="2854"/>
      <c r="AHL14" s="2854"/>
      <c r="AHM14" s="2854"/>
      <c r="AHN14" s="2854"/>
      <c r="AHO14" s="2854"/>
      <c r="AHP14" s="2854"/>
      <c r="AHQ14" s="2854"/>
      <c r="AHR14" s="2854"/>
      <c r="AHS14" s="2854"/>
      <c r="AHT14" s="2854"/>
      <c r="AHU14" s="2854"/>
      <c r="AHV14" s="2854"/>
      <c r="AHW14" s="2854"/>
      <c r="AHX14" s="2854"/>
      <c r="AHY14" s="2854"/>
      <c r="AHZ14" s="2854"/>
      <c r="AIA14" s="2854"/>
      <c r="AIB14" s="2854"/>
      <c r="AIC14" s="2854"/>
      <c r="AID14" s="2854"/>
      <c r="AIE14" s="2854"/>
      <c r="AIF14" s="2854"/>
      <c r="AIG14" s="2854"/>
      <c r="AIH14" s="2854"/>
      <c r="AII14" s="2854"/>
      <c r="AIJ14" s="2854"/>
      <c r="AIK14" s="2854"/>
      <c r="AIL14" s="2854"/>
      <c r="AIM14" s="2854"/>
      <c r="AIN14" s="2854"/>
      <c r="AIO14" s="2854"/>
      <c r="AIP14" s="2854"/>
      <c r="AIQ14" s="2854"/>
      <c r="AIR14" s="2854"/>
      <c r="AIS14" s="2854"/>
      <c r="AIT14" s="2854"/>
      <c r="AIU14" s="2854"/>
      <c r="AIV14" s="2854"/>
      <c r="AIW14" s="2854"/>
      <c r="AIX14" s="2854"/>
      <c r="AIY14" s="2854"/>
      <c r="AIZ14" s="2854"/>
      <c r="AJA14" s="2854"/>
      <c r="AJB14" s="2854"/>
      <c r="AJC14" s="2854"/>
      <c r="AJD14" s="2854"/>
      <c r="AJE14" s="2854"/>
      <c r="AJF14" s="2854"/>
      <c r="AJG14" s="2854"/>
      <c r="AJH14" s="2854"/>
      <c r="AJI14" s="2854"/>
      <c r="AJJ14" s="2854"/>
      <c r="AJK14" s="2854"/>
      <c r="AJL14" s="2854"/>
      <c r="AJM14" s="2854"/>
      <c r="AJN14" s="2854"/>
      <c r="AJO14" s="2854"/>
      <c r="AJP14" s="2854"/>
      <c r="AJQ14" s="2854"/>
      <c r="AJR14" s="2854"/>
      <c r="AJS14" s="2854"/>
      <c r="AJT14" s="2854"/>
      <c r="AJU14" s="2854"/>
      <c r="AJV14" s="2854"/>
      <c r="AJW14" s="2854"/>
      <c r="AJX14" s="2854"/>
      <c r="AJY14" s="2854"/>
      <c r="AJZ14" s="2854"/>
      <c r="AKA14" s="2854"/>
      <c r="AKB14" s="2854"/>
      <c r="AKC14" s="2854"/>
      <c r="AKD14" s="2854"/>
      <c r="AKE14" s="2854"/>
      <c r="AKF14" s="2854"/>
      <c r="AKG14" s="2854"/>
      <c r="AKH14" s="2854"/>
      <c r="AKI14" s="2854"/>
      <c r="AKJ14" s="2854"/>
      <c r="AKK14" s="2854"/>
      <c r="AKL14" s="2854"/>
      <c r="AKM14" s="2854"/>
      <c r="AKN14" s="2854"/>
      <c r="AKO14" s="2854"/>
      <c r="AKP14" s="2854"/>
      <c r="AKQ14" s="2854"/>
      <c r="AKR14" s="2854"/>
      <c r="AKS14" s="2854"/>
      <c r="AKT14" s="2854"/>
      <c r="AKU14" s="2854"/>
      <c r="AKV14" s="2854"/>
      <c r="AKW14" s="2854"/>
      <c r="AKX14" s="2854"/>
      <c r="AKY14" s="2854"/>
      <c r="AKZ14" s="2854"/>
      <c r="ALA14" s="2854"/>
      <c r="ALB14" s="2854"/>
      <c r="ALC14" s="2854"/>
      <c r="ALD14" s="2854"/>
      <c r="ALE14" s="2854"/>
      <c r="ALF14" s="2854"/>
      <c r="ALG14" s="2854"/>
      <c r="ALH14" s="2854"/>
      <c r="ALI14" s="2854"/>
      <c r="ALJ14" s="2854"/>
      <c r="ALK14" s="2854"/>
      <c r="ALL14" s="2854"/>
      <c r="ALM14" s="2854"/>
      <c r="ALN14" s="2854"/>
      <c r="ALO14" s="2854"/>
      <c r="ALP14" s="2854"/>
      <c r="ALQ14" s="2854"/>
      <c r="ALR14" s="2854"/>
      <c r="ALS14" s="2854"/>
      <c r="ALT14" s="2854"/>
      <c r="ALU14" s="2854"/>
      <c r="ALV14" s="2854"/>
      <c r="ALW14" s="2854"/>
      <c r="ALX14" s="2854"/>
      <c r="ALY14" s="2854"/>
      <c r="ALZ14" s="2854"/>
      <c r="AMA14" s="2854"/>
      <c r="AMB14" s="2854"/>
      <c r="AMC14" s="2854"/>
      <c r="AMD14" s="2854"/>
      <c r="AME14" s="2854"/>
      <c r="AMF14" s="2854"/>
      <c r="AMG14" s="2854"/>
      <c r="AMH14" s="2854"/>
      <c r="AMI14" s="2854"/>
      <c r="AMJ14" s="2854"/>
      <c r="AMK14" s="2854"/>
      <c r="AML14" s="2854"/>
      <c r="AMM14" s="2854"/>
      <c r="AMN14" s="2854"/>
      <c r="AMO14" s="2854"/>
      <c r="AMP14" s="2854"/>
      <c r="AMQ14" s="2854"/>
      <c r="AMR14" s="2854"/>
      <c r="AMS14" s="2854"/>
      <c r="AMT14" s="2854"/>
      <c r="AMU14" s="2854"/>
      <c r="AMV14" s="2854"/>
      <c r="AMW14" s="2854"/>
      <c r="AMX14" s="2854"/>
      <c r="AMY14" s="2854"/>
      <c r="AMZ14" s="2854"/>
      <c r="ANA14" s="2854"/>
      <c r="ANB14" s="2854"/>
      <c r="ANC14" s="2854"/>
      <c r="AND14" s="2854"/>
      <c r="ANE14" s="2854"/>
      <c r="ANF14" s="2854"/>
      <c r="ANG14" s="2854"/>
      <c r="ANH14" s="2854"/>
      <c r="ANI14" s="2854"/>
      <c r="ANJ14" s="2854"/>
      <c r="ANK14" s="2854"/>
      <c r="ANL14" s="2854"/>
      <c r="ANM14" s="2854"/>
      <c r="ANN14" s="2854"/>
      <c r="ANO14" s="2854"/>
      <c r="ANP14" s="2854"/>
      <c r="ANQ14" s="2854"/>
      <c r="ANR14" s="2854"/>
      <c r="ANS14" s="2854"/>
      <c r="ANT14" s="2854"/>
      <c r="ANU14" s="2854"/>
      <c r="ANV14" s="2854"/>
      <c r="ANW14" s="2854"/>
      <c r="ANX14" s="2854"/>
      <c r="ANY14" s="2854"/>
      <c r="ANZ14" s="2854"/>
      <c r="AOA14" s="2854"/>
      <c r="AOB14" s="2854"/>
      <c r="AOC14" s="2854"/>
      <c r="AOD14" s="2854"/>
      <c r="AOE14" s="2854"/>
      <c r="AOF14" s="2854"/>
      <c r="AOG14" s="2854"/>
      <c r="AOH14" s="2854"/>
      <c r="AOI14" s="2854"/>
      <c r="AOJ14" s="2854"/>
      <c r="AOK14" s="2854"/>
      <c r="AOL14" s="2854"/>
      <c r="AOM14" s="2854"/>
      <c r="AON14" s="2854"/>
      <c r="AOO14" s="2854"/>
      <c r="AOP14" s="2854"/>
      <c r="AOQ14" s="2854"/>
      <c r="AOR14" s="2854"/>
      <c r="AOS14" s="2854"/>
      <c r="AOT14" s="2854"/>
      <c r="AOU14" s="2854"/>
      <c r="AOV14" s="2854"/>
      <c r="AOW14" s="2854"/>
      <c r="AOX14" s="2854"/>
      <c r="AOY14" s="2854"/>
      <c r="AOZ14" s="2854"/>
      <c r="APA14" s="2854"/>
      <c r="APB14" s="2854"/>
      <c r="APC14" s="2854"/>
      <c r="APD14" s="2854"/>
      <c r="APE14" s="2854"/>
      <c r="APF14" s="2854"/>
      <c r="APG14" s="2854"/>
      <c r="APH14" s="2854"/>
      <c r="API14" s="2854"/>
      <c r="APJ14" s="2854"/>
      <c r="APK14" s="2854"/>
      <c r="APL14" s="2854"/>
      <c r="APM14" s="2854"/>
      <c r="APN14" s="2854"/>
      <c r="APO14" s="2854"/>
      <c r="APP14" s="2854"/>
      <c r="APQ14" s="2854"/>
      <c r="APR14" s="2854"/>
      <c r="APS14" s="2854"/>
      <c r="APT14" s="2854"/>
      <c r="APU14" s="2854"/>
      <c r="APV14" s="2854"/>
      <c r="APW14" s="2854"/>
      <c r="APX14" s="2854"/>
      <c r="APY14" s="2854"/>
      <c r="APZ14" s="2854"/>
      <c r="AQA14" s="2854"/>
      <c r="AQB14" s="2854"/>
      <c r="AQC14" s="2854"/>
      <c r="AQD14" s="2854"/>
      <c r="AQE14" s="2854"/>
      <c r="AQF14" s="2854"/>
      <c r="AQG14" s="2854"/>
      <c r="AQH14" s="2854"/>
      <c r="AQI14" s="2854"/>
      <c r="AQJ14" s="2854"/>
      <c r="AQK14" s="2854"/>
      <c r="AQL14" s="2854"/>
      <c r="AQM14" s="2854"/>
      <c r="AQN14" s="2854"/>
      <c r="AQO14" s="2854"/>
      <c r="AQP14" s="2854"/>
      <c r="AQQ14" s="2854"/>
      <c r="AQR14" s="2854"/>
      <c r="AQS14" s="2854"/>
      <c r="AQT14" s="2854"/>
      <c r="AQU14" s="2854"/>
      <c r="AQV14" s="2854"/>
      <c r="AQW14" s="2854"/>
      <c r="AQX14" s="2854"/>
      <c r="AQY14" s="2854"/>
      <c r="AQZ14" s="2854"/>
      <c r="ARA14" s="2854"/>
      <c r="ARB14" s="2854"/>
      <c r="ARC14" s="2854"/>
      <c r="ARD14" s="2854"/>
      <c r="ARE14" s="2854"/>
      <c r="ARF14" s="2854"/>
      <c r="ARG14" s="2854"/>
      <c r="ARH14" s="2854"/>
      <c r="ARI14" s="2854"/>
      <c r="ARJ14" s="2854"/>
      <c r="ARK14" s="2854"/>
      <c r="ARL14" s="2854"/>
      <c r="ARM14" s="2854"/>
      <c r="ARN14" s="2854"/>
      <c r="ARO14" s="2854"/>
      <c r="ARP14" s="2854"/>
      <c r="ARQ14" s="2854"/>
      <c r="ARR14" s="2854"/>
      <c r="ARS14" s="2854"/>
      <c r="ART14" s="2854"/>
      <c r="ARU14" s="2854"/>
      <c r="ARV14" s="2854"/>
      <c r="ARW14" s="2854"/>
      <c r="ARX14" s="2854"/>
      <c r="ARY14" s="2854"/>
      <c r="ARZ14" s="2854"/>
      <c r="ASA14" s="2854"/>
      <c r="ASB14" s="2854"/>
      <c r="ASC14" s="2854"/>
      <c r="ASD14" s="2854"/>
      <c r="ASE14" s="2854"/>
      <c r="ASF14" s="2854"/>
      <c r="ASG14" s="2854"/>
      <c r="ASH14" s="2854"/>
      <c r="ASI14" s="2854"/>
      <c r="ASJ14" s="2854"/>
      <c r="ASK14" s="2854"/>
      <c r="ASL14" s="2854"/>
      <c r="ASM14" s="2854"/>
      <c r="ASN14" s="2854"/>
      <c r="ASO14" s="2854"/>
      <c r="ASP14" s="2854"/>
      <c r="ASQ14" s="2854"/>
      <c r="ASR14" s="2854"/>
      <c r="ASS14" s="2854"/>
      <c r="AST14" s="2854"/>
      <c r="ASU14" s="2854"/>
      <c r="ASV14" s="2854"/>
      <c r="ASW14" s="2854"/>
      <c r="ASX14" s="2854"/>
      <c r="ASY14" s="2854"/>
      <c r="ASZ14" s="2854"/>
      <c r="ATA14" s="2854"/>
      <c r="ATB14" s="2854"/>
      <c r="ATC14" s="2854"/>
      <c r="ATD14" s="2854"/>
      <c r="ATE14" s="2854"/>
      <c r="ATF14" s="2854"/>
      <c r="ATG14" s="2854"/>
      <c r="ATH14" s="2854"/>
      <c r="ATI14" s="2854"/>
      <c r="ATJ14" s="2854"/>
      <c r="ATK14" s="2854"/>
      <c r="ATL14" s="2854"/>
      <c r="ATM14" s="2854"/>
      <c r="ATN14" s="2854"/>
      <c r="ATO14" s="2854"/>
      <c r="ATP14" s="2854"/>
      <c r="ATQ14" s="2854"/>
      <c r="ATR14" s="2854"/>
      <c r="ATS14" s="2854"/>
      <c r="ATT14" s="2854"/>
      <c r="ATU14" s="2854"/>
      <c r="ATV14" s="2854"/>
      <c r="ATW14" s="2854"/>
      <c r="ATX14" s="2854"/>
      <c r="ATY14" s="2854"/>
      <c r="ATZ14" s="2854"/>
      <c r="AUA14" s="2854"/>
      <c r="AUB14" s="2854"/>
      <c r="AUC14" s="2854"/>
      <c r="AUD14" s="2854"/>
      <c r="AUE14" s="2854"/>
      <c r="AUF14" s="2854"/>
      <c r="AUG14" s="2854"/>
      <c r="AUH14" s="2854"/>
      <c r="AUI14" s="2854"/>
      <c r="AUJ14" s="2854"/>
      <c r="AUK14" s="2854"/>
      <c r="AUL14" s="2854"/>
      <c r="AUM14" s="2854"/>
      <c r="AUN14" s="2854"/>
      <c r="AUO14" s="2854"/>
      <c r="AUP14" s="2854"/>
      <c r="AUQ14" s="2854"/>
      <c r="AUR14" s="2854"/>
      <c r="AUS14" s="2854"/>
      <c r="AUT14" s="2854"/>
      <c r="AUU14" s="2854"/>
      <c r="AUV14" s="2854"/>
      <c r="AUW14" s="2854"/>
      <c r="AUX14" s="2854"/>
      <c r="AUY14" s="2854"/>
      <c r="AUZ14" s="2854"/>
      <c r="AVA14" s="2854"/>
      <c r="AVB14" s="2854"/>
      <c r="AVC14" s="2854"/>
      <c r="AVD14" s="2854"/>
      <c r="AVE14" s="2854"/>
      <c r="AVF14" s="2854"/>
      <c r="AVG14" s="2854"/>
      <c r="AVH14" s="2854"/>
      <c r="AVI14" s="2854"/>
      <c r="AVJ14" s="2854"/>
      <c r="AVK14" s="2854"/>
      <c r="AVL14" s="2854"/>
      <c r="AVM14" s="2854"/>
      <c r="AVN14" s="2854"/>
      <c r="AVO14" s="2854"/>
      <c r="AVP14" s="2854"/>
      <c r="AVQ14" s="2854"/>
      <c r="AVR14" s="2854"/>
      <c r="AVS14" s="2854"/>
      <c r="AVT14" s="2854"/>
      <c r="AVU14" s="2854"/>
      <c r="AVV14" s="2854"/>
      <c r="AVW14" s="2854"/>
      <c r="AVX14" s="2854"/>
      <c r="AVY14" s="2854"/>
      <c r="AVZ14" s="2854"/>
      <c r="AWA14" s="2854"/>
      <c r="AWB14" s="2854"/>
      <c r="AWC14" s="2854"/>
      <c r="AWD14" s="2854"/>
      <c r="AWE14" s="2854"/>
      <c r="AWF14" s="2854"/>
      <c r="AWG14" s="2854"/>
      <c r="AWH14" s="2854"/>
      <c r="AWI14" s="2854"/>
      <c r="AWJ14" s="2854"/>
      <c r="AWK14" s="2854"/>
      <c r="AWL14" s="2854"/>
      <c r="AWM14" s="2854"/>
      <c r="AWN14" s="2854"/>
      <c r="AWO14" s="2854"/>
      <c r="AWP14" s="2854"/>
      <c r="AWQ14" s="2854"/>
      <c r="AWR14" s="2854"/>
      <c r="AWS14" s="2854"/>
      <c r="AWT14" s="2854"/>
      <c r="AWU14" s="2854"/>
      <c r="AWV14" s="2854"/>
      <c r="AWW14" s="2854"/>
      <c r="AWX14" s="2854"/>
      <c r="AWY14" s="2854"/>
      <c r="AWZ14" s="2854"/>
      <c r="AXA14" s="2854"/>
      <c r="AXB14" s="2854"/>
      <c r="AXC14" s="2854"/>
      <c r="AXD14" s="2854"/>
      <c r="AXE14" s="2854"/>
      <c r="AXF14" s="2854"/>
      <c r="AXG14" s="2854"/>
      <c r="AXH14" s="2854"/>
      <c r="AXI14" s="2854"/>
      <c r="AXJ14" s="2854"/>
      <c r="AXK14" s="2854"/>
      <c r="AXL14" s="2854"/>
      <c r="AXM14" s="2854"/>
      <c r="AXN14" s="2854"/>
      <c r="AXO14" s="2854"/>
      <c r="AXP14" s="2854"/>
      <c r="AXQ14" s="2854"/>
      <c r="AXR14" s="2854"/>
      <c r="AXS14" s="2854"/>
      <c r="AXT14" s="2854"/>
      <c r="AXU14" s="2854"/>
      <c r="AXV14" s="2854"/>
      <c r="AXW14" s="2854"/>
      <c r="AXX14" s="2854"/>
      <c r="AXY14" s="2854"/>
      <c r="AXZ14" s="2854"/>
      <c r="AYA14" s="2854"/>
      <c r="AYB14" s="2854"/>
      <c r="AYC14" s="2854"/>
      <c r="AYD14" s="2854"/>
      <c r="AYE14" s="2854"/>
      <c r="AYF14" s="2854"/>
      <c r="AYG14" s="2854"/>
      <c r="AYH14" s="2854"/>
      <c r="AYI14" s="2854"/>
      <c r="AYJ14" s="2854"/>
      <c r="AYK14" s="2854"/>
      <c r="AYL14" s="2854"/>
      <c r="AYM14" s="2854"/>
      <c r="AYN14" s="2854"/>
      <c r="AYO14" s="2854"/>
      <c r="AYP14" s="2854"/>
      <c r="AYQ14" s="2854"/>
      <c r="AYR14" s="2854"/>
      <c r="AYS14" s="2854"/>
      <c r="AYT14" s="2854"/>
      <c r="AYU14" s="2854"/>
      <c r="AYV14" s="2854"/>
      <c r="AYW14" s="2854"/>
      <c r="AYX14" s="2854"/>
      <c r="AYY14" s="2854"/>
      <c r="AYZ14" s="2854"/>
      <c r="AZA14" s="2854"/>
      <c r="AZB14" s="2854"/>
      <c r="AZC14" s="2854"/>
      <c r="AZD14" s="2854"/>
      <c r="AZE14" s="2854"/>
      <c r="AZF14" s="2854"/>
      <c r="AZG14" s="2854"/>
      <c r="AZH14" s="2854"/>
      <c r="AZI14" s="2854"/>
      <c r="AZJ14" s="2854"/>
      <c r="AZK14" s="2854"/>
      <c r="AZL14" s="2854"/>
      <c r="AZM14" s="2854"/>
      <c r="AZN14" s="2854"/>
      <c r="AZO14" s="2854"/>
      <c r="AZP14" s="2854"/>
      <c r="AZQ14" s="2854"/>
      <c r="AZR14" s="2854"/>
      <c r="AZS14" s="2854"/>
      <c r="AZT14" s="2854"/>
      <c r="AZU14" s="2854"/>
      <c r="AZV14" s="2854"/>
      <c r="AZW14" s="2854"/>
      <c r="AZX14" s="2854"/>
      <c r="AZY14" s="2854"/>
      <c r="AZZ14" s="2854"/>
      <c r="BAA14" s="2854"/>
      <c r="BAB14" s="2854"/>
      <c r="BAC14" s="2854"/>
      <c r="BAD14" s="2854"/>
      <c r="BAE14" s="2854"/>
      <c r="BAF14" s="2854"/>
      <c r="BAG14" s="2854"/>
      <c r="BAH14" s="2854"/>
      <c r="BAI14" s="2854"/>
      <c r="BAJ14" s="2854"/>
      <c r="BAK14" s="2854"/>
      <c r="BAL14" s="2854"/>
      <c r="BAM14" s="2854"/>
      <c r="BAN14" s="2854"/>
      <c r="BAO14" s="2854"/>
      <c r="BAP14" s="2854"/>
      <c r="BAQ14" s="2854"/>
      <c r="BAR14" s="2854"/>
      <c r="BAS14" s="2854"/>
      <c r="BAT14" s="2854"/>
      <c r="BAU14" s="2854"/>
      <c r="BAV14" s="2854"/>
      <c r="BAW14" s="2854"/>
      <c r="BAX14" s="2854"/>
      <c r="BAY14" s="2854"/>
      <c r="BAZ14" s="2854"/>
      <c r="BBA14" s="2854"/>
      <c r="BBB14" s="2854"/>
      <c r="BBC14" s="2854"/>
      <c r="BBD14" s="2854"/>
      <c r="BBE14" s="2854"/>
      <c r="BBF14" s="2854"/>
      <c r="BBG14" s="2854"/>
      <c r="BBH14" s="2854"/>
      <c r="BBI14" s="2854"/>
      <c r="BBJ14" s="2854"/>
      <c r="BBK14" s="2854"/>
      <c r="BBL14" s="2854"/>
      <c r="BBM14" s="2854"/>
      <c r="BBN14" s="2854"/>
      <c r="BBO14" s="2854"/>
      <c r="BBP14" s="2854"/>
      <c r="BBQ14" s="2854"/>
      <c r="BBR14" s="2854"/>
      <c r="BBS14" s="2854"/>
      <c r="BBT14" s="2854"/>
      <c r="BBU14" s="2854"/>
      <c r="BBV14" s="2854"/>
      <c r="BBW14" s="2854"/>
      <c r="BBX14" s="2854"/>
      <c r="BBY14" s="2854"/>
      <c r="BBZ14" s="2854"/>
      <c r="BCA14" s="2854"/>
      <c r="BCB14" s="2854"/>
      <c r="BCC14" s="2854"/>
      <c r="BCD14" s="2854"/>
      <c r="BCE14" s="2854"/>
      <c r="BCF14" s="2854"/>
      <c r="BCG14" s="2854"/>
      <c r="BCH14" s="2854"/>
      <c r="BCI14" s="2854"/>
      <c r="BCJ14" s="2854"/>
      <c r="BCK14" s="2854"/>
      <c r="BCL14" s="2854"/>
      <c r="BCM14" s="2854"/>
      <c r="BCN14" s="2854"/>
      <c r="BCO14" s="2854"/>
      <c r="BCP14" s="2854"/>
      <c r="BCQ14" s="2854"/>
      <c r="BCR14" s="2854"/>
      <c r="BCS14" s="2854"/>
      <c r="BCT14" s="2854"/>
      <c r="BCU14" s="2854"/>
      <c r="BCV14" s="2854"/>
      <c r="BCW14" s="2854"/>
      <c r="BCX14" s="2854"/>
      <c r="BCY14" s="2854"/>
      <c r="BCZ14" s="2854"/>
      <c r="BDA14" s="2854"/>
      <c r="BDB14" s="2854"/>
      <c r="BDC14" s="2854"/>
      <c r="BDD14" s="2854"/>
      <c r="BDE14" s="2854"/>
      <c r="BDF14" s="2854"/>
      <c r="BDG14" s="2854"/>
      <c r="BDH14" s="2854"/>
      <c r="BDI14" s="2854"/>
      <c r="BDJ14" s="2854"/>
      <c r="BDK14" s="2854"/>
      <c r="BDL14" s="2854"/>
      <c r="BDM14" s="2854"/>
      <c r="BDN14" s="2854"/>
      <c r="BDO14" s="2854"/>
      <c r="BDP14" s="2854"/>
      <c r="BDQ14" s="2854"/>
      <c r="BDR14" s="2854"/>
      <c r="BDS14" s="2854"/>
      <c r="BDT14" s="2854"/>
      <c r="BDU14" s="2854"/>
      <c r="BDV14" s="2854"/>
      <c r="BDW14" s="2854"/>
      <c r="BDX14" s="2854"/>
      <c r="BDY14" s="2854"/>
      <c r="BDZ14" s="2854"/>
      <c r="BEA14" s="2854"/>
      <c r="BEB14" s="2854"/>
      <c r="BEC14" s="2854"/>
      <c r="BED14" s="2854"/>
      <c r="BEE14" s="2854"/>
      <c r="BEF14" s="2854"/>
      <c r="BEG14" s="2854"/>
      <c r="BEH14" s="2854"/>
      <c r="BEI14" s="2854"/>
      <c r="BEJ14" s="2854"/>
      <c r="BEK14" s="2854"/>
      <c r="BEL14" s="2854"/>
      <c r="BEM14" s="2854"/>
      <c r="BEN14" s="2854"/>
      <c r="BEO14" s="2854"/>
      <c r="BEP14" s="2854"/>
      <c r="BEQ14" s="2854"/>
      <c r="BER14" s="2854"/>
      <c r="BES14" s="2854"/>
      <c r="BET14" s="2854"/>
      <c r="BEU14" s="2854"/>
      <c r="BEV14" s="2854"/>
      <c r="BEW14" s="2854"/>
      <c r="BEX14" s="2854"/>
      <c r="BEY14" s="2854"/>
      <c r="BEZ14" s="2854"/>
      <c r="BFA14" s="2854"/>
      <c r="BFB14" s="2854"/>
      <c r="BFC14" s="2854"/>
      <c r="BFD14" s="2854"/>
      <c r="BFE14" s="2854"/>
      <c r="BFF14" s="2854"/>
      <c r="BFG14" s="2854"/>
      <c r="BFH14" s="2854"/>
      <c r="BFI14" s="2854"/>
      <c r="BFJ14" s="2854"/>
      <c r="BFK14" s="2854"/>
      <c r="BFL14" s="2854"/>
      <c r="BFM14" s="2854"/>
      <c r="BFN14" s="2854"/>
      <c r="BFO14" s="2854"/>
      <c r="BFP14" s="2854"/>
      <c r="BFQ14" s="2854"/>
      <c r="BFR14" s="2854"/>
      <c r="BFS14" s="2854"/>
      <c r="BFT14" s="2854"/>
      <c r="BFU14" s="2854"/>
      <c r="BFV14" s="2854"/>
      <c r="BFW14" s="2854"/>
      <c r="BFX14" s="2854"/>
      <c r="BFY14" s="2854"/>
      <c r="BFZ14" s="2854"/>
      <c r="BGA14" s="2854"/>
      <c r="BGB14" s="2854"/>
      <c r="BGC14" s="2854"/>
      <c r="BGD14" s="2854"/>
      <c r="BGE14" s="2854"/>
      <c r="BGF14" s="2854"/>
      <c r="BGG14" s="2854"/>
      <c r="BGH14" s="2854"/>
      <c r="BGI14" s="2854"/>
      <c r="BGJ14" s="2854"/>
      <c r="BGK14" s="2854"/>
      <c r="BGL14" s="2854"/>
      <c r="BGM14" s="2854"/>
      <c r="BGN14" s="2854"/>
      <c r="BGO14" s="2854"/>
      <c r="BGP14" s="2854"/>
      <c r="BGQ14" s="2854"/>
      <c r="BGR14" s="2854"/>
      <c r="BGS14" s="2854"/>
      <c r="BGT14" s="2854"/>
      <c r="BGU14" s="2854"/>
      <c r="BGV14" s="2854"/>
      <c r="BGW14" s="2854"/>
      <c r="BGX14" s="2854"/>
      <c r="BGY14" s="2854"/>
      <c r="BGZ14" s="2854"/>
      <c r="BHA14" s="2854"/>
      <c r="BHB14" s="2854"/>
      <c r="BHC14" s="2854"/>
      <c r="BHD14" s="2854"/>
      <c r="BHE14" s="2854"/>
      <c r="BHF14" s="2854"/>
      <c r="BHG14" s="2854"/>
      <c r="BHH14" s="2854"/>
      <c r="BHI14" s="2854"/>
      <c r="BHJ14" s="2854"/>
      <c r="BHK14" s="2854"/>
      <c r="BHL14" s="2854"/>
      <c r="BHM14" s="2854"/>
      <c r="BHN14" s="2854"/>
      <c r="BHO14" s="2854"/>
      <c r="BHP14" s="2854"/>
      <c r="BHQ14" s="2854"/>
      <c r="BHR14" s="2854"/>
      <c r="BHS14" s="2854"/>
      <c r="BHT14" s="2854"/>
      <c r="BHU14" s="2854"/>
      <c r="BHV14" s="2854"/>
      <c r="BHW14" s="2854"/>
      <c r="BHX14" s="2854"/>
      <c r="BHY14" s="2854"/>
      <c r="BHZ14" s="2854"/>
      <c r="BIA14" s="2854"/>
      <c r="BIB14" s="2854"/>
      <c r="BIC14" s="2854"/>
      <c r="BID14" s="2854"/>
      <c r="BIE14" s="2854"/>
      <c r="BIF14" s="2854"/>
      <c r="BIG14" s="2854"/>
      <c r="BIH14" s="2854"/>
      <c r="BII14" s="2854"/>
      <c r="BIJ14" s="2854"/>
      <c r="BIK14" s="2854"/>
      <c r="BIL14" s="2854"/>
      <c r="BIM14" s="2854"/>
      <c r="BIN14" s="2854"/>
      <c r="BIO14" s="2854"/>
      <c r="BIP14" s="2854"/>
      <c r="BIQ14" s="2854"/>
      <c r="BIR14" s="2854"/>
      <c r="BIS14" s="2854"/>
      <c r="BIT14" s="2854"/>
      <c r="BIU14" s="2854"/>
      <c r="BIV14" s="2854"/>
      <c r="BIW14" s="2854"/>
      <c r="BIX14" s="2854"/>
      <c r="BIY14" s="2854"/>
      <c r="BIZ14" s="2854"/>
      <c r="BJA14" s="2854"/>
      <c r="BJB14" s="2854"/>
      <c r="BJC14" s="2854"/>
      <c r="BJD14" s="2854"/>
      <c r="BJE14" s="2854"/>
      <c r="BJF14" s="2854"/>
      <c r="BJG14" s="2854"/>
      <c r="BJH14" s="2854"/>
      <c r="BJI14" s="2854"/>
      <c r="BJJ14" s="2854"/>
      <c r="BJK14" s="2854"/>
      <c r="BJL14" s="2854"/>
      <c r="BJM14" s="2854"/>
      <c r="BJN14" s="2854"/>
      <c r="BJO14" s="2854"/>
      <c r="BJP14" s="2854"/>
      <c r="BJQ14" s="2854"/>
      <c r="BJR14" s="2854"/>
      <c r="BJS14" s="2854"/>
      <c r="BJT14" s="2854"/>
      <c r="BJU14" s="2854"/>
      <c r="BJV14" s="2854"/>
      <c r="BJW14" s="2854"/>
      <c r="BJX14" s="2854"/>
      <c r="BJY14" s="2854"/>
      <c r="BJZ14" s="2854"/>
      <c r="BKA14" s="2854"/>
      <c r="BKB14" s="2854"/>
      <c r="BKC14" s="2854"/>
      <c r="BKD14" s="2854"/>
      <c r="BKE14" s="2854"/>
      <c r="BKF14" s="2854"/>
      <c r="BKG14" s="2854"/>
      <c r="BKH14" s="2854"/>
      <c r="BKI14" s="2854"/>
      <c r="BKJ14" s="2854"/>
      <c r="BKK14" s="2854"/>
      <c r="BKL14" s="2854"/>
      <c r="BKM14" s="2854"/>
      <c r="BKN14" s="2854"/>
      <c r="BKO14" s="2854"/>
      <c r="BKP14" s="2854"/>
      <c r="BKQ14" s="2854"/>
      <c r="BKR14" s="2854"/>
      <c r="BKS14" s="2854"/>
      <c r="BKT14" s="2854"/>
      <c r="BKU14" s="2854"/>
      <c r="BKV14" s="2854"/>
      <c r="BKW14" s="2854"/>
      <c r="BKX14" s="2854"/>
      <c r="BKY14" s="2854"/>
      <c r="BKZ14" s="2854"/>
      <c r="BLA14" s="2854"/>
      <c r="BLB14" s="2854"/>
      <c r="BLC14" s="2854"/>
      <c r="BLD14" s="2854"/>
      <c r="BLE14" s="2854"/>
      <c r="BLF14" s="2854"/>
      <c r="BLG14" s="2854"/>
      <c r="BLH14" s="2854"/>
      <c r="BLI14" s="2854"/>
      <c r="BLJ14" s="2854"/>
      <c r="BLK14" s="2854"/>
      <c r="BLL14" s="2854"/>
      <c r="BLM14" s="2854"/>
      <c r="BLN14" s="2854"/>
      <c r="BLO14" s="2854"/>
      <c r="BLP14" s="2854"/>
      <c r="BLQ14" s="2854"/>
      <c r="BLR14" s="2854"/>
      <c r="BLS14" s="2854"/>
      <c r="BLT14" s="2854"/>
      <c r="BLU14" s="2854"/>
      <c r="BLV14" s="2854"/>
      <c r="BLW14" s="2854"/>
      <c r="BLX14" s="2854"/>
      <c r="BLY14" s="2854"/>
      <c r="BLZ14" s="2854"/>
      <c r="BMA14" s="2854"/>
      <c r="BMB14" s="2854"/>
      <c r="BMC14" s="2854"/>
      <c r="BMD14" s="2854"/>
      <c r="BME14" s="2854"/>
      <c r="BMF14" s="2854"/>
      <c r="BMG14" s="2854"/>
      <c r="BMH14" s="2854"/>
      <c r="BMI14" s="2854"/>
      <c r="BMJ14" s="2854"/>
      <c r="BMK14" s="2854"/>
      <c r="BML14" s="2854"/>
      <c r="BMM14" s="2854"/>
      <c r="BMN14" s="2854"/>
      <c r="BMO14" s="2854"/>
      <c r="BMP14" s="2854"/>
      <c r="BMQ14" s="2854"/>
      <c r="BMR14" s="2854"/>
      <c r="BMS14" s="2854"/>
      <c r="BMT14" s="2854"/>
      <c r="BMU14" s="2854"/>
      <c r="BMV14" s="2854"/>
      <c r="BMW14" s="2854"/>
      <c r="BMX14" s="2854"/>
      <c r="BMY14" s="2854"/>
      <c r="BMZ14" s="2854"/>
      <c r="BNA14" s="2854"/>
      <c r="BNB14" s="2854"/>
      <c r="BNC14" s="2854"/>
      <c r="BND14" s="2854"/>
      <c r="BNE14" s="2854"/>
      <c r="BNF14" s="2854"/>
      <c r="BNG14" s="2854"/>
      <c r="BNH14" s="2854"/>
      <c r="BNI14" s="2854"/>
      <c r="BNJ14" s="2854"/>
      <c r="BNK14" s="2854"/>
      <c r="BNL14" s="2854"/>
      <c r="BNM14" s="2854"/>
      <c r="BNN14" s="2854"/>
      <c r="BNO14" s="2854"/>
      <c r="BNP14" s="2854"/>
      <c r="BNQ14" s="2854"/>
      <c r="BNR14" s="2854"/>
      <c r="BNS14" s="2854"/>
      <c r="BNT14" s="2854"/>
      <c r="BNU14" s="2854"/>
      <c r="BNV14" s="2854"/>
      <c r="BNW14" s="2854"/>
      <c r="BNX14" s="2854"/>
      <c r="BNY14" s="2854"/>
      <c r="BNZ14" s="2854"/>
      <c r="BOA14" s="2854"/>
      <c r="BOB14" s="2854"/>
      <c r="BOC14" s="2854"/>
      <c r="BOD14" s="2854"/>
      <c r="BOE14" s="2854"/>
      <c r="BOF14" s="2854"/>
      <c r="BOG14" s="2854"/>
      <c r="BOH14" s="2854"/>
      <c r="BOI14" s="2854"/>
      <c r="BOJ14" s="2854"/>
      <c r="BOK14" s="2854"/>
      <c r="BOL14" s="2854"/>
      <c r="BOM14" s="2854"/>
      <c r="BON14" s="2854"/>
      <c r="BOO14" s="2854"/>
      <c r="BOP14" s="2854"/>
      <c r="BOQ14" s="2854"/>
      <c r="BOR14" s="2854"/>
      <c r="BOS14" s="2854"/>
      <c r="BOT14" s="2854"/>
      <c r="BOU14" s="2854"/>
      <c r="BOV14" s="2854"/>
      <c r="BOW14" s="2854"/>
      <c r="BOX14" s="2854"/>
      <c r="BOY14" s="2854"/>
      <c r="BOZ14" s="2854"/>
      <c r="BPA14" s="2854"/>
      <c r="BPB14" s="2854"/>
      <c r="BPC14" s="2854"/>
      <c r="BPD14" s="2854"/>
      <c r="BPE14" s="2854"/>
      <c r="BPF14" s="2854"/>
      <c r="BPG14" s="2854"/>
      <c r="BPH14" s="2854"/>
      <c r="BPI14" s="2854"/>
      <c r="BPJ14" s="2854"/>
      <c r="BPK14" s="2854"/>
      <c r="BPL14" s="2854"/>
      <c r="BPM14" s="2854"/>
      <c r="BPN14" s="2854"/>
      <c r="BPO14" s="2854"/>
      <c r="BPP14" s="2854"/>
      <c r="BPQ14" s="2854"/>
      <c r="BPR14" s="2854"/>
      <c r="BPS14" s="2854"/>
      <c r="BPT14" s="2854"/>
      <c r="BPU14" s="2854"/>
      <c r="BPV14" s="2854"/>
      <c r="BPW14" s="2854"/>
      <c r="BPX14" s="2854"/>
      <c r="BPY14" s="2854"/>
      <c r="BPZ14" s="2854"/>
      <c r="BQA14" s="2854"/>
      <c r="BQB14" s="2854"/>
      <c r="BQC14" s="2854"/>
      <c r="BQD14" s="2854"/>
      <c r="BQE14" s="2854"/>
      <c r="BQF14" s="2854"/>
      <c r="BQG14" s="2854"/>
      <c r="BQH14" s="2854"/>
      <c r="BQI14" s="2854"/>
      <c r="BQJ14" s="2854"/>
      <c r="BQK14" s="2854"/>
      <c r="BQL14" s="2854"/>
      <c r="BQM14" s="2854"/>
      <c r="BQN14" s="2854"/>
      <c r="BQO14" s="2854"/>
      <c r="BQP14" s="2854"/>
      <c r="BQQ14" s="2854"/>
      <c r="BQR14" s="2854"/>
      <c r="BQS14" s="2854"/>
      <c r="BQT14" s="2854"/>
      <c r="BQU14" s="2854"/>
      <c r="BQV14" s="2854"/>
      <c r="BQW14" s="2854"/>
      <c r="BQX14" s="2854"/>
      <c r="BQY14" s="2854"/>
      <c r="BQZ14" s="2854"/>
      <c r="BRA14" s="2854"/>
      <c r="BRB14" s="2854"/>
      <c r="BRC14" s="2854"/>
      <c r="BRD14" s="2854"/>
      <c r="BRE14" s="2854"/>
      <c r="BRF14" s="2854"/>
      <c r="BRG14" s="2854"/>
      <c r="BRH14" s="2854"/>
      <c r="BRI14" s="2854"/>
      <c r="BRJ14" s="2854"/>
      <c r="BRK14" s="2854"/>
      <c r="BRL14" s="2854"/>
      <c r="BRM14" s="2854"/>
      <c r="BRN14" s="2854"/>
      <c r="BRO14" s="2854"/>
      <c r="BRP14" s="2854"/>
      <c r="BRQ14" s="2854"/>
      <c r="BRR14" s="2854"/>
      <c r="BRS14" s="2854"/>
      <c r="BRT14" s="2854"/>
      <c r="BRU14" s="2854"/>
      <c r="BRV14" s="2854"/>
      <c r="BRW14" s="2854"/>
      <c r="BRX14" s="2854"/>
      <c r="BRY14" s="2854"/>
      <c r="BRZ14" s="2854"/>
      <c r="BSA14" s="2854"/>
      <c r="BSB14" s="2854"/>
      <c r="BSC14" s="2854"/>
      <c r="BSD14" s="2854"/>
      <c r="BSE14" s="2854"/>
      <c r="BSF14" s="2854"/>
      <c r="BSG14" s="2854"/>
      <c r="BSH14" s="2854"/>
      <c r="BSI14" s="2854"/>
      <c r="BSJ14" s="2854"/>
      <c r="BSK14" s="2854"/>
      <c r="BSL14" s="2854"/>
      <c r="BSM14" s="2854"/>
      <c r="BSN14" s="2854"/>
      <c r="BSO14" s="2854"/>
      <c r="BSP14" s="2854"/>
      <c r="BSQ14" s="2854"/>
      <c r="BSR14" s="2854"/>
      <c r="BSS14" s="2854"/>
      <c r="BST14" s="2854"/>
      <c r="BSU14" s="2854"/>
      <c r="BSV14" s="2854"/>
      <c r="BSW14" s="2854"/>
      <c r="BSX14" s="2854"/>
      <c r="BSY14" s="2854"/>
      <c r="BSZ14" s="2854"/>
      <c r="BTA14" s="2854"/>
      <c r="BTB14" s="2854"/>
      <c r="BTC14" s="2854"/>
      <c r="BTD14" s="2854"/>
      <c r="BTE14" s="2854"/>
      <c r="BTF14" s="2854"/>
      <c r="BTG14" s="2854"/>
      <c r="BTH14" s="2854"/>
      <c r="BTI14" s="2854"/>
      <c r="BTJ14" s="2854"/>
      <c r="BTK14" s="2854"/>
      <c r="BTL14" s="2854"/>
      <c r="BTM14" s="2854"/>
      <c r="BTN14" s="2854"/>
      <c r="BTO14" s="2854"/>
      <c r="BTP14" s="2854"/>
      <c r="BTQ14" s="2854"/>
      <c r="BTR14" s="2854"/>
      <c r="BTS14" s="2854"/>
      <c r="BTT14" s="2854"/>
      <c r="BTU14" s="2854"/>
      <c r="BTV14" s="2854"/>
      <c r="BTW14" s="2854"/>
      <c r="BTX14" s="2854"/>
      <c r="BTY14" s="2854"/>
      <c r="BTZ14" s="2854"/>
      <c r="BUA14" s="2854"/>
      <c r="BUB14" s="2854"/>
      <c r="BUC14" s="2854"/>
      <c r="BUD14" s="2854"/>
      <c r="BUE14" s="2854"/>
      <c r="BUF14" s="2854"/>
      <c r="BUG14" s="2854"/>
      <c r="BUH14" s="2854"/>
      <c r="BUI14" s="2854"/>
      <c r="BUJ14" s="2854"/>
      <c r="BUK14" s="2854"/>
      <c r="BUL14" s="2854"/>
      <c r="BUM14" s="2854"/>
      <c r="BUN14" s="2854"/>
      <c r="BUO14" s="2854"/>
      <c r="BUP14" s="2854"/>
      <c r="BUQ14" s="2854"/>
      <c r="BUR14" s="2854"/>
      <c r="BUS14" s="2854"/>
      <c r="BUT14" s="2854"/>
      <c r="BUU14" s="2854"/>
      <c r="BUV14" s="2854"/>
      <c r="BUW14" s="2854"/>
      <c r="BUX14" s="2854"/>
      <c r="BUY14" s="2854"/>
      <c r="BUZ14" s="2854"/>
      <c r="BVA14" s="2854"/>
      <c r="BVB14" s="2854"/>
      <c r="BVC14" s="2854"/>
      <c r="BVD14" s="2854"/>
      <c r="BVE14" s="2854"/>
      <c r="BVF14" s="2854"/>
      <c r="BVG14" s="2854"/>
      <c r="BVH14" s="2854"/>
      <c r="BVI14" s="2854"/>
      <c r="BVJ14" s="2854"/>
      <c r="BVK14" s="2854"/>
      <c r="BVL14" s="2854"/>
      <c r="BVM14" s="2854"/>
      <c r="BVN14" s="2854"/>
      <c r="BVO14" s="2854"/>
      <c r="BVP14" s="2854"/>
      <c r="BVQ14" s="2854"/>
      <c r="BVR14" s="2854"/>
      <c r="BVS14" s="2854"/>
      <c r="BVT14" s="2854"/>
      <c r="BVU14" s="2854"/>
      <c r="BVV14" s="2854"/>
      <c r="BVW14" s="2854"/>
      <c r="BVX14" s="2854"/>
      <c r="BVY14" s="2854"/>
      <c r="BVZ14" s="2854"/>
      <c r="BWA14" s="2854"/>
      <c r="BWB14" s="2854"/>
      <c r="BWC14" s="2854"/>
      <c r="BWD14" s="2854"/>
      <c r="BWE14" s="2854"/>
      <c r="BWF14" s="2854"/>
      <c r="BWG14" s="2854"/>
      <c r="BWH14" s="2854"/>
      <c r="BWI14" s="2854"/>
      <c r="BWJ14" s="2854"/>
      <c r="BWK14" s="2854"/>
      <c r="BWL14" s="2854"/>
      <c r="BWM14" s="2854"/>
      <c r="BWN14" s="2854"/>
      <c r="BWO14" s="2854"/>
      <c r="BWP14" s="2854"/>
      <c r="BWQ14" s="2854"/>
      <c r="BWR14" s="2854"/>
      <c r="BWS14" s="2854"/>
      <c r="BWT14" s="2854"/>
      <c r="BWU14" s="2854"/>
      <c r="BWV14" s="2854"/>
      <c r="BWW14" s="2854"/>
      <c r="BWX14" s="2854"/>
      <c r="BWY14" s="2854"/>
      <c r="BWZ14" s="2854"/>
      <c r="BXA14" s="2854"/>
      <c r="BXB14" s="2854"/>
      <c r="BXC14" s="2854"/>
      <c r="BXD14" s="2854"/>
      <c r="BXE14" s="2854"/>
      <c r="BXF14" s="2854"/>
      <c r="BXG14" s="2854"/>
      <c r="BXH14" s="2854"/>
      <c r="BXI14" s="2854"/>
      <c r="BXJ14" s="2854"/>
      <c r="BXK14" s="2854"/>
      <c r="BXL14" s="2854"/>
      <c r="BXM14" s="2854"/>
      <c r="BXN14" s="2854"/>
      <c r="BXO14" s="2854"/>
      <c r="BXP14" s="2854"/>
      <c r="BXQ14" s="2854"/>
      <c r="BXR14" s="2854"/>
      <c r="BXS14" s="2854"/>
      <c r="BXT14" s="2854"/>
      <c r="BXU14" s="2854"/>
      <c r="BXV14" s="2854"/>
      <c r="BXW14" s="2854"/>
      <c r="BXX14" s="2854"/>
      <c r="BXY14" s="2854"/>
      <c r="BXZ14" s="2854"/>
      <c r="BYA14" s="2854"/>
      <c r="BYB14" s="2854"/>
      <c r="BYC14" s="2854"/>
      <c r="BYD14" s="2854"/>
      <c r="BYE14" s="2854"/>
      <c r="BYF14" s="2854"/>
      <c r="BYG14" s="2854"/>
      <c r="BYH14" s="2854"/>
      <c r="BYI14" s="2854"/>
      <c r="BYJ14" s="2854"/>
      <c r="BYK14" s="2854"/>
      <c r="BYL14" s="2854"/>
      <c r="BYM14" s="2854"/>
      <c r="BYN14" s="2854"/>
      <c r="BYO14" s="2854"/>
      <c r="BYP14" s="2854"/>
      <c r="BYQ14" s="2854"/>
      <c r="BYR14" s="2854"/>
      <c r="BYS14" s="2854"/>
      <c r="BYT14" s="2854"/>
      <c r="BYU14" s="2854"/>
      <c r="BYV14" s="2854"/>
      <c r="BYW14" s="2854"/>
      <c r="BYX14" s="2854"/>
      <c r="BYY14" s="2854"/>
      <c r="BYZ14" s="2854"/>
      <c r="BZA14" s="2854"/>
      <c r="BZB14" s="2854"/>
      <c r="BZC14" s="2854"/>
      <c r="BZD14" s="2854"/>
      <c r="BZE14" s="2854"/>
      <c r="BZF14" s="2854"/>
      <c r="BZG14" s="2854"/>
      <c r="BZH14" s="2854"/>
      <c r="BZI14" s="2854"/>
      <c r="BZJ14" s="2854"/>
      <c r="BZK14" s="2854"/>
      <c r="BZL14" s="2854"/>
      <c r="BZM14" s="2854"/>
      <c r="BZN14" s="2854"/>
      <c r="BZO14" s="2854"/>
      <c r="BZP14" s="2854"/>
      <c r="BZQ14" s="2854"/>
      <c r="BZR14" s="2854"/>
      <c r="BZS14" s="2854"/>
      <c r="BZT14" s="2854"/>
      <c r="BZU14" s="2854"/>
      <c r="BZV14" s="2854"/>
      <c r="BZW14" s="2854"/>
      <c r="BZX14" s="2854"/>
      <c r="BZY14" s="2854"/>
      <c r="BZZ14" s="2854"/>
      <c r="CAA14" s="2854"/>
      <c r="CAB14" s="2854"/>
      <c r="CAC14" s="2854"/>
      <c r="CAD14" s="2854"/>
      <c r="CAE14" s="2854"/>
      <c r="CAF14" s="2854"/>
      <c r="CAG14" s="2854"/>
      <c r="CAH14" s="2854"/>
      <c r="CAI14" s="2854"/>
      <c r="CAJ14" s="2854"/>
      <c r="CAK14" s="2854"/>
      <c r="CAL14" s="2854"/>
      <c r="CAM14" s="2854"/>
      <c r="CAN14" s="2854"/>
      <c r="CAO14" s="2854"/>
      <c r="CAP14" s="2854"/>
      <c r="CAQ14" s="2854"/>
      <c r="CAR14" s="2854"/>
      <c r="CAS14" s="2854"/>
      <c r="CAT14" s="2854"/>
      <c r="CAU14" s="2854"/>
      <c r="CAV14" s="2854"/>
      <c r="CAW14" s="2854"/>
      <c r="CAX14" s="2854"/>
      <c r="CAY14" s="2854"/>
      <c r="CAZ14" s="2854"/>
      <c r="CBA14" s="2854"/>
      <c r="CBB14" s="2854"/>
      <c r="CBC14" s="2854"/>
      <c r="CBD14" s="2854"/>
      <c r="CBE14" s="2854"/>
      <c r="CBF14" s="2854"/>
      <c r="CBG14" s="2854"/>
      <c r="CBH14" s="2854"/>
      <c r="CBI14" s="2854"/>
      <c r="CBJ14" s="2854"/>
      <c r="CBK14" s="2854"/>
      <c r="CBL14" s="2854"/>
      <c r="CBM14" s="2854"/>
      <c r="CBN14" s="2854"/>
      <c r="CBO14" s="2854"/>
      <c r="CBP14" s="2854"/>
      <c r="CBQ14" s="2854"/>
      <c r="CBR14" s="2854"/>
      <c r="CBS14" s="2854"/>
      <c r="CBT14" s="2854"/>
      <c r="CBU14" s="2854"/>
      <c r="CBV14" s="2854"/>
      <c r="CBW14" s="2854"/>
      <c r="CBX14" s="2854"/>
      <c r="CBY14" s="2854"/>
      <c r="CBZ14" s="2854"/>
      <c r="CCA14" s="2854"/>
      <c r="CCB14" s="2854"/>
      <c r="CCC14" s="2854"/>
      <c r="CCD14" s="2854"/>
      <c r="CCE14" s="2854"/>
      <c r="CCF14" s="2854"/>
      <c r="CCG14" s="2854"/>
      <c r="CCH14" s="2854"/>
      <c r="CCI14" s="2854"/>
      <c r="CCJ14" s="2854"/>
      <c r="CCK14" s="2854"/>
      <c r="CCL14" s="2854"/>
      <c r="CCM14" s="2854"/>
      <c r="CCN14" s="2854"/>
      <c r="CCO14" s="2854"/>
      <c r="CCP14" s="2854"/>
      <c r="CCQ14" s="2854"/>
      <c r="CCR14" s="2854"/>
      <c r="CCS14" s="2854"/>
      <c r="CCT14" s="2854"/>
      <c r="CCU14" s="2854"/>
      <c r="CCV14" s="2854"/>
      <c r="CCW14" s="2854"/>
      <c r="CCX14" s="2854"/>
      <c r="CCY14" s="2854"/>
      <c r="CCZ14" s="2854"/>
      <c r="CDA14" s="2854"/>
      <c r="CDB14" s="2854"/>
      <c r="CDC14" s="2854"/>
      <c r="CDD14" s="2854"/>
      <c r="CDE14" s="2854"/>
      <c r="CDF14" s="2854"/>
      <c r="CDG14" s="2854"/>
      <c r="CDH14" s="2854"/>
      <c r="CDI14" s="2854"/>
      <c r="CDJ14" s="2854"/>
      <c r="CDK14" s="2854"/>
      <c r="CDL14" s="2854"/>
      <c r="CDM14" s="2854"/>
      <c r="CDN14" s="2854"/>
      <c r="CDO14" s="2854"/>
      <c r="CDP14" s="2854"/>
      <c r="CDQ14" s="2854"/>
      <c r="CDR14" s="2854"/>
      <c r="CDS14" s="2854"/>
      <c r="CDT14" s="2854"/>
      <c r="CDU14" s="2854"/>
      <c r="CDV14" s="2854"/>
      <c r="CDW14" s="2854"/>
      <c r="CDX14" s="2854"/>
      <c r="CDY14" s="2854"/>
      <c r="CDZ14" s="2854"/>
      <c r="CEA14" s="2854"/>
      <c r="CEB14" s="2854"/>
      <c r="CEC14" s="2854"/>
      <c r="CED14" s="2854"/>
      <c r="CEE14" s="2854"/>
      <c r="CEF14" s="2854"/>
      <c r="CEG14" s="2854"/>
      <c r="CEH14" s="2854"/>
      <c r="CEI14" s="2854"/>
      <c r="CEJ14" s="2854"/>
      <c r="CEK14" s="2854"/>
      <c r="CEL14" s="2854"/>
      <c r="CEM14" s="2854"/>
      <c r="CEN14" s="2854"/>
      <c r="CEO14" s="2854"/>
      <c r="CEP14" s="2854"/>
      <c r="CEQ14" s="2854"/>
      <c r="CER14" s="2854"/>
      <c r="CES14" s="2854"/>
      <c r="CET14" s="2854"/>
      <c r="CEU14" s="2854"/>
      <c r="CEV14" s="2854"/>
      <c r="CEW14" s="2854"/>
      <c r="CEX14" s="2854"/>
      <c r="CEY14" s="2854"/>
      <c r="CEZ14" s="2854"/>
      <c r="CFA14" s="2854"/>
      <c r="CFB14" s="2854"/>
      <c r="CFC14" s="2854"/>
      <c r="CFD14" s="2854"/>
      <c r="CFE14" s="2854"/>
      <c r="CFF14" s="2854"/>
      <c r="CFG14" s="2854"/>
      <c r="CFH14" s="2854"/>
      <c r="CFI14" s="2854"/>
      <c r="CFJ14" s="2854"/>
      <c r="CFK14" s="2854"/>
      <c r="CFL14" s="2854"/>
      <c r="CFM14" s="2854"/>
      <c r="CFN14" s="2854"/>
      <c r="CFO14" s="2854"/>
      <c r="CFP14" s="2854"/>
      <c r="CFQ14" s="2854"/>
      <c r="CFR14" s="2854"/>
      <c r="CFS14" s="2854"/>
      <c r="CFT14" s="2854"/>
      <c r="CFU14" s="2854"/>
      <c r="CFV14" s="2854"/>
      <c r="CFW14" s="2854"/>
      <c r="CFX14" s="2854"/>
      <c r="CFY14" s="2854"/>
      <c r="CFZ14" s="2854"/>
      <c r="CGA14" s="2854"/>
      <c r="CGB14" s="2854"/>
      <c r="CGC14" s="2854"/>
      <c r="CGD14" s="2854"/>
      <c r="CGE14" s="2854"/>
      <c r="CGF14" s="2854"/>
      <c r="CGG14" s="2854"/>
      <c r="CGH14" s="2854"/>
      <c r="CGI14" s="2854"/>
      <c r="CGJ14" s="2854"/>
      <c r="CGK14" s="2854"/>
      <c r="CGL14" s="2854"/>
      <c r="CGM14" s="2854"/>
      <c r="CGN14" s="2854"/>
      <c r="CGO14" s="2854"/>
      <c r="CGP14" s="2854"/>
      <c r="CGQ14" s="2854"/>
      <c r="CGR14" s="2854"/>
      <c r="CGS14" s="2854"/>
      <c r="CGT14" s="2854"/>
      <c r="CGU14" s="2854"/>
      <c r="CGV14" s="2854"/>
      <c r="CGW14" s="2854"/>
      <c r="CGX14" s="2854"/>
      <c r="CGY14" s="2854"/>
      <c r="CGZ14" s="2854"/>
      <c r="CHA14" s="2854"/>
      <c r="CHB14" s="2854"/>
      <c r="CHC14" s="2854"/>
      <c r="CHD14" s="2854"/>
      <c r="CHE14" s="2854"/>
      <c r="CHF14" s="2854"/>
      <c r="CHG14" s="2854"/>
      <c r="CHH14" s="2854"/>
      <c r="CHI14" s="2854"/>
      <c r="CHJ14" s="2854"/>
      <c r="CHK14" s="2854"/>
      <c r="CHL14" s="2854"/>
      <c r="CHM14" s="2854"/>
      <c r="CHN14" s="2854"/>
      <c r="CHO14" s="2854"/>
      <c r="CHP14" s="2854"/>
      <c r="CHQ14" s="2854"/>
      <c r="CHR14" s="2854"/>
      <c r="CHS14" s="2854"/>
      <c r="CHT14" s="2854"/>
      <c r="CHU14" s="2854"/>
      <c r="CHV14" s="2854"/>
      <c r="CHW14" s="2854"/>
      <c r="CHX14" s="2854"/>
      <c r="CHY14" s="2854"/>
      <c r="CHZ14" s="2854"/>
      <c r="CIA14" s="2854"/>
      <c r="CIB14" s="2854"/>
      <c r="CIC14" s="2854"/>
      <c r="CID14" s="2854"/>
      <c r="CIE14" s="2854"/>
      <c r="CIF14" s="2854"/>
      <c r="CIG14" s="2854"/>
      <c r="CIH14" s="2854"/>
      <c r="CII14" s="2854"/>
      <c r="CIJ14" s="2854"/>
      <c r="CIK14" s="2854"/>
      <c r="CIL14" s="2854"/>
      <c r="CIM14" s="2854"/>
      <c r="CIN14" s="2854"/>
      <c r="CIO14" s="2854"/>
      <c r="CIP14" s="2854"/>
      <c r="CIQ14" s="2854"/>
      <c r="CIR14" s="2854"/>
      <c r="CIS14" s="2854"/>
      <c r="CIT14" s="2854"/>
      <c r="CIU14" s="2854"/>
      <c r="CIV14" s="2854"/>
      <c r="CIW14" s="2854"/>
      <c r="CIX14" s="2854"/>
      <c r="CIY14" s="2854"/>
      <c r="CIZ14" s="2854"/>
      <c r="CJA14" s="2854"/>
      <c r="CJB14" s="2854"/>
      <c r="CJC14" s="2854"/>
      <c r="CJD14" s="2854"/>
      <c r="CJE14" s="2854"/>
      <c r="CJF14" s="2854"/>
      <c r="CJG14" s="2854"/>
      <c r="CJH14" s="2854"/>
      <c r="CJI14" s="2854"/>
      <c r="CJJ14" s="2854"/>
      <c r="CJK14" s="2854"/>
      <c r="CJL14" s="2854"/>
      <c r="CJM14" s="2854"/>
      <c r="CJN14" s="2854"/>
      <c r="CJO14" s="2854"/>
      <c r="CJP14" s="2854"/>
      <c r="CJQ14" s="2854"/>
      <c r="CJR14" s="2854"/>
      <c r="CJS14" s="2854"/>
      <c r="CJT14" s="2854"/>
      <c r="CJU14" s="2854"/>
      <c r="CJV14" s="2854"/>
      <c r="CJW14" s="2854"/>
      <c r="CJX14" s="2854"/>
      <c r="CJY14" s="2854"/>
      <c r="CJZ14" s="2854"/>
      <c r="CKA14" s="2854"/>
      <c r="CKB14" s="2854"/>
      <c r="CKC14" s="2854"/>
      <c r="CKD14" s="2854"/>
      <c r="CKE14" s="2854"/>
      <c r="CKF14" s="2854"/>
      <c r="CKG14" s="2854"/>
      <c r="CKH14" s="2854"/>
      <c r="CKI14" s="2854"/>
      <c r="CKJ14" s="2854"/>
      <c r="CKK14" s="2854"/>
      <c r="CKL14" s="2854"/>
      <c r="CKM14" s="2854"/>
      <c r="CKN14" s="2854"/>
      <c r="CKO14" s="2854"/>
      <c r="CKP14" s="2854"/>
      <c r="CKQ14" s="2854"/>
      <c r="CKR14" s="2854"/>
      <c r="CKS14" s="2854"/>
      <c r="CKT14" s="2854"/>
      <c r="CKU14" s="2854"/>
      <c r="CKV14" s="2854"/>
      <c r="CKW14" s="2854"/>
      <c r="CKX14" s="2854"/>
      <c r="CKY14" s="2854"/>
      <c r="CKZ14" s="2854"/>
      <c r="CLA14" s="2854"/>
      <c r="CLB14" s="2854"/>
      <c r="CLC14" s="2854"/>
      <c r="CLD14" s="2854"/>
      <c r="CLE14" s="2854"/>
      <c r="CLF14" s="2854"/>
      <c r="CLG14" s="2854"/>
      <c r="CLH14" s="2854"/>
      <c r="CLI14" s="2854"/>
      <c r="CLJ14" s="2854"/>
      <c r="CLK14" s="2854"/>
      <c r="CLL14" s="2854"/>
      <c r="CLM14" s="2854"/>
      <c r="CLN14" s="2854"/>
      <c r="CLO14" s="2854"/>
      <c r="CLP14" s="2854"/>
      <c r="CLQ14" s="2854"/>
      <c r="CLR14" s="2854"/>
      <c r="CLS14" s="2854"/>
      <c r="CLT14" s="2854"/>
      <c r="CLU14" s="2854"/>
      <c r="CLV14" s="2854"/>
      <c r="CLW14" s="2854"/>
    </row>
    <row r="15" spans="1:2363" ht="25.5" customHeight="1" x14ac:dyDescent="0.25">
      <c r="A15" s="3868"/>
      <c r="B15" s="3872"/>
      <c r="C15" s="2969"/>
      <c r="D15" s="2727" t="s">
        <v>638</v>
      </c>
      <c r="E15" s="2786">
        <f>+E10+E11+E12+E13+E14</f>
        <v>469</v>
      </c>
      <c r="F15" s="2786">
        <f>+F10+F11+F12+F13+F14</f>
        <v>33370.740000000005</v>
      </c>
      <c r="G15" s="3134">
        <f t="shared" si="0"/>
        <v>71.152963752665258</v>
      </c>
      <c r="H15" s="2786">
        <f>+H10+H11</f>
        <v>289</v>
      </c>
      <c r="I15" s="2195">
        <f>+I10+I11</f>
        <v>3798.25</v>
      </c>
      <c r="J15" s="3116">
        <f>+I15/H15</f>
        <v>13.142733564013842</v>
      </c>
      <c r="K15" s="2779">
        <f>+K10</f>
        <v>4</v>
      </c>
      <c r="L15" s="2195">
        <f>+L10</f>
        <v>415</v>
      </c>
      <c r="M15" s="3116">
        <f>+L15/K15</f>
        <v>103.75</v>
      </c>
      <c r="N15" s="2766">
        <f>+N10+N11+N12+N13+N14</f>
        <v>37583.990000000005</v>
      </c>
      <c r="O15" s="2440">
        <f>+F15+I15</f>
        <v>37168.990000000005</v>
      </c>
      <c r="P15" s="2766">
        <f>SUM(P10:P14)</f>
        <v>443212.42</v>
      </c>
      <c r="Q15" s="2766">
        <f>SUM(Q10:Q14)</f>
        <v>593805.38</v>
      </c>
      <c r="R15" s="2766">
        <f>+R11+R10+R12+R13+R14</f>
        <v>30659942.429999996</v>
      </c>
      <c r="S15" s="2766">
        <f>+S11+S10+S12+S13+S14</f>
        <v>107007.76999999999</v>
      </c>
      <c r="T15" s="2902">
        <f>+T10+T11+T12+T13+T14</f>
        <v>164068.74</v>
      </c>
      <c r="U15" s="2766">
        <f>+U10+U11+U12+U13+U14</f>
        <v>4860107.6100000003</v>
      </c>
      <c r="V15" s="2195">
        <f>+V10+V11+V12+V13+V14</f>
        <v>36828144.350000001</v>
      </c>
      <c r="W15" s="3581">
        <f>+W10+W11+W12+W13+W14</f>
        <v>469</v>
      </c>
      <c r="X15" s="3581">
        <f t="shared" ref="W15:X15" si="13">+X10+X11+X12+X13+X14</f>
        <v>469</v>
      </c>
      <c r="Y15" s="3049"/>
      <c r="Z15" s="2830">
        <f>Z10+Z11+Z12+Z13+Z14</f>
        <v>6977318.045114981</v>
      </c>
      <c r="AA15" s="3197">
        <f>+AA10+AA11+AA12+AA13+AA14</f>
        <v>43093300.530000001</v>
      </c>
      <c r="AB15" s="3197">
        <f>+AB10+AB11+AB12+AB13+AB14</f>
        <v>43093300.530000001</v>
      </c>
      <c r="AC15" s="3048">
        <f>AC10+AC11</f>
        <v>0</v>
      </c>
      <c r="AD15" s="2766">
        <f>+AD10+AD11+AD12+AD13</f>
        <v>196097809.11000001</v>
      </c>
      <c r="AE15" s="2766">
        <f>+AE10+AE11+AE12+AE13</f>
        <v>24817467.259999998</v>
      </c>
      <c r="AF15" s="2766">
        <f>+AF10+AF11+AF12+AF13+AF14</f>
        <v>0</v>
      </c>
      <c r="AG15" s="2766">
        <f>+AG10+AG11+AG12+AG13</f>
        <v>0</v>
      </c>
      <c r="AH15" s="3048">
        <f>+AH10+AH11+AH12+AH13</f>
        <v>220915276.37</v>
      </c>
      <c r="AI15" s="2766">
        <f>AI10+AI11+AI12+AI13</f>
        <v>177392349.47999999</v>
      </c>
      <c r="AJ15" s="2766">
        <f>+AJ10+AJ11+AJ12+AJ13</f>
        <v>43478793.940000005</v>
      </c>
      <c r="AK15" s="2833">
        <f>AI15+AJ15</f>
        <v>220871143.41999999</v>
      </c>
      <c r="AL15" s="2766">
        <v>0</v>
      </c>
      <c r="AM15" s="2766">
        <f>+AM10+AM11+AM12+AM13+AM14</f>
        <v>0</v>
      </c>
      <c r="AN15" s="2766">
        <f>+AN10-AM15</f>
        <v>0</v>
      </c>
      <c r="AO15" s="2762">
        <f>+AO10+AO11+AO12+AO13+AO14</f>
        <v>0</v>
      </c>
      <c r="AP15" s="2762">
        <f>+AP10+AP11+AP12+AP13+AP14</f>
        <v>0</v>
      </c>
      <c r="AQ15" s="2762">
        <f>+AQ10+AQ11+AQ12+AQ13+AQ14</f>
        <v>0</v>
      </c>
      <c r="AR15" s="2196">
        <f>+AR10+AR11+AR12+AR13+AR14</f>
        <v>755300</v>
      </c>
      <c r="AS15" s="2196">
        <f>AS10+AS11+AS12+AS13+AS14</f>
        <v>755300</v>
      </c>
      <c r="AT15" s="2196">
        <f>AT10+AT11+AT12+AT13+AT14</f>
        <v>714300</v>
      </c>
      <c r="AU15" s="2196">
        <f>AU10+AU11+AU12+AU13+AU14</f>
        <v>0</v>
      </c>
      <c r="AV15" s="2196">
        <f>AV10+AV11+AV12+AV13+AV14</f>
        <v>755300</v>
      </c>
      <c r="AW15" s="3200">
        <f>AW10+AW11+AW12+AW13+AW14</f>
        <v>755300</v>
      </c>
      <c r="AX15" s="2766">
        <f>+AX10+AX11+AX12+AX13+AX14</f>
        <v>6977318.0500000007</v>
      </c>
      <c r="AY15" s="2766">
        <f>AY10+AY11+AY12+AY13+AY14</f>
        <v>6977318.0500000007</v>
      </c>
      <c r="AZ15" s="2766">
        <f>AZ10+AZ11+AZ12+AZ13+AZ14</f>
        <v>0</v>
      </c>
      <c r="BA15" s="2762">
        <f>+BA10+BA11+BA12+BA13+BA14</f>
        <v>33287509.049999997</v>
      </c>
      <c r="BB15" s="2763">
        <f>+BB10+BB11+BB12+BB13+BB14</f>
        <v>3540635.3200000003</v>
      </c>
      <c r="BC15" s="2763">
        <f>+BC10+BC11+BC12+BC13+BC14</f>
        <v>1156916.2</v>
      </c>
      <c r="BD15" s="2196">
        <f>+BD10+BD12+BD11+BD13+BD14</f>
        <v>7024360.1299999999</v>
      </c>
      <c r="BE15" s="2196">
        <f>+BE10+BE11+BE12+BE13+BE14</f>
        <v>45009420.699999996</v>
      </c>
      <c r="BF15" s="2196">
        <f>+BF10+BF11+BF12+BF13+BF14</f>
        <v>0</v>
      </c>
      <c r="BG15" s="2196">
        <f>BG10+BG11+BG12+BG13+BG14</f>
        <v>30283510.390000001</v>
      </c>
      <c r="BH15" s="2195">
        <f>+BH10+BH11+BH12+BH13+BH14</f>
        <v>8676326.5399999991</v>
      </c>
      <c r="BI15" s="2440">
        <f>+BI10+BI11+BI12+BI13+BI14</f>
        <v>38959836.930000007</v>
      </c>
      <c r="BJ15" s="1991">
        <f>BJ10+BJ11+BJ12+BJ13+BJ14</f>
        <v>0</v>
      </c>
      <c r="BK15" s="1991">
        <f>BK10+BK11+BK12+BK13+BK14</f>
        <v>0</v>
      </c>
      <c r="BL15" s="1991">
        <f>BL10+BL11+BL12+BL13+BL14</f>
        <v>0</v>
      </c>
      <c r="BM15" s="2195">
        <f>BM10+BM11+BM12+BM13+BM14</f>
        <v>0</v>
      </c>
      <c r="BN15" s="1991">
        <f>BN10+BN11+BN12+BN13+BN14</f>
        <v>0</v>
      </c>
      <c r="BO15" s="1991">
        <f>+BO12+BO13+BO10+BO11+BO14</f>
        <v>0</v>
      </c>
      <c r="BP15" s="1991">
        <f>+BP10+BP11+BP12+BP13+BP14</f>
        <v>733300</v>
      </c>
      <c r="BQ15" s="1991">
        <f>BQ10+BQ11+BQ12+BQ13+BQ14</f>
        <v>733300</v>
      </c>
      <c r="BR15" s="1991">
        <f>+BR10+BR11+BR12+BR13+BR14</f>
        <v>0</v>
      </c>
      <c r="BS15" s="1991">
        <f>BS10+BS11+BS12+BS13+BS14</f>
        <v>733300</v>
      </c>
      <c r="BT15" s="2909">
        <f>BT10+BT11+BT12+BT13+BT14</f>
        <v>733300</v>
      </c>
      <c r="BU15" s="3140"/>
      <c r="BV15" s="3058"/>
      <c r="BW15" s="3058"/>
      <c r="BX15" s="3058"/>
      <c r="BY15" s="3140"/>
      <c r="BZ15" s="3140"/>
      <c r="CA15" s="2857"/>
      <c r="CB15" s="2857"/>
      <c r="CC15" s="2857"/>
      <c r="CD15" s="2857"/>
      <c r="CE15" s="2857"/>
      <c r="CF15" s="3141"/>
      <c r="CG15" s="3141"/>
      <c r="CH15" s="3141"/>
      <c r="CI15" s="3141"/>
      <c r="CJ15" s="3141"/>
      <c r="CK15" s="3141"/>
      <c r="CL15" s="3141"/>
      <c r="CM15" s="3141"/>
      <c r="CN15" s="3141"/>
      <c r="CO15" s="3141"/>
      <c r="CP15" s="3141"/>
      <c r="CQ15" s="3141"/>
      <c r="CR15" s="3141"/>
      <c r="CS15" s="3141"/>
      <c r="CT15" s="3141"/>
      <c r="CU15" s="3141"/>
      <c r="CV15" s="3141"/>
      <c r="CW15" s="3141"/>
      <c r="CX15" s="3141"/>
      <c r="CY15" s="3141"/>
      <c r="CZ15" s="3141"/>
      <c r="DA15" s="3141"/>
      <c r="DB15" s="3141"/>
      <c r="DC15" s="3141"/>
      <c r="DD15" s="3141"/>
      <c r="DE15" s="3141"/>
      <c r="DF15" s="3141"/>
      <c r="DG15" s="3141"/>
      <c r="DH15" s="3141"/>
      <c r="DI15" s="3141"/>
      <c r="DJ15" s="3141"/>
      <c r="DK15" s="3141"/>
      <c r="DL15" s="3141"/>
      <c r="DM15" s="3141"/>
      <c r="DN15" s="3141"/>
      <c r="DO15" s="3141"/>
      <c r="DP15" s="3141"/>
      <c r="DQ15" s="3141"/>
      <c r="DR15" s="3141"/>
      <c r="DS15" s="3141"/>
      <c r="DT15" s="3141"/>
      <c r="DU15" s="3141"/>
      <c r="DV15" s="3141"/>
      <c r="DW15" s="3141"/>
      <c r="DX15" s="3141"/>
      <c r="DY15" s="3141"/>
      <c r="DZ15" s="3141"/>
      <c r="EA15" s="3141"/>
      <c r="EB15" s="3141"/>
      <c r="EC15" s="3141"/>
      <c r="ED15" s="3141"/>
      <c r="EE15" s="3141"/>
      <c r="EF15" s="3141"/>
      <c r="EG15" s="3141"/>
      <c r="EH15" s="2854"/>
      <c r="EI15" s="2854"/>
      <c r="EJ15" s="2854"/>
      <c r="EK15" s="2854"/>
      <c r="EL15" s="2854"/>
      <c r="EM15" s="2854"/>
      <c r="EN15" s="2854"/>
      <c r="EO15" s="2854"/>
      <c r="EP15" s="2854"/>
      <c r="EQ15" s="2854"/>
      <c r="ER15" s="2854"/>
      <c r="ES15" s="2854"/>
      <c r="ET15" s="2854"/>
      <c r="EU15" s="2854"/>
      <c r="EV15" s="2854"/>
      <c r="EW15" s="2854"/>
      <c r="EX15" s="2854"/>
      <c r="EY15" s="2854"/>
      <c r="EZ15" s="2854"/>
      <c r="FA15" s="2854"/>
      <c r="FB15" s="2854"/>
      <c r="FC15" s="2854"/>
      <c r="FD15" s="2854"/>
      <c r="FE15" s="2854"/>
      <c r="FF15" s="2854"/>
      <c r="FG15" s="2854"/>
      <c r="FH15" s="2854"/>
      <c r="FI15" s="2854"/>
      <c r="FJ15" s="2854"/>
      <c r="FK15" s="2854"/>
      <c r="FL15" s="2854"/>
      <c r="FM15" s="2854"/>
      <c r="FN15" s="2854"/>
      <c r="FO15" s="2854"/>
      <c r="FP15" s="2854"/>
      <c r="FQ15" s="2854"/>
      <c r="FR15" s="2854"/>
      <c r="FS15" s="2854"/>
      <c r="FT15" s="2854"/>
      <c r="FU15" s="2854"/>
      <c r="FV15" s="2854"/>
      <c r="FW15" s="2854"/>
      <c r="FX15" s="2854"/>
      <c r="FY15" s="2854"/>
      <c r="FZ15" s="2854"/>
      <c r="GA15" s="2854"/>
      <c r="GB15" s="2854"/>
      <c r="GC15" s="2854"/>
      <c r="GD15" s="2854"/>
      <c r="GE15" s="2854"/>
      <c r="GF15" s="2854"/>
      <c r="GG15" s="2854"/>
      <c r="GH15" s="2854"/>
      <c r="GI15" s="2854"/>
      <c r="GJ15" s="2854"/>
      <c r="GK15" s="2854"/>
      <c r="GL15" s="2854"/>
      <c r="GM15" s="2854"/>
      <c r="GN15" s="2854"/>
      <c r="GO15" s="2854"/>
      <c r="GP15" s="2854"/>
      <c r="GQ15" s="2854"/>
      <c r="GR15" s="2854"/>
      <c r="GS15" s="2854"/>
      <c r="GT15" s="2854"/>
      <c r="GU15" s="2854"/>
      <c r="GV15" s="2854"/>
      <c r="GW15" s="2854"/>
      <c r="GX15" s="2854"/>
      <c r="GY15" s="2854"/>
      <c r="GZ15" s="2854"/>
      <c r="HA15" s="2854"/>
      <c r="HB15" s="2854"/>
      <c r="HC15" s="2854"/>
      <c r="HD15" s="2854"/>
      <c r="HE15" s="2854"/>
      <c r="HF15" s="2854"/>
      <c r="HG15" s="2854"/>
      <c r="HH15" s="2854"/>
      <c r="HI15" s="2854"/>
      <c r="HJ15" s="2854"/>
      <c r="HK15" s="2854"/>
      <c r="HL15" s="2854"/>
      <c r="HM15" s="2854"/>
      <c r="HN15" s="2854"/>
      <c r="HO15" s="2854"/>
      <c r="HP15" s="2854"/>
      <c r="HQ15" s="2854"/>
      <c r="HR15" s="2854"/>
      <c r="HS15" s="2854"/>
      <c r="HT15" s="2854"/>
      <c r="HU15" s="2854"/>
      <c r="HV15" s="2854"/>
      <c r="HW15" s="2854"/>
      <c r="HX15" s="2854"/>
      <c r="HY15" s="2854"/>
      <c r="HZ15" s="2854"/>
      <c r="IA15" s="2854"/>
      <c r="IB15" s="2854"/>
      <c r="IC15" s="2854"/>
      <c r="ID15" s="2854"/>
      <c r="IE15" s="2854"/>
      <c r="IF15" s="2854"/>
      <c r="IG15" s="2854"/>
      <c r="IH15" s="2854"/>
      <c r="II15" s="2854"/>
      <c r="IJ15" s="2854"/>
      <c r="IK15" s="2854"/>
      <c r="IL15" s="2854"/>
      <c r="IM15" s="2854"/>
      <c r="IN15" s="2854"/>
      <c r="IO15" s="2854"/>
      <c r="IP15" s="2854"/>
      <c r="IQ15" s="2854"/>
      <c r="IR15" s="2854"/>
      <c r="IS15" s="2854"/>
      <c r="IT15" s="2854"/>
      <c r="IU15" s="2854"/>
      <c r="IV15" s="2854"/>
      <c r="IW15" s="2854"/>
      <c r="IX15" s="2854"/>
      <c r="IY15" s="2854"/>
      <c r="IZ15" s="2854"/>
      <c r="JA15" s="2854"/>
      <c r="JB15" s="2854"/>
      <c r="JC15" s="2854"/>
      <c r="JD15" s="2854"/>
      <c r="JE15" s="2854"/>
      <c r="JF15" s="2854"/>
      <c r="JG15" s="2854"/>
      <c r="JH15" s="2854"/>
      <c r="JI15" s="2854"/>
      <c r="JJ15" s="2854"/>
      <c r="JK15" s="2854"/>
      <c r="JL15" s="2854"/>
      <c r="JM15" s="2854"/>
      <c r="JN15" s="2854"/>
      <c r="JO15" s="2854"/>
      <c r="JP15" s="2854"/>
      <c r="JQ15" s="2854"/>
      <c r="JR15" s="2854"/>
      <c r="JS15" s="2854"/>
      <c r="JT15" s="2854"/>
      <c r="JU15" s="2854"/>
      <c r="JV15" s="2854"/>
      <c r="JW15" s="2854"/>
      <c r="JX15" s="2854"/>
      <c r="JY15" s="2854"/>
      <c r="JZ15" s="2854"/>
      <c r="KA15" s="2854"/>
      <c r="KB15" s="2854"/>
      <c r="KC15" s="2854"/>
      <c r="KD15" s="2854"/>
      <c r="KE15" s="2854"/>
      <c r="KF15" s="2854"/>
      <c r="KG15" s="2854"/>
      <c r="KH15" s="2854"/>
      <c r="KI15" s="2854"/>
      <c r="KJ15" s="2854"/>
      <c r="KK15" s="2854"/>
      <c r="KL15" s="2854"/>
      <c r="KM15" s="2854"/>
      <c r="KN15" s="2854"/>
      <c r="KO15" s="2854"/>
      <c r="KP15" s="2854"/>
      <c r="KQ15" s="2854"/>
      <c r="KR15" s="2854"/>
      <c r="KS15" s="2854"/>
      <c r="KT15" s="2854"/>
      <c r="KU15" s="2854"/>
      <c r="KV15" s="2854"/>
      <c r="KW15" s="2854"/>
      <c r="KX15" s="2854"/>
      <c r="KY15" s="2854"/>
      <c r="KZ15" s="2854"/>
      <c r="LA15" s="2854"/>
      <c r="LB15" s="2854"/>
      <c r="LC15" s="2854"/>
      <c r="LD15" s="2854"/>
      <c r="LE15" s="2854"/>
      <c r="LF15" s="2854"/>
      <c r="LG15" s="2854"/>
      <c r="LH15" s="2854"/>
      <c r="LI15" s="2854"/>
      <c r="LJ15" s="2854"/>
      <c r="LK15" s="2854"/>
      <c r="LL15" s="2854"/>
      <c r="LM15" s="2854"/>
      <c r="LN15" s="2854"/>
      <c r="LO15" s="2854"/>
      <c r="LP15" s="2854"/>
      <c r="LQ15" s="2854"/>
      <c r="LR15" s="2854"/>
      <c r="LS15" s="2854"/>
      <c r="LT15" s="2854"/>
      <c r="LU15" s="2854"/>
      <c r="LV15" s="2854"/>
      <c r="LW15" s="2854"/>
      <c r="LX15" s="2854"/>
      <c r="LY15" s="2854"/>
      <c r="LZ15" s="2854"/>
      <c r="MA15" s="2854"/>
      <c r="MB15" s="2854"/>
      <c r="MC15" s="2854"/>
      <c r="MD15" s="2854"/>
      <c r="ME15" s="2854"/>
      <c r="MF15" s="2854"/>
      <c r="MG15" s="2854"/>
      <c r="MH15" s="2854"/>
      <c r="MI15" s="2854"/>
      <c r="MJ15" s="2854"/>
      <c r="MK15" s="2854"/>
      <c r="ML15" s="2854"/>
      <c r="MM15" s="2854"/>
      <c r="MN15" s="2854"/>
      <c r="MO15" s="2854"/>
      <c r="MP15" s="2854"/>
      <c r="MQ15" s="2854"/>
      <c r="MR15" s="2854"/>
      <c r="MS15" s="2854"/>
      <c r="MT15" s="2854"/>
      <c r="MU15" s="2854"/>
      <c r="MV15" s="2854"/>
      <c r="MW15" s="2854"/>
      <c r="MX15" s="2854"/>
      <c r="MY15" s="2854"/>
      <c r="MZ15" s="2854"/>
      <c r="NA15" s="2854"/>
      <c r="NB15" s="2854"/>
      <c r="NC15" s="2854"/>
      <c r="ND15" s="2854"/>
      <c r="NE15" s="2854"/>
      <c r="NF15" s="2854"/>
      <c r="NG15" s="2854"/>
      <c r="NH15" s="2854"/>
      <c r="NI15" s="2854"/>
      <c r="NJ15" s="2854"/>
      <c r="NK15" s="2854"/>
      <c r="NL15" s="2854"/>
      <c r="NM15" s="2854"/>
      <c r="NN15" s="2854"/>
      <c r="NO15" s="2854"/>
      <c r="NP15" s="2854"/>
      <c r="NQ15" s="2854"/>
      <c r="NR15" s="2854"/>
      <c r="NS15" s="2854"/>
      <c r="NT15" s="2854"/>
      <c r="NU15" s="2854"/>
      <c r="NV15" s="2854"/>
      <c r="NW15" s="2854"/>
      <c r="NX15" s="2854"/>
      <c r="NY15" s="2854"/>
      <c r="NZ15" s="2854"/>
      <c r="OA15" s="2854"/>
      <c r="OB15" s="2854"/>
      <c r="OC15" s="2854"/>
      <c r="OD15" s="2854"/>
      <c r="OE15" s="2854"/>
      <c r="OF15" s="2854"/>
      <c r="OG15" s="2854"/>
      <c r="OH15" s="2854"/>
      <c r="OI15" s="2854"/>
      <c r="OJ15" s="2854"/>
      <c r="OK15" s="2854"/>
      <c r="OL15" s="2854"/>
      <c r="OM15" s="2854"/>
      <c r="ON15" s="2854"/>
      <c r="OO15" s="2854"/>
      <c r="OP15" s="2854"/>
      <c r="OQ15" s="2854"/>
      <c r="OR15" s="2854"/>
      <c r="OS15" s="2854"/>
      <c r="OT15" s="2854"/>
      <c r="OU15" s="2854"/>
      <c r="OV15" s="2854"/>
      <c r="OW15" s="2854"/>
      <c r="OX15" s="2854"/>
      <c r="OY15" s="2854"/>
      <c r="OZ15" s="2854"/>
      <c r="PA15" s="2854"/>
      <c r="PB15" s="2854"/>
      <c r="PC15" s="2854"/>
      <c r="PD15" s="2854"/>
      <c r="PE15" s="2854"/>
      <c r="PF15" s="2854"/>
      <c r="PG15" s="2854"/>
      <c r="PH15" s="2854"/>
      <c r="PI15" s="2854"/>
      <c r="PJ15" s="2854"/>
      <c r="PK15" s="2854"/>
      <c r="PL15" s="2854"/>
      <c r="PM15" s="2854"/>
      <c r="PN15" s="2854"/>
      <c r="PO15" s="2854"/>
      <c r="PP15" s="2854"/>
      <c r="PQ15" s="2854"/>
      <c r="PR15" s="2854"/>
      <c r="PS15" s="2854"/>
      <c r="PT15" s="2854"/>
      <c r="PU15" s="2854"/>
      <c r="PV15" s="2854"/>
      <c r="PW15" s="2854"/>
      <c r="PX15" s="2854"/>
      <c r="PY15" s="2854"/>
      <c r="PZ15" s="2854"/>
      <c r="QA15" s="2854"/>
      <c r="QB15" s="2854"/>
      <c r="QC15" s="2854"/>
      <c r="QD15" s="2854"/>
      <c r="QE15" s="2854"/>
      <c r="QF15" s="2854"/>
      <c r="QG15" s="2854"/>
      <c r="QH15" s="2854"/>
      <c r="QI15" s="2854"/>
      <c r="QJ15" s="2854"/>
      <c r="QK15" s="2854"/>
      <c r="QL15" s="2854"/>
      <c r="QM15" s="2854"/>
      <c r="QN15" s="2854"/>
      <c r="QO15" s="2854"/>
      <c r="QP15" s="2854"/>
      <c r="QQ15" s="2854"/>
      <c r="QR15" s="2854"/>
      <c r="QS15" s="2854"/>
      <c r="QT15" s="2854"/>
      <c r="QU15" s="2854"/>
      <c r="QV15" s="2854"/>
      <c r="QW15" s="2854"/>
      <c r="QX15" s="2854"/>
      <c r="QY15" s="2854"/>
      <c r="QZ15" s="2854"/>
      <c r="RA15" s="2854"/>
      <c r="RB15" s="2854"/>
      <c r="RC15" s="2854"/>
      <c r="RD15" s="2854"/>
      <c r="RE15" s="2854"/>
      <c r="RF15" s="2854"/>
      <c r="RG15" s="2854"/>
      <c r="RH15" s="2854"/>
      <c r="RI15" s="2854"/>
      <c r="RJ15" s="2854"/>
      <c r="RK15" s="2854"/>
      <c r="RL15" s="2854"/>
      <c r="RM15" s="2854"/>
      <c r="RN15" s="2854"/>
      <c r="RO15" s="2854"/>
      <c r="RP15" s="2854"/>
      <c r="RQ15" s="2854"/>
      <c r="RR15" s="2854"/>
      <c r="RS15" s="2854"/>
      <c r="RT15" s="2854"/>
      <c r="RU15" s="2854"/>
      <c r="RV15" s="2854"/>
      <c r="RW15" s="2854"/>
      <c r="RX15" s="2854"/>
      <c r="RY15" s="2854"/>
      <c r="RZ15" s="2854"/>
      <c r="SA15" s="2854"/>
      <c r="SB15" s="2854"/>
      <c r="SC15" s="2854"/>
      <c r="SD15" s="2854"/>
      <c r="SE15" s="2854"/>
      <c r="SF15" s="2854"/>
      <c r="SG15" s="2854"/>
      <c r="SH15" s="2854"/>
      <c r="SI15" s="2854"/>
      <c r="SJ15" s="2854"/>
      <c r="SK15" s="2854"/>
      <c r="SL15" s="2854"/>
      <c r="SM15" s="2854"/>
      <c r="SN15" s="2854"/>
      <c r="SO15" s="2854"/>
      <c r="SP15" s="2854"/>
      <c r="SQ15" s="2854"/>
      <c r="SR15" s="2854"/>
      <c r="SS15" s="2854"/>
      <c r="ST15" s="2854"/>
      <c r="SU15" s="2854"/>
      <c r="SV15" s="2854"/>
      <c r="SW15" s="2854"/>
      <c r="SX15" s="2854"/>
      <c r="SY15" s="2854"/>
      <c r="SZ15" s="2854"/>
      <c r="TA15" s="2854"/>
      <c r="TB15" s="2854"/>
      <c r="TC15" s="2854"/>
      <c r="TD15" s="2854"/>
      <c r="TE15" s="2854"/>
      <c r="TF15" s="2854"/>
      <c r="TG15" s="2854"/>
      <c r="TH15" s="2854"/>
      <c r="TI15" s="2854"/>
      <c r="TJ15" s="2854"/>
      <c r="TK15" s="2854"/>
      <c r="TL15" s="2854"/>
      <c r="TM15" s="2854"/>
      <c r="TN15" s="2854"/>
      <c r="TO15" s="2854"/>
      <c r="TP15" s="2854"/>
      <c r="TQ15" s="2854"/>
      <c r="TR15" s="2854"/>
      <c r="TS15" s="2854"/>
      <c r="TT15" s="2854"/>
      <c r="TU15" s="3783"/>
      <c r="TV15" s="3783"/>
      <c r="TW15" s="3783"/>
      <c r="TX15" s="3783"/>
      <c r="TY15" s="3783"/>
      <c r="TZ15" s="3783"/>
      <c r="UA15" s="3783"/>
      <c r="UB15" s="3783"/>
      <c r="UC15" s="3783"/>
      <c r="UD15" s="3783"/>
      <c r="UE15" s="3783"/>
      <c r="UF15" s="3783"/>
      <c r="UG15" s="3783"/>
      <c r="UH15" s="3783"/>
      <c r="UI15" s="3783"/>
      <c r="UJ15" s="3783"/>
      <c r="UK15" s="3783"/>
      <c r="UL15" s="3783"/>
      <c r="UM15" s="3783"/>
      <c r="UN15" s="3783"/>
      <c r="UO15" s="3783"/>
      <c r="UP15" s="2854"/>
      <c r="UQ15" s="2854"/>
      <c r="UR15" s="2854"/>
      <c r="US15" s="2854"/>
      <c r="UT15" s="2854"/>
      <c r="UU15" s="2854"/>
      <c r="UV15" s="2854"/>
      <c r="UW15" s="2854"/>
      <c r="UX15" s="2854"/>
      <c r="UY15" s="2854"/>
      <c r="UZ15" s="2854"/>
      <c r="VA15" s="2854"/>
      <c r="VB15" s="2854"/>
      <c r="VC15" s="2854"/>
      <c r="VD15" s="2854"/>
      <c r="VE15" s="2854"/>
      <c r="VF15" s="2854"/>
      <c r="VG15" s="2854"/>
      <c r="VH15" s="2854"/>
      <c r="VI15" s="2854"/>
      <c r="VJ15" s="2854"/>
      <c r="VK15" s="2854"/>
      <c r="VL15" s="2854"/>
      <c r="VM15" s="2854"/>
      <c r="VN15" s="2854"/>
      <c r="VO15" s="2854"/>
      <c r="VP15" s="2854"/>
      <c r="VQ15" s="2854"/>
      <c r="VR15" s="2854"/>
      <c r="VS15" s="2854"/>
      <c r="VT15" s="2854"/>
      <c r="VU15" s="2854"/>
      <c r="VV15" s="2854"/>
      <c r="VW15" s="2854"/>
      <c r="VX15" s="2854"/>
      <c r="VY15" s="2854"/>
      <c r="VZ15" s="2854"/>
      <c r="WA15" s="2854"/>
      <c r="WB15" s="2854"/>
      <c r="WC15" s="2854"/>
      <c r="WD15" s="2854"/>
      <c r="WE15" s="2854"/>
      <c r="WF15" s="2854"/>
      <c r="WG15" s="2854"/>
      <c r="WH15" s="2854"/>
      <c r="WI15" s="2854"/>
      <c r="WJ15" s="2854"/>
      <c r="WK15" s="2854"/>
      <c r="WL15" s="2854"/>
      <c r="WM15" s="2854"/>
      <c r="WN15" s="2854"/>
      <c r="WO15" s="2854"/>
      <c r="WP15" s="2854"/>
      <c r="WQ15" s="2854"/>
      <c r="WR15" s="2854"/>
      <c r="WS15" s="2854"/>
      <c r="WT15" s="2854"/>
      <c r="WU15" s="2854"/>
      <c r="WV15" s="2854"/>
      <c r="WW15" s="2854"/>
      <c r="WX15" s="2854"/>
      <c r="WY15" s="2854"/>
      <c r="WZ15" s="2854"/>
      <c r="XA15" s="2854"/>
      <c r="XB15" s="2854"/>
      <c r="XC15" s="2854"/>
      <c r="XD15" s="2854"/>
      <c r="XE15" s="2854"/>
      <c r="XF15" s="2854"/>
      <c r="XG15" s="2854"/>
      <c r="XH15" s="2854"/>
      <c r="XI15" s="2854"/>
      <c r="XJ15" s="2854"/>
      <c r="XK15" s="2854"/>
      <c r="XL15" s="2854"/>
      <c r="XM15" s="2854"/>
      <c r="XN15" s="2854"/>
      <c r="XO15" s="2854"/>
      <c r="XP15" s="2854"/>
      <c r="XQ15" s="2854"/>
      <c r="XR15" s="2854"/>
      <c r="XS15" s="2854"/>
      <c r="XT15" s="2854"/>
      <c r="XU15" s="2854"/>
      <c r="XV15" s="2854"/>
      <c r="XW15" s="2854"/>
      <c r="XX15" s="2854"/>
      <c r="XY15" s="2854"/>
      <c r="XZ15" s="2854"/>
      <c r="YA15" s="2854"/>
      <c r="YB15" s="2854"/>
      <c r="YC15" s="2854"/>
      <c r="YD15" s="2854"/>
      <c r="YE15" s="2854"/>
      <c r="YF15" s="2854"/>
      <c r="YG15" s="2854"/>
      <c r="YH15" s="2854"/>
      <c r="YI15" s="2854"/>
      <c r="YJ15" s="2854"/>
      <c r="YK15" s="2854"/>
      <c r="YL15" s="2854"/>
      <c r="YM15" s="2854"/>
      <c r="YN15" s="2854"/>
      <c r="YO15" s="2854"/>
      <c r="YP15" s="2854"/>
      <c r="YQ15" s="2854"/>
      <c r="YR15" s="2854"/>
      <c r="YS15" s="2854"/>
      <c r="YT15" s="2854"/>
      <c r="YU15" s="2854"/>
      <c r="YV15" s="2854"/>
      <c r="YW15" s="2854"/>
      <c r="YX15" s="2854"/>
      <c r="YY15" s="2854"/>
      <c r="YZ15" s="2854"/>
      <c r="ZA15" s="2854"/>
      <c r="ZB15" s="2854"/>
      <c r="ZC15" s="2854"/>
      <c r="ZD15" s="2854"/>
      <c r="ZE15" s="2854"/>
      <c r="ZF15" s="2854"/>
      <c r="ZG15" s="2854"/>
      <c r="ZH15" s="2854"/>
      <c r="ZI15" s="2854"/>
      <c r="ZJ15" s="2854"/>
      <c r="ZK15" s="2854"/>
      <c r="ZL15" s="2854"/>
      <c r="ZM15" s="2854"/>
      <c r="ZN15" s="2854"/>
      <c r="ZO15" s="2854"/>
      <c r="ZP15" s="2854"/>
      <c r="ZQ15" s="2854"/>
      <c r="ZR15" s="2854"/>
      <c r="ZS15" s="2854"/>
      <c r="ZT15" s="2854"/>
      <c r="ZU15" s="2854"/>
      <c r="ZV15" s="2854"/>
      <c r="ZW15" s="2854"/>
      <c r="ZX15" s="2854"/>
      <c r="ZY15" s="2854"/>
      <c r="ZZ15" s="2854"/>
      <c r="AAA15" s="2854"/>
      <c r="AAB15" s="2854"/>
      <c r="AAC15" s="2854"/>
      <c r="AAD15" s="2854"/>
      <c r="AAE15" s="2854"/>
      <c r="AAF15" s="2854"/>
      <c r="AAG15" s="2854"/>
      <c r="AAH15" s="2854"/>
      <c r="AAI15" s="2854"/>
      <c r="AAJ15" s="2854"/>
      <c r="AAK15" s="2854"/>
      <c r="AAL15" s="2854"/>
      <c r="AAM15" s="2854"/>
      <c r="AAN15" s="2854"/>
      <c r="AAO15" s="2854"/>
      <c r="AAP15" s="2854"/>
      <c r="AAQ15" s="2854"/>
      <c r="AAR15" s="2854"/>
      <c r="AAS15" s="2854"/>
      <c r="AAT15" s="2854"/>
      <c r="AAU15" s="2854"/>
      <c r="AAV15" s="2854"/>
      <c r="AAW15" s="2854"/>
      <c r="AAX15" s="2854"/>
      <c r="AAY15" s="2854"/>
      <c r="AAZ15" s="2854"/>
      <c r="ABA15" s="2854"/>
      <c r="ABB15" s="2854"/>
      <c r="ABC15" s="2854"/>
      <c r="ABD15" s="2854"/>
      <c r="ABE15" s="2854"/>
      <c r="ABF15" s="2854"/>
      <c r="ABG15" s="2854"/>
      <c r="ABH15" s="2854"/>
      <c r="ABI15" s="2854"/>
      <c r="ABJ15" s="2854"/>
      <c r="ABK15" s="2854"/>
      <c r="ABL15" s="2854"/>
      <c r="ABM15" s="2854"/>
      <c r="ABN15" s="2854"/>
      <c r="ABO15" s="2854"/>
      <c r="ABP15" s="2854"/>
      <c r="ABQ15" s="2854"/>
      <c r="ABR15" s="2854"/>
      <c r="ABS15" s="2854"/>
      <c r="ABT15" s="2854"/>
      <c r="ABU15" s="2854"/>
      <c r="ABV15" s="2854"/>
      <c r="ABW15" s="2854"/>
      <c r="ABX15" s="2854"/>
      <c r="ABY15" s="2854"/>
      <c r="ABZ15" s="2854"/>
      <c r="ACA15" s="2854"/>
      <c r="ACB15" s="2854"/>
      <c r="ACC15" s="2854"/>
      <c r="ACD15" s="2854"/>
      <c r="ACE15" s="2854"/>
      <c r="ACF15" s="2854"/>
      <c r="ACG15" s="2854"/>
      <c r="ACH15" s="2854"/>
      <c r="ACI15" s="2854"/>
      <c r="ACJ15" s="2854"/>
      <c r="ACK15" s="2854"/>
      <c r="ACL15" s="2854"/>
      <c r="ACM15" s="2854"/>
      <c r="ACN15" s="2854"/>
      <c r="ACO15" s="2854"/>
      <c r="ACP15" s="2854"/>
      <c r="ACQ15" s="2854"/>
      <c r="ACR15" s="2854"/>
      <c r="ACS15" s="2854"/>
      <c r="ACT15" s="2854"/>
      <c r="ACU15" s="2854"/>
      <c r="ACV15" s="2854"/>
      <c r="ACW15" s="2854"/>
      <c r="ACX15" s="2854"/>
      <c r="ACY15" s="2854"/>
      <c r="ACZ15" s="2854"/>
      <c r="ADA15" s="2854"/>
      <c r="ADB15" s="2854"/>
      <c r="ADC15" s="2854"/>
      <c r="ADD15" s="2854"/>
      <c r="ADE15" s="2854"/>
      <c r="ADF15" s="2854"/>
      <c r="ADG15" s="2854"/>
      <c r="ADH15" s="2854"/>
      <c r="ADI15" s="2854"/>
      <c r="ADJ15" s="2854"/>
      <c r="ADK15" s="2854"/>
      <c r="ADL15" s="2854"/>
      <c r="ADM15" s="2854"/>
      <c r="ADN15" s="2854"/>
      <c r="ADO15" s="2854"/>
      <c r="ADP15" s="2854"/>
      <c r="ADQ15" s="2854"/>
      <c r="ADR15" s="2854"/>
      <c r="ADS15" s="2854"/>
      <c r="ADT15" s="2854"/>
      <c r="ADU15" s="2854"/>
      <c r="ADV15" s="2854"/>
      <c r="ADW15" s="2854"/>
      <c r="ADX15" s="2854"/>
      <c r="ADY15" s="2854"/>
      <c r="ADZ15" s="2854"/>
      <c r="AEA15" s="2854"/>
      <c r="AEB15" s="2854"/>
      <c r="AEC15" s="2854"/>
      <c r="AED15" s="2854"/>
      <c r="AEE15" s="2854"/>
      <c r="AEF15" s="2854"/>
      <c r="AEG15" s="2854"/>
      <c r="AEH15" s="2854"/>
      <c r="AEI15" s="2854"/>
      <c r="AEJ15" s="2854"/>
      <c r="AEK15" s="2854"/>
      <c r="AEL15" s="2854"/>
      <c r="AEM15" s="2854"/>
      <c r="AEN15" s="2854"/>
      <c r="AEO15" s="2854"/>
      <c r="AEP15" s="2854"/>
      <c r="AEQ15" s="2854"/>
      <c r="AER15" s="2854"/>
      <c r="AES15" s="2854"/>
      <c r="AET15" s="2854"/>
      <c r="AEU15" s="2854"/>
      <c r="AEV15" s="2854"/>
      <c r="AEW15" s="2854"/>
      <c r="AEX15" s="2854"/>
      <c r="AEY15" s="2854"/>
      <c r="AEZ15" s="2854"/>
      <c r="AFA15" s="2854"/>
      <c r="AFB15" s="2854"/>
      <c r="AFC15" s="2854"/>
      <c r="AFD15" s="2854"/>
      <c r="AFE15" s="2854"/>
      <c r="AFF15" s="2854"/>
      <c r="AFG15" s="2854"/>
      <c r="AFH15" s="2854"/>
      <c r="AFI15" s="2854"/>
      <c r="AFJ15" s="2854"/>
      <c r="AFK15" s="2854"/>
      <c r="AFL15" s="2854"/>
      <c r="AFM15" s="2854"/>
      <c r="AFN15" s="2854"/>
      <c r="AFO15" s="2854"/>
      <c r="AFP15" s="2854"/>
      <c r="AFQ15" s="2854"/>
      <c r="AFR15" s="2854"/>
      <c r="AFS15" s="2854"/>
      <c r="AFT15" s="2854"/>
      <c r="AFU15" s="2854"/>
      <c r="AFV15" s="2854"/>
      <c r="AFW15" s="2854"/>
      <c r="AFX15" s="2854"/>
      <c r="AFY15" s="2854"/>
      <c r="AFZ15" s="2854"/>
      <c r="AGA15" s="2854"/>
      <c r="AGB15" s="2854"/>
      <c r="AGC15" s="2854"/>
      <c r="AGD15" s="2854"/>
      <c r="AGE15" s="2854"/>
      <c r="AGF15" s="2854"/>
      <c r="AGG15" s="2854"/>
      <c r="AGH15" s="2854"/>
      <c r="AGI15" s="2854"/>
      <c r="AGJ15" s="2854"/>
      <c r="AGK15" s="2854"/>
      <c r="AGL15" s="2854"/>
      <c r="AGM15" s="2854"/>
      <c r="AGN15" s="2854"/>
      <c r="AGO15" s="2854"/>
      <c r="AGP15" s="2854"/>
      <c r="AGQ15" s="2854"/>
      <c r="AGR15" s="2854"/>
      <c r="AGS15" s="2854"/>
      <c r="AGT15" s="2854"/>
      <c r="AGU15" s="2854"/>
      <c r="AGV15" s="2854"/>
      <c r="AGW15" s="2854"/>
      <c r="AGX15" s="2854"/>
      <c r="AGY15" s="2854"/>
      <c r="AGZ15" s="2854"/>
      <c r="AHA15" s="2854"/>
      <c r="AHB15" s="2854"/>
      <c r="AHC15" s="2854"/>
      <c r="AHD15" s="2854"/>
      <c r="AHE15" s="2854"/>
      <c r="AHF15" s="2854"/>
      <c r="AHG15" s="2854"/>
      <c r="AHH15" s="2854"/>
      <c r="AHI15" s="2854"/>
      <c r="AHJ15" s="2854"/>
      <c r="AHK15" s="2854"/>
      <c r="AHL15" s="2854"/>
      <c r="AHM15" s="2854"/>
      <c r="AHN15" s="2854"/>
      <c r="AHO15" s="2854"/>
      <c r="AHP15" s="2854"/>
      <c r="AHQ15" s="2854"/>
      <c r="AHR15" s="2854"/>
      <c r="AHS15" s="2854"/>
      <c r="AHT15" s="2854"/>
      <c r="AHU15" s="2854"/>
      <c r="AHV15" s="2854"/>
      <c r="AHW15" s="2854"/>
      <c r="AHX15" s="2854"/>
      <c r="AHY15" s="2854"/>
      <c r="AHZ15" s="2854"/>
      <c r="AIA15" s="2854"/>
      <c r="AIB15" s="2854"/>
      <c r="AIC15" s="2854"/>
      <c r="AID15" s="2854"/>
      <c r="AIE15" s="2854"/>
      <c r="AIF15" s="2854"/>
      <c r="AIG15" s="2854"/>
      <c r="AIH15" s="2854"/>
      <c r="AII15" s="2854"/>
      <c r="AIJ15" s="2854"/>
      <c r="AIK15" s="2854"/>
      <c r="AIL15" s="2854"/>
      <c r="AIM15" s="2854"/>
      <c r="AIN15" s="2854"/>
      <c r="AIO15" s="2854"/>
      <c r="AIP15" s="2854"/>
      <c r="AIQ15" s="2854"/>
      <c r="AIR15" s="2854"/>
      <c r="AIS15" s="2854"/>
      <c r="AIT15" s="2854"/>
      <c r="AIU15" s="2854"/>
      <c r="AIV15" s="2854"/>
      <c r="AIW15" s="2854"/>
      <c r="AIX15" s="2854"/>
      <c r="AIY15" s="2854"/>
      <c r="AIZ15" s="2854"/>
      <c r="AJA15" s="2854"/>
      <c r="AJB15" s="2854"/>
      <c r="AJC15" s="2854"/>
      <c r="AJD15" s="2854"/>
      <c r="AJE15" s="2854"/>
      <c r="AJF15" s="2854"/>
      <c r="AJG15" s="2854"/>
      <c r="AJH15" s="2854"/>
      <c r="AJI15" s="2854"/>
      <c r="AJJ15" s="2854"/>
      <c r="AJK15" s="2854"/>
      <c r="AJL15" s="2854"/>
      <c r="AJM15" s="2854"/>
      <c r="AJN15" s="2854"/>
      <c r="AJO15" s="2854"/>
      <c r="AJP15" s="2854"/>
      <c r="AJQ15" s="2854"/>
      <c r="AJR15" s="2854"/>
      <c r="AJS15" s="2854"/>
      <c r="AJT15" s="2854"/>
      <c r="AJU15" s="2854"/>
      <c r="AJV15" s="2854"/>
      <c r="AJW15" s="2854"/>
      <c r="AJX15" s="2854"/>
      <c r="AJY15" s="2854"/>
      <c r="AJZ15" s="2854"/>
      <c r="AKA15" s="2854"/>
      <c r="AKB15" s="2854"/>
      <c r="AKC15" s="2854"/>
      <c r="AKD15" s="2854"/>
      <c r="AKE15" s="2854"/>
      <c r="AKF15" s="2854"/>
      <c r="AKG15" s="2854"/>
      <c r="AKH15" s="2854"/>
      <c r="AKI15" s="2854"/>
      <c r="AKJ15" s="2854"/>
      <c r="AKK15" s="2854"/>
      <c r="AKL15" s="2854"/>
      <c r="AKM15" s="2854"/>
      <c r="AKN15" s="2854"/>
      <c r="AKO15" s="2854"/>
      <c r="AKP15" s="2854"/>
      <c r="AKQ15" s="2854"/>
      <c r="AKR15" s="2854"/>
      <c r="AKS15" s="2854"/>
      <c r="AKT15" s="2854"/>
      <c r="AKU15" s="2854"/>
      <c r="AKV15" s="2854"/>
      <c r="AKW15" s="2854"/>
      <c r="AKX15" s="2854"/>
      <c r="AKY15" s="2854"/>
      <c r="AKZ15" s="2854"/>
      <c r="ALA15" s="2854"/>
      <c r="ALB15" s="2854"/>
      <c r="ALC15" s="2854"/>
      <c r="ALD15" s="2854"/>
      <c r="ALE15" s="2854"/>
      <c r="ALF15" s="2854"/>
      <c r="ALG15" s="2854"/>
      <c r="ALH15" s="2854"/>
      <c r="ALI15" s="2854"/>
      <c r="ALJ15" s="2854"/>
      <c r="ALK15" s="2854"/>
      <c r="ALL15" s="2854"/>
      <c r="ALM15" s="2854"/>
      <c r="ALN15" s="2854"/>
      <c r="ALO15" s="2854"/>
      <c r="ALP15" s="2854"/>
      <c r="ALQ15" s="2854"/>
      <c r="ALR15" s="2854"/>
      <c r="ALS15" s="2854"/>
      <c r="ALT15" s="2854"/>
      <c r="ALU15" s="2854"/>
      <c r="ALV15" s="2854"/>
      <c r="ALW15" s="2854"/>
      <c r="ALX15" s="2854"/>
      <c r="ALY15" s="2854"/>
      <c r="ALZ15" s="2854"/>
      <c r="AMA15" s="2854"/>
      <c r="AMB15" s="2854"/>
      <c r="AMC15" s="2854"/>
      <c r="AMD15" s="2854"/>
      <c r="AME15" s="2854"/>
      <c r="AMF15" s="2854"/>
      <c r="AMG15" s="2854"/>
      <c r="AMH15" s="2854"/>
      <c r="AMI15" s="2854"/>
      <c r="AMJ15" s="2854"/>
      <c r="AMK15" s="2854"/>
      <c r="AML15" s="2854"/>
      <c r="AMM15" s="2854"/>
      <c r="AMN15" s="2854"/>
      <c r="AMO15" s="2854"/>
      <c r="AMP15" s="2854"/>
      <c r="AMQ15" s="2854"/>
      <c r="AMR15" s="2854"/>
      <c r="AMS15" s="2854"/>
      <c r="AMT15" s="2854"/>
      <c r="AMU15" s="2854"/>
      <c r="AMV15" s="2854"/>
      <c r="AMW15" s="2854"/>
      <c r="AMX15" s="2854"/>
      <c r="AMY15" s="2854"/>
      <c r="AMZ15" s="2854"/>
      <c r="ANA15" s="2854"/>
      <c r="ANB15" s="2854"/>
      <c r="ANC15" s="2854"/>
      <c r="AND15" s="2854"/>
      <c r="ANE15" s="2854"/>
      <c r="ANF15" s="2854"/>
      <c r="ANG15" s="2854"/>
      <c r="ANH15" s="2854"/>
      <c r="ANI15" s="2854"/>
      <c r="ANJ15" s="2854"/>
      <c r="ANK15" s="2854"/>
      <c r="ANL15" s="2854"/>
      <c r="ANM15" s="2854"/>
      <c r="ANN15" s="2854"/>
      <c r="ANO15" s="2854"/>
      <c r="ANP15" s="2854"/>
      <c r="ANQ15" s="2854"/>
      <c r="ANR15" s="2854"/>
      <c r="ANS15" s="2854"/>
      <c r="ANT15" s="2854"/>
      <c r="ANU15" s="2854"/>
      <c r="ANV15" s="2854"/>
      <c r="ANW15" s="2854"/>
      <c r="ANX15" s="2854"/>
      <c r="ANY15" s="2854"/>
      <c r="ANZ15" s="2854"/>
      <c r="AOA15" s="2854"/>
      <c r="AOB15" s="2854"/>
      <c r="AOC15" s="2854"/>
      <c r="AOD15" s="2854"/>
      <c r="AOE15" s="2854"/>
      <c r="AOF15" s="2854"/>
      <c r="AOG15" s="2854"/>
      <c r="AOH15" s="2854"/>
      <c r="AOI15" s="2854"/>
      <c r="AOJ15" s="2854"/>
      <c r="AOK15" s="2854"/>
      <c r="AOL15" s="2854"/>
      <c r="AOM15" s="2854"/>
      <c r="AON15" s="2854"/>
      <c r="AOO15" s="2854"/>
      <c r="AOP15" s="2854"/>
      <c r="AOQ15" s="2854"/>
      <c r="AOR15" s="2854"/>
      <c r="AOS15" s="2854"/>
      <c r="AOT15" s="2854"/>
      <c r="AOU15" s="2854"/>
      <c r="AOV15" s="2854"/>
      <c r="AOW15" s="2854"/>
      <c r="AOX15" s="2854"/>
      <c r="AOY15" s="2854"/>
      <c r="AOZ15" s="2854"/>
      <c r="APA15" s="2854"/>
      <c r="APB15" s="2854"/>
      <c r="APC15" s="2854"/>
      <c r="APD15" s="2854"/>
      <c r="APE15" s="2854"/>
      <c r="APF15" s="2854"/>
      <c r="APG15" s="2854"/>
      <c r="APH15" s="2854"/>
      <c r="API15" s="2854"/>
      <c r="APJ15" s="2854"/>
      <c r="APK15" s="2854"/>
      <c r="APL15" s="2854"/>
      <c r="APM15" s="2854"/>
      <c r="APN15" s="2854"/>
      <c r="APO15" s="2854"/>
      <c r="APP15" s="2854"/>
      <c r="APQ15" s="2854"/>
      <c r="APR15" s="2854"/>
      <c r="APS15" s="2854"/>
      <c r="APT15" s="2854"/>
      <c r="APU15" s="2854"/>
      <c r="APV15" s="2854"/>
      <c r="APW15" s="2854"/>
      <c r="APX15" s="2854"/>
      <c r="APY15" s="2854"/>
      <c r="APZ15" s="2854"/>
      <c r="AQA15" s="2854"/>
      <c r="AQB15" s="2854"/>
      <c r="AQC15" s="2854"/>
      <c r="AQD15" s="2854"/>
      <c r="AQE15" s="2854"/>
      <c r="AQF15" s="2854"/>
      <c r="AQG15" s="2854"/>
      <c r="AQH15" s="2854"/>
      <c r="AQI15" s="2854"/>
      <c r="AQJ15" s="2854"/>
      <c r="AQK15" s="2854"/>
      <c r="AQL15" s="2854"/>
      <c r="AQM15" s="2854"/>
      <c r="AQN15" s="2854"/>
      <c r="AQO15" s="2854"/>
      <c r="AQP15" s="2854"/>
      <c r="AQQ15" s="2854"/>
      <c r="AQR15" s="2854"/>
      <c r="AQS15" s="2854"/>
      <c r="AQT15" s="2854"/>
      <c r="AQU15" s="2854"/>
      <c r="AQV15" s="2854"/>
      <c r="AQW15" s="2854"/>
      <c r="AQX15" s="2854"/>
      <c r="AQY15" s="2854"/>
      <c r="AQZ15" s="2854"/>
      <c r="ARA15" s="2854"/>
      <c r="ARB15" s="2854"/>
      <c r="ARC15" s="2854"/>
      <c r="ARD15" s="2854"/>
      <c r="ARE15" s="2854"/>
      <c r="ARF15" s="2854"/>
      <c r="ARG15" s="2854"/>
      <c r="ARH15" s="2854"/>
      <c r="ARI15" s="2854"/>
      <c r="ARJ15" s="2854"/>
      <c r="ARK15" s="2854"/>
      <c r="ARL15" s="2854"/>
      <c r="ARM15" s="2854"/>
      <c r="ARN15" s="2854"/>
      <c r="ARO15" s="2854"/>
      <c r="ARP15" s="2854"/>
      <c r="ARQ15" s="2854"/>
      <c r="ARR15" s="2854"/>
      <c r="ARS15" s="2854"/>
      <c r="ART15" s="2854"/>
      <c r="ARU15" s="2854"/>
      <c r="ARV15" s="2854"/>
      <c r="ARW15" s="2854"/>
      <c r="ARX15" s="2854"/>
      <c r="ARY15" s="2854"/>
      <c r="ARZ15" s="2854"/>
      <c r="ASA15" s="2854"/>
      <c r="ASB15" s="2854"/>
      <c r="ASC15" s="2854"/>
      <c r="ASD15" s="2854"/>
      <c r="ASE15" s="2854"/>
      <c r="ASF15" s="2854"/>
      <c r="ASG15" s="2854"/>
      <c r="ASH15" s="2854"/>
      <c r="ASI15" s="2854"/>
      <c r="ASJ15" s="2854"/>
      <c r="ASK15" s="2854"/>
      <c r="ASL15" s="2854"/>
      <c r="ASM15" s="2854"/>
      <c r="ASN15" s="2854"/>
      <c r="ASO15" s="2854"/>
      <c r="ASP15" s="2854"/>
      <c r="ASQ15" s="2854"/>
      <c r="ASR15" s="2854"/>
      <c r="ASS15" s="2854"/>
      <c r="AST15" s="2854"/>
      <c r="ASU15" s="2854"/>
      <c r="ASV15" s="2854"/>
      <c r="ASW15" s="2854"/>
      <c r="ASX15" s="2854"/>
      <c r="ASY15" s="2854"/>
      <c r="ASZ15" s="2854"/>
      <c r="ATA15" s="2854"/>
      <c r="ATB15" s="2854"/>
      <c r="ATC15" s="2854"/>
      <c r="ATD15" s="2854"/>
      <c r="ATE15" s="2854"/>
      <c r="ATF15" s="2854"/>
      <c r="ATG15" s="2854"/>
      <c r="ATH15" s="2854"/>
      <c r="ATI15" s="2854"/>
      <c r="ATJ15" s="2854"/>
      <c r="ATK15" s="2854"/>
      <c r="ATL15" s="2854"/>
      <c r="ATM15" s="2854"/>
      <c r="ATN15" s="2854"/>
      <c r="ATO15" s="2854"/>
      <c r="ATP15" s="2854"/>
      <c r="ATQ15" s="2854"/>
      <c r="ATR15" s="2854"/>
      <c r="ATS15" s="2854"/>
      <c r="ATT15" s="2854"/>
      <c r="ATU15" s="2854"/>
      <c r="ATV15" s="2854"/>
      <c r="ATW15" s="2854"/>
      <c r="ATX15" s="2854"/>
      <c r="ATY15" s="2854"/>
      <c r="ATZ15" s="2854"/>
      <c r="AUA15" s="2854"/>
      <c r="AUB15" s="2854"/>
      <c r="AUC15" s="2854"/>
      <c r="AUD15" s="2854"/>
      <c r="AUE15" s="2854"/>
      <c r="AUF15" s="2854"/>
      <c r="AUG15" s="2854"/>
      <c r="AUH15" s="2854"/>
      <c r="AUI15" s="2854"/>
      <c r="AUJ15" s="2854"/>
      <c r="AUK15" s="2854"/>
      <c r="AUL15" s="2854"/>
      <c r="AUM15" s="2854"/>
      <c r="AUN15" s="2854"/>
      <c r="AUO15" s="2854"/>
      <c r="AUP15" s="2854"/>
      <c r="AUQ15" s="2854"/>
      <c r="AUR15" s="2854"/>
      <c r="AUS15" s="2854"/>
      <c r="AUT15" s="2854"/>
      <c r="AUU15" s="2854"/>
      <c r="AUV15" s="2854"/>
      <c r="AUW15" s="2854"/>
      <c r="AUX15" s="2854"/>
      <c r="AUY15" s="2854"/>
      <c r="AUZ15" s="2854"/>
      <c r="AVA15" s="2854"/>
      <c r="AVB15" s="2854"/>
      <c r="AVC15" s="2854"/>
      <c r="AVD15" s="2854"/>
      <c r="AVE15" s="2854"/>
      <c r="AVF15" s="2854"/>
      <c r="AVG15" s="2854"/>
      <c r="AVH15" s="2854"/>
      <c r="AVI15" s="2854"/>
      <c r="AVJ15" s="2854"/>
      <c r="AVK15" s="2854"/>
      <c r="AVL15" s="2854"/>
      <c r="AVM15" s="2854"/>
      <c r="AVN15" s="2854"/>
      <c r="AVO15" s="2854"/>
      <c r="AVP15" s="2854"/>
      <c r="AVQ15" s="2854"/>
      <c r="AVR15" s="2854"/>
      <c r="AVS15" s="2854"/>
      <c r="AVT15" s="2854"/>
      <c r="AVU15" s="2854"/>
      <c r="AVV15" s="2854"/>
      <c r="AVW15" s="2854"/>
      <c r="AVX15" s="2854"/>
      <c r="AVY15" s="2854"/>
      <c r="AVZ15" s="2854"/>
      <c r="AWA15" s="2854"/>
      <c r="AWB15" s="2854"/>
      <c r="AWC15" s="2854"/>
      <c r="AWD15" s="2854"/>
      <c r="AWE15" s="2854"/>
      <c r="AWF15" s="2854"/>
      <c r="AWG15" s="2854"/>
      <c r="AWH15" s="2854"/>
      <c r="AWI15" s="2854"/>
      <c r="AWJ15" s="2854"/>
      <c r="AWK15" s="2854"/>
      <c r="AWL15" s="2854"/>
      <c r="AWM15" s="2854"/>
      <c r="AWN15" s="2854"/>
      <c r="AWO15" s="2854"/>
      <c r="AWP15" s="2854"/>
      <c r="AWQ15" s="2854"/>
      <c r="AWR15" s="2854"/>
      <c r="AWS15" s="2854"/>
      <c r="AWT15" s="2854"/>
      <c r="AWU15" s="2854"/>
      <c r="AWV15" s="2854"/>
      <c r="AWW15" s="2854"/>
      <c r="AWX15" s="2854"/>
      <c r="AWY15" s="2854"/>
      <c r="AWZ15" s="2854"/>
      <c r="AXA15" s="2854"/>
      <c r="AXB15" s="2854"/>
      <c r="AXC15" s="2854"/>
      <c r="AXD15" s="2854"/>
      <c r="AXE15" s="2854"/>
      <c r="AXF15" s="2854"/>
      <c r="AXG15" s="2854"/>
      <c r="AXH15" s="2854"/>
      <c r="AXI15" s="2854"/>
      <c r="AXJ15" s="2854"/>
      <c r="AXK15" s="2854"/>
      <c r="AXL15" s="2854"/>
      <c r="AXM15" s="2854"/>
      <c r="AXN15" s="2854"/>
      <c r="AXO15" s="2854"/>
      <c r="AXP15" s="2854"/>
      <c r="AXQ15" s="2854"/>
      <c r="AXR15" s="2854"/>
      <c r="AXS15" s="2854"/>
      <c r="AXT15" s="2854"/>
      <c r="AXU15" s="2854"/>
      <c r="AXV15" s="2854"/>
      <c r="AXW15" s="2854"/>
      <c r="AXX15" s="2854"/>
      <c r="AXY15" s="2854"/>
      <c r="AXZ15" s="2854"/>
      <c r="AYA15" s="2854"/>
      <c r="AYB15" s="2854"/>
      <c r="AYC15" s="2854"/>
      <c r="AYD15" s="2854"/>
      <c r="AYE15" s="2854"/>
      <c r="AYF15" s="2854"/>
      <c r="AYG15" s="2854"/>
      <c r="AYH15" s="2854"/>
      <c r="AYI15" s="2854"/>
      <c r="AYJ15" s="2854"/>
      <c r="AYK15" s="2854"/>
      <c r="AYL15" s="2854"/>
      <c r="AYM15" s="2854"/>
      <c r="AYN15" s="2854"/>
      <c r="AYO15" s="2854"/>
      <c r="AYP15" s="2854"/>
      <c r="AYQ15" s="2854"/>
      <c r="AYR15" s="2854"/>
      <c r="AYS15" s="2854"/>
      <c r="AYT15" s="2854"/>
      <c r="AYU15" s="2854"/>
      <c r="AYV15" s="2854"/>
      <c r="AYW15" s="2854"/>
      <c r="AYX15" s="2854"/>
      <c r="AYY15" s="2854"/>
      <c r="AYZ15" s="2854"/>
      <c r="AZA15" s="2854"/>
      <c r="AZB15" s="2854"/>
      <c r="AZC15" s="2854"/>
      <c r="AZD15" s="2854"/>
      <c r="AZE15" s="2854"/>
      <c r="AZF15" s="2854"/>
      <c r="AZG15" s="2854"/>
      <c r="AZH15" s="2854"/>
      <c r="AZI15" s="2854"/>
      <c r="AZJ15" s="2854"/>
      <c r="AZK15" s="2854"/>
      <c r="AZL15" s="2854"/>
      <c r="AZM15" s="2854"/>
      <c r="AZN15" s="2854"/>
      <c r="AZO15" s="2854"/>
      <c r="AZP15" s="2854"/>
      <c r="AZQ15" s="2854"/>
      <c r="AZR15" s="2854"/>
      <c r="AZS15" s="2854"/>
      <c r="AZT15" s="2854"/>
      <c r="AZU15" s="2854"/>
      <c r="AZV15" s="2854"/>
      <c r="AZW15" s="2854"/>
      <c r="AZX15" s="2854"/>
      <c r="AZY15" s="2854"/>
      <c r="AZZ15" s="2854"/>
      <c r="BAA15" s="2854"/>
      <c r="BAB15" s="2854"/>
      <c r="BAC15" s="2854"/>
      <c r="BAD15" s="2854"/>
      <c r="BAE15" s="2854"/>
      <c r="BAF15" s="2854"/>
      <c r="BAG15" s="2854"/>
      <c r="BAH15" s="2854"/>
      <c r="BAI15" s="2854"/>
      <c r="BAJ15" s="2854"/>
      <c r="BAK15" s="2854"/>
      <c r="BAL15" s="2854"/>
      <c r="BAM15" s="2854"/>
      <c r="BAN15" s="2854"/>
      <c r="BAO15" s="2854"/>
      <c r="BAP15" s="2854"/>
      <c r="BAQ15" s="2854"/>
      <c r="BAR15" s="2854"/>
      <c r="BAS15" s="2854"/>
      <c r="BAT15" s="2854"/>
      <c r="BAU15" s="2854"/>
      <c r="BAV15" s="2854"/>
      <c r="BAW15" s="2854"/>
      <c r="BAX15" s="2854"/>
      <c r="BAY15" s="2854"/>
      <c r="BAZ15" s="2854"/>
      <c r="BBA15" s="2854"/>
      <c r="BBB15" s="2854"/>
      <c r="BBC15" s="2854"/>
      <c r="BBD15" s="2854"/>
      <c r="BBE15" s="2854"/>
      <c r="BBF15" s="2854"/>
      <c r="BBG15" s="2854"/>
      <c r="BBH15" s="2854"/>
      <c r="BBI15" s="2854"/>
      <c r="BBJ15" s="2854"/>
      <c r="BBK15" s="2854"/>
      <c r="BBL15" s="2854"/>
      <c r="BBM15" s="2854"/>
      <c r="BBN15" s="2854"/>
      <c r="BBO15" s="2854"/>
      <c r="BBP15" s="2854"/>
      <c r="BBQ15" s="2854"/>
      <c r="BBR15" s="2854"/>
      <c r="BBS15" s="2854"/>
      <c r="BBT15" s="2854"/>
      <c r="BBU15" s="2854"/>
      <c r="BBV15" s="2854"/>
      <c r="BBW15" s="2854"/>
      <c r="BBX15" s="2854"/>
      <c r="BBY15" s="2854"/>
      <c r="BBZ15" s="2854"/>
      <c r="BCA15" s="2854"/>
      <c r="BCB15" s="2854"/>
      <c r="BCC15" s="2854"/>
      <c r="BCD15" s="2854"/>
      <c r="BCE15" s="2854"/>
      <c r="BCF15" s="2854"/>
      <c r="BCG15" s="2854"/>
      <c r="BCH15" s="2854"/>
      <c r="BCI15" s="2854"/>
      <c r="BCJ15" s="2854"/>
      <c r="BCK15" s="2854"/>
      <c r="BCL15" s="2854"/>
      <c r="BCM15" s="2854"/>
      <c r="BCN15" s="2854"/>
      <c r="BCO15" s="2854"/>
      <c r="BCP15" s="2854"/>
      <c r="BCQ15" s="2854"/>
      <c r="BCR15" s="2854"/>
      <c r="BCS15" s="2854"/>
      <c r="BCT15" s="2854"/>
      <c r="BCU15" s="2854"/>
      <c r="BCV15" s="2854"/>
      <c r="BCW15" s="2854"/>
      <c r="BCX15" s="2854"/>
      <c r="BCY15" s="2854"/>
      <c r="BCZ15" s="2854"/>
      <c r="BDA15" s="2854"/>
      <c r="BDB15" s="2854"/>
      <c r="BDC15" s="2854"/>
      <c r="BDD15" s="2854"/>
      <c r="BDE15" s="2854"/>
      <c r="BDF15" s="2854"/>
      <c r="BDG15" s="2854"/>
      <c r="BDH15" s="2854"/>
      <c r="BDI15" s="2854"/>
      <c r="BDJ15" s="2854"/>
      <c r="BDK15" s="2854"/>
      <c r="BDL15" s="2854"/>
      <c r="BDM15" s="2854"/>
      <c r="BDN15" s="2854"/>
      <c r="BDO15" s="2854"/>
      <c r="BDP15" s="2854"/>
      <c r="BDQ15" s="2854"/>
      <c r="BDR15" s="2854"/>
      <c r="BDS15" s="2854"/>
      <c r="BDT15" s="2854"/>
      <c r="BDU15" s="2854"/>
      <c r="BDV15" s="2854"/>
      <c r="BDW15" s="2854"/>
      <c r="BDX15" s="2854"/>
      <c r="BDY15" s="2854"/>
      <c r="BDZ15" s="2854"/>
      <c r="BEA15" s="2854"/>
      <c r="BEB15" s="2854"/>
      <c r="BEC15" s="2854"/>
      <c r="BED15" s="2854"/>
      <c r="BEE15" s="2854"/>
      <c r="BEF15" s="2854"/>
      <c r="BEG15" s="2854"/>
      <c r="BEH15" s="2854"/>
      <c r="BEI15" s="2854"/>
      <c r="BEJ15" s="2854"/>
      <c r="BEK15" s="2854"/>
      <c r="BEL15" s="2854"/>
      <c r="BEM15" s="2854"/>
      <c r="BEN15" s="2854"/>
      <c r="BEO15" s="2854"/>
      <c r="BEP15" s="2854"/>
      <c r="BEQ15" s="2854"/>
      <c r="BER15" s="2854"/>
      <c r="BES15" s="2854"/>
      <c r="BET15" s="2854"/>
      <c r="BEU15" s="2854"/>
      <c r="BEV15" s="2854"/>
      <c r="BEW15" s="2854"/>
      <c r="BEX15" s="2854"/>
      <c r="BEY15" s="2854"/>
      <c r="BEZ15" s="2854"/>
      <c r="BFA15" s="2854"/>
      <c r="BFB15" s="2854"/>
      <c r="BFC15" s="2854"/>
      <c r="BFD15" s="2854"/>
      <c r="BFE15" s="2854"/>
      <c r="BFF15" s="2854"/>
      <c r="BFG15" s="2854"/>
      <c r="BFH15" s="2854"/>
      <c r="BFI15" s="2854"/>
      <c r="BFJ15" s="2854"/>
      <c r="BFK15" s="2854"/>
      <c r="BFL15" s="2854"/>
      <c r="BFM15" s="2854"/>
      <c r="BFN15" s="2854"/>
      <c r="BFO15" s="2854"/>
      <c r="BFP15" s="2854"/>
      <c r="BFQ15" s="2854"/>
      <c r="BFR15" s="2854"/>
      <c r="BFS15" s="2854"/>
      <c r="BFT15" s="2854"/>
      <c r="BFU15" s="2854"/>
      <c r="BFV15" s="2854"/>
      <c r="BFW15" s="2854"/>
      <c r="BFX15" s="2854"/>
      <c r="BFY15" s="2854"/>
      <c r="BFZ15" s="2854"/>
      <c r="BGA15" s="2854"/>
      <c r="BGB15" s="2854"/>
      <c r="BGC15" s="2854"/>
      <c r="BGD15" s="2854"/>
      <c r="BGE15" s="2854"/>
      <c r="BGF15" s="2854"/>
      <c r="BGG15" s="2854"/>
      <c r="BGH15" s="2854"/>
      <c r="BGI15" s="2854"/>
      <c r="BGJ15" s="2854"/>
      <c r="BGK15" s="2854"/>
      <c r="BGL15" s="2854"/>
      <c r="BGM15" s="2854"/>
      <c r="BGN15" s="2854"/>
      <c r="BGO15" s="2854"/>
      <c r="BGP15" s="2854"/>
      <c r="BGQ15" s="2854"/>
      <c r="BGR15" s="2854"/>
      <c r="BGS15" s="2854"/>
      <c r="BGT15" s="2854"/>
      <c r="BGU15" s="2854"/>
      <c r="BGV15" s="2854"/>
      <c r="BGW15" s="2854"/>
      <c r="BGX15" s="2854"/>
      <c r="BGY15" s="2854"/>
      <c r="BGZ15" s="2854"/>
      <c r="BHA15" s="2854"/>
      <c r="BHB15" s="2854"/>
      <c r="BHC15" s="2854"/>
      <c r="BHD15" s="2854"/>
      <c r="BHE15" s="2854"/>
      <c r="BHF15" s="2854"/>
      <c r="BHG15" s="2854"/>
      <c r="BHH15" s="2854"/>
      <c r="BHI15" s="2854"/>
      <c r="BHJ15" s="2854"/>
      <c r="BHK15" s="2854"/>
      <c r="BHL15" s="2854"/>
      <c r="BHM15" s="2854"/>
      <c r="BHN15" s="2854"/>
      <c r="BHO15" s="2854"/>
      <c r="BHP15" s="2854"/>
      <c r="BHQ15" s="2854"/>
      <c r="BHR15" s="2854"/>
      <c r="BHS15" s="2854"/>
      <c r="BHT15" s="2854"/>
      <c r="BHU15" s="2854"/>
      <c r="BHV15" s="2854"/>
      <c r="BHW15" s="2854"/>
      <c r="BHX15" s="2854"/>
      <c r="BHY15" s="2854"/>
      <c r="BHZ15" s="2854"/>
      <c r="BIA15" s="2854"/>
      <c r="BIB15" s="2854"/>
      <c r="BIC15" s="2854"/>
      <c r="BID15" s="2854"/>
      <c r="BIE15" s="2854"/>
      <c r="BIF15" s="2854"/>
      <c r="BIG15" s="2854"/>
      <c r="BIH15" s="2854"/>
      <c r="BII15" s="2854"/>
      <c r="BIJ15" s="2854"/>
      <c r="BIK15" s="2854"/>
      <c r="BIL15" s="2854"/>
      <c r="BIM15" s="2854"/>
      <c r="BIN15" s="2854"/>
      <c r="BIO15" s="2854"/>
      <c r="BIP15" s="2854"/>
      <c r="BIQ15" s="2854"/>
      <c r="BIR15" s="2854"/>
      <c r="BIS15" s="2854"/>
      <c r="BIT15" s="2854"/>
      <c r="BIU15" s="2854"/>
      <c r="BIV15" s="2854"/>
      <c r="BIW15" s="2854"/>
      <c r="BIX15" s="2854"/>
      <c r="BIY15" s="2854"/>
      <c r="BIZ15" s="2854"/>
      <c r="BJA15" s="2854"/>
      <c r="BJB15" s="2854"/>
      <c r="BJC15" s="2854"/>
      <c r="BJD15" s="2854"/>
      <c r="BJE15" s="2854"/>
      <c r="BJF15" s="2854"/>
      <c r="BJG15" s="2854"/>
      <c r="BJH15" s="2854"/>
      <c r="BJI15" s="2854"/>
      <c r="BJJ15" s="2854"/>
      <c r="BJK15" s="2854"/>
      <c r="BJL15" s="2854"/>
      <c r="BJM15" s="2854"/>
      <c r="BJN15" s="2854"/>
      <c r="BJO15" s="2854"/>
      <c r="BJP15" s="2854"/>
      <c r="BJQ15" s="2854"/>
      <c r="BJR15" s="2854"/>
      <c r="BJS15" s="2854"/>
      <c r="BJT15" s="2854"/>
      <c r="BJU15" s="2854"/>
      <c r="BJV15" s="2854"/>
      <c r="BJW15" s="2854"/>
      <c r="BJX15" s="2854"/>
      <c r="BJY15" s="2854"/>
      <c r="BJZ15" s="2854"/>
      <c r="BKA15" s="2854"/>
      <c r="BKB15" s="2854"/>
      <c r="BKC15" s="2854"/>
      <c r="BKD15" s="2854"/>
      <c r="BKE15" s="2854"/>
      <c r="BKF15" s="2854"/>
      <c r="BKG15" s="2854"/>
      <c r="BKH15" s="2854"/>
      <c r="BKI15" s="2854"/>
      <c r="BKJ15" s="2854"/>
      <c r="BKK15" s="2854"/>
      <c r="BKL15" s="2854"/>
      <c r="BKM15" s="2854"/>
      <c r="BKN15" s="2854"/>
      <c r="BKO15" s="2854"/>
      <c r="BKP15" s="2854"/>
      <c r="BKQ15" s="2854"/>
      <c r="BKR15" s="2854"/>
      <c r="BKS15" s="2854"/>
      <c r="BKT15" s="2854"/>
      <c r="BKU15" s="2854"/>
      <c r="BKV15" s="2854"/>
      <c r="BKW15" s="2854"/>
      <c r="BKX15" s="2854"/>
      <c r="BKY15" s="2854"/>
      <c r="BKZ15" s="2854"/>
      <c r="BLA15" s="2854"/>
      <c r="BLB15" s="2854"/>
      <c r="BLC15" s="2854"/>
      <c r="BLD15" s="2854"/>
      <c r="BLE15" s="2854"/>
      <c r="BLF15" s="2854"/>
      <c r="BLG15" s="2854"/>
      <c r="BLH15" s="2854"/>
      <c r="BLI15" s="2854"/>
      <c r="BLJ15" s="2854"/>
      <c r="BLK15" s="2854"/>
      <c r="BLL15" s="2854"/>
      <c r="BLM15" s="2854"/>
      <c r="BLN15" s="2854"/>
      <c r="BLO15" s="2854"/>
      <c r="BLP15" s="2854"/>
      <c r="BLQ15" s="2854"/>
      <c r="BLR15" s="2854"/>
      <c r="BLS15" s="2854"/>
      <c r="BLT15" s="2854"/>
      <c r="BLU15" s="2854"/>
      <c r="BLV15" s="2854"/>
      <c r="BLW15" s="2854"/>
      <c r="BLX15" s="2854"/>
      <c r="BLY15" s="2854"/>
      <c r="BLZ15" s="2854"/>
      <c r="BMA15" s="2854"/>
      <c r="BMB15" s="2854"/>
      <c r="BMC15" s="2854"/>
      <c r="BMD15" s="2854"/>
      <c r="BME15" s="2854"/>
      <c r="BMF15" s="2854"/>
      <c r="BMG15" s="2854"/>
      <c r="BMH15" s="2854"/>
      <c r="BMI15" s="2854"/>
      <c r="BMJ15" s="2854"/>
      <c r="BMK15" s="2854"/>
      <c r="BML15" s="2854"/>
      <c r="BMM15" s="2854"/>
      <c r="BMN15" s="2854"/>
      <c r="BMO15" s="2854"/>
      <c r="BMP15" s="2854"/>
      <c r="BMQ15" s="2854"/>
      <c r="BMR15" s="2854"/>
      <c r="BMS15" s="2854"/>
      <c r="BMT15" s="2854"/>
      <c r="BMU15" s="2854"/>
      <c r="BMV15" s="2854"/>
      <c r="BMW15" s="2854"/>
      <c r="BMX15" s="2854"/>
      <c r="BMY15" s="2854"/>
      <c r="BMZ15" s="2854"/>
      <c r="BNA15" s="2854"/>
      <c r="BNB15" s="2854"/>
      <c r="BNC15" s="2854"/>
      <c r="BND15" s="2854"/>
      <c r="BNE15" s="2854"/>
      <c r="BNF15" s="2854"/>
      <c r="BNG15" s="2854"/>
      <c r="BNH15" s="2854"/>
      <c r="BNI15" s="2854"/>
      <c r="BNJ15" s="2854"/>
      <c r="BNK15" s="2854"/>
      <c r="BNL15" s="2854"/>
      <c r="BNM15" s="2854"/>
      <c r="BNN15" s="2854"/>
      <c r="BNO15" s="2854"/>
      <c r="BNP15" s="2854"/>
      <c r="BNQ15" s="2854"/>
      <c r="BNR15" s="2854"/>
      <c r="BNS15" s="2854"/>
      <c r="BNT15" s="2854"/>
      <c r="BNU15" s="2854"/>
      <c r="BNV15" s="2854"/>
      <c r="BNW15" s="2854"/>
      <c r="BNX15" s="2854"/>
      <c r="BNY15" s="2854"/>
      <c r="BNZ15" s="2854"/>
      <c r="BOA15" s="2854"/>
      <c r="BOB15" s="2854"/>
      <c r="BOC15" s="2854"/>
      <c r="BOD15" s="2854"/>
      <c r="BOE15" s="2854"/>
      <c r="BOF15" s="2854"/>
      <c r="BOG15" s="2854"/>
      <c r="BOH15" s="2854"/>
      <c r="BOI15" s="2854"/>
      <c r="BOJ15" s="2854"/>
      <c r="BOK15" s="2854"/>
      <c r="BOL15" s="2854"/>
      <c r="BOM15" s="2854"/>
      <c r="BON15" s="2854"/>
      <c r="BOO15" s="2854"/>
      <c r="BOP15" s="2854"/>
      <c r="BOQ15" s="2854"/>
      <c r="BOR15" s="2854"/>
      <c r="BOS15" s="2854"/>
      <c r="BOT15" s="2854"/>
      <c r="BOU15" s="2854"/>
      <c r="BOV15" s="2854"/>
      <c r="BOW15" s="2854"/>
      <c r="BOX15" s="2854"/>
      <c r="BOY15" s="2854"/>
      <c r="BOZ15" s="2854"/>
      <c r="BPA15" s="2854"/>
      <c r="BPB15" s="2854"/>
      <c r="BPC15" s="2854"/>
      <c r="BPD15" s="2854"/>
      <c r="BPE15" s="2854"/>
      <c r="BPF15" s="2854"/>
      <c r="BPG15" s="2854"/>
      <c r="BPH15" s="2854"/>
      <c r="BPI15" s="2854"/>
      <c r="BPJ15" s="2854"/>
      <c r="BPK15" s="2854"/>
      <c r="BPL15" s="2854"/>
      <c r="BPM15" s="2854"/>
      <c r="BPN15" s="2854"/>
      <c r="BPO15" s="2854"/>
      <c r="BPP15" s="2854"/>
      <c r="BPQ15" s="2854"/>
      <c r="BPR15" s="2854"/>
      <c r="BPS15" s="2854"/>
      <c r="BPT15" s="2854"/>
      <c r="BPU15" s="2854"/>
      <c r="BPV15" s="2854"/>
      <c r="BPW15" s="2854"/>
      <c r="BPX15" s="2854"/>
      <c r="BPY15" s="2854"/>
      <c r="BPZ15" s="2854"/>
      <c r="BQA15" s="2854"/>
      <c r="BQB15" s="2854"/>
      <c r="BQC15" s="2854"/>
      <c r="BQD15" s="2854"/>
      <c r="BQE15" s="2854"/>
      <c r="BQF15" s="2854"/>
      <c r="BQG15" s="2854"/>
      <c r="BQH15" s="2854"/>
      <c r="BQI15" s="2854"/>
      <c r="BQJ15" s="2854"/>
      <c r="BQK15" s="2854"/>
      <c r="BQL15" s="2854"/>
      <c r="BQM15" s="2854"/>
      <c r="BQN15" s="2854"/>
      <c r="BQO15" s="2854"/>
      <c r="BQP15" s="2854"/>
      <c r="BQQ15" s="2854"/>
      <c r="BQR15" s="2854"/>
      <c r="BQS15" s="2854"/>
      <c r="BQT15" s="2854"/>
      <c r="BQU15" s="2854"/>
      <c r="BQV15" s="2854"/>
      <c r="BQW15" s="2854"/>
      <c r="BQX15" s="2854"/>
      <c r="BQY15" s="2854"/>
      <c r="BQZ15" s="2854"/>
      <c r="BRA15" s="2854"/>
      <c r="BRB15" s="2854"/>
      <c r="BRC15" s="2854"/>
      <c r="BRD15" s="2854"/>
      <c r="BRE15" s="2854"/>
      <c r="BRF15" s="2854"/>
      <c r="BRG15" s="2854"/>
      <c r="BRH15" s="2854"/>
      <c r="BRI15" s="2854"/>
      <c r="BRJ15" s="2854"/>
      <c r="BRK15" s="2854"/>
      <c r="BRL15" s="2854"/>
      <c r="BRM15" s="2854"/>
      <c r="BRN15" s="2854"/>
      <c r="BRO15" s="2854"/>
      <c r="BRP15" s="2854"/>
      <c r="BRQ15" s="2854"/>
      <c r="BRR15" s="2854"/>
      <c r="BRS15" s="2854"/>
      <c r="BRT15" s="2854"/>
      <c r="BRU15" s="2854"/>
      <c r="BRV15" s="2854"/>
      <c r="BRW15" s="2854"/>
      <c r="BRX15" s="2854"/>
      <c r="BRY15" s="2854"/>
      <c r="BRZ15" s="2854"/>
      <c r="BSA15" s="2854"/>
      <c r="BSB15" s="2854"/>
      <c r="BSC15" s="2854"/>
      <c r="BSD15" s="2854"/>
      <c r="BSE15" s="2854"/>
      <c r="BSF15" s="2854"/>
      <c r="BSG15" s="2854"/>
      <c r="BSH15" s="2854"/>
      <c r="BSI15" s="2854"/>
      <c r="BSJ15" s="2854"/>
      <c r="BSK15" s="2854"/>
      <c r="BSL15" s="2854"/>
      <c r="BSM15" s="2854"/>
      <c r="BSN15" s="2854"/>
      <c r="BSO15" s="2854"/>
      <c r="BSP15" s="2854"/>
      <c r="BSQ15" s="2854"/>
      <c r="BSR15" s="2854"/>
      <c r="BSS15" s="2854"/>
      <c r="BST15" s="2854"/>
      <c r="BSU15" s="2854"/>
      <c r="BSV15" s="2854"/>
      <c r="BSW15" s="2854"/>
      <c r="BSX15" s="2854"/>
      <c r="BSY15" s="2854"/>
      <c r="BSZ15" s="2854"/>
      <c r="BTA15" s="2854"/>
      <c r="BTB15" s="2854"/>
      <c r="BTC15" s="2854"/>
      <c r="BTD15" s="2854"/>
      <c r="BTE15" s="2854"/>
      <c r="BTF15" s="2854"/>
      <c r="BTG15" s="2854"/>
      <c r="BTH15" s="2854"/>
      <c r="BTI15" s="2854"/>
      <c r="BTJ15" s="2854"/>
      <c r="BTK15" s="2854"/>
      <c r="BTL15" s="2854"/>
      <c r="BTM15" s="2854"/>
      <c r="BTN15" s="2854"/>
      <c r="BTO15" s="2854"/>
      <c r="BTP15" s="2854"/>
      <c r="BTQ15" s="2854"/>
      <c r="BTR15" s="2854"/>
      <c r="BTS15" s="2854"/>
      <c r="BTT15" s="2854"/>
      <c r="BTU15" s="2854"/>
      <c r="BTV15" s="2854"/>
      <c r="BTW15" s="2854"/>
      <c r="BTX15" s="2854"/>
      <c r="BTY15" s="2854"/>
      <c r="BTZ15" s="2854"/>
      <c r="BUA15" s="2854"/>
      <c r="BUB15" s="2854"/>
      <c r="BUC15" s="2854"/>
      <c r="BUD15" s="2854"/>
      <c r="BUE15" s="2854"/>
      <c r="BUF15" s="2854"/>
      <c r="BUG15" s="2854"/>
      <c r="BUH15" s="2854"/>
      <c r="BUI15" s="2854"/>
      <c r="BUJ15" s="2854"/>
      <c r="BUK15" s="2854"/>
      <c r="BUL15" s="2854"/>
      <c r="BUM15" s="2854"/>
      <c r="BUN15" s="2854"/>
      <c r="BUO15" s="2854"/>
      <c r="BUP15" s="2854"/>
      <c r="BUQ15" s="2854"/>
      <c r="BUR15" s="2854"/>
      <c r="BUS15" s="2854"/>
      <c r="BUT15" s="2854"/>
      <c r="BUU15" s="2854"/>
      <c r="BUV15" s="2854"/>
      <c r="BUW15" s="2854"/>
      <c r="BUX15" s="2854"/>
      <c r="BUY15" s="2854"/>
      <c r="BUZ15" s="2854"/>
      <c r="BVA15" s="2854"/>
      <c r="BVB15" s="2854"/>
      <c r="BVC15" s="2854"/>
      <c r="BVD15" s="2854"/>
      <c r="BVE15" s="2854"/>
      <c r="BVF15" s="2854"/>
      <c r="BVG15" s="2854"/>
      <c r="BVH15" s="2854"/>
      <c r="BVI15" s="2854"/>
      <c r="BVJ15" s="2854"/>
      <c r="BVK15" s="2854"/>
      <c r="BVL15" s="2854"/>
      <c r="BVM15" s="2854"/>
      <c r="BVN15" s="2854"/>
      <c r="BVO15" s="2854"/>
      <c r="BVP15" s="2854"/>
      <c r="BVQ15" s="2854"/>
      <c r="BVR15" s="2854"/>
      <c r="BVS15" s="2854"/>
      <c r="BVT15" s="2854"/>
      <c r="BVU15" s="2854"/>
      <c r="BVV15" s="2854"/>
      <c r="BVW15" s="2854"/>
      <c r="BVX15" s="2854"/>
      <c r="BVY15" s="2854"/>
      <c r="BVZ15" s="2854"/>
      <c r="BWA15" s="2854"/>
      <c r="BWB15" s="2854"/>
      <c r="BWC15" s="2854"/>
      <c r="BWD15" s="2854"/>
      <c r="BWE15" s="2854"/>
      <c r="BWF15" s="2854"/>
      <c r="BWG15" s="2854"/>
      <c r="BWH15" s="2854"/>
      <c r="BWI15" s="2854"/>
      <c r="BWJ15" s="2854"/>
      <c r="BWK15" s="2854"/>
      <c r="BWL15" s="2854"/>
      <c r="BWM15" s="2854"/>
      <c r="BWN15" s="2854"/>
      <c r="BWO15" s="2854"/>
      <c r="BWP15" s="2854"/>
      <c r="BWQ15" s="2854"/>
      <c r="BWR15" s="2854"/>
      <c r="BWS15" s="2854"/>
      <c r="BWT15" s="2854"/>
      <c r="BWU15" s="2854"/>
      <c r="BWV15" s="2854"/>
      <c r="BWW15" s="2854"/>
      <c r="BWX15" s="2854"/>
      <c r="BWY15" s="2854"/>
      <c r="BWZ15" s="2854"/>
      <c r="BXA15" s="2854"/>
      <c r="BXB15" s="2854"/>
      <c r="BXC15" s="2854"/>
      <c r="BXD15" s="2854"/>
      <c r="BXE15" s="2854"/>
      <c r="BXF15" s="2854"/>
      <c r="BXG15" s="2854"/>
      <c r="BXH15" s="2854"/>
      <c r="BXI15" s="2854"/>
      <c r="BXJ15" s="2854"/>
      <c r="BXK15" s="2854"/>
      <c r="BXL15" s="2854"/>
      <c r="BXM15" s="2854"/>
      <c r="BXN15" s="2854"/>
      <c r="BXO15" s="2854"/>
      <c r="BXP15" s="2854"/>
      <c r="BXQ15" s="2854"/>
      <c r="BXR15" s="2854"/>
      <c r="BXS15" s="2854"/>
      <c r="BXT15" s="2854"/>
      <c r="BXU15" s="2854"/>
      <c r="BXV15" s="2854"/>
      <c r="BXW15" s="2854"/>
      <c r="BXX15" s="2854"/>
      <c r="BXY15" s="2854"/>
      <c r="BXZ15" s="2854"/>
      <c r="BYA15" s="2854"/>
      <c r="BYB15" s="2854"/>
      <c r="BYC15" s="2854"/>
      <c r="BYD15" s="2854"/>
      <c r="BYE15" s="2854"/>
      <c r="BYF15" s="2854"/>
      <c r="BYG15" s="2854"/>
      <c r="BYH15" s="2854"/>
      <c r="BYI15" s="2854"/>
      <c r="BYJ15" s="2854"/>
      <c r="BYK15" s="2854"/>
      <c r="BYL15" s="2854"/>
      <c r="BYM15" s="2854"/>
      <c r="BYN15" s="2854"/>
      <c r="BYO15" s="2854"/>
      <c r="BYP15" s="2854"/>
      <c r="BYQ15" s="2854"/>
      <c r="BYR15" s="2854"/>
      <c r="BYS15" s="2854"/>
      <c r="BYT15" s="2854"/>
      <c r="BYU15" s="2854"/>
      <c r="BYV15" s="2854"/>
      <c r="BYW15" s="2854"/>
      <c r="BYX15" s="2854"/>
      <c r="BYY15" s="2854"/>
      <c r="BYZ15" s="2854"/>
      <c r="BZA15" s="2854"/>
      <c r="BZB15" s="2854"/>
      <c r="BZC15" s="2854"/>
      <c r="BZD15" s="2854"/>
      <c r="BZE15" s="2854"/>
      <c r="BZF15" s="2854"/>
      <c r="BZG15" s="2854"/>
      <c r="BZH15" s="2854"/>
      <c r="BZI15" s="2854"/>
      <c r="BZJ15" s="2854"/>
      <c r="BZK15" s="2854"/>
      <c r="BZL15" s="2854"/>
      <c r="BZM15" s="2854"/>
      <c r="BZN15" s="2854"/>
      <c r="BZO15" s="2854"/>
      <c r="BZP15" s="2854"/>
      <c r="BZQ15" s="2854"/>
      <c r="BZR15" s="2854"/>
      <c r="BZS15" s="2854"/>
      <c r="BZT15" s="2854"/>
      <c r="BZU15" s="2854"/>
      <c r="BZV15" s="2854"/>
      <c r="BZW15" s="2854"/>
      <c r="BZX15" s="2854"/>
      <c r="BZY15" s="2854"/>
      <c r="BZZ15" s="2854"/>
      <c r="CAA15" s="2854"/>
      <c r="CAB15" s="2854"/>
      <c r="CAC15" s="2854"/>
      <c r="CAD15" s="2854"/>
      <c r="CAE15" s="2854"/>
      <c r="CAF15" s="2854"/>
      <c r="CAG15" s="2854"/>
      <c r="CAH15" s="2854"/>
      <c r="CAI15" s="2854"/>
      <c r="CAJ15" s="2854"/>
      <c r="CAK15" s="2854"/>
      <c r="CAL15" s="2854"/>
      <c r="CAM15" s="2854"/>
      <c r="CAN15" s="2854"/>
      <c r="CAO15" s="2854"/>
      <c r="CAP15" s="2854"/>
      <c r="CAQ15" s="2854"/>
      <c r="CAR15" s="2854"/>
      <c r="CAS15" s="2854"/>
      <c r="CAT15" s="2854"/>
      <c r="CAU15" s="2854"/>
      <c r="CAV15" s="2854"/>
      <c r="CAW15" s="2854"/>
      <c r="CAX15" s="2854"/>
      <c r="CAY15" s="2854"/>
      <c r="CAZ15" s="2854"/>
      <c r="CBA15" s="2854"/>
      <c r="CBB15" s="2854"/>
      <c r="CBC15" s="2854"/>
      <c r="CBD15" s="2854"/>
      <c r="CBE15" s="2854"/>
      <c r="CBF15" s="2854"/>
      <c r="CBG15" s="2854"/>
      <c r="CBH15" s="2854"/>
      <c r="CBI15" s="2854"/>
      <c r="CBJ15" s="2854"/>
      <c r="CBK15" s="2854"/>
      <c r="CBL15" s="2854"/>
      <c r="CBM15" s="2854"/>
      <c r="CBN15" s="2854"/>
      <c r="CBO15" s="2854"/>
      <c r="CBP15" s="2854"/>
      <c r="CBQ15" s="2854"/>
      <c r="CBR15" s="2854"/>
      <c r="CBS15" s="2854"/>
      <c r="CBT15" s="2854"/>
      <c r="CBU15" s="2854"/>
      <c r="CBV15" s="2854"/>
      <c r="CBW15" s="2854"/>
      <c r="CBX15" s="2854"/>
      <c r="CBY15" s="2854"/>
      <c r="CBZ15" s="2854"/>
      <c r="CCA15" s="2854"/>
      <c r="CCB15" s="2854"/>
      <c r="CCC15" s="2854"/>
      <c r="CCD15" s="2854"/>
      <c r="CCE15" s="2854"/>
      <c r="CCF15" s="2854"/>
      <c r="CCG15" s="2854"/>
      <c r="CCH15" s="2854"/>
      <c r="CCI15" s="2854"/>
      <c r="CCJ15" s="2854"/>
      <c r="CCK15" s="2854"/>
      <c r="CCL15" s="2854"/>
      <c r="CCM15" s="2854"/>
      <c r="CCN15" s="2854"/>
      <c r="CCO15" s="2854"/>
      <c r="CCP15" s="2854"/>
      <c r="CCQ15" s="2854"/>
      <c r="CCR15" s="2854"/>
      <c r="CCS15" s="2854"/>
      <c r="CCT15" s="2854"/>
      <c r="CCU15" s="2854"/>
      <c r="CCV15" s="2854"/>
      <c r="CCW15" s="2854"/>
      <c r="CCX15" s="2854"/>
      <c r="CCY15" s="2854"/>
      <c r="CCZ15" s="2854"/>
      <c r="CDA15" s="2854"/>
      <c r="CDB15" s="2854"/>
      <c r="CDC15" s="2854"/>
      <c r="CDD15" s="2854"/>
      <c r="CDE15" s="2854"/>
      <c r="CDF15" s="2854"/>
      <c r="CDG15" s="2854"/>
      <c r="CDH15" s="2854"/>
      <c r="CDI15" s="2854"/>
      <c r="CDJ15" s="2854"/>
      <c r="CDK15" s="2854"/>
      <c r="CDL15" s="2854"/>
      <c r="CDM15" s="2854"/>
      <c r="CDN15" s="2854"/>
      <c r="CDO15" s="2854"/>
      <c r="CDP15" s="2854"/>
      <c r="CDQ15" s="2854"/>
      <c r="CDR15" s="2854"/>
      <c r="CDS15" s="2854"/>
      <c r="CDT15" s="2854"/>
      <c r="CDU15" s="2854"/>
      <c r="CDV15" s="2854"/>
      <c r="CDW15" s="2854"/>
      <c r="CDX15" s="2854"/>
      <c r="CDY15" s="2854"/>
      <c r="CDZ15" s="2854"/>
      <c r="CEA15" s="2854"/>
      <c r="CEB15" s="2854"/>
      <c r="CEC15" s="2854"/>
      <c r="CED15" s="2854"/>
      <c r="CEE15" s="2854"/>
      <c r="CEF15" s="2854"/>
      <c r="CEG15" s="2854"/>
      <c r="CEH15" s="2854"/>
      <c r="CEI15" s="2854"/>
      <c r="CEJ15" s="2854"/>
      <c r="CEK15" s="2854"/>
      <c r="CEL15" s="2854"/>
      <c r="CEM15" s="2854"/>
      <c r="CEN15" s="2854"/>
      <c r="CEO15" s="2854"/>
      <c r="CEP15" s="2854"/>
      <c r="CEQ15" s="2854"/>
      <c r="CER15" s="2854"/>
      <c r="CES15" s="2854"/>
      <c r="CET15" s="2854"/>
      <c r="CEU15" s="2854"/>
      <c r="CEV15" s="2854"/>
      <c r="CEW15" s="2854"/>
      <c r="CEX15" s="2854"/>
      <c r="CEY15" s="2854"/>
      <c r="CEZ15" s="2854"/>
      <c r="CFA15" s="2854"/>
      <c r="CFB15" s="2854"/>
      <c r="CFC15" s="2854"/>
      <c r="CFD15" s="2854"/>
      <c r="CFE15" s="2854"/>
      <c r="CFF15" s="2854"/>
      <c r="CFG15" s="2854"/>
      <c r="CFH15" s="2854"/>
      <c r="CFI15" s="2854"/>
      <c r="CFJ15" s="2854"/>
      <c r="CFK15" s="2854"/>
      <c r="CFL15" s="2854"/>
      <c r="CFM15" s="2854"/>
      <c r="CFN15" s="2854"/>
      <c r="CFO15" s="2854"/>
      <c r="CFP15" s="2854"/>
      <c r="CFQ15" s="2854"/>
      <c r="CFR15" s="2854"/>
      <c r="CFS15" s="2854"/>
      <c r="CFT15" s="2854"/>
      <c r="CFU15" s="2854"/>
      <c r="CFV15" s="2854"/>
      <c r="CFW15" s="2854"/>
      <c r="CFX15" s="2854"/>
      <c r="CFY15" s="2854"/>
      <c r="CFZ15" s="2854"/>
      <c r="CGA15" s="2854"/>
      <c r="CGB15" s="2854"/>
      <c r="CGC15" s="2854"/>
      <c r="CGD15" s="2854"/>
      <c r="CGE15" s="2854"/>
      <c r="CGF15" s="2854"/>
      <c r="CGG15" s="2854"/>
      <c r="CGH15" s="2854"/>
      <c r="CGI15" s="2854"/>
      <c r="CGJ15" s="2854"/>
      <c r="CGK15" s="2854"/>
      <c r="CGL15" s="2854"/>
      <c r="CGM15" s="2854"/>
      <c r="CGN15" s="2854"/>
      <c r="CGO15" s="2854"/>
      <c r="CGP15" s="2854"/>
      <c r="CGQ15" s="2854"/>
      <c r="CGR15" s="2854"/>
      <c r="CGS15" s="2854"/>
      <c r="CGT15" s="2854"/>
      <c r="CGU15" s="2854"/>
      <c r="CGV15" s="2854"/>
      <c r="CGW15" s="2854"/>
      <c r="CGX15" s="2854"/>
      <c r="CGY15" s="2854"/>
      <c r="CGZ15" s="2854"/>
      <c r="CHA15" s="2854"/>
      <c r="CHB15" s="2854"/>
      <c r="CHC15" s="2854"/>
      <c r="CHD15" s="2854"/>
      <c r="CHE15" s="2854"/>
      <c r="CHF15" s="2854"/>
      <c r="CHG15" s="2854"/>
      <c r="CHH15" s="2854"/>
      <c r="CHI15" s="2854"/>
      <c r="CHJ15" s="2854"/>
      <c r="CHK15" s="2854"/>
      <c r="CHL15" s="2854"/>
      <c r="CHM15" s="2854"/>
      <c r="CHN15" s="2854"/>
      <c r="CHO15" s="2854"/>
      <c r="CHP15" s="2854"/>
      <c r="CHQ15" s="2854"/>
      <c r="CHR15" s="2854"/>
      <c r="CHS15" s="2854"/>
      <c r="CHT15" s="2854"/>
      <c r="CHU15" s="2854"/>
      <c r="CHV15" s="2854"/>
      <c r="CHW15" s="2854"/>
      <c r="CHX15" s="2854"/>
      <c r="CHY15" s="2854"/>
      <c r="CHZ15" s="2854"/>
      <c r="CIA15" s="2854"/>
      <c r="CIB15" s="2854"/>
      <c r="CIC15" s="2854"/>
      <c r="CID15" s="2854"/>
      <c r="CIE15" s="2854"/>
      <c r="CIF15" s="2854"/>
      <c r="CIG15" s="2854"/>
      <c r="CIH15" s="2854"/>
      <c r="CII15" s="2854"/>
      <c r="CIJ15" s="2854"/>
      <c r="CIK15" s="2854"/>
      <c r="CIL15" s="2854"/>
      <c r="CIM15" s="2854"/>
      <c r="CIN15" s="2854"/>
      <c r="CIO15" s="2854"/>
      <c r="CIP15" s="2854"/>
      <c r="CIQ15" s="2854"/>
      <c r="CIR15" s="2854"/>
      <c r="CIS15" s="2854"/>
      <c r="CIT15" s="2854"/>
      <c r="CIU15" s="2854"/>
      <c r="CIV15" s="2854"/>
      <c r="CIW15" s="2854"/>
      <c r="CIX15" s="2854"/>
      <c r="CIY15" s="2854"/>
      <c r="CIZ15" s="2854"/>
      <c r="CJA15" s="2854"/>
      <c r="CJB15" s="2854"/>
      <c r="CJC15" s="2854"/>
      <c r="CJD15" s="2854"/>
      <c r="CJE15" s="2854"/>
      <c r="CJF15" s="2854"/>
      <c r="CJG15" s="2854"/>
      <c r="CJH15" s="2854"/>
      <c r="CJI15" s="2854"/>
      <c r="CJJ15" s="2854"/>
      <c r="CJK15" s="2854"/>
      <c r="CJL15" s="2854"/>
      <c r="CJM15" s="2854"/>
      <c r="CJN15" s="2854"/>
      <c r="CJO15" s="2854"/>
      <c r="CJP15" s="2854"/>
      <c r="CJQ15" s="2854"/>
      <c r="CJR15" s="2854"/>
      <c r="CJS15" s="2854"/>
      <c r="CJT15" s="2854"/>
      <c r="CJU15" s="2854"/>
      <c r="CJV15" s="2854"/>
      <c r="CJW15" s="2854"/>
      <c r="CJX15" s="2854"/>
      <c r="CJY15" s="2854"/>
      <c r="CJZ15" s="2854"/>
      <c r="CKA15" s="2854"/>
      <c r="CKB15" s="2854"/>
      <c r="CKC15" s="2854"/>
      <c r="CKD15" s="2854"/>
      <c r="CKE15" s="2854"/>
      <c r="CKF15" s="2854"/>
      <c r="CKG15" s="2854"/>
      <c r="CKH15" s="2854"/>
      <c r="CKI15" s="2854"/>
      <c r="CKJ15" s="2854"/>
      <c r="CKK15" s="2854"/>
      <c r="CKL15" s="2854"/>
      <c r="CKM15" s="2854"/>
      <c r="CKN15" s="2854"/>
      <c r="CKO15" s="2854"/>
      <c r="CKP15" s="2854"/>
      <c r="CKQ15" s="2854"/>
      <c r="CKR15" s="2854"/>
      <c r="CKS15" s="2854"/>
      <c r="CKT15" s="2854"/>
      <c r="CKU15" s="2854"/>
      <c r="CKV15" s="2854"/>
      <c r="CKW15" s="2854"/>
      <c r="CKX15" s="2854"/>
      <c r="CKY15" s="2854"/>
      <c r="CKZ15" s="2854"/>
      <c r="CLA15" s="2854"/>
      <c r="CLB15" s="2854"/>
      <c r="CLC15" s="2854"/>
      <c r="CLD15" s="2854"/>
      <c r="CLE15" s="2854"/>
      <c r="CLF15" s="2854"/>
      <c r="CLG15" s="2854"/>
      <c r="CLH15" s="2854"/>
      <c r="CLI15" s="2854"/>
      <c r="CLJ15" s="2854"/>
      <c r="CLK15" s="2854"/>
      <c r="CLL15" s="2854"/>
      <c r="CLM15" s="2854"/>
      <c r="CLN15" s="2854"/>
      <c r="CLO15" s="2854"/>
      <c r="CLP15" s="2854"/>
      <c r="CLQ15" s="2854"/>
      <c r="CLR15" s="2854"/>
      <c r="CLS15" s="2854"/>
      <c r="CLT15" s="2854"/>
      <c r="CLU15" s="2854"/>
      <c r="CLV15" s="2854"/>
      <c r="CLW15" s="2854"/>
    </row>
    <row r="16" spans="1:2363" ht="15" customHeight="1" x14ac:dyDescent="0.25">
      <c r="A16" s="3868"/>
      <c r="B16" s="3873" t="s">
        <v>666</v>
      </c>
      <c r="C16" s="2968">
        <v>1</v>
      </c>
      <c r="D16" s="2726"/>
      <c r="E16" s="2725"/>
      <c r="F16" s="2667"/>
      <c r="G16" s="2784"/>
      <c r="H16" s="2245"/>
      <c r="I16" s="2667"/>
      <c r="J16" s="2665"/>
      <c r="K16" s="2780"/>
      <c r="L16" s="2667"/>
      <c r="M16" s="1805"/>
      <c r="N16" s="2667"/>
      <c r="O16" s="2463"/>
      <c r="P16" s="1842"/>
      <c r="Q16" s="1842"/>
      <c r="R16" s="1847"/>
      <c r="S16" s="1847"/>
      <c r="T16" s="2903"/>
      <c r="U16" s="1842"/>
      <c r="V16" s="2642">
        <f t="shared" ref="V16:V28" si="14">U16+R16+Q16+P16</f>
        <v>0</v>
      </c>
      <c r="W16" s="2200"/>
      <c r="X16" s="2638"/>
      <c r="Y16" s="2921"/>
      <c r="Z16" s="2128">
        <f>N16*5808*0.25</f>
        <v>0</v>
      </c>
      <c r="AA16" s="1851">
        <v>0</v>
      </c>
      <c r="AB16" s="1851">
        <v>0</v>
      </c>
      <c r="AC16" s="1851">
        <v>0</v>
      </c>
      <c r="AD16" s="1850">
        <v>0</v>
      </c>
      <c r="AE16" s="1897"/>
      <c r="AF16" s="1893">
        <v>0</v>
      </c>
      <c r="AG16" s="2866"/>
      <c r="AH16" s="1993">
        <f t="shared" ref="AH16:AH17" si="15">AD16+AF16</f>
        <v>0</v>
      </c>
      <c r="AI16" s="1851">
        <v>0</v>
      </c>
      <c r="AJ16" s="1851">
        <f t="shared" ref="AJ16:AJ17" si="16">AD16+AF16</f>
        <v>0</v>
      </c>
      <c r="AK16" s="2768">
        <f>AI16+AJ16</f>
        <v>0</v>
      </c>
      <c r="AL16" s="2675">
        <v>0</v>
      </c>
      <c r="AM16" s="2676">
        <v>0</v>
      </c>
      <c r="AN16" s="2104">
        <f t="shared" ref="AN16:AN17" si="17">AL16+AM16</f>
        <v>0</v>
      </c>
      <c r="AO16" s="2161">
        <v>0</v>
      </c>
      <c r="AP16" s="2507">
        <v>0</v>
      </c>
      <c r="AQ16" s="2167">
        <v>0</v>
      </c>
      <c r="AR16" s="2681">
        <v>0</v>
      </c>
      <c r="AS16" s="2165">
        <f>AO16+AP16+AQ16+AR16</f>
        <v>0</v>
      </c>
      <c r="AT16" s="2121"/>
      <c r="AU16" s="2168">
        <v>0</v>
      </c>
      <c r="AV16" s="1835">
        <v>0</v>
      </c>
      <c r="AW16" s="2171">
        <f>AU16+AV16</f>
        <v>0</v>
      </c>
      <c r="AX16" s="2675">
        <v>0</v>
      </c>
      <c r="AY16" s="2676">
        <v>0</v>
      </c>
      <c r="AZ16" s="2104">
        <f>AX16-AY16</f>
        <v>0</v>
      </c>
      <c r="BA16" s="3073">
        <v>0</v>
      </c>
      <c r="BB16" s="3074">
        <v>0</v>
      </c>
      <c r="BC16" s="3075">
        <v>0</v>
      </c>
      <c r="BD16" s="3076"/>
      <c r="BE16" s="3070">
        <f>BA16+BB16+BC16+BD16+AZ16</f>
        <v>0</v>
      </c>
      <c r="BF16" s="2121"/>
      <c r="BG16" s="2168">
        <v>0</v>
      </c>
      <c r="BH16" s="1835">
        <v>0</v>
      </c>
      <c r="BI16" s="2171">
        <f>BG16+BH16</f>
        <v>0</v>
      </c>
      <c r="BJ16" s="2656">
        <v>0</v>
      </c>
      <c r="BK16" s="2656">
        <v>0</v>
      </c>
      <c r="BL16" s="2657">
        <f>BJ16-BK16</f>
        <v>0</v>
      </c>
      <c r="BM16" s="2658">
        <f>AD16+AO16</f>
        <v>0</v>
      </c>
      <c r="BN16" s="2659">
        <f>AF16+AQ16</f>
        <v>0</v>
      </c>
      <c r="BO16" s="2659">
        <f t="shared" ref="BO16:BO17" si="18">BM16-BN16</f>
        <v>0</v>
      </c>
      <c r="BP16" s="2659">
        <f t="shared" ref="BP16:BP17" si="19">BM16+BO16</f>
        <v>0</v>
      </c>
      <c r="BQ16" s="2660">
        <f t="shared" ref="BQ16:BQ17" si="20">BM16+BN16</f>
        <v>0</v>
      </c>
      <c r="BR16" s="2661">
        <f>AI16+AU16</f>
        <v>0</v>
      </c>
      <c r="BS16" s="2656">
        <f>AJ16+AV16</f>
        <v>0</v>
      </c>
      <c r="BT16" s="2910">
        <f t="shared" ref="BT16:BT17" si="21">BR16+BS16</f>
        <v>0</v>
      </c>
      <c r="BU16" s="3140"/>
      <c r="BV16" s="3058"/>
      <c r="BW16" s="3058"/>
      <c r="BX16" s="3058"/>
      <c r="BY16" s="3140"/>
      <c r="BZ16" s="3140"/>
      <c r="CA16" s="2857"/>
      <c r="CB16" s="2857"/>
      <c r="CC16" s="2857"/>
      <c r="CD16" s="2857"/>
      <c r="CE16" s="2857"/>
      <c r="CF16" s="3141"/>
      <c r="CG16" s="3141"/>
      <c r="CH16" s="3141"/>
      <c r="CI16" s="3141"/>
      <c r="CJ16" s="3141"/>
      <c r="CK16" s="3141"/>
      <c r="CL16" s="3141"/>
      <c r="CM16" s="3141"/>
      <c r="CN16" s="3141"/>
      <c r="CO16" s="3141"/>
      <c r="CP16" s="3141"/>
      <c r="CQ16" s="3141"/>
      <c r="CR16" s="3141"/>
      <c r="CS16" s="3141"/>
      <c r="CT16" s="3141"/>
      <c r="CU16" s="3141"/>
      <c r="CV16" s="3141"/>
      <c r="CW16" s="3141"/>
      <c r="CX16" s="3141"/>
      <c r="CY16" s="3141"/>
      <c r="CZ16" s="3141"/>
      <c r="DA16" s="3141"/>
      <c r="DB16" s="3141"/>
      <c r="DC16" s="3141"/>
      <c r="DD16" s="3141"/>
      <c r="DE16" s="3141"/>
      <c r="DF16" s="3141"/>
      <c r="DG16" s="3141"/>
      <c r="DH16" s="3141"/>
      <c r="DI16" s="3141"/>
      <c r="DJ16" s="3141"/>
      <c r="DK16" s="3141"/>
      <c r="DL16" s="3141"/>
      <c r="DM16" s="3141"/>
      <c r="DN16" s="3141"/>
      <c r="DO16" s="3141"/>
      <c r="DP16" s="3141"/>
      <c r="DQ16" s="3141"/>
      <c r="DR16" s="3141"/>
      <c r="DS16" s="3141"/>
      <c r="DT16" s="3141"/>
      <c r="DU16" s="3141"/>
      <c r="DV16" s="3141"/>
      <c r="DW16" s="3141"/>
      <c r="DX16" s="3141"/>
      <c r="DY16" s="3141"/>
      <c r="DZ16" s="3141"/>
      <c r="EA16" s="3141"/>
      <c r="EB16" s="3141"/>
      <c r="EC16" s="3141"/>
      <c r="ED16" s="3141"/>
      <c r="EE16" s="3141"/>
      <c r="EF16" s="3141"/>
      <c r="EG16" s="3141"/>
      <c r="EH16" s="2854"/>
      <c r="EI16" s="2854"/>
      <c r="EJ16" s="2854"/>
      <c r="EK16" s="2854"/>
      <c r="EL16" s="2854"/>
      <c r="EM16" s="2854"/>
      <c r="EN16" s="2854"/>
      <c r="EO16" s="2854"/>
      <c r="EP16" s="2854"/>
      <c r="EQ16" s="2854"/>
      <c r="ER16" s="2854"/>
      <c r="ES16" s="2854"/>
      <c r="ET16" s="2854"/>
      <c r="EU16" s="2854"/>
      <c r="EV16" s="2854"/>
      <c r="EW16" s="2854"/>
      <c r="EX16" s="2854"/>
      <c r="EY16" s="2854"/>
      <c r="EZ16" s="2854"/>
      <c r="FA16" s="2854"/>
      <c r="FB16" s="2854"/>
      <c r="FC16" s="2854"/>
      <c r="FD16" s="2854"/>
      <c r="FE16" s="2854"/>
      <c r="FF16" s="2854"/>
      <c r="FG16" s="2854"/>
      <c r="FH16" s="2854"/>
      <c r="FI16" s="2854"/>
      <c r="FJ16" s="2854"/>
      <c r="FK16" s="2854"/>
      <c r="FL16" s="2854"/>
      <c r="FM16" s="2854"/>
      <c r="FN16" s="2854"/>
      <c r="FO16" s="2854"/>
      <c r="FP16" s="2854"/>
      <c r="FQ16" s="2854"/>
      <c r="FR16" s="2854"/>
      <c r="FS16" s="2854"/>
      <c r="FT16" s="2854"/>
      <c r="FU16" s="2854"/>
      <c r="FV16" s="2854"/>
      <c r="FW16" s="2854"/>
      <c r="FX16" s="2854"/>
      <c r="FY16" s="2854"/>
      <c r="FZ16" s="2854"/>
      <c r="GA16" s="2854"/>
      <c r="GB16" s="2854"/>
      <c r="GC16" s="2854"/>
      <c r="GD16" s="2854"/>
      <c r="GE16" s="2854"/>
      <c r="GF16" s="2854"/>
      <c r="GG16" s="2854"/>
      <c r="GH16" s="2854"/>
      <c r="GI16" s="2854"/>
      <c r="GJ16" s="2854"/>
      <c r="GK16" s="2854"/>
      <c r="GL16" s="2854"/>
      <c r="GM16" s="2854"/>
      <c r="GN16" s="2854"/>
      <c r="GO16" s="2854"/>
      <c r="GP16" s="2854"/>
      <c r="GQ16" s="2854"/>
      <c r="GR16" s="2854"/>
      <c r="GS16" s="2854"/>
      <c r="GT16" s="2854"/>
      <c r="GU16" s="2854"/>
      <c r="GV16" s="2854"/>
      <c r="GW16" s="2854"/>
      <c r="GX16" s="2854"/>
      <c r="GY16" s="2854"/>
      <c r="GZ16" s="2854"/>
      <c r="HA16" s="2854"/>
      <c r="HB16" s="2854"/>
      <c r="HC16" s="2854"/>
      <c r="HD16" s="2854"/>
      <c r="HE16" s="2854"/>
      <c r="HF16" s="2854"/>
      <c r="HG16" s="2854"/>
      <c r="HH16" s="2854"/>
      <c r="HI16" s="2854"/>
      <c r="HJ16" s="2854"/>
      <c r="HK16" s="2854"/>
      <c r="HL16" s="2854"/>
      <c r="HM16" s="2854"/>
      <c r="HN16" s="2854"/>
      <c r="HO16" s="2854"/>
      <c r="HP16" s="2854"/>
      <c r="HQ16" s="2854"/>
      <c r="HR16" s="2854"/>
      <c r="HS16" s="2854"/>
      <c r="HT16" s="2854"/>
      <c r="HU16" s="2854"/>
      <c r="HV16" s="2854"/>
      <c r="HW16" s="2854"/>
      <c r="HX16" s="2854"/>
      <c r="HY16" s="2854"/>
      <c r="HZ16" s="2854"/>
      <c r="IA16" s="2854"/>
      <c r="IB16" s="2854"/>
      <c r="IC16" s="2854"/>
      <c r="ID16" s="2854"/>
      <c r="IE16" s="2854"/>
      <c r="IF16" s="2854"/>
      <c r="IG16" s="2854"/>
      <c r="IH16" s="2854"/>
      <c r="II16" s="2854"/>
      <c r="IJ16" s="2854"/>
      <c r="IK16" s="2854"/>
      <c r="IL16" s="2854"/>
      <c r="IM16" s="2854"/>
      <c r="IN16" s="2854"/>
      <c r="IO16" s="2854"/>
      <c r="IP16" s="2854"/>
      <c r="IQ16" s="2854"/>
      <c r="IR16" s="2854"/>
      <c r="IS16" s="2854"/>
      <c r="IT16" s="2854"/>
      <c r="IU16" s="2854"/>
      <c r="IV16" s="2854"/>
      <c r="IW16" s="2854"/>
      <c r="IX16" s="2854"/>
      <c r="IY16" s="2854"/>
      <c r="IZ16" s="2854"/>
      <c r="JA16" s="2854"/>
      <c r="JB16" s="2854"/>
      <c r="JC16" s="2854"/>
      <c r="JD16" s="2854"/>
      <c r="JE16" s="2854"/>
      <c r="JF16" s="2854"/>
      <c r="JG16" s="2854"/>
      <c r="JH16" s="2854"/>
      <c r="JI16" s="2854"/>
      <c r="JJ16" s="2854"/>
      <c r="JK16" s="2854"/>
      <c r="JL16" s="2854"/>
      <c r="JM16" s="2854"/>
      <c r="JN16" s="2854"/>
      <c r="JO16" s="2854"/>
      <c r="JP16" s="2854"/>
      <c r="JQ16" s="2854"/>
      <c r="JR16" s="2854"/>
      <c r="JS16" s="2854"/>
      <c r="JT16" s="2854"/>
      <c r="JU16" s="2854"/>
      <c r="JV16" s="2854"/>
      <c r="JW16" s="2854"/>
      <c r="JX16" s="2854"/>
      <c r="JY16" s="2854"/>
      <c r="JZ16" s="2854"/>
      <c r="KA16" s="2854"/>
      <c r="KB16" s="2854"/>
      <c r="KC16" s="2854"/>
      <c r="KD16" s="2854"/>
      <c r="KE16" s="2854"/>
      <c r="KF16" s="2854"/>
      <c r="KG16" s="2854"/>
      <c r="KH16" s="2854"/>
      <c r="KI16" s="2854"/>
      <c r="KJ16" s="2854"/>
      <c r="KK16" s="2854"/>
      <c r="KL16" s="2854"/>
      <c r="KM16" s="2854"/>
      <c r="KN16" s="2854"/>
      <c r="KO16" s="2854"/>
      <c r="KP16" s="2854"/>
      <c r="KQ16" s="2854"/>
      <c r="KR16" s="2854"/>
      <c r="KS16" s="2854"/>
      <c r="KT16" s="2854"/>
      <c r="KU16" s="2854"/>
      <c r="KV16" s="2854"/>
      <c r="KW16" s="2854"/>
      <c r="KX16" s="2854"/>
      <c r="KY16" s="2854"/>
      <c r="KZ16" s="2854"/>
      <c r="LA16" s="2854"/>
      <c r="LB16" s="2854"/>
      <c r="LC16" s="2854"/>
      <c r="LD16" s="2854"/>
      <c r="LE16" s="2854"/>
      <c r="LF16" s="2854"/>
      <c r="LG16" s="2854"/>
      <c r="LH16" s="2854"/>
      <c r="LI16" s="2854"/>
      <c r="LJ16" s="2854"/>
      <c r="LK16" s="2854"/>
      <c r="LL16" s="2854"/>
      <c r="LM16" s="2854"/>
      <c r="LN16" s="2854"/>
      <c r="LO16" s="2854"/>
      <c r="LP16" s="2854"/>
      <c r="LQ16" s="2854"/>
      <c r="LR16" s="2854"/>
      <c r="LS16" s="2854"/>
      <c r="LT16" s="2854"/>
      <c r="LU16" s="2854"/>
      <c r="LV16" s="2854"/>
      <c r="LW16" s="2854"/>
      <c r="LX16" s="2854"/>
      <c r="LY16" s="2854"/>
      <c r="LZ16" s="2854"/>
      <c r="MA16" s="2854"/>
      <c r="MB16" s="2854"/>
      <c r="MC16" s="2854"/>
      <c r="MD16" s="2854"/>
      <c r="ME16" s="2854"/>
      <c r="MF16" s="2854"/>
      <c r="MG16" s="2854"/>
      <c r="MH16" s="2854"/>
      <c r="MI16" s="2854"/>
      <c r="MJ16" s="2854"/>
      <c r="MK16" s="2854"/>
      <c r="ML16" s="2854"/>
      <c r="MM16" s="2854"/>
      <c r="MN16" s="2854"/>
      <c r="MO16" s="2854"/>
      <c r="MP16" s="2854"/>
      <c r="MQ16" s="2854"/>
      <c r="MR16" s="2854"/>
      <c r="MS16" s="2854"/>
      <c r="MT16" s="2854"/>
      <c r="MU16" s="2854"/>
      <c r="MV16" s="2854"/>
      <c r="MW16" s="2854"/>
      <c r="MX16" s="2854"/>
      <c r="MY16" s="2854"/>
      <c r="MZ16" s="2854"/>
      <c r="NA16" s="2854"/>
      <c r="NB16" s="2854"/>
      <c r="NC16" s="2854"/>
      <c r="ND16" s="2854"/>
      <c r="NE16" s="2854"/>
      <c r="NF16" s="2854"/>
      <c r="NG16" s="2854"/>
      <c r="NH16" s="2854"/>
      <c r="NI16" s="2854"/>
      <c r="NJ16" s="2854"/>
      <c r="NK16" s="2854"/>
      <c r="NL16" s="2854"/>
      <c r="NM16" s="2854"/>
      <c r="NN16" s="2854"/>
      <c r="NO16" s="2854"/>
      <c r="NP16" s="2854"/>
      <c r="NQ16" s="2854"/>
      <c r="NR16" s="2854"/>
      <c r="NS16" s="2854"/>
      <c r="NT16" s="2854"/>
      <c r="NU16" s="2854"/>
      <c r="NV16" s="2854"/>
      <c r="NW16" s="2854"/>
      <c r="NX16" s="2854"/>
      <c r="NY16" s="2854"/>
      <c r="NZ16" s="2854"/>
      <c r="OA16" s="2854"/>
      <c r="OB16" s="2854"/>
      <c r="OC16" s="2854"/>
      <c r="OD16" s="2854"/>
      <c r="OE16" s="2854"/>
      <c r="OF16" s="2854"/>
      <c r="OG16" s="2854"/>
      <c r="OH16" s="2854"/>
      <c r="OI16" s="2854"/>
      <c r="OJ16" s="2854"/>
      <c r="OK16" s="2854"/>
      <c r="OL16" s="2854"/>
      <c r="OM16" s="2854"/>
      <c r="ON16" s="2854"/>
      <c r="OO16" s="2854"/>
      <c r="OP16" s="2854"/>
      <c r="OQ16" s="2854"/>
      <c r="OR16" s="2854"/>
      <c r="OS16" s="2854"/>
      <c r="OT16" s="2854"/>
      <c r="OU16" s="2854"/>
      <c r="OV16" s="2854"/>
      <c r="OW16" s="2854"/>
      <c r="OX16" s="2854"/>
      <c r="OY16" s="2854"/>
      <c r="OZ16" s="2854"/>
      <c r="PA16" s="2854"/>
      <c r="PB16" s="2854"/>
      <c r="PC16" s="2854"/>
      <c r="PD16" s="2854"/>
      <c r="PE16" s="2854"/>
      <c r="PF16" s="2854"/>
      <c r="PG16" s="2854"/>
      <c r="PH16" s="2854"/>
      <c r="PI16" s="2854"/>
      <c r="PJ16" s="2854"/>
      <c r="PK16" s="2854"/>
      <c r="PL16" s="2854"/>
      <c r="PM16" s="2854"/>
      <c r="PN16" s="2854"/>
      <c r="PO16" s="2854"/>
      <c r="PP16" s="2854"/>
      <c r="PQ16" s="2854"/>
      <c r="PR16" s="2854"/>
      <c r="PS16" s="2854"/>
      <c r="PT16" s="2854"/>
      <c r="PU16" s="2854"/>
      <c r="PV16" s="2854"/>
      <c r="PW16" s="2854"/>
      <c r="PX16" s="2854"/>
      <c r="PY16" s="2854"/>
      <c r="PZ16" s="2854"/>
      <c r="QA16" s="2854"/>
      <c r="QB16" s="2854"/>
      <c r="QC16" s="2854"/>
      <c r="QD16" s="2854"/>
      <c r="QE16" s="2854"/>
      <c r="QF16" s="2854"/>
      <c r="QG16" s="2854"/>
      <c r="QH16" s="2854"/>
      <c r="QI16" s="2854"/>
      <c r="QJ16" s="2854"/>
      <c r="QK16" s="2854"/>
      <c r="QL16" s="2854"/>
      <c r="QM16" s="2854"/>
      <c r="QN16" s="2854"/>
      <c r="QO16" s="2854"/>
      <c r="QP16" s="2854"/>
      <c r="QQ16" s="2854"/>
      <c r="QR16" s="2854"/>
      <c r="QS16" s="2854"/>
      <c r="QT16" s="2854"/>
      <c r="QU16" s="2854"/>
      <c r="QV16" s="2854"/>
      <c r="QW16" s="2854"/>
      <c r="QX16" s="2854"/>
      <c r="QY16" s="2854"/>
      <c r="QZ16" s="2854"/>
      <c r="RA16" s="2854"/>
      <c r="RB16" s="2854"/>
      <c r="RC16" s="2854"/>
      <c r="RD16" s="2854"/>
      <c r="RE16" s="2854"/>
      <c r="RF16" s="2854"/>
      <c r="RG16" s="2854"/>
      <c r="RH16" s="2854"/>
      <c r="RI16" s="2854"/>
      <c r="RJ16" s="2854"/>
      <c r="RK16" s="2854"/>
      <c r="RL16" s="2854"/>
      <c r="RM16" s="2854"/>
      <c r="RN16" s="2854"/>
      <c r="RO16" s="2854"/>
      <c r="RP16" s="2854"/>
      <c r="RQ16" s="2854"/>
      <c r="RR16" s="2854"/>
      <c r="RS16" s="2854"/>
      <c r="RT16" s="2854"/>
      <c r="RU16" s="2854"/>
      <c r="RV16" s="2854"/>
      <c r="RW16" s="2854"/>
      <c r="RX16" s="2854"/>
      <c r="RY16" s="2854"/>
      <c r="RZ16" s="2854"/>
      <c r="SA16" s="2854"/>
      <c r="SB16" s="2854"/>
      <c r="SC16" s="2854"/>
      <c r="SD16" s="2854"/>
      <c r="SE16" s="2854"/>
      <c r="SF16" s="2854"/>
      <c r="SG16" s="2854"/>
      <c r="SH16" s="2854"/>
      <c r="SI16" s="2854"/>
      <c r="SJ16" s="2854"/>
      <c r="SK16" s="2854"/>
      <c r="SL16" s="2854"/>
      <c r="SM16" s="2854"/>
      <c r="SN16" s="2854"/>
      <c r="SO16" s="2854"/>
      <c r="SP16" s="2854"/>
      <c r="SQ16" s="2854"/>
      <c r="SR16" s="2854"/>
      <c r="SS16" s="2854"/>
      <c r="ST16" s="2854"/>
      <c r="SU16" s="2854"/>
      <c r="SV16" s="2854"/>
      <c r="SW16" s="2854"/>
      <c r="SX16" s="2854"/>
      <c r="SY16" s="2854"/>
      <c r="SZ16" s="2854"/>
      <c r="TA16" s="2854"/>
      <c r="TB16" s="2854"/>
      <c r="TC16" s="2854"/>
      <c r="TD16" s="2854"/>
      <c r="TE16" s="2854"/>
      <c r="TF16" s="2854"/>
      <c r="TG16" s="2854"/>
      <c r="TH16" s="2854"/>
      <c r="TI16" s="2854"/>
      <c r="TJ16" s="2854"/>
      <c r="TK16" s="2854"/>
      <c r="TL16" s="2854"/>
      <c r="TM16" s="2854"/>
      <c r="TN16" s="2854"/>
      <c r="TO16" s="2854"/>
      <c r="TP16" s="2854"/>
      <c r="TQ16" s="2854"/>
      <c r="TR16" s="2854"/>
      <c r="TS16" s="2854"/>
      <c r="TT16" s="2854"/>
      <c r="TU16" s="3783"/>
      <c r="TV16" s="3783"/>
      <c r="TW16" s="3783"/>
      <c r="TX16" s="3783"/>
      <c r="TY16" s="3783"/>
      <c r="TZ16" s="3783"/>
      <c r="UA16" s="3783"/>
      <c r="UB16" s="3783"/>
      <c r="UC16" s="3783"/>
      <c r="UD16" s="3783"/>
      <c r="UE16" s="3783"/>
      <c r="UF16" s="3783"/>
      <c r="UG16" s="3783"/>
      <c r="UH16" s="3783"/>
      <c r="UI16" s="3783"/>
      <c r="UJ16" s="3783"/>
      <c r="UK16" s="3783"/>
      <c r="UL16" s="3783"/>
      <c r="UM16" s="3783"/>
      <c r="UN16" s="3783"/>
      <c r="UO16" s="3783"/>
      <c r="UP16" s="2854"/>
      <c r="UQ16" s="2854"/>
      <c r="UR16" s="2854"/>
      <c r="US16" s="2854"/>
      <c r="UT16" s="2854"/>
      <c r="UU16" s="2854"/>
      <c r="UV16" s="2854"/>
      <c r="UW16" s="2854"/>
      <c r="UX16" s="2854"/>
      <c r="UY16" s="2854"/>
      <c r="UZ16" s="2854"/>
      <c r="VA16" s="2854"/>
      <c r="VB16" s="2854"/>
      <c r="VC16" s="2854"/>
      <c r="VD16" s="2854"/>
      <c r="VE16" s="2854"/>
      <c r="VF16" s="2854"/>
      <c r="VG16" s="2854"/>
      <c r="VH16" s="2854"/>
      <c r="VI16" s="2854"/>
      <c r="VJ16" s="2854"/>
      <c r="VK16" s="2854"/>
      <c r="VL16" s="2854"/>
      <c r="VM16" s="2854"/>
      <c r="VN16" s="2854"/>
      <c r="VO16" s="2854"/>
      <c r="VP16" s="2854"/>
      <c r="VQ16" s="2854"/>
      <c r="VR16" s="2854"/>
      <c r="VS16" s="2854"/>
      <c r="VT16" s="2854"/>
      <c r="VU16" s="2854"/>
      <c r="VV16" s="2854"/>
      <c r="VW16" s="2854"/>
      <c r="VX16" s="2854"/>
      <c r="VY16" s="2854"/>
      <c r="VZ16" s="2854"/>
      <c r="WA16" s="2854"/>
      <c r="WB16" s="2854"/>
      <c r="WC16" s="2854"/>
      <c r="WD16" s="2854"/>
      <c r="WE16" s="2854"/>
      <c r="WF16" s="2854"/>
      <c r="WG16" s="2854"/>
      <c r="WH16" s="2854"/>
      <c r="WI16" s="2854"/>
      <c r="WJ16" s="2854"/>
      <c r="WK16" s="2854"/>
      <c r="WL16" s="2854"/>
      <c r="WM16" s="2854"/>
      <c r="WN16" s="2854"/>
      <c r="WO16" s="2854"/>
      <c r="WP16" s="2854"/>
      <c r="WQ16" s="2854"/>
      <c r="WR16" s="2854"/>
      <c r="WS16" s="2854"/>
      <c r="WT16" s="2854"/>
      <c r="WU16" s="2854"/>
      <c r="WV16" s="2854"/>
      <c r="WW16" s="2854"/>
      <c r="WX16" s="2854"/>
      <c r="WY16" s="2854"/>
      <c r="WZ16" s="2854"/>
      <c r="XA16" s="2854"/>
      <c r="XB16" s="2854"/>
      <c r="XC16" s="2854"/>
      <c r="XD16" s="2854"/>
      <c r="XE16" s="2854"/>
      <c r="XF16" s="2854"/>
      <c r="XG16" s="2854"/>
      <c r="XH16" s="2854"/>
      <c r="XI16" s="2854"/>
      <c r="XJ16" s="2854"/>
      <c r="XK16" s="2854"/>
      <c r="XL16" s="2854"/>
      <c r="XM16" s="2854"/>
      <c r="XN16" s="2854"/>
      <c r="XO16" s="2854"/>
      <c r="XP16" s="2854"/>
      <c r="XQ16" s="2854"/>
      <c r="XR16" s="2854"/>
      <c r="XS16" s="2854"/>
      <c r="XT16" s="2854"/>
      <c r="XU16" s="2854"/>
      <c r="XV16" s="2854"/>
      <c r="XW16" s="2854"/>
      <c r="XX16" s="2854"/>
      <c r="XY16" s="2854"/>
      <c r="XZ16" s="2854"/>
      <c r="YA16" s="2854"/>
      <c r="YB16" s="2854"/>
      <c r="YC16" s="2854"/>
      <c r="YD16" s="2854"/>
      <c r="YE16" s="2854"/>
      <c r="YF16" s="2854"/>
      <c r="YG16" s="2854"/>
      <c r="YH16" s="2854"/>
      <c r="YI16" s="2854"/>
      <c r="YJ16" s="2854"/>
      <c r="YK16" s="2854"/>
      <c r="YL16" s="2854"/>
      <c r="YM16" s="2854"/>
      <c r="YN16" s="2854"/>
      <c r="YO16" s="2854"/>
      <c r="YP16" s="2854"/>
      <c r="YQ16" s="2854"/>
      <c r="YR16" s="2854"/>
      <c r="YS16" s="2854"/>
      <c r="YT16" s="2854"/>
      <c r="YU16" s="2854"/>
      <c r="YV16" s="2854"/>
      <c r="YW16" s="2854"/>
      <c r="YX16" s="2854"/>
      <c r="YY16" s="2854"/>
      <c r="YZ16" s="2854"/>
      <c r="ZA16" s="2854"/>
      <c r="ZB16" s="2854"/>
      <c r="ZC16" s="2854"/>
      <c r="ZD16" s="2854"/>
      <c r="ZE16" s="2854"/>
      <c r="ZF16" s="2854"/>
      <c r="ZG16" s="2854"/>
      <c r="ZH16" s="2854"/>
      <c r="ZI16" s="2854"/>
      <c r="ZJ16" s="2854"/>
      <c r="ZK16" s="2854"/>
      <c r="ZL16" s="2854"/>
      <c r="ZM16" s="2854"/>
      <c r="ZN16" s="2854"/>
      <c r="ZO16" s="2854"/>
      <c r="ZP16" s="2854"/>
      <c r="ZQ16" s="2854"/>
      <c r="ZR16" s="2854"/>
      <c r="ZS16" s="2854"/>
      <c r="ZT16" s="2854"/>
      <c r="ZU16" s="2854"/>
      <c r="ZV16" s="2854"/>
      <c r="ZW16" s="2854"/>
      <c r="ZX16" s="2854"/>
      <c r="ZY16" s="2854"/>
      <c r="ZZ16" s="2854"/>
      <c r="AAA16" s="2854"/>
      <c r="AAB16" s="2854"/>
      <c r="AAC16" s="2854"/>
      <c r="AAD16" s="2854"/>
      <c r="AAE16" s="2854"/>
      <c r="AAF16" s="2854"/>
      <c r="AAG16" s="2854"/>
      <c r="AAH16" s="2854"/>
      <c r="AAI16" s="2854"/>
      <c r="AAJ16" s="2854"/>
      <c r="AAK16" s="2854"/>
      <c r="AAL16" s="2854"/>
      <c r="AAM16" s="2854"/>
      <c r="AAN16" s="2854"/>
      <c r="AAO16" s="2854"/>
      <c r="AAP16" s="2854"/>
      <c r="AAQ16" s="2854"/>
      <c r="AAR16" s="2854"/>
      <c r="AAS16" s="2854"/>
      <c r="AAT16" s="2854"/>
      <c r="AAU16" s="2854"/>
      <c r="AAV16" s="2854"/>
      <c r="AAW16" s="2854"/>
      <c r="AAX16" s="2854"/>
      <c r="AAY16" s="2854"/>
      <c r="AAZ16" s="2854"/>
      <c r="ABA16" s="2854"/>
      <c r="ABB16" s="2854"/>
      <c r="ABC16" s="2854"/>
      <c r="ABD16" s="2854"/>
      <c r="ABE16" s="2854"/>
      <c r="ABF16" s="2854"/>
      <c r="ABG16" s="2854"/>
      <c r="ABH16" s="2854"/>
      <c r="ABI16" s="2854"/>
      <c r="ABJ16" s="2854"/>
      <c r="ABK16" s="2854"/>
      <c r="ABL16" s="2854"/>
      <c r="ABM16" s="2854"/>
      <c r="ABN16" s="2854"/>
      <c r="ABO16" s="2854"/>
      <c r="ABP16" s="2854"/>
      <c r="ABQ16" s="2854"/>
      <c r="ABR16" s="2854"/>
      <c r="ABS16" s="2854"/>
      <c r="ABT16" s="2854"/>
      <c r="ABU16" s="2854"/>
      <c r="ABV16" s="2854"/>
      <c r="ABW16" s="2854"/>
      <c r="ABX16" s="2854"/>
      <c r="ABY16" s="2854"/>
      <c r="ABZ16" s="2854"/>
      <c r="ACA16" s="2854"/>
      <c r="ACB16" s="2854"/>
      <c r="ACC16" s="2854"/>
      <c r="ACD16" s="2854"/>
      <c r="ACE16" s="2854"/>
      <c r="ACF16" s="2854"/>
      <c r="ACG16" s="2854"/>
      <c r="ACH16" s="2854"/>
      <c r="ACI16" s="2854"/>
      <c r="ACJ16" s="2854"/>
      <c r="ACK16" s="2854"/>
      <c r="ACL16" s="2854"/>
      <c r="ACM16" s="2854"/>
      <c r="ACN16" s="2854"/>
      <c r="ACO16" s="2854"/>
      <c r="ACP16" s="2854"/>
      <c r="ACQ16" s="2854"/>
      <c r="ACR16" s="2854"/>
      <c r="ACS16" s="2854"/>
      <c r="ACT16" s="2854"/>
      <c r="ACU16" s="2854"/>
      <c r="ACV16" s="2854"/>
      <c r="ACW16" s="2854"/>
      <c r="ACX16" s="2854"/>
      <c r="ACY16" s="2854"/>
      <c r="ACZ16" s="2854"/>
      <c r="ADA16" s="2854"/>
      <c r="ADB16" s="2854"/>
      <c r="ADC16" s="2854"/>
      <c r="ADD16" s="2854"/>
      <c r="ADE16" s="2854"/>
      <c r="ADF16" s="2854"/>
      <c r="ADG16" s="2854"/>
      <c r="ADH16" s="2854"/>
      <c r="ADI16" s="2854"/>
      <c r="ADJ16" s="2854"/>
      <c r="ADK16" s="2854"/>
      <c r="ADL16" s="2854"/>
      <c r="ADM16" s="2854"/>
      <c r="ADN16" s="2854"/>
      <c r="ADO16" s="2854"/>
      <c r="ADP16" s="2854"/>
      <c r="ADQ16" s="2854"/>
      <c r="ADR16" s="2854"/>
      <c r="ADS16" s="2854"/>
      <c r="ADT16" s="2854"/>
      <c r="ADU16" s="2854"/>
      <c r="ADV16" s="2854"/>
      <c r="ADW16" s="2854"/>
      <c r="ADX16" s="2854"/>
      <c r="ADY16" s="2854"/>
      <c r="ADZ16" s="2854"/>
      <c r="AEA16" s="2854"/>
      <c r="AEB16" s="2854"/>
      <c r="AEC16" s="2854"/>
      <c r="AED16" s="2854"/>
      <c r="AEE16" s="2854"/>
      <c r="AEF16" s="2854"/>
      <c r="AEG16" s="2854"/>
      <c r="AEH16" s="2854"/>
      <c r="AEI16" s="2854"/>
      <c r="AEJ16" s="2854"/>
      <c r="AEK16" s="2854"/>
      <c r="AEL16" s="2854"/>
      <c r="AEM16" s="2854"/>
      <c r="AEN16" s="2854"/>
      <c r="AEO16" s="2854"/>
      <c r="AEP16" s="2854"/>
      <c r="AEQ16" s="2854"/>
      <c r="AER16" s="2854"/>
      <c r="AES16" s="2854"/>
      <c r="AET16" s="2854"/>
      <c r="AEU16" s="2854"/>
      <c r="AEV16" s="2854"/>
      <c r="AEW16" s="2854"/>
      <c r="AEX16" s="2854"/>
      <c r="AEY16" s="2854"/>
      <c r="AEZ16" s="2854"/>
      <c r="AFA16" s="2854"/>
      <c r="AFB16" s="2854"/>
      <c r="AFC16" s="2854"/>
      <c r="AFD16" s="2854"/>
      <c r="AFE16" s="2854"/>
      <c r="AFF16" s="2854"/>
      <c r="AFG16" s="2854"/>
      <c r="AFH16" s="2854"/>
      <c r="AFI16" s="2854"/>
      <c r="AFJ16" s="2854"/>
      <c r="AFK16" s="2854"/>
      <c r="AFL16" s="2854"/>
      <c r="AFM16" s="2854"/>
      <c r="AFN16" s="2854"/>
      <c r="AFO16" s="2854"/>
      <c r="AFP16" s="2854"/>
      <c r="AFQ16" s="2854"/>
      <c r="AFR16" s="2854"/>
      <c r="AFS16" s="2854"/>
      <c r="AFT16" s="2854"/>
      <c r="AFU16" s="2854"/>
      <c r="AFV16" s="2854"/>
      <c r="AFW16" s="2854"/>
      <c r="AFX16" s="2854"/>
      <c r="AFY16" s="2854"/>
      <c r="AFZ16" s="2854"/>
      <c r="AGA16" s="2854"/>
      <c r="AGB16" s="2854"/>
      <c r="AGC16" s="2854"/>
      <c r="AGD16" s="2854"/>
      <c r="AGE16" s="2854"/>
      <c r="AGF16" s="2854"/>
      <c r="AGG16" s="2854"/>
      <c r="AGH16" s="2854"/>
      <c r="AGI16" s="2854"/>
      <c r="AGJ16" s="2854"/>
      <c r="AGK16" s="2854"/>
      <c r="AGL16" s="2854"/>
      <c r="AGM16" s="2854"/>
      <c r="AGN16" s="2854"/>
      <c r="AGO16" s="2854"/>
      <c r="AGP16" s="2854"/>
      <c r="AGQ16" s="2854"/>
      <c r="AGR16" s="2854"/>
      <c r="AGS16" s="2854"/>
      <c r="AGT16" s="2854"/>
      <c r="AGU16" s="2854"/>
      <c r="AGV16" s="2854"/>
      <c r="AGW16" s="2854"/>
      <c r="AGX16" s="2854"/>
      <c r="AGY16" s="2854"/>
      <c r="AGZ16" s="2854"/>
      <c r="AHA16" s="2854"/>
      <c r="AHB16" s="2854"/>
      <c r="AHC16" s="2854"/>
      <c r="AHD16" s="2854"/>
      <c r="AHE16" s="2854"/>
      <c r="AHF16" s="2854"/>
      <c r="AHG16" s="2854"/>
      <c r="AHH16" s="2854"/>
      <c r="AHI16" s="2854"/>
      <c r="AHJ16" s="2854"/>
      <c r="AHK16" s="2854"/>
      <c r="AHL16" s="2854"/>
      <c r="AHM16" s="2854"/>
      <c r="AHN16" s="2854"/>
      <c r="AHO16" s="2854"/>
      <c r="AHP16" s="2854"/>
      <c r="AHQ16" s="2854"/>
      <c r="AHR16" s="2854"/>
      <c r="AHS16" s="2854"/>
      <c r="AHT16" s="2854"/>
      <c r="AHU16" s="2854"/>
      <c r="AHV16" s="2854"/>
      <c r="AHW16" s="2854"/>
      <c r="AHX16" s="2854"/>
      <c r="AHY16" s="2854"/>
      <c r="AHZ16" s="2854"/>
      <c r="AIA16" s="2854"/>
      <c r="AIB16" s="2854"/>
      <c r="AIC16" s="2854"/>
      <c r="AID16" s="2854"/>
      <c r="AIE16" s="2854"/>
      <c r="AIF16" s="2854"/>
      <c r="AIG16" s="2854"/>
      <c r="AIH16" s="2854"/>
      <c r="AII16" s="2854"/>
      <c r="AIJ16" s="2854"/>
      <c r="AIK16" s="2854"/>
      <c r="AIL16" s="2854"/>
      <c r="AIM16" s="2854"/>
      <c r="AIN16" s="2854"/>
      <c r="AIO16" s="2854"/>
      <c r="AIP16" s="2854"/>
      <c r="AIQ16" s="2854"/>
      <c r="AIR16" s="2854"/>
      <c r="AIS16" s="2854"/>
      <c r="AIT16" s="2854"/>
      <c r="AIU16" s="2854"/>
      <c r="AIV16" s="2854"/>
      <c r="AIW16" s="2854"/>
      <c r="AIX16" s="2854"/>
      <c r="AIY16" s="2854"/>
      <c r="AIZ16" s="2854"/>
      <c r="AJA16" s="2854"/>
      <c r="AJB16" s="2854"/>
      <c r="AJC16" s="2854"/>
      <c r="AJD16" s="2854"/>
      <c r="AJE16" s="2854"/>
      <c r="AJF16" s="2854"/>
      <c r="AJG16" s="2854"/>
      <c r="AJH16" s="2854"/>
      <c r="AJI16" s="2854"/>
      <c r="AJJ16" s="2854"/>
      <c r="AJK16" s="2854"/>
      <c r="AJL16" s="2854"/>
      <c r="AJM16" s="2854"/>
      <c r="AJN16" s="2854"/>
      <c r="AJO16" s="2854"/>
      <c r="AJP16" s="2854"/>
      <c r="AJQ16" s="2854"/>
      <c r="AJR16" s="2854"/>
      <c r="AJS16" s="2854"/>
      <c r="AJT16" s="2854"/>
      <c r="AJU16" s="2854"/>
      <c r="AJV16" s="2854"/>
      <c r="AJW16" s="2854"/>
      <c r="AJX16" s="2854"/>
      <c r="AJY16" s="2854"/>
      <c r="AJZ16" s="2854"/>
      <c r="AKA16" s="2854"/>
      <c r="AKB16" s="2854"/>
      <c r="AKC16" s="2854"/>
      <c r="AKD16" s="2854"/>
      <c r="AKE16" s="2854"/>
      <c r="AKF16" s="2854"/>
      <c r="AKG16" s="2854"/>
      <c r="AKH16" s="2854"/>
      <c r="AKI16" s="2854"/>
      <c r="AKJ16" s="2854"/>
      <c r="AKK16" s="2854"/>
      <c r="AKL16" s="2854"/>
      <c r="AKM16" s="2854"/>
      <c r="AKN16" s="2854"/>
      <c r="AKO16" s="2854"/>
      <c r="AKP16" s="2854"/>
      <c r="AKQ16" s="2854"/>
      <c r="AKR16" s="2854"/>
      <c r="AKS16" s="2854"/>
      <c r="AKT16" s="2854"/>
      <c r="AKU16" s="2854"/>
      <c r="AKV16" s="2854"/>
      <c r="AKW16" s="2854"/>
      <c r="AKX16" s="2854"/>
      <c r="AKY16" s="2854"/>
      <c r="AKZ16" s="2854"/>
      <c r="ALA16" s="2854"/>
      <c r="ALB16" s="2854"/>
      <c r="ALC16" s="2854"/>
      <c r="ALD16" s="2854"/>
      <c r="ALE16" s="2854"/>
      <c r="ALF16" s="2854"/>
      <c r="ALG16" s="2854"/>
      <c r="ALH16" s="2854"/>
      <c r="ALI16" s="2854"/>
      <c r="ALJ16" s="2854"/>
      <c r="ALK16" s="2854"/>
      <c r="ALL16" s="2854"/>
      <c r="ALM16" s="2854"/>
      <c r="ALN16" s="2854"/>
      <c r="ALO16" s="2854"/>
      <c r="ALP16" s="2854"/>
      <c r="ALQ16" s="2854"/>
      <c r="ALR16" s="2854"/>
      <c r="ALS16" s="2854"/>
      <c r="ALT16" s="2854"/>
      <c r="ALU16" s="2854"/>
      <c r="ALV16" s="2854"/>
      <c r="ALW16" s="2854"/>
      <c r="ALX16" s="2854"/>
      <c r="ALY16" s="2854"/>
      <c r="ALZ16" s="2854"/>
      <c r="AMA16" s="2854"/>
      <c r="AMB16" s="2854"/>
      <c r="AMC16" s="2854"/>
      <c r="AMD16" s="2854"/>
      <c r="AME16" s="2854"/>
      <c r="AMF16" s="2854"/>
      <c r="AMG16" s="2854"/>
      <c r="AMH16" s="2854"/>
      <c r="AMI16" s="2854"/>
      <c r="AMJ16" s="2854"/>
      <c r="AMK16" s="2854"/>
      <c r="AML16" s="2854"/>
      <c r="AMM16" s="2854"/>
      <c r="AMN16" s="2854"/>
      <c r="AMO16" s="2854"/>
      <c r="AMP16" s="2854"/>
      <c r="AMQ16" s="2854"/>
      <c r="AMR16" s="2854"/>
      <c r="AMS16" s="2854"/>
      <c r="AMT16" s="2854"/>
      <c r="AMU16" s="2854"/>
      <c r="AMV16" s="2854"/>
      <c r="AMW16" s="2854"/>
      <c r="AMX16" s="2854"/>
      <c r="AMY16" s="2854"/>
      <c r="AMZ16" s="2854"/>
      <c r="ANA16" s="2854"/>
      <c r="ANB16" s="2854"/>
      <c r="ANC16" s="2854"/>
      <c r="AND16" s="2854"/>
      <c r="ANE16" s="2854"/>
      <c r="ANF16" s="2854"/>
      <c r="ANG16" s="2854"/>
      <c r="ANH16" s="2854"/>
      <c r="ANI16" s="2854"/>
      <c r="ANJ16" s="2854"/>
      <c r="ANK16" s="2854"/>
      <c r="ANL16" s="2854"/>
      <c r="ANM16" s="2854"/>
      <c r="ANN16" s="2854"/>
      <c r="ANO16" s="2854"/>
      <c r="ANP16" s="2854"/>
      <c r="ANQ16" s="2854"/>
      <c r="ANR16" s="2854"/>
      <c r="ANS16" s="2854"/>
      <c r="ANT16" s="2854"/>
      <c r="ANU16" s="2854"/>
      <c r="ANV16" s="2854"/>
      <c r="ANW16" s="2854"/>
      <c r="ANX16" s="2854"/>
      <c r="ANY16" s="2854"/>
      <c r="ANZ16" s="2854"/>
      <c r="AOA16" s="2854"/>
      <c r="AOB16" s="2854"/>
      <c r="AOC16" s="2854"/>
      <c r="AOD16" s="2854"/>
      <c r="AOE16" s="2854"/>
      <c r="AOF16" s="2854"/>
      <c r="AOG16" s="2854"/>
      <c r="AOH16" s="2854"/>
      <c r="AOI16" s="2854"/>
      <c r="AOJ16" s="2854"/>
      <c r="AOK16" s="2854"/>
      <c r="AOL16" s="2854"/>
      <c r="AOM16" s="2854"/>
      <c r="AON16" s="2854"/>
      <c r="AOO16" s="2854"/>
      <c r="AOP16" s="2854"/>
      <c r="AOQ16" s="2854"/>
      <c r="AOR16" s="2854"/>
      <c r="AOS16" s="2854"/>
      <c r="AOT16" s="2854"/>
      <c r="AOU16" s="2854"/>
      <c r="AOV16" s="2854"/>
      <c r="AOW16" s="2854"/>
      <c r="AOX16" s="2854"/>
      <c r="AOY16" s="2854"/>
      <c r="AOZ16" s="2854"/>
      <c r="APA16" s="2854"/>
      <c r="APB16" s="2854"/>
      <c r="APC16" s="2854"/>
      <c r="APD16" s="2854"/>
      <c r="APE16" s="2854"/>
      <c r="APF16" s="2854"/>
      <c r="APG16" s="2854"/>
      <c r="APH16" s="2854"/>
      <c r="API16" s="2854"/>
      <c r="APJ16" s="2854"/>
      <c r="APK16" s="2854"/>
      <c r="APL16" s="2854"/>
      <c r="APM16" s="2854"/>
      <c r="APN16" s="2854"/>
      <c r="APO16" s="2854"/>
      <c r="APP16" s="2854"/>
      <c r="APQ16" s="2854"/>
      <c r="APR16" s="2854"/>
      <c r="APS16" s="2854"/>
      <c r="APT16" s="2854"/>
      <c r="APU16" s="2854"/>
      <c r="APV16" s="2854"/>
      <c r="APW16" s="2854"/>
      <c r="APX16" s="2854"/>
      <c r="APY16" s="2854"/>
      <c r="APZ16" s="2854"/>
      <c r="AQA16" s="2854"/>
      <c r="AQB16" s="2854"/>
      <c r="AQC16" s="2854"/>
      <c r="AQD16" s="2854"/>
      <c r="AQE16" s="2854"/>
      <c r="AQF16" s="2854"/>
      <c r="AQG16" s="2854"/>
      <c r="AQH16" s="2854"/>
      <c r="AQI16" s="2854"/>
      <c r="AQJ16" s="2854"/>
      <c r="AQK16" s="2854"/>
      <c r="AQL16" s="2854"/>
      <c r="AQM16" s="2854"/>
      <c r="AQN16" s="2854"/>
      <c r="AQO16" s="2854"/>
      <c r="AQP16" s="2854"/>
      <c r="AQQ16" s="2854"/>
      <c r="AQR16" s="2854"/>
      <c r="AQS16" s="2854"/>
      <c r="AQT16" s="2854"/>
      <c r="AQU16" s="2854"/>
      <c r="AQV16" s="2854"/>
      <c r="AQW16" s="2854"/>
      <c r="AQX16" s="2854"/>
      <c r="AQY16" s="2854"/>
      <c r="AQZ16" s="2854"/>
      <c r="ARA16" s="2854"/>
      <c r="ARB16" s="2854"/>
      <c r="ARC16" s="2854"/>
      <c r="ARD16" s="2854"/>
      <c r="ARE16" s="2854"/>
      <c r="ARF16" s="2854"/>
      <c r="ARG16" s="2854"/>
      <c r="ARH16" s="2854"/>
      <c r="ARI16" s="2854"/>
      <c r="ARJ16" s="2854"/>
      <c r="ARK16" s="2854"/>
      <c r="ARL16" s="2854"/>
      <c r="ARM16" s="2854"/>
      <c r="ARN16" s="2854"/>
      <c r="ARO16" s="2854"/>
      <c r="ARP16" s="2854"/>
      <c r="ARQ16" s="2854"/>
      <c r="ARR16" s="2854"/>
      <c r="ARS16" s="2854"/>
      <c r="ART16" s="2854"/>
      <c r="ARU16" s="2854"/>
      <c r="ARV16" s="2854"/>
      <c r="ARW16" s="2854"/>
      <c r="ARX16" s="2854"/>
      <c r="ARY16" s="2854"/>
      <c r="ARZ16" s="2854"/>
      <c r="ASA16" s="2854"/>
      <c r="ASB16" s="2854"/>
      <c r="ASC16" s="2854"/>
      <c r="ASD16" s="2854"/>
      <c r="ASE16" s="2854"/>
      <c r="ASF16" s="2854"/>
      <c r="ASG16" s="2854"/>
      <c r="ASH16" s="2854"/>
      <c r="ASI16" s="2854"/>
      <c r="ASJ16" s="2854"/>
      <c r="ASK16" s="2854"/>
      <c r="ASL16" s="2854"/>
      <c r="ASM16" s="2854"/>
      <c r="ASN16" s="2854"/>
      <c r="ASO16" s="2854"/>
      <c r="ASP16" s="2854"/>
      <c r="ASQ16" s="2854"/>
      <c r="ASR16" s="2854"/>
      <c r="ASS16" s="2854"/>
      <c r="AST16" s="2854"/>
      <c r="ASU16" s="2854"/>
      <c r="ASV16" s="2854"/>
      <c r="ASW16" s="2854"/>
      <c r="ASX16" s="2854"/>
      <c r="ASY16" s="2854"/>
      <c r="ASZ16" s="2854"/>
      <c r="ATA16" s="2854"/>
      <c r="ATB16" s="2854"/>
      <c r="ATC16" s="2854"/>
      <c r="ATD16" s="2854"/>
      <c r="ATE16" s="2854"/>
      <c r="ATF16" s="2854"/>
      <c r="ATG16" s="2854"/>
      <c r="ATH16" s="2854"/>
      <c r="ATI16" s="2854"/>
      <c r="ATJ16" s="2854"/>
      <c r="ATK16" s="2854"/>
      <c r="ATL16" s="2854"/>
      <c r="ATM16" s="2854"/>
      <c r="ATN16" s="2854"/>
      <c r="ATO16" s="2854"/>
      <c r="ATP16" s="2854"/>
      <c r="ATQ16" s="2854"/>
      <c r="ATR16" s="2854"/>
      <c r="ATS16" s="2854"/>
      <c r="ATT16" s="2854"/>
      <c r="ATU16" s="2854"/>
      <c r="ATV16" s="2854"/>
      <c r="ATW16" s="2854"/>
      <c r="ATX16" s="2854"/>
      <c r="ATY16" s="2854"/>
      <c r="ATZ16" s="2854"/>
      <c r="AUA16" s="2854"/>
      <c r="AUB16" s="2854"/>
      <c r="AUC16" s="2854"/>
      <c r="AUD16" s="2854"/>
      <c r="AUE16" s="2854"/>
      <c r="AUF16" s="2854"/>
      <c r="AUG16" s="2854"/>
      <c r="AUH16" s="2854"/>
      <c r="AUI16" s="2854"/>
      <c r="AUJ16" s="2854"/>
      <c r="AUK16" s="2854"/>
      <c r="AUL16" s="2854"/>
      <c r="AUM16" s="2854"/>
      <c r="AUN16" s="2854"/>
      <c r="AUO16" s="2854"/>
      <c r="AUP16" s="2854"/>
      <c r="AUQ16" s="2854"/>
      <c r="AUR16" s="2854"/>
      <c r="AUS16" s="2854"/>
      <c r="AUT16" s="2854"/>
      <c r="AUU16" s="2854"/>
      <c r="AUV16" s="2854"/>
      <c r="AUW16" s="2854"/>
      <c r="AUX16" s="2854"/>
      <c r="AUY16" s="2854"/>
      <c r="AUZ16" s="2854"/>
      <c r="AVA16" s="2854"/>
      <c r="AVB16" s="2854"/>
      <c r="AVC16" s="2854"/>
      <c r="AVD16" s="2854"/>
      <c r="AVE16" s="2854"/>
      <c r="AVF16" s="2854"/>
      <c r="AVG16" s="2854"/>
      <c r="AVH16" s="2854"/>
      <c r="AVI16" s="2854"/>
      <c r="AVJ16" s="2854"/>
      <c r="AVK16" s="2854"/>
      <c r="AVL16" s="2854"/>
      <c r="AVM16" s="2854"/>
      <c r="AVN16" s="2854"/>
      <c r="AVO16" s="2854"/>
      <c r="AVP16" s="2854"/>
      <c r="AVQ16" s="2854"/>
      <c r="AVR16" s="2854"/>
      <c r="AVS16" s="2854"/>
      <c r="AVT16" s="2854"/>
      <c r="AVU16" s="2854"/>
      <c r="AVV16" s="2854"/>
      <c r="AVW16" s="2854"/>
      <c r="AVX16" s="2854"/>
      <c r="AVY16" s="2854"/>
      <c r="AVZ16" s="2854"/>
      <c r="AWA16" s="2854"/>
      <c r="AWB16" s="2854"/>
      <c r="AWC16" s="2854"/>
      <c r="AWD16" s="2854"/>
      <c r="AWE16" s="2854"/>
      <c r="AWF16" s="2854"/>
      <c r="AWG16" s="2854"/>
      <c r="AWH16" s="2854"/>
      <c r="AWI16" s="2854"/>
      <c r="AWJ16" s="2854"/>
      <c r="AWK16" s="2854"/>
      <c r="AWL16" s="2854"/>
      <c r="AWM16" s="2854"/>
      <c r="AWN16" s="2854"/>
      <c r="AWO16" s="2854"/>
      <c r="AWP16" s="2854"/>
      <c r="AWQ16" s="2854"/>
      <c r="AWR16" s="2854"/>
      <c r="AWS16" s="2854"/>
      <c r="AWT16" s="2854"/>
      <c r="AWU16" s="2854"/>
      <c r="AWV16" s="2854"/>
      <c r="AWW16" s="2854"/>
      <c r="AWX16" s="2854"/>
      <c r="AWY16" s="2854"/>
      <c r="AWZ16" s="2854"/>
      <c r="AXA16" s="2854"/>
      <c r="AXB16" s="2854"/>
      <c r="AXC16" s="2854"/>
      <c r="AXD16" s="2854"/>
      <c r="AXE16" s="2854"/>
      <c r="AXF16" s="2854"/>
      <c r="AXG16" s="2854"/>
      <c r="AXH16" s="2854"/>
      <c r="AXI16" s="2854"/>
      <c r="AXJ16" s="2854"/>
      <c r="AXK16" s="2854"/>
      <c r="AXL16" s="2854"/>
      <c r="AXM16" s="2854"/>
      <c r="AXN16" s="2854"/>
      <c r="AXO16" s="2854"/>
      <c r="AXP16" s="2854"/>
      <c r="AXQ16" s="2854"/>
      <c r="AXR16" s="2854"/>
      <c r="AXS16" s="2854"/>
      <c r="AXT16" s="2854"/>
      <c r="AXU16" s="2854"/>
      <c r="AXV16" s="2854"/>
      <c r="AXW16" s="2854"/>
      <c r="AXX16" s="2854"/>
      <c r="AXY16" s="2854"/>
      <c r="AXZ16" s="2854"/>
      <c r="AYA16" s="2854"/>
      <c r="AYB16" s="2854"/>
      <c r="AYC16" s="2854"/>
      <c r="AYD16" s="2854"/>
      <c r="AYE16" s="2854"/>
      <c r="AYF16" s="2854"/>
      <c r="AYG16" s="2854"/>
      <c r="AYH16" s="2854"/>
      <c r="AYI16" s="2854"/>
      <c r="AYJ16" s="2854"/>
      <c r="AYK16" s="2854"/>
      <c r="AYL16" s="2854"/>
      <c r="AYM16" s="2854"/>
      <c r="AYN16" s="2854"/>
      <c r="AYO16" s="2854"/>
      <c r="AYP16" s="2854"/>
      <c r="AYQ16" s="2854"/>
      <c r="AYR16" s="2854"/>
      <c r="AYS16" s="2854"/>
      <c r="AYT16" s="2854"/>
      <c r="AYU16" s="2854"/>
      <c r="AYV16" s="2854"/>
      <c r="AYW16" s="2854"/>
      <c r="AYX16" s="2854"/>
      <c r="AYY16" s="2854"/>
      <c r="AYZ16" s="2854"/>
      <c r="AZA16" s="2854"/>
      <c r="AZB16" s="2854"/>
      <c r="AZC16" s="2854"/>
      <c r="AZD16" s="2854"/>
      <c r="AZE16" s="2854"/>
      <c r="AZF16" s="2854"/>
      <c r="AZG16" s="2854"/>
      <c r="AZH16" s="2854"/>
      <c r="AZI16" s="2854"/>
      <c r="AZJ16" s="2854"/>
      <c r="AZK16" s="2854"/>
      <c r="AZL16" s="2854"/>
      <c r="AZM16" s="2854"/>
      <c r="AZN16" s="2854"/>
      <c r="AZO16" s="2854"/>
      <c r="AZP16" s="2854"/>
      <c r="AZQ16" s="2854"/>
      <c r="AZR16" s="2854"/>
      <c r="AZS16" s="2854"/>
      <c r="AZT16" s="2854"/>
      <c r="AZU16" s="2854"/>
      <c r="AZV16" s="2854"/>
      <c r="AZW16" s="2854"/>
      <c r="AZX16" s="2854"/>
      <c r="AZY16" s="2854"/>
      <c r="AZZ16" s="2854"/>
      <c r="BAA16" s="2854"/>
      <c r="BAB16" s="2854"/>
      <c r="BAC16" s="2854"/>
      <c r="BAD16" s="2854"/>
      <c r="BAE16" s="2854"/>
      <c r="BAF16" s="2854"/>
      <c r="BAG16" s="2854"/>
      <c r="BAH16" s="2854"/>
      <c r="BAI16" s="2854"/>
      <c r="BAJ16" s="2854"/>
      <c r="BAK16" s="2854"/>
      <c r="BAL16" s="2854"/>
      <c r="BAM16" s="2854"/>
      <c r="BAN16" s="2854"/>
      <c r="BAO16" s="2854"/>
      <c r="BAP16" s="2854"/>
      <c r="BAQ16" s="2854"/>
      <c r="BAR16" s="2854"/>
      <c r="BAS16" s="2854"/>
      <c r="BAT16" s="2854"/>
      <c r="BAU16" s="2854"/>
      <c r="BAV16" s="2854"/>
      <c r="BAW16" s="2854"/>
      <c r="BAX16" s="2854"/>
      <c r="BAY16" s="2854"/>
      <c r="BAZ16" s="2854"/>
      <c r="BBA16" s="2854"/>
      <c r="BBB16" s="2854"/>
      <c r="BBC16" s="2854"/>
      <c r="BBD16" s="2854"/>
      <c r="BBE16" s="2854"/>
      <c r="BBF16" s="2854"/>
      <c r="BBG16" s="2854"/>
      <c r="BBH16" s="2854"/>
      <c r="BBI16" s="2854"/>
      <c r="BBJ16" s="2854"/>
      <c r="BBK16" s="2854"/>
      <c r="BBL16" s="2854"/>
      <c r="BBM16" s="2854"/>
      <c r="BBN16" s="2854"/>
      <c r="BBO16" s="2854"/>
      <c r="BBP16" s="2854"/>
      <c r="BBQ16" s="2854"/>
      <c r="BBR16" s="2854"/>
      <c r="BBS16" s="2854"/>
      <c r="BBT16" s="2854"/>
      <c r="BBU16" s="2854"/>
      <c r="BBV16" s="2854"/>
      <c r="BBW16" s="2854"/>
      <c r="BBX16" s="2854"/>
      <c r="BBY16" s="2854"/>
      <c r="BBZ16" s="2854"/>
      <c r="BCA16" s="2854"/>
      <c r="BCB16" s="2854"/>
      <c r="BCC16" s="2854"/>
      <c r="BCD16" s="2854"/>
      <c r="BCE16" s="2854"/>
      <c r="BCF16" s="2854"/>
      <c r="BCG16" s="2854"/>
      <c r="BCH16" s="2854"/>
      <c r="BCI16" s="2854"/>
      <c r="BCJ16" s="2854"/>
      <c r="BCK16" s="2854"/>
      <c r="BCL16" s="2854"/>
      <c r="BCM16" s="2854"/>
      <c r="BCN16" s="2854"/>
      <c r="BCO16" s="2854"/>
      <c r="BCP16" s="2854"/>
      <c r="BCQ16" s="2854"/>
      <c r="BCR16" s="2854"/>
      <c r="BCS16" s="2854"/>
      <c r="BCT16" s="2854"/>
      <c r="BCU16" s="2854"/>
      <c r="BCV16" s="2854"/>
      <c r="BCW16" s="2854"/>
      <c r="BCX16" s="2854"/>
      <c r="BCY16" s="2854"/>
      <c r="BCZ16" s="2854"/>
      <c r="BDA16" s="2854"/>
      <c r="BDB16" s="2854"/>
      <c r="BDC16" s="2854"/>
      <c r="BDD16" s="2854"/>
      <c r="BDE16" s="2854"/>
      <c r="BDF16" s="2854"/>
      <c r="BDG16" s="2854"/>
      <c r="BDH16" s="2854"/>
      <c r="BDI16" s="2854"/>
      <c r="BDJ16" s="2854"/>
      <c r="BDK16" s="2854"/>
      <c r="BDL16" s="2854"/>
      <c r="BDM16" s="2854"/>
      <c r="BDN16" s="2854"/>
      <c r="BDO16" s="2854"/>
      <c r="BDP16" s="2854"/>
      <c r="BDQ16" s="2854"/>
      <c r="BDR16" s="2854"/>
      <c r="BDS16" s="2854"/>
      <c r="BDT16" s="2854"/>
      <c r="BDU16" s="2854"/>
      <c r="BDV16" s="2854"/>
      <c r="BDW16" s="2854"/>
      <c r="BDX16" s="2854"/>
      <c r="BDY16" s="2854"/>
      <c r="BDZ16" s="2854"/>
      <c r="BEA16" s="2854"/>
      <c r="BEB16" s="2854"/>
      <c r="BEC16" s="2854"/>
      <c r="BED16" s="2854"/>
      <c r="BEE16" s="2854"/>
      <c r="BEF16" s="2854"/>
      <c r="BEG16" s="2854"/>
      <c r="BEH16" s="2854"/>
      <c r="BEI16" s="2854"/>
      <c r="BEJ16" s="2854"/>
      <c r="BEK16" s="2854"/>
      <c r="BEL16" s="2854"/>
      <c r="BEM16" s="2854"/>
      <c r="BEN16" s="2854"/>
      <c r="BEO16" s="2854"/>
      <c r="BEP16" s="2854"/>
      <c r="BEQ16" s="2854"/>
      <c r="BER16" s="2854"/>
      <c r="BES16" s="2854"/>
      <c r="BET16" s="2854"/>
      <c r="BEU16" s="2854"/>
      <c r="BEV16" s="2854"/>
      <c r="BEW16" s="2854"/>
      <c r="BEX16" s="2854"/>
      <c r="BEY16" s="2854"/>
      <c r="BEZ16" s="2854"/>
      <c r="BFA16" s="2854"/>
      <c r="BFB16" s="2854"/>
      <c r="BFC16" s="2854"/>
      <c r="BFD16" s="2854"/>
      <c r="BFE16" s="2854"/>
      <c r="BFF16" s="2854"/>
      <c r="BFG16" s="2854"/>
      <c r="BFH16" s="2854"/>
      <c r="BFI16" s="2854"/>
      <c r="BFJ16" s="2854"/>
      <c r="BFK16" s="2854"/>
      <c r="BFL16" s="2854"/>
      <c r="BFM16" s="2854"/>
      <c r="BFN16" s="2854"/>
      <c r="BFO16" s="2854"/>
      <c r="BFP16" s="2854"/>
      <c r="BFQ16" s="2854"/>
      <c r="BFR16" s="2854"/>
      <c r="BFS16" s="2854"/>
      <c r="BFT16" s="2854"/>
      <c r="BFU16" s="2854"/>
      <c r="BFV16" s="2854"/>
      <c r="BFW16" s="2854"/>
      <c r="BFX16" s="2854"/>
      <c r="BFY16" s="2854"/>
      <c r="BFZ16" s="2854"/>
      <c r="BGA16" s="2854"/>
      <c r="BGB16" s="2854"/>
      <c r="BGC16" s="2854"/>
      <c r="BGD16" s="2854"/>
      <c r="BGE16" s="2854"/>
      <c r="BGF16" s="2854"/>
      <c r="BGG16" s="2854"/>
      <c r="BGH16" s="2854"/>
      <c r="BGI16" s="2854"/>
      <c r="BGJ16" s="2854"/>
      <c r="BGK16" s="2854"/>
      <c r="BGL16" s="2854"/>
      <c r="BGM16" s="2854"/>
      <c r="BGN16" s="2854"/>
      <c r="BGO16" s="2854"/>
      <c r="BGP16" s="2854"/>
      <c r="BGQ16" s="2854"/>
      <c r="BGR16" s="2854"/>
      <c r="BGS16" s="2854"/>
      <c r="BGT16" s="2854"/>
      <c r="BGU16" s="2854"/>
      <c r="BGV16" s="2854"/>
      <c r="BGW16" s="2854"/>
      <c r="BGX16" s="2854"/>
      <c r="BGY16" s="2854"/>
      <c r="BGZ16" s="2854"/>
      <c r="BHA16" s="2854"/>
      <c r="BHB16" s="2854"/>
      <c r="BHC16" s="2854"/>
      <c r="BHD16" s="2854"/>
      <c r="BHE16" s="2854"/>
      <c r="BHF16" s="2854"/>
      <c r="BHG16" s="2854"/>
      <c r="BHH16" s="2854"/>
      <c r="BHI16" s="2854"/>
      <c r="BHJ16" s="2854"/>
      <c r="BHK16" s="2854"/>
      <c r="BHL16" s="2854"/>
      <c r="BHM16" s="2854"/>
      <c r="BHN16" s="2854"/>
      <c r="BHO16" s="2854"/>
      <c r="BHP16" s="2854"/>
      <c r="BHQ16" s="2854"/>
      <c r="BHR16" s="2854"/>
      <c r="BHS16" s="2854"/>
      <c r="BHT16" s="2854"/>
      <c r="BHU16" s="2854"/>
      <c r="BHV16" s="2854"/>
      <c r="BHW16" s="2854"/>
      <c r="BHX16" s="2854"/>
      <c r="BHY16" s="2854"/>
      <c r="BHZ16" s="2854"/>
      <c r="BIA16" s="2854"/>
      <c r="BIB16" s="2854"/>
      <c r="BIC16" s="2854"/>
      <c r="BID16" s="2854"/>
      <c r="BIE16" s="2854"/>
      <c r="BIF16" s="2854"/>
      <c r="BIG16" s="2854"/>
      <c r="BIH16" s="2854"/>
      <c r="BII16" s="2854"/>
      <c r="BIJ16" s="2854"/>
      <c r="BIK16" s="2854"/>
      <c r="BIL16" s="2854"/>
      <c r="BIM16" s="2854"/>
      <c r="BIN16" s="2854"/>
      <c r="BIO16" s="2854"/>
      <c r="BIP16" s="2854"/>
      <c r="BIQ16" s="2854"/>
      <c r="BIR16" s="2854"/>
      <c r="BIS16" s="2854"/>
      <c r="BIT16" s="2854"/>
      <c r="BIU16" s="2854"/>
      <c r="BIV16" s="2854"/>
      <c r="BIW16" s="2854"/>
      <c r="BIX16" s="2854"/>
      <c r="BIY16" s="2854"/>
      <c r="BIZ16" s="2854"/>
      <c r="BJA16" s="2854"/>
      <c r="BJB16" s="2854"/>
      <c r="BJC16" s="2854"/>
      <c r="BJD16" s="2854"/>
      <c r="BJE16" s="2854"/>
      <c r="BJF16" s="2854"/>
      <c r="BJG16" s="2854"/>
      <c r="BJH16" s="2854"/>
      <c r="BJI16" s="2854"/>
      <c r="BJJ16" s="2854"/>
      <c r="BJK16" s="2854"/>
      <c r="BJL16" s="2854"/>
      <c r="BJM16" s="2854"/>
      <c r="BJN16" s="2854"/>
      <c r="BJO16" s="2854"/>
      <c r="BJP16" s="2854"/>
      <c r="BJQ16" s="2854"/>
      <c r="BJR16" s="2854"/>
      <c r="BJS16" s="2854"/>
      <c r="BJT16" s="2854"/>
      <c r="BJU16" s="2854"/>
      <c r="BJV16" s="2854"/>
      <c r="BJW16" s="2854"/>
      <c r="BJX16" s="2854"/>
      <c r="BJY16" s="2854"/>
      <c r="BJZ16" s="2854"/>
      <c r="BKA16" s="2854"/>
      <c r="BKB16" s="2854"/>
      <c r="BKC16" s="2854"/>
      <c r="BKD16" s="2854"/>
      <c r="BKE16" s="2854"/>
      <c r="BKF16" s="2854"/>
      <c r="BKG16" s="2854"/>
      <c r="BKH16" s="2854"/>
      <c r="BKI16" s="2854"/>
      <c r="BKJ16" s="2854"/>
      <c r="BKK16" s="2854"/>
      <c r="BKL16" s="2854"/>
      <c r="BKM16" s="2854"/>
      <c r="BKN16" s="2854"/>
      <c r="BKO16" s="2854"/>
      <c r="BKP16" s="2854"/>
      <c r="BKQ16" s="2854"/>
      <c r="BKR16" s="2854"/>
      <c r="BKS16" s="2854"/>
      <c r="BKT16" s="2854"/>
      <c r="BKU16" s="2854"/>
      <c r="BKV16" s="2854"/>
      <c r="BKW16" s="2854"/>
      <c r="BKX16" s="2854"/>
      <c r="BKY16" s="2854"/>
      <c r="BKZ16" s="2854"/>
      <c r="BLA16" s="2854"/>
      <c r="BLB16" s="2854"/>
      <c r="BLC16" s="2854"/>
      <c r="BLD16" s="2854"/>
      <c r="BLE16" s="2854"/>
      <c r="BLF16" s="2854"/>
      <c r="BLG16" s="2854"/>
      <c r="BLH16" s="2854"/>
      <c r="BLI16" s="2854"/>
      <c r="BLJ16" s="2854"/>
      <c r="BLK16" s="2854"/>
      <c r="BLL16" s="2854"/>
      <c r="BLM16" s="2854"/>
      <c r="BLN16" s="2854"/>
      <c r="BLO16" s="2854"/>
      <c r="BLP16" s="2854"/>
      <c r="BLQ16" s="2854"/>
      <c r="BLR16" s="2854"/>
      <c r="BLS16" s="2854"/>
      <c r="BLT16" s="2854"/>
      <c r="BLU16" s="2854"/>
      <c r="BLV16" s="2854"/>
      <c r="BLW16" s="2854"/>
      <c r="BLX16" s="2854"/>
      <c r="BLY16" s="2854"/>
      <c r="BLZ16" s="2854"/>
      <c r="BMA16" s="2854"/>
      <c r="BMB16" s="2854"/>
      <c r="BMC16" s="2854"/>
      <c r="BMD16" s="2854"/>
      <c r="BME16" s="2854"/>
      <c r="BMF16" s="2854"/>
      <c r="BMG16" s="2854"/>
      <c r="BMH16" s="2854"/>
      <c r="BMI16" s="2854"/>
      <c r="BMJ16" s="2854"/>
      <c r="BMK16" s="2854"/>
      <c r="BML16" s="2854"/>
      <c r="BMM16" s="2854"/>
      <c r="BMN16" s="2854"/>
      <c r="BMO16" s="2854"/>
      <c r="BMP16" s="2854"/>
      <c r="BMQ16" s="2854"/>
      <c r="BMR16" s="2854"/>
      <c r="BMS16" s="2854"/>
      <c r="BMT16" s="2854"/>
      <c r="BMU16" s="2854"/>
      <c r="BMV16" s="2854"/>
      <c r="BMW16" s="2854"/>
      <c r="BMX16" s="2854"/>
      <c r="BMY16" s="2854"/>
      <c r="BMZ16" s="2854"/>
      <c r="BNA16" s="2854"/>
      <c r="BNB16" s="2854"/>
      <c r="BNC16" s="2854"/>
      <c r="BND16" s="2854"/>
      <c r="BNE16" s="2854"/>
      <c r="BNF16" s="2854"/>
      <c r="BNG16" s="2854"/>
      <c r="BNH16" s="2854"/>
      <c r="BNI16" s="2854"/>
      <c r="BNJ16" s="2854"/>
      <c r="BNK16" s="2854"/>
      <c r="BNL16" s="2854"/>
      <c r="BNM16" s="2854"/>
      <c r="BNN16" s="2854"/>
      <c r="BNO16" s="2854"/>
      <c r="BNP16" s="2854"/>
      <c r="BNQ16" s="2854"/>
      <c r="BNR16" s="2854"/>
      <c r="BNS16" s="2854"/>
      <c r="BNT16" s="2854"/>
      <c r="BNU16" s="2854"/>
      <c r="BNV16" s="2854"/>
      <c r="BNW16" s="2854"/>
      <c r="BNX16" s="2854"/>
      <c r="BNY16" s="2854"/>
      <c r="BNZ16" s="2854"/>
      <c r="BOA16" s="2854"/>
      <c r="BOB16" s="2854"/>
      <c r="BOC16" s="2854"/>
      <c r="BOD16" s="2854"/>
      <c r="BOE16" s="2854"/>
      <c r="BOF16" s="2854"/>
      <c r="BOG16" s="2854"/>
      <c r="BOH16" s="2854"/>
      <c r="BOI16" s="2854"/>
      <c r="BOJ16" s="2854"/>
      <c r="BOK16" s="2854"/>
      <c r="BOL16" s="2854"/>
      <c r="BOM16" s="2854"/>
      <c r="BON16" s="2854"/>
      <c r="BOO16" s="2854"/>
      <c r="BOP16" s="2854"/>
      <c r="BOQ16" s="2854"/>
      <c r="BOR16" s="2854"/>
      <c r="BOS16" s="2854"/>
      <c r="BOT16" s="2854"/>
      <c r="BOU16" s="2854"/>
      <c r="BOV16" s="2854"/>
      <c r="BOW16" s="2854"/>
      <c r="BOX16" s="2854"/>
      <c r="BOY16" s="2854"/>
      <c r="BOZ16" s="2854"/>
      <c r="BPA16" s="2854"/>
      <c r="BPB16" s="2854"/>
      <c r="BPC16" s="2854"/>
      <c r="BPD16" s="2854"/>
      <c r="BPE16" s="2854"/>
      <c r="BPF16" s="2854"/>
      <c r="BPG16" s="2854"/>
      <c r="BPH16" s="2854"/>
      <c r="BPI16" s="2854"/>
      <c r="BPJ16" s="2854"/>
      <c r="BPK16" s="2854"/>
      <c r="BPL16" s="2854"/>
      <c r="BPM16" s="2854"/>
      <c r="BPN16" s="2854"/>
      <c r="BPO16" s="2854"/>
      <c r="BPP16" s="2854"/>
      <c r="BPQ16" s="2854"/>
      <c r="BPR16" s="2854"/>
      <c r="BPS16" s="2854"/>
      <c r="BPT16" s="2854"/>
      <c r="BPU16" s="2854"/>
      <c r="BPV16" s="2854"/>
      <c r="BPW16" s="2854"/>
      <c r="BPX16" s="2854"/>
      <c r="BPY16" s="2854"/>
      <c r="BPZ16" s="2854"/>
      <c r="BQA16" s="2854"/>
      <c r="BQB16" s="2854"/>
      <c r="BQC16" s="2854"/>
      <c r="BQD16" s="2854"/>
      <c r="BQE16" s="2854"/>
      <c r="BQF16" s="2854"/>
      <c r="BQG16" s="2854"/>
      <c r="BQH16" s="2854"/>
      <c r="BQI16" s="2854"/>
      <c r="BQJ16" s="2854"/>
      <c r="BQK16" s="2854"/>
      <c r="BQL16" s="2854"/>
      <c r="BQM16" s="2854"/>
      <c r="BQN16" s="2854"/>
      <c r="BQO16" s="2854"/>
      <c r="BQP16" s="2854"/>
      <c r="BQQ16" s="2854"/>
      <c r="BQR16" s="2854"/>
      <c r="BQS16" s="2854"/>
      <c r="BQT16" s="2854"/>
      <c r="BQU16" s="2854"/>
      <c r="BQV16" s="2854"/>
      <c r="BQW16" s="2854"/>
      <c r="BQX16" s="2854"/>
      <c r="BQY16" s="2854"/>
      <c r="BQZ16" s="2854"/>
      <c r="BRA16" s="2854"/>
      <c r="BRB16" s="2854"/>
      <c r="BRC16" s="2854"/>
      <c r="BRD16" s="2854"/>
      <c r="BRE16" s="2854"/>
      <c r="BRF16" s="2854"/>
      <c r="BRG16" s="2854"/>
      <c r="BRH16" s="2854"/>
      <c r="BRI16" s="2854"/>
      <c r="BRJ16" s="2854"/>
      <c r="BRK16" s="2854"/>
      <c r="BRL16" s="2854"/>
      <c r="BRM16" s="2854"/>
      <c r="BRN16" s="2854"/>
      <c r="BRO16" s="2854"/>
      <c r="BRP16" s="2854"/>
      <c r="BRQ16" s="2854"/>
      <c r="BRR16" s="2854"/>
      <c r="BRS16" s="2854"/>
      <c r="BRT16" s="2854"/>
      <c r="BRU16" s="2854"/>
      <c r="BRV16" s="2854"/>
      <c r="BRW16" s="2854"/>
      <c r="BRX16" s="2854"/>
      <c r="BRY16" s="2854"/>
      <c r="BRZ16" s="2854"/>
      <c r="BSA16" s="2854"/>
      <c r="BSB16" s="2854"/>
      <c r="BSC16" s="2854"/>
      <c r="BSD16" s="2854"/>
      <c r="BSE16" s="2854"/>
      <c r="BSF16" s="2854"/>
      <c r="BSG16" s="2854"/>
      <c r="BSH16" s="2854"/>
      <c r="BSI16" s="2854"/>
      <c r="BSJ16" s="2854"/>
      <c r="BSK16" s="2854"/>
      <c r="BSL16" s="2854"/>
      <c r="BSM16" s="2854"/>
      <c r="BSN16" s="2854"/>
      <c r="BSO16" s="2854"/>
      <c r="BSP16" s="2854"/>
      <c r="BSQ16" s="2854"/>
      <c r="BSR16" s="2854"/>
      <c r="BSS16" s="2854"/>
      <c r="BST16" s="2854"/>
      <c r="BSU16" s="2854"/>
      <c r="BSV16" s="2854"/>
      <c r="BSW16" s="2854"/>
      <c r="BSX16" s="2854"/>
      <c r="BSY16" s="2854"/>
      <c r="BSZ16" s="2854"/>
      <c r="BTA16" s="2854"/>
      <c r="BTB16" s="2854"/>
      <c r="BTC16" s="2854"/>
      <c r="BTD16" s="2854"/>
      <c r="BTE16" s="2854"/>
      <c r="BTF16" s="2854"/>
      <c r="BTG16" s="2854"/>
      <c r="BTH16" s="2854"/>
      <c r="BTI16" s="2854"/>
      <c r="BTJ16" s="2854"/>
      <c r="BTK16" s="2854"/>
      <c r="BTL16" s="2854"/>
      <c r="BTM16" s="2854"/>
      <c r="BTN16" s="2854"/>
      <c r="BTO16" s="2854"/>
      <c r="BTP16" s="2854"/>
      <c r="BTQ16" s="2854"/>
      <c r="BTR16" s="2854"/>
      <c r="BTS16" s="2854"/>
      <c r="BTT16" s="2854"/>
      <c r="BTU16" s="2854"/>
      <c r="BTV16" s="2854"/>
      <c r="BTW16" s="2854"/>
      <c r="BTX16" s="2854"/>
      <c r="BTY16" s="2854"/>
      <c r="BTZ16" s="2854"/>
      <c r="BUA16" s="2854"/>
      <c r="BUB16" s="2854"/>
      <c r="BUC16" s="2854"/>
      <c r="BUD16" s="2854"/>
      <c r="BUE16" s="2854"/>
      <c r="BUF16" s="2854"/>
      <c r="BUG16" s="2854"/>
      <c r="BUH16" s="2854"/>
      <c r="BUI16" s="2854"/>
      <c r="BUJ16" s="2854"/>
      <c r="BUK16" s="2854"/>
      <c r="BUL16" s="2854"/>
      <c r="BUM16" s="2854"/>
      <c r="BUN16" s="2854"/>
      <c r="BUO16" s="2854"/>
      <c r="BUP16" s="2854"/>
      <c r="BUQ16" s="2854"/>
      <c r="BUR16" s="2854"/>
      <c r="BUS16" s="2854"/>
      <c r="BUT16" s="2854"/>
      <c r="BUU16" s="2854"/>
      <c r="BUV16" s="2854"/>
      <c r="BUW16" s="2854"/>
      <c r="BUX16" s="2854"/>
      <c r="BUY16" s="2854"/>
      <c r="BUZ16" s="2854"/>
      <c r="BVA16" s="2854"/>
      <c r="BVB16" s="2854"/>
      <c r="BVC16" s="2854"/>
      <c r="BVD16" s="2854"/>
      <c r="BVE16" s="2854"/>
      <c r="BVF16" s="2854"/>
      <c r="BVG16" s="2854"/>
      <c r="BVH16" s="2854"/>
      <c r="BVI16" s="2854"/>
      <c r="BVJ16" s="2854"/>
      <c r="BVK16" s="2854"/>
      <c r="BVL16" s="2854"/>
      <c r="BVM16" s="2854"/>
      <c r="BVN16" s="2854"/>
      <c r="BVO16" s="2854"/>
      <c r="BVP16" s="2854"/>
      <c r="BVQ16" s="2854"/>
      <c r="BVR16" s="2854"/>
      <c r="BVS16" s="2854"/>
      <c r="BVT16" s="2854"/>
      <c r="BVU16" s="2854"/>
      <c r="BVV16" s="2854"/>
      <c r="BVW16" s="2854"/>
      <c r="BVX16" s="2854"/>
      <c r="BVY16" s="2854"/>
      <c r="BVZ16" s="2854"/>
      <c r="BWA16" s="2854"/>
      <c r="BWB16" s="2854"/>
      <c r="BWC16" s="2854"/>
      <c r="BWD16" s="2854"/>
      <c r="BWE16" s="2854"/>
      <c r="BWF16" s="2854"/>
      <c r="BWG16" s="2854"/>
      <c r="BWH16" s="2854"/>
      <c r="BWI16" s="2854"/>
      <c r="BWJ16" s="2854"/>
      <c r="BWK16" s="2854"/>
      <c r="BWL16" s="2854"/>
      <c r="BWM16" s="2854"/>
      <c r="BWN16" s="2854"/>
      <c r="BWO16" s="2854"/>
      <c r="BWP16" s="2854"/>
      <c r="BWQ16" s="2854"/>
      <c r="BWR16" s="2854"/>
      <c r="BWS16" s="2854"/>
      <c r="BWT16" s="2854"/>
      <c r="BWU16" s="2854"/>
      <c r="BWV16" s="2854"/>
      <c r="BWW16" s="2854"/>
      <c r="BWX16" s="2854"/>
      <c r="BWY16" s="2854"/>
      <c r="BWZ16" s="2854"/>
      <c r="BXA16" s="2854"/>
      <c r="BXB16" s="2854"/>
      <c r="BXC16" s="2854"/>
      <c r="BXD16" s="2854"/>
      <c r="BXE16" s="2854"/>
      <c r="BXF16" s="2854"/>
      <c r="BXG16" s="2854"/>
      <c r="BXH16" s="2854"/>
      <c r="BXI16" s="2854"/>
      <c r="BXJ16" s="2854"/>
      <c r="BXK16" s="2854"/>
      <c r="BXL16" s="2854"/>
      <c r="BXM16" s="2854"/>
      <c r="BXN16" s="2854"/>
      <c r="BXO16" s="2854"/>
      <c r="BXP16" s="2854"/>
      <c r="BXQ16" s="2854"/>
      <c r="BXR16" s="2854"/>
      <c r="BXS16" s="2854"/>
      <c r="BXT16" s="2854"/>
      <c r="BXU16" s="2854"/>
      <c r="BXV16" s="2854"/>
      <c r="BXW16" s="2854"/>
      <c r="BXX16" s="2854"/>
      <c r="BXY16" s="2854"/>
      <c r="BXZ16" s="2854"/>
      <c r="BYA16" s="2854"/>
      <c r="BYB16" s="2854"/>
      <c r="BYC16" s="2854"/>
      <c r="BYD16" s="2854"/>
      <c r="BYE16" s="2854"/>
      <c r="BYF16" s="2854"/>
      <c r="BYG16" s="2854"/>
      <c r="BYH16" s="2854"/>
      <c r="BYI16" s="2854"/>
      <c r="BYJ16" s="2854"/>
      <c r="BYK16" s="2854"/>
      <c r="BYL16" s="2854"/>
      <c r="BYM16" s="2854"/>
      <c r="BYN16" s="2854"/>
      <c r="BYO16" s="2854"/>
      <c r="BYP16" s="2854"/>
      <c r="BYQ16" s="2854"/>
      <c r="BYR16" s="2854"/>
      <c r="BYS16" s="2854"/>
      <c r="BYT16" s="2854"/>
      <c r="BYU16" s="2854"/>
      <c r="BYV16" s="2854"/>
      <c r="BYW16" s="2854"/>
      <c r="BYX16" s="2854"/>
      <c r="BYY16" s="2854"/>
      <c r="BYZ16" s="2854"/>
      <c r="BZA16" s="2854"/>
      <c r="BZB16" s="2854"/>
      <c r="BZC16" s="2854"/>
      <c r="BZD16" s="2854"/>
      <c r="BZE16" s="2854"/>
      <c r="BZF16" s="2854"/>
      <c r="BZG16" s="2854"/>
      <c r="BZH16" s="2854"/>
      <c r="BZI16" s="2854"/>
      <c r="BZJ16" s="2854"/>
      <c r="BZK16" s="2854"/>
      <c r="BZL16" s="2854"/>
      <c r="BZM16" s="2854"/>
      <c r="BZN16" s="2854"/>
      <c r="BZO16" s="2854"/>
      <c r="BZP16" s="2854"/>
      <c r="BZQ16" s="2854"/>
      <c r="BZR16" s="2854"/>
      <c r="BZS16" s="2854"/>
      <c r="BZT16" s="2854"/>
      <c r="BZU16" s="2854"/>
      <c r="BZV16" s="2854"/>
      <c r="BZW16" s="2854"/>
      <c r="BZX16" s="2854"/>
      <c r="BZY16" s="2854"/>
      <c r="BZZ16" s="2854"/>
      <c r="CAA16" s="2854"/>
      <c r="CAB16" s="2854"/>
      <c r="CAC16" s="2854"/>
      <c r="CAD16" s="2854"/>
      <c r="CAE16" s="2854"/>
      <c r="CAF16" s="2854"/>
      <c r="CAG16" s="2854"/>
      <c r="CAH16" s="2854"/>
      <c r="CAI16" s="2854"/>
      <c r="CAJ16" s="2854"/>
      <c r="CAK16" s="2854"/>
      <c r="CAL16" s="2854"/>
      <c r="CAM16" s="2854"/>
      <c r="CAN16" s="2854"/>
      <c r="CAO16" s="2854"/>
      <c r="CAP16" s="2854"/>
      <c r="CAQ16" s="2854"/>
      <c r="CAR16" s="2854"/>
      <c r="CAS16" s="2854"/>
      <c r="CAT16" s="2854"/>
      <c r="CAU16" s="2854"/>
      <c r="CAV16" s="2854"/>
      <c r="CAW16" s="2854"/>
      <c r="CAX16" s="2854"/>
      <c r="CAY16" s="2854"/>
      <c r="CAZ16" s="2854"/>
      <c r="CBA16" s="2854"/>
      <c r="CBB16" s="2854"/>
      <c r="CBC16" s="2854"/>
      <c r="CBD16" s="2854"/>
      <c r="CBE16" s="2854"/>
      <c r="CBF16" s="2854"/>
      <c r="CBG16" s="2854"/>
      <c r="CBH16" s="2854"/>
      <c r="CBI16" s="2854"/>
      <c r="CBJ16" s="2854"/>
      <c r="CBK16" s="2854"/>
      <c r="CBL16" s="2854"/>
      <c r="CBM16" s="2854"/>
      <c r="CBN16" s="2854"/>
      <c r="CBO16" s="2854"/>
      <c r="CBP16" s="2854"/>
      <c r="CBQ16" s="2854"/>
      <c r="CBR16" s="2854"/>
      <c r="CBS16" s="2854"/>
      <c r="CBT16" s="2854"/>
      <c r="CBU16" s="2854"/>
      <c r="CBV16" s="2854"/>
      <c r="CBW16" s="2854"/>
      <c r="CBX16" s="2854"/>
      <c r="CBY16" s="2854"/>
      <c r="CBZ16" s="2854"/>
      <c r="CCA16" s="2854"/>
      <c r="CCB16" s="2854"/>
      <c r="CCC16" s="2854"/>
      <c r="CCD16" s="2854"/>
      <c r="CCE16" s="2854"/>
      <c r="CCF16" s="2854"/>
      <c r="CCG16" s="2854"/>
      <c r="CCH16" s="2854"/>
      <c r="CCI16" s="2854"/>
      <c r="CCJ16" s="2854"/>
      <c r="CCK16" s="2854"/>
      <c r="CCL16" s="2854"/>
      <c r="CCM16" s="2854"/>
      <c r="CCN16" s="2854"/>
      <c r="CCO16" s="2854"/>
      <c r="CCP16" s="2854"/>
      <c r="CCQ16" s="2854"/>
      <c r="CCR16" s="2854"/>
      <c r="CCS16" s="2854"/>
      <c r="CCT16" s="2854"/>
      <c r="CCU16" s="2854"/>
      <c r="CCV16" s="2854"/>
      <c r="CCW16" s="2854"/>
      <c r="CCX16" s="2854"/>
      <c r="CCY16" s="2854"/>
      <c r="CCZ16" s="2854"/>
      <c r="CDA16" s="2854"/>
      <c r="CDB16" s="2854"/>
      <c r="CDC16" s="2854"/>
      <c r="CDD16" s="2854"/>
      <c r="CDE16" s="2854"/>
      <c r="CDF16" s="2854"/>
      <c r="CDG16" s="2854"/>
      <c r="CDH16" s="2854"/>
      <c r="CDI16" s="2854"/>
      <c r="CDJ16" s="2854"/>
      <c r="CDK16" s="2854"/>
      <c r="CDL16" s="2854"/>
      <c r="CDM16" s="2854"/>
      <c r="CDN16" s="2854"/>
      <c r="CDO16" s="2854"/>
      <c r="CDP16" s="2854"/>
      <c r="CDQ16" s="2854"/>
      <c r="CDR16" s="2854"/>
      <c r="CDS16" s="2854"/>
      <c r="CDT16" s="2854"/>
      <c r="CDU16" s="2854"/>
      <c r="CDV16" s="2854"/>
      <c r="CDW16" s="2854"/>
      <c r="CDX16" s="2854"/>
      <c r="CDY16" s="2854"/>
      <c r="CDZ16" s="2854"/>
      <c r="CEA16" s="2854"/>
      <c r="CEB16" s="2854"/>
      <c r="CEC16" s="2854"/>
      <c r="CED16" s="2854"/>
      <c r="CEE16" s="2854"/>
      <c r="CEF16" s="2854"/>
      <c r="CEG16" s="2854"/>
      <c r="CEH16" s="2854"/>
      <c r="CEI16" s="2854"/>
      <c r="CEJ16" s="2854"/>
      <c r="CEK16" s="2854"/>
      <c r="CEL16" s="2854"/>
      <c r="CEM16" s="2854"/>
      <c r="CEN16" s="2854"/>
      <c r="CEO16" s="2854"/>
      <c r="CEP16" s="2854"/>
      <c r="CEQ16" s="2854"/>
      <c r="CER16" s="2854"/>
      <c r="CES16" s="2854"/>
      <c r="CET16" s="2854"/>
      <c r="CEU16" s="2854"/>
      <c r="CEV16" s="2854"/>
      <c r="CEW16" s="2854"/>
      <c r="CEX16" s="2854"/>
      <c r="CEY16" s="2854"/>
      <c r="CEZ16" s="2854"/>
      <c r="CFA16" s="2854"/>
      <c r="CFB16" s="2854"/>
      <c r="CFC16" s="2854"/>
      <c r="CFD16" s="2854"/>
      <c r="CFE16" s="2854"/>
      <c r="CFF16" s="2854"/>
      <c r="CFG16" s="2854"/>
      <c r="CFH16" s="2854"/>
      <c r="CFI16" s="2854"/>
      <c r="CFJ16" s="2854"/>
      <c r="CFK16" s="2854"/>
      <c r="CFL16" s="2854"/>
      <c r="CFM16" s="2854"/>
      <c r="CFN16" s="2854"/>
      <c r="CFO16" s="2854"/>
      <c r="CFP16" s="2854"/>
      <c r="CFQ16" s="2854"/>
      <c r="CFR16" s="2854"/>
      <c r="CFS16" s="2854"/>
      <c r="CFT16" s="2854"/>
      <c r="CFU16" s="2854"/>
      <c r="CFV16" s="2854"/>
      <c r="CFW16" s="2854"/>
      <c r="CFX16" s="2854"/>
      <c r="CFY16" s="2854"/>
      <c r="CFZ16" s="2854"/>
      <c r="CGA16" s="2854"/>
      <c r="CGB16" s="2854"/>
      <c r="CGC16" s="2854"/>
      <c r="CGD16" s="2854"/>
      <c r="CGE16" s="2854"/>
      <c r="CGF16" s="2854"/>
      <c r="CGG16" s="2854"/>
      <c r="CGH16" s="2854"/>
      <c r="CGI16" s="2854"/>
      <c r="CGJ16" s="2854"/>
      <c r="CGK16" s="2854"/>
      <c r="CGL16" s="2854"/>
      <c r="CGM16" s="2854"/>
      <c r="CGN16" s="2854"/>
      <c r="CGO16" s="2854"/>
      <c r="CGP16" s="2854"/>
      <c r="CGQ16" s="2854"/>
      <c r="CGR16" s="2854"/>
      <c r="CGS16" s="2854"/>
      <c r="CGT16" s="2854"/>
      <c r="CGU16" s="2854"/>
      <c r="CGV16" s="2854"/>
      <c r="CGW16" s="2854"/>
      <c r="CGX16" s="2854"/>
      <c r="CGY16" s="2854"/>
      <c r="CGZ16" s="2854"/>
      <c r="CHA16" s="2854"/>
      <c r="CHB16" s="2854"/>
      <c r="CHC16" s="2854"/>
      <c r="CHD16" s="2854"/>
      <c r="CHE16" s="2854"/>
      <c r="CHF16" s="2854"/>
      <c r="CHG16" s="2854"/>
      <c r="CHH16" s="2854"/>
      <c r="CHI16" s="2854"/>
      <c r="CHJ16" s="2854"/>
      <c r="CHK16" s="2854"/>
      <c r="CHL16" s="2854"/>
      <c r="CHM16" s="2854"/>
      <c r="CHN16" s="2854"/>
      <c r="CHO16" s="2854"/>
      <c r="CHP16" s="2854"/>
      <c r="CHQ16" s="2854"/>
      <c r="CHR16" s="2854"/>
      <c r="CHS16" s="2854"/>
      <c r="CHT16" s="2854"/>
      <c r="CHU16" s="2854"/>
      <c r="CHV16" s="2854"/>
      <c r="CHW16" s="2854"/>
      <c r="CHX16" s="2854"/>
      <c r="CHY16" s="2854"/>
      <c r="CHZ16" s="2854"/>
      <c r="CIA16" s="2854"/>
      <c r="CIB16" s="2854"/>
      <c r="CIC16" s="2854"/>
      <c r="CID16" s="2854"/>
      <c r="CIE16" s="2854"/>
      <c r="CIF16" s="2854"/>
      <c r="CIG16" s="2854"/>
      <c r="CIH16" s="2854"/>
      <c r="CII16" s="2854"/>
      <c r="CIJ16" s="2854"/>
      <c r="CIK16" s="2854"/>
      <c r="CIL16" s="2854"/>
      <c r="CIM16" s="2854"/>
      <c r="CIN16" s="2854"/>
      <c r="CIO16" s="2854"/>
      <c r="CIP16" s="2854"/>
      <c r="CIQ16" s="2854"/>
      <c r="CIR16" s="2854"/>
      <c r="CIS16" s="2854"/>
      <c r="CIT16" s="2854"/>
      <c r="CIU16" s="2854"/>
      <c r="CIV16" s="2854"/>
      <c r="CIW16" s="2854"/>
      <c r="CIX16" s="2854"/>
      <c r="CIY16" s="2854"/>
      <c r="CIZ16" s="2854"/>
      <c r="CJA16" s="2854"/>
      <c r="CJB16" s="2854"/>
      <c r="CJC16" s="2854"/>
      <c r="CJD16" s="2854"/>
      <c r="CJE16" s="2854"/>
      <c r="CJF16" s="2854"/>
      <c r="CJG16" s="2854"/>
      <c r="CJH16" s="2854"/>
      <c r="CJI16" s="2854"/>
      <c r="CJJ16" s="2854"/>
      <c r="CJK16" s="2854"/>
      <c r="CJL16" s="2854"/>
      <c r="CJM16" s="2854"/>
      <c r="CJN16" s="2854"/>
      <c r="CJO16" s="2854"/>
      <c r="CJP16" s="2854"/>
      <c r="CJQ16" s="2854"/>
      <c r="CJR16" s="2854"/>
      <c r="CJS16" s="2854"/>
      <c r="CJT16" s="2854"/>
      <c r="CJU16" s="2854"/>
      <c r="CJV16" s="2854"/>
      <c r="CJW16" s="2854"/>
      <c r="CJX16" s="2854"/>
      <c r="CJY16" s="2854"/>
      <c r="CJZ16" s="2854"/>
      <c r="CKA16" s="2854"/>
      <c r="CKB16" s="2854"/>
      <c r="CKC16" s="2854"/>
      <c r="CKD16" s="2854"/>
      <c r="CKE16" s="2854"/>
      <c r="CKF16" s="2854"/>
      <c r="CKG16" s="2854"/>
      <c r="CKH16" s="2854"/>
      <c r="CKI16" s="2854"/>
      <c r="CKJ16" s="2854"/>
      <c r="CKK16" s="2854"/>
      <c r="CKL16" s="2854"/>
      <c r="CKM16" s="2854"/>
      <c r="CKN16" s="2854"/>
      <c r="CKO16" s="2854"/>
      <c r="CKP16" s="2854"/>
      <c r="CKQ16" s="2854"/>
      <c r="CKR16" s="2854"/>
      <c r="CKS16" s="2854"/>
      <c r="CKT16" s="2854"/>
      <c r="CKU16" s="2854"/>
      <c r="CKV16" s="2854"/>
      <c r="CKW16" s="2854"/>
      <c r="CKX16" s="2854"/>
      <c r="CKY16" s="2854"/>
      <c r="CKZ16" s="2854"/>
      <c r="CLA16" s="2854"/>
      <c r="CLB16" s="2854"/>
      <c r="CLC16" s="2854"/>
      <c r="CLD16" s="2854"/>
      <c r="CLE16" s="2854"/>
      <c r="CLF16" s="2854"/>
      <c r="CLG16" s="2854"/>
      <c r="CLH16" s="2854"/>
      <c r="CLI16" s="2854"/>
      <c r="CLJ16" s="2854"/>
      <c r="CLK16" s="2854"/>
      <c r="CLL16" s="2854"/>
      <c r="CLM16" s="2854"/>
      <c r="CLN16" s="2854"/>
      <c r="CLO16" s="2854"/>
      <c r="CLP16" s="2854"/>
      <c r="CLQ16" s="2854"/>
      <c r="CLR16" s="2854"/>
      <c r="CLS16" s="2854"/>
      <c r="CLT16" s="2854"/>
      <c r="CLU16" s="2854"/>
      <c r="CLV16" s="2854"/>
      <c r="CLW16" s="2854"/>
    </row>
    <row r="17" spans="1:2363" ht="15.75" customHeight="1" x14ac:dyDescent="0.25">
      <c r="A17" s="3868"/>
      <c r="B17" s="3874"/>
      <c r="C17" s="2205">
        <v>2</v>
      </c>
      <c r="D17" s="2206"/>
      <c r="E17" s="2241"/>
      <c r="F17" s="2182"/>
      <c r="G17" s="2785"/>
      <c r="H17" s="2783"/>
      <c r="I17" s="2778"/>
      <c r="J17" s="2666"/>
      <c r="K17" s="2781"/>
      <c r="L17" s="2778"/>
      <c r="M17" s="2182"/>
      <c r="N17" s="2182"/>
      <c r="O17" s="2775"/>
      <c r="P17" s="2183"/>
      <c r="Q17" s="2184"/>
      <c r="R17" s="2773"/>
      <c r="S17" s="2771"/>
      <c r="T17" s="2904"/>
      <c r="U17" s="2184"/>
      <c r="V17" s="2918">
        <f t="shared" si="14"/>
        <v>0</v>
      </c>
      <c r="W17" s="2919"/>
      <c r="X17" s="2639"/>
      <c r="Y17" s="2922"/>
      <c r="Z17" s="2908">
        <f>N17*5808*0.25</f>
        <v>0</v>
      </c>
      <c r="AA17" s="1848">
        <v>0</v>
      </c>
      <c r="AB17" s="1970">
        <v>0</v>
      </c>
      <c r="AC17" s="1855">
        <f>AA17-AB17</f>
        <v>0</v>
      </c>
      <c r="AD17" s="2186">
        <v>0</v>
      </c>
      <c r="AE17" s="3119"/>
      <c r="AF17" s="2187">
        <v>0</v>
      </c>
      <c r="AG17" s="2867"/>
      <c r="AH17" s="2188">
        <f t="shared" si="15"/>
        <v>0</v>
      </c>
      <c r="AI17" s="2185">
        <v>0</v>
      </c>
      <c r="AJ17" s="2185">
        <f t="shared" si="16"/>
        <v>0</v>
      </c>
      <c r="AK17" s="2452">
        <f>AI17+AJ17</f>
        <v>0</v>
      </c>
      <c r="AL17" s="2677">
        <v>0</v>
      </c>
      <c r="AM17" s="2678">
        <v>0</v>
      </c>
      <c r="AN17" s="2190">
        <f t="shared" si="17"/>
        <v>0</v>
      </c>
      <c r="AO17" s="2175">
        <v>0</v>
      </c>
      <c r="AP17" s="2508">
        <v>0</v>
      </c>
      <c r="AQ17" s="2191">
        <v>0</v>
      </c>
      <c r="AR17" s="3428">
        <v>0</v>
      </c>
      <c r="AS17" s="2192">
        <f>AO17+AP17+AQ17+AR17</f>
        <v>0</v>
      </c>
      <c r="AT17" s="2193"/>
      <c r="AU17" s="2180">
        <v>0</v>
      </c>
      <c r="AV17" s="2099">
        <v>0</v>
      </c>
      <c r="AW17" s="2441">
        <f>AU17+AV17</f>
        <v>0</v>
      </c>
      <c r="AX17" s="2677">
        <v>0</v>
      </c>
      <c r="AY17" s="2678">
        <v>0</v>
      </c>
      <c r="AZ17" s="2190">
        <f>AX17-AY17</f>
        <v>0</v>
      </c>
      <c r="BA17" s="3077">
        <v>0</v>
      </c>
      <c r="BB17" s="3078">
        <v>0</v>
      </c>
      <c r="BC17" s="3079">
        <v>0</v>
      </c>
      <c r="BD17" s="3080"/>
      <c r="BE17" s="3081">
        <f>BA17+BB17+BC17+BD17+AZ17</f>
        <v>0</v>
      </c>
      <c r="BF17" s="2193"/>
      <c r="BG17" s="2180">
        <v>0</v>
      </c>
      <c r="BH17" s="2099">
        <v>0</v>
      </c>
      <c r="BI17" s="2441">
        <f>BG17+BH17</f>
        <v>0</v>
      </c>
      <c r="BJ17" s="2329">
        <v>0</v>
      </c>
      <c r="BK17" s="2329">
        <v>0</v>
      </c>
      <c r="BL17" s="2621">
        <f>BJ17-BK17</f>
        <v>0</v>
      </c>
      <c r="BM17" s="2622">
        <f>AD17+AO17</f>
        <v>0</v>
      </c>
      <c r="BN17" s="2623">
        <v>0</v>
      </c>
      <c r="BO17" s="2623">
        <f t="shared" si="18"/>
        <v>0</v>
      </c>
      <c r="BP17" s="2623">
        <f t="shared" si="19"/>
        <v>0</v>
      </c>
      <c r="BQ17" s="2624">
        <f t="shared" si="20"/>
        <v>0</v>
      </c>
      <c r="BR17" s="2625">
        <f>AI17+AU17</f>
        <v>0</v>
      </c>
      <c r="BS17" s="2626">
        <f>AJ17+AV17</f>
        <v>0</v>
      </c>
      <c r="BT17" s="2911">
        <f t="shared" si="21"/>
        <v>0</v>
      </c>
      <c r="BU17" s="3144"/>
      <c r="BV17" s="3058"/>
      <c r="BW17" s="3058"/>
      <c r="BX17" s="3058"/>
      <c r="BY17" s="3140"/>
      <c r="BZ17" s="3140"/>
      <c r="CA17" s="2857"/>
      <c r="CB17" s="2857"/>
      <c r="CC17" s="2857"/>
      <c r="CD17" s="2857"/>
      <c r="CE17" s="2857"/>
      <c r="CF17" s="3141"/>
      <c r="CG17" s="3141"/>
      <c r="CH17" s="3141"/>
      <c r="CI17" s="3141"/>
      <c r="CJ17" s="3141"/>
      <c r="CK17" s="3141"/>
      <c r="CL17" s="3141"/>
      <c r="CM17" s="3141"/>
      <c r="CN17" s="3141"/>
      <c r="CO17" s="3141"/>
      <c r="CP17" s="3141"/>
      <c r="CQ17" s="3141"/>
      <c r="CR17" s="3141"/>
      <c r="CS17" s="3141"/>
      <c r="CT17" s="3141"/>
      <c r="CU17" s="3141"/>
      <c r="CV17" s="3141"/>
      <c r="CW17" s="3141"/>
      <c r="CX17" s="3141"/>
      <c r="CY17" s="3141"/>
      <c r="CZ17" s="3141"/>
      <c r="DA17" s="3141"/>
      <c r="DB17" s="3141"/>
      <c r="DC17" s="3141"/>
      <c r="DD17" s="3141"/>
      <c r="DE17" s="3141"/>
      <c r="DF17" s="3141"/>
      <c r="DG17" s="3141"/>
      <c r="DH17" s="3141"/>
      <c r="DI17" s="3141"/>
      <c r="DJ17" s="3141"/>
      <c r="DK17" s="3141"/>
      <c r="DL17" s="3141"/>
      <c r="DM17" s="3141"/>
      <c r="DN17" s="3141"/>
      <c r="DO17" s="3141"/>
      <c r="DP17" s="3141"/>
      <c r="DQ17" s="3141"/>
      <c r="DR17" s="3141"/>
      <c r="DS17" s="3141"/>
      <c r="DT17" s="3141"/>
      <c r="DU17" s="3141"/>
      <c r="DV17" s="3141"/>
      <c r="DW17" s="3141"/>
      <c r="DX17" s="3141"/>
      <c r="DY17" s="3141"/>
      <c r="DZ17" s="3141"/>
      <c r="EA17" s="3141"/>
      <c r="EB17" s="3141"/>
      <c r="EC17" s="3141"/>
      <c r="ED17" s="3141"/>
      <c r="EE17" s="3141"/>
      <c r="EF17" s="3141"/>
      <c r="EG17" s="3141"/>
      <c r="EH17" s="2854"/>
      <c r="EI17" s="2854"/>
      <c r="EJ17" s="2854"/>
      <c r="EK17" s="2854"/>
      <c r="EL17" s="2854"/>
      <c r="EM17" s="2854"/>
      <c r="EN17" s="2854"/>
      <c r="EO17" s="2854"/>
      <c r="EP17" s="2854"/>
      <c r="EQ17" s="2854"/>
      <c r="ER17" s="2854"/>
      <c r="ES17" s="2854"/>
      <c r="ET17" s="2854"/>
      <c r="EU17" s="2854"/>
      <c r="EV17" s="2854"/>
      <c r="EW17" s="2854"/>
      <c r="EX17" s="2854"/>
      <c r="EY17" s="2854"/>
      <c r="EZ17" s="2854"/>
      <c r="FA17" s="2854"/>
      <c r="FB17" s="2854"/>
      <c r="FC17" s="2854"/>
      <c r="FD17" s="2854"/>
      <c r="FE17" s="2854"/>
      <c r="FF17" s="2854"/>
      <c r="FG17" s="2854"/>
      <c r="FH17" s="2854"/>
      <c r="FI17" s="2854"/>
      <c r="FJ17" s="2854"/>
      <c r="FK17" s="2854"/>
      <c r="FL17" s="2854"/>
      <c r="FM17" s="2854"/>
      <c r="FN17" s="2854"/>
      <c r="FO17" s="2854"/>
      <c r="FP17" s="2854"/>
      <c r="FQ17" s="2854"/>
      <c r="FR17" s="2854"/>
      <c r="FS17" s="2854"/>
      <c r="FT17" s="2854"/>
      <c r="FU17" s="2854"/>
      <c r="FV17" s="2854"/>
      <c r="FW17" s="2854"/>
      <c r="FX17" s="2854"/>
      <c r="FY17" s="2854"/>
      <c r="FZ17" s="2854"/>
      <c r="GA17" s="2854"/>
      <c r="GB17" s="2854"/>
      <c r="GC17" s="2854"/>
      <c r="GD17" s="2854"/>
      <c r="GE17" s="2854"/>
      <c r="GF17" s="2854"/>
      <c r="GG17" s="2854"/>
      <c r="GH17" s="2854"/>
      <c r="GI17" s="2854"/>
      <c r="GJ17" s="2854"/>
      <c r="GK17" s="2854"/>
      <c r="GL17" s="2854"/>
      <c r="GM17" s="2854"/>
      <c r="GN17" s="2854"/>
      <c r="GO17" s="2854"/>
      <c r="GP17" s="2854"/>
      <c r="GQ17" s="2854"/>
      <c r="GR17" s="2854"/>
      <c r="GS17" s="2854"/>
      <c r="GT17" s="2854"/>
      <c r="GU17" s="2854"/>
      <c r="GV17" s="2854"/>
      <c r="GW17" s="2854"/>
      <c r="GX17" s="2854"/>
      <c r="GY17" s="2854"/>
      <c r="GZ17" s="2854"/>
      <c r="HA17" s="2854"/>
      <c r="HB17" s="2854"/>
      <c r="HC17" s="2854"/>
      <c r="HD17" s="2854"/>
      <c r="HE17" s="2854"/>
      <c r="HF17" s="2854"/>
      <c r="HG17" s="2854"/>
      <c r="HH17" s="2854"/>
      <c r="HI17" s="2854"/>
      <c r="HJ17" s="2854"/>
      <c r="HK17" s="2854"/>
      <c r="HL17" s="2854"/>
      <c r="HM17" s="2854"/>
      <c r="HN17" s="2854"/>
      <c r="HO17" s="2854"/>
      <c r="HP17" s="2854"/>
      <c r="HQ17" s="2854"/>
      <c r="HR17" s="2854"/>
      <c r="HS17" s="2854"/>
      <c r="HT17" s="2854"/>
      <c r="HU17" s="2854"/>
      <c r="HV17" s="2854"/>
      <c r="HW17" s="2854"/>
      <c r="HX17" s="2854"/>
      <c r="HY17" s="2854"/>
      <c r="HZ17" s="2854"/>
      <c r="IA17" s="2854"/>
      <c r="IB17" s="2854"/>
      <c r="IC17" s="2854"/>
      <c r="ID17" s="2854"/>
      <c r="IE17" s="2854"/>
      <c r="IF17" s="2854"/>
      <c r="IG17" s="2854"/>
      <c r="IH17" s="2854"/>
      <c r="II17" s="2854"/>
      <c r="IJ17" s="2854"/>
      <c r="IK17" s="2854"/>
      <c r="IL17" s="2854"/>
      <c r="IM17" s="2854"/>
      <c r="IN17" s="2854"/>
      <c r="IO17" s="2854"/>
      <c r="IP17" s="2854"/>
      <c r="IQ17" s="2854"/>
      <c r="IR17" s="2854"/>
      <c r="IS17" s="2854"/>
      <c r="IT17" s="2854"/>
      <c r="IU17" s="2854"/>
      <c r="IV17" s="2854"/>
      <c r="IW17" s="2854"/>
      <c r="IX17" s="2854"/>
      <c r="IY17" s="2854"/>
      <c r="IZ17" s="2854"/>
      <c r="JA17" s="2854"/>
      <c r="JB17" s="2854"/>
      <c r="JC17" s="2854"/>
      <c r="JD17" s="2854"/>
      <c r="JE17" s="2854"/>
      <c r="JF17" s="2854"/>
      <c r="JG17" s="2854"/>
      <c r="JH17" s="2854"/>
      <c r="JI17" s="2854"/>
      <c r="JJ17" s="2854"/>
      <c r="JK17" s="2854"/>
      <c r="JL17" s="2854"/>
      <c r="JM17" s="2854"/>
      <c r="JN17" s="2854"/>
      <c r="JO17" s="2854"/>
      <c r="JP17" s="2854"/>
      <c r="JQ17" s="2854"/>
      <c r="JR17" s="2854"/>
      <c r="JS17" s="2854"/>
      <c r="JT17" s="2854"/>
      <c r="JU17" s="2854"/>
      <c r="JV17" s="2854"/>
      <c r="JW17" s="2854"/>
      <c r="JX17" s="2854"/>
      <c r="JY17" s="2854"/>
      <c r="JZ17" s="2854"/>
      <c r="KA17" s="2854"/>
      <c r="KB17" s="2854"/>
      <c r="KC17" s="2854"/>
      <c r="KD17" s="2854"/>
      <c r="KE17" s="2854"/>
      <c r="KF17" s="2854"/>
      <c r="KG17" s="2854"/>
      <c r="KH17" s="2854"/>
      <c r="KI17" s="2854"/>
      <c r="KJ17" s="2854"/>
      <c r="KK17" s="2854"/>
      <c r="KL17" s="2854"/>
      <c r="KM17" s="2854"/>
      <c r="KN17" s="2854"/>
      <c r="KO17" s="2854"/>
      <c r="KP17" s="2854"/>
      <c r="KQ17" s="2854"/>
      <c r="KR17" s="2854"/>
      <c r="KS17" s="2854"/>
      <c r="KT17" s="2854"/>
      <c r="KU17" s="2854"/>
      <c r="KV17" s="2854"/>
      <c r="KW17" s="2854"/>
      <c r="KX17" s="2854"/>
      <c r="KY17" s="2854"/>
      <c r="KZ17" s="2854"/>
      <c r="LA17" s="2854"/>
      <c r="LB17" s="2854"/>
      <c r="LC17" s="2854"/>
      <c r="LD17" s="2854"/>
      <c r="LE17" s="2854"/>
      <c r="LF17" s="2854"/>
      <c r="LG17" s="2854"/>
      <c r="LH17" s="2854"/>
      <c r="LI17" s="2854"/>
      <c r="LJ17" s="2854"/>
      <c r="LK17" s="2854"/>
      <c r="LL17" s="2854"/>
      <c r="LM17" s="2854"/>
      <c r="LN17" s="2854"/>
      <c r="LO17" s="2854"/>
      <c r="LP17" s="2854"/>
      <c r="LQ17" s="2854"/>
      <c r="LR17" s="2854"/>
      <c r="LS17" s="2854"/>
      <c r="LT17" s="2854"/>
      <c r="LU17" s="2854"/>
      <c r="LV17" s="2854"/>
      <c r="LW17" s="2854"/>
      <c r="LX17" s="2854"/>
      <c r="LY17" s="2854"/>
      <c r="LZ17" s="2854"/>
      <c r="MA17" s="2854"/>
      <c r="MB17" s="2854"/>
      <c r="MC17" s="2854"/>
      <c r="MD17" s="2854"/>
      <c r="ME17" s="2854"/>
      <c r="MF17" s="2854"/>
      <c r="MG17" s="2854"/>
      <c r="MH17" s="2854"/>
      <c r="MI17" s="2854"/>
      <c r="MJ17" s="2854"/>
      <c r="MK17" s="2854"/>
      <c r="ML17" s="2854"/>
      <c r="MM17" s="2854"/>
      <c r="MN17" s="2854"/>
      <c r="MO17" s="2854"/>
      <c r="MP17" s="2854"/>
      <c r="MQ17" s="2854"/>
      <c r="MR17" s="2854"/>
      <c r="MS17" s="2854"/>
      <c r="MT17" s="2854"/>
      <c r="MU17" s="2854"/>
      <c r="MV17" s="2854"/>
      <c r="MW17" s="2854"/>
      <c r="MX17" s="2854"/>
      <c r="MY17" s="2854"/>
      <c r="MZ17" s="2854"/>
      <c r="NA17" s="2854"/>
      <c r="NB17" s="2854"/>
      <c r="NC17" s="2854"/>
      <c r="ND17" s="2854"/>
      <c r="NE17" s="2854"/>
      <c r="NF17" s="2854"/>
      <c r="NG17" s="2854"/>
      <c r="NH17" s="2854"/>
      <c r="NI17" s="2854"/>
      <c r="NJ17" s="2854"/>
      <c r="NK17" s="2854"/>
      <c r="NL17" s="2854"/>
      <c r="NM17" s="2854"/>
      <c r="NN17" s="2854"/>
      <c r="NO17" s="2854"/>
      <c r="NP17" s="2854"/>
      <c r="NQ17" s="2854"/>
      <c r="NR17" s="2854"/>
      <c r="NS17" s="2854"/>
      <c r="NT17" s="2854"/>
      <c r="NU17" s="2854"/>
      <c r="NV17" s="2854"/>
      <c r="NW17" s="2854"/>
      <c r="NX17" s="2854"/>
      <c r="NY17" s="2854"/>
      <c r="NZ17" s="2854"/>
      <c r="OA17" s="2854"/>
      <c r="OB17" s="2854"/>
      <c r="OC17" s="2854"/>
      <c r="OD17" s="2854"/>
      <c r="OE17" s="2854"/>
      <c r="OF17" s="2854"/>
      <c r="OG17" s="2854"/>
      <c r="OH17" s="2854"/>
      <c r="OI17" s="2854"/>
      <c r="OJ17" s="2854"/>
      <c r="OK17" s="2854"/>
      <c r="OL17" s="2854"/>
      <c r="OM17" s="2854"/>
      <c r="ON17" s="2854"/>
      <c r="OO17" s="2854"/>
      <c r="OP17" s="2854"/>
      <c r="OQ17" s="2854"/>
      <c r="OR17" s="2854"/>
      <c r="OS17" s="2854"/>
      <c r="OT17" s="2854"/>
      <c r="OU17" s="2854"/>
      <c r="OV17" s="2854"/>
      <c r="OW17" s="2854"/>
      <c r="OX17" s="2854"/>
      <c r="OY17" s="2854"/>
      <c r="OZ17" s="2854"/>
      <c r="PA17" s="2854"/>
      <c r="PB17" s="2854"/>
      <c r="PC17" s="2854"/>
      <c r="PD17" s="2854"/>
      <c r="PE17" s="2854"/>
      <c r="PF17" s="2854"/>
      <c r="PG17" s="2854"/>
      <c r="PH17" s="2854"/>
      <c r="PI17" s="2854"/>
      <c r="PJ17" s="2854"/>
      <c r="PK17" s="2854"/>
      <c r="PL17" s="2854"/>
      <c r="PM17" s="2854"/>
      <c r="PN17" s="2854"/>
      <c r="PO17" s="2854"/>
      <c r="PP17" s="2854"/>
      <c r="PQ17" s="2854"/>
      <c r="PR17" s="2854"/>
      <c r="PS17" s="2854"/>
      <c r="PT17" s="2854"/>
      <c r="PU17" s="2854"/>
      <c r="PV17" s="2854"/>
      <c r="PW17" s="2854"/>
      <c r="PX17" s="2854"/>
      <c r="PY17" s="2854"/>
      <c r="PZ17" s="2854"/>
      <c r="QA17" s="2854"/>
      <c r="QB17" s="2854"/>
      <c r="QC17" s="2854"/>
      <c r="QD17" s="2854"/>
      <c r="QE17" s="2854"/>
      <c r="QF17" s="2854"/>
      <c r="QG17" s="2854"/>
      <c r="QH17" s="2854"/>
      <c r="QI17" s="2854"/>
      <c r="QJ17" s="2854"/>
      <c r="QK17" s="2854"/>
      <c r="QL17" s="2854"/>
      <c r="QM17" s="2854"/>
      <c r="QN17" s="2854"/>
      <c r="QO17" s="2854"/>
      <c r="QP17" s="2854"/>
      <c r="QQ17" s="2854"/>
      <c r="QR17" s="2854"/>
      <c r="QS17" s="2854"/>
      <c r="QT17" s="2854"/>
      <c r="QU17" s="2854"/>
      <c r="QV17" s="2854"/>
      <c r="QW17" s="2854"/>
      <c r="QX17" s="2854"/>
      <c r="QY17" s="2854"/>
      <c r="QZ17" s="2854"/>
      <c r="RA17" s="2854"/>
      <c r="RB17" s="2854"/>
      <c r="RC17" s="2854"/>
      <c r="RD17" s="2854"/>
      <c r="RE17" s="2854"/>
      <c r="RF17" s="2854"/>
      <c r="RG17" s="2854"/>
      <c r="RH17" s="2854"/>
      <c r="RI17" s="2854"/>
      <c r="RJ17" s="2854"/>
      <c r="RK17" s="2854"/>
      <c r="RL17" s="2854"/>
      <c r="RM17" s="2854"/>
      <c r="RN17" s="2854"/>
      <c r="RO17" s="2854"/>
      <c r="RP17" s="2854"/>
      <c r="RQ17" s="2854"/>
      <c r="RR17" s="2854"/>
      <c r="RS17" s="2854"/>
      <c r="RT17" s="2854"/>
      <c r="RU17" s="2854"/>
      <c r="RV17" s="2854"/>
      <c r="RW17" s="2854"/>
      <c r="RX17" s="2854"/>
      <c r="RY17" s="2854"/>
      <c r="RZ17" s="2854"/>
      <c r="SA17" s="2854"/>
      <c r="SB17" s="2854"/>
      <c r="SC17" s="2854"/>
      <c r="SD17" s="2854"/>
      <c r="SE17" s="2854"/>
      <c r="SF17" s="2854"/>
      <c r="SG17" s="2854"/>
      <c r="SH17" s="2854"/>
      <c r="SI17" s="2854"/>
      <c r="SJ17" s="2854"/>
      <c r="SK17" s="2854"/>
      <c r="SL17" s="2854"/>
      <c r="SM17" s="2854"/>
      <c r="SN17" s="2854"/>
      <c r="SO17" s="2854"/>
      <c r="SP17" s="2854"/>
      <c r="SQ17" s="2854"/>
      <c r="SR17" s="2854"/>
      <c r="SS17" s="2854"/>
      <c r="ST17" s="2854"/>
      <c r="SU17" s="2854"/>
      <c r="SV17" s="2854"/>
      <c r="SW17" s="2854"/>
      <c r="SX17" s="2854"/>
      <c r="SY17" s="2854"/>
      <c r="SZ17" s="2854"/>
      <c r="TA17" s="2854"/>
      <c r="TB17" s="2854"/>
      <c r="TC17" s="2854"/>
      <c r="TD17" s="2854"/>
      <c r="TE17" s="2854"/>
      <c r="TF17" s="2854"/>
      <c r="TG17" s="2854"/>
      <c r="TH17" s="2854"/>
      <c r="TI17" s="2854"/>
      <c r="TJ17" s="2854"/>
      <c r="TK17" s="2854"/>
      <c r="TL17" s="2854"/>
      <c r="TM17" s="2854"/>
      <c r="TN17" s="2854"/>
      <c r="TO17" s="2854"/>
      <c r="TP17" s="2854"/>
      <c r="TQ17" s="2854"/>
      <c r="TR17" s="2854"/>
      <c r="TS17" s="2854"/>
      <c r="TT17" s="2854"/>
      <c r="TU17" s="3783"/>
      <c r="TV17" s="3783"/>
      <c r="TW17" s="3783"/>
      <c r="TX17" s="3783"/>
      <c r="TY17" s="3783"/>
      <c r="TZ17" s="3783"/>
      <c r="UA17" s="3783"/>
      <c r="UB17" s="3783"/>
      <c r="UC17" s="3783"/>
      <c r="UD17" s="3783"/>
      <c r="UE17" s="3783"/>
      <c r="UF17" s="3783"/>
      <c r="UG17" s="3783"/>
      <c r="UH17" s="3783"/>
      <c r="UI17" s="3783"/>
      <c r="UJ17" s="3783"/>
      <c r="UK17" s="3783"/>
      <c r="UL17" s="3783"/>
      <c r="UM17" s="3783"/>
      <c r="UN17" s="3783"/>
      <c r="UO17" s="3783"/>
      <c r="UP17" s="2854"/>
      <c r="UQ17" s="2854"/>
      <c r="UR17" s="2854"/>
      <c r="US17" s="2854"/>
      <c r="UT17" s="2854"/>
      <c r="UU17" s="2854"/>
      <c r="UV17" s="2854"/>
      <c r="UW17" s="2854"/>
      <c r="UX17" s="2854"/>
      <c r="UY17" s="2854"/>
      <c r="UZ17" s="2854"/>
      <c r="VA17" s="2854"/>
      <c r="VB17" s="2854"/>
      <c r="VC17" s="2854"/>
      <c r="VD17" s="2854"/>
      <c r="VE17" s="2854"/>
      <c r="VF17" s="2854"/>
      <c r="VG17" s="2854"/>
      <c r="VH17" s="2854"/>
      <c r="VI17" s="2854"/>
      <c r="VJ17" s="2854"/>
      <c r="VK17" s="2854"/>
      <c r="VL17" s="2854"/>
      <c r="VM17" s="2854"/>
      <c r="VN17" s="2854"/>
      <c r="VO17" s="2854"/>
      <c r="VP17" s="2854"/>
      <c r="VQ17" s="2854"/>
      <c r="VR17" s="2854"/>
      <c r="VS17" s="2854"/>
      <c r="VT17" s="2854"/>
      <c r="VU17" s="2854"/>
      <c r="VV17" s="2854"/>
      <c r="VW17" s="2854"/>
      <c r="VX17" s="2854"/>
      <c r="VY17" s="2854"/>
      <c r="VZ17" s="2854"/>
      <c r="WA17" s="2854"/>
      <c r="WB17" s="2854"/>
      <c r="WC17" s="2854"/>
      <c r="WD17" s="2854"/>
      <c r="WE17" s="2854"/>
      <c r="WF17" s="2854"/>
      <c r="WG17" s="2854"/>
      <c r="WH17" s="2854"/>
      <c r="WI17" s="2854"/>
      <c r="WJ17" s="2854"/>
      <c r="WK17" s="2854"/>
      <c r="WL17" s="2854"/>
      <c r="WM17" s="2854"/>
      <c r="WN17" s="2854"/>
      <c r="WO17" s="2854"/>
      <c r="WP17" s="2854"/>
      <c r="WQ17" s="2854"/>
      <c r="WR17" s="2854"/>
      <c r="WS17" s="2854"/>
      <c r="WT17" s="2854"/>
      <c r="WU17" s="2854"/>
      <c r="WV17" s="2854"/>
      <c r="WW17" s="2854"/>
      <c r="WX17" s="2854"/>
      <c r="WY17" s="2854"/>
      <c r="WZ17" s="2854"/>
      <c r="XA17" s="2854"/>
      <c r="XB17" s="2854"/>
      <c r="XC17" s="2854"/>
      <c r="XD17" s="2854"/>
      <c r="XE17" s="2854"/>
      <c r="XF17" s="2854"/>
      <c r="XG17" s="2854"/>
      <c r="XH17" s="2854"/>
      <c r="XI17" s="2854"/>
      <c r="XJ17" s="2854"/>
      <c r="XK17" s="2854"/>
      <c r="XL17" s="2854"/>
      <c r="XM17" s="2854"/>
      <c r="XN17" s="2854"/>
      <c r="XO17" s="2854"/>
      <c r="XP17" s="2854"/>
      <c r="XQ17" s="2854"/>
      <c r="XR17" s="2854"/>
      <c r="XS17" s="2854"/>
      <c r="XT17" s="2854"/>
      <c r="XU17" s="2854"/>
      <c r="XV17" s="2854"/>
      <c r="XW17" s="2854"/>
      <c r="XX17" s="2854"/>
      <c r="XY17" s="2854"/>
      <c r="XZ17" s="2854"/>
      <c r="YA17" s="2854"/>
      <c r="YB17" s="2854"/>
      <c r="YC17" s="2854"/>
      <c r="YD17" s="2854"/>
      <c r="YE17" s="2854"/>
      <c r="YF17" s="2854"/>
      <c r="YG17" s="2854"/>
      <c r="YH17" s="2854"/>
      <c r="YI17" s="2854"/>
      <c r="YJ17" s="2854"/>
      <c r="YK17" s="2854"/>
      <c r="YL17" s="2854"/>
      <c r="YM17" s="2854"/>
      <c r="YN17" s="2854"/>
      <c r="YO17" s="2854"/>
      <c r="YP17" s="2854"/>
      <c r="YQ17" s="2854"/>
      <c r="YR17" s="2854"/>
      <c r="YS17" s="2854"/>
      <c r="YT17" s="2854"/>
      <c r="YU17" s="2854"/>
      <c r="YV17" s="2854"/>
      <c r="YW17" s="2854"/>
      <c r="YX17" s="2854"/>
      <c r="YY17" s="2854"/>
      <c r="YZ17" s="2854"/>
      <c r="ZA17" s="2854"/>
      <c r="ZB17" s="2854"/>
      <c r="ZC17" s="2854"/>
      <c r="ZD17" s="2854"/>
      <c r="ZE17" s="2854"/>
      <c r="ZF17" s="2854"/>
      <c r="ZG17" s="2854"/>
      <c r="ZH17" s="2854"/>
      <c r="ZI17" s="2854"/>
      <c r="ZJ17" s="2854"/>
      <c r="ZK17" s="2854"/>
      <c r="ZL17" s="2854"/>
      <c r="ZM17" s="2854"/>
      <c r="ZN17" s="2854"/>
      <c r="ZO17" s="2854"/>
      <c r="ZP17" s="2854"/>
      <c r="ZQ17" s="2854"/>
      <c r="ZR17" s="2854"/>
      <c r="ZS17" s="2854"/>
      <c r="ZT17" s="2854"/>
      <c r="ZU17" s="2854"/>
      <c r="ZV17" s="2854"/>
      <c r="ZW17" s="2854"/>
      <c r="ZX17" s="2854"/>
      <c r="ZY17" s="2854"/>
      <c r="ZZ17" s="2854"/>
      <c r="AAA17" s="2854"/>
      <c r="AAB17" s="2854"/>
      <c r="AAC17" s="2854"/>
      <c r="AAD17" s="2854"/>
      <c r="AAE17" s="2854"/>
      <c r="AAF17" s="2854"/>
      <c r="AAG17" s="2854"/>
      <c r="AAH17" s="2854"/>
      <c r="AAI17" s="2854"/>
      <c r="AAJ17" s="2854"/>
      <c r="AAK17" s="2854"/>
      <c r="AAL17" s="2854"/>
      <c r="AAM17" s="2854"/>
      <c r="AAN17" s="2854"/>
      <c r="AAO17" s="2854"/>
      <c r="AAP17" s="2854"/>
      <c r="AAQ17" s="2854"/>
      <c r="AAR17" s="2854"/>
      <c r="AAS17" s="2854"/>
      <c r="AAT17" s="2854"/>
      <c r="AAU17" s="2854"/>
      <c r="AAV17" s="2854"/>
      <c r="AAW17" s="2854"/>
      <c r="AAX17" s="2854"/>
      <c r="AAY17" s="2854"/>
      <c r="AAZ17" s="2854"/>
      <c r="ABA17" s="2854"/>
      <c r="ABB17" s="2854"/>
      <c r="ABC17" s="2854"/>
      <c r="ABD17" s="2854"/>
      <c r="ABE17" s="2854"/>
      <c r="ABF17" s="2854"/>
      <c r="ABG17" s="2854"/>
      <c r="ABH17" s="2854"/>
      <c r="ABI17" s="2854"/>
      <c r="ABJ17" s="2854"/>
      <c r="ABK17" s="2854"/>
      <c r="ABL17" s="2854"/>
      <c r="ABM17" s="2854"/>
      <c r="ABN17" s="2854"/>
      <c r="ABO17" s="2854"/>
      <c r="ABP17" s="2854"/>
      <c r="ABQ17" s="2854"/>
      <c r="ABR17" s="2854"/>
      <c r="ABS17" s="2854"/>
      <c r="ABT17" s="2854"/>
      <c r="ABU17" s="2854"/>
      <c r="ABV17" s="2854"/>
      <c r="ABW17" s="2854"/>
      <c r="ABX17" s="2854"/>
      <c r="ABY17" s="2854"/>
      <c r="ABZ17" s="2854"/>
      <c r="ACA17" s="2854"/>
      <c r="ACB17" s="2854"/>
      <c r="ACC17" s="2854"/>
      <c r="ACD17" s="2854"/>
      <c r="ACE17" s="2854"/>
      <c r="ACF17" s="2854"/>
      <c r="ACG17" s="2854"/>
      <c r="ACH17" s="2854"/>
      <c r="ACI17" s="2854"/>
      <c r="ACJ17" s="2854"/>
      <c r="ACK17" s="2854"/>
      <c r="ACL17" s="2854"/>
      <c r="ACM17" s="2854"/>
      <c r="ACN17" s="2854"/>
      <c r="ACO17" s="2854"/>
      <c r="ACP17" s="2854"/>
      <c r="ACQ17" s="2854"/>
      <c r="ACR17" s="2854"/>
      <c r="ACS17" s="2854"/>
      <c r="ACT17" s="2854"/>
      <c r="ACU17" s="2854"/>
      <c r="ACV17" s="2854"/>
      <c r="ACW17" s="2854"/>
      <c r="ACX17" s="2854"/>
      <c r="ACY17" s="2854"/>
      <c r="ACZ17" s="2854"/>
      <c r="ADA17" s="2854"/>
      <c r="ADB17" s="2854"/>
      <c r="ADC17" s="2854"/>
      <c r="ADD17" s="2854"/>
      <c r="ADE17" s="2854"/>
      <c r="ADF17" s="2854"/>
      <c r="ADG17" s="2854"/>
      <c r="ADH17" s="2854"/>
      <c r="ADI17" s="2854"/>
      <c r="ADJ17" s="2854"/>
      <c r="ADK17" s="2854"/>
      <c r="ADL17" s="2854"/>
      <c r="ADM17" s="2854"/>
      <c r="ADN17" s="2854"/>
      <c r="ADO17" s="2854"/>
      <c r="ADP17" s="2854"/>
      <c r="ADQ17" s="2854"/>
      <c r="ADR17" s="2854"/>
      <c r="ADS17" s="2854"/>
      <c r="ADT17" s="2854"/>
      <c r="ADU17" s="2854"/>
      <c r="ADV17" s="2854"/>
      <c r="ADW17" s="2854"/>
      <c r="ADX17" s="2854"/>
      <c r="ADY17" s="2854"/>
      <c r="ADZ17" s="2854"/>
      <c r="AEA17" s="2854"/>
      <c r="AEB17" s="2854"/>
      <c r="AEC17" s="2854"/>
      <c r="AED17" s="2854"/>
      <c r="AEE17" s="2854"/>
      <c r="AEF17" s="2854"/>
      <c r="AEG17" s="2854"/>
      <c r="AEH17" s="2854"/>
      <c r="AEI17" s="2854"/>
      <c r="AEJ17" s="2854"/>
      <c r="AEK17" s="2854"/>
      <c r="AEL17" s="2854"/>
      <c r="AEM17" s="2854"/>
      <c r="AEN17" s="2854"/>
      <c r="AEO17" s="2854"/>
      <c r="AEP17" s="2854"/>
      <c r="AEQ17" s="2854"/>
      <c r="AER17" s="2854"/>
      <c r="AES17" s="2854"/>
      <c r="AET17" s="2854"/>
      <c r="AEU17" s="2854"/>
      <c r="AEV17" s="2854"/>
      <c r="AEW17" s="2854"/>
      <c r="AEX17" s="2854"/>
      <c r="AEY17" s="2854"/>
      <c r="AEZ17" s="2854"/>
      <c r="AFA17" s="2854"/>
      <c r="AFB17" s="2854"/>
      <c r="AFC17" s="2854"/>
      <c r="AFD17" s="2854"/>
      <c r="AFE17" s="2854"/>
      <c r="AFF17" s="2854"/>
      <c r="AFG17" s="2854"/>
      <c r="AFH17" s="2854"/>
      <c r="AFI17" s="2854"/>
      <c r="AFJ17" s="2854"/>
      <c r="AFK17" s="2854"/>
      <c r="AFL17" s="2854"/>
      <c r="AFM17" s="2854"/>
      <c r="AFN17" s="2854"/>
      <c r="AFO17" s="2854"/>
      <c r="AFP17" s="2854"/>
      <c r="AFQ17" s="2854"/>
      <c r="AFR17" s="2854"/>
      <c r="AFS17" s="2854"/>
      <c r="AFT17" s="2854"/>
      <c r="AFU17" s="2854"/>
      <c r="AFV17" s="2854"/>
      <c r="AFW17" s="2854"/>
      <c r="AFX17" s="2854"/>
      <c r="AFY17" s="2854"/>
      <c r="AFZ17" s="2854"/>
      <c r="AGA17" s="2854"/>
      <c r="AGB17" s="2854"/>
      <c r="AGC17" s="2854"/>
      <c r="AGD17" s="2854"/>
      <c r="AGE17" s="2854"/>
      <c r="AGF17" s="2854"/>
      <c r="AGG17" s="2854"/>
      <c r="AGH17" s="2854"/>
      <c r="AGI17" s="2854"/>
      <c r="AGJ17" s="2854"/>
      <c r="AGK17" s="2854"/>
      <c r="AGL17" s="2854"/>
      <c r="AGM17" s="2854"/>
      <c r="AGN17" s="2854"/>
      <c r="AGO17" s="2854"/>
      <c r="AGP17" s="2854"/>
      <c r="AGQ17" s="2854"/>
      <c r="AGR17" s="2854"/>
      <c r="AGS17" s="2854"/>
      <c r="AGT17" s="2854"/>
      <c r="AGU17" s="2854"/>
      <c r="AGV17" s="2854"/>
      <c r="AGW17" s="2854"/>
      <c r="AGX17" s="2854"/>
      <c r="AGY17" s="2854"/>
      <c r="AGZ17" s="2854"/>
      <c r="AHA17" s="2854"/>
      <c r="AHB17" s="2854"/>
      <c r="AHC17" s="2854"/>
      <c r="AHD17" s="2854"/>
      <c r="AHE17" s="2854"/>
      <c r="AHF17" s="2854"/>
      <c r="AHG17" s="2854"/>
      <c r="AHH17" s="2854"/>
      <c r="AHI17" s="2854"/>
      <c r="AHJ17" s="2854"/>
      <c r="AHK17" s="2854"/>
      <c r="AHL17" s="2854"/>
      <c r="AHM17" s="2854"/>
      <c r="AHN17" s="2854"/>
      <c r="AHO17" s="2854"/>
      <c r="AHP17" s="2854"/>
      <c r="AHQ17" s="2854"/>
      <c r="AHR17" s="2854"/>
      <c r="AHS17" s="2854"/>
      <c r="AHT17" s="2854"/>
      <c r="AHU17" s="2854"/>
      <c r="AHV17" s="2854"/>
      <c r="AHW17" s="2854"/>
      <c r="AHX17" s="2854"/>
      <c r="AHY17" s="2854"/>
      <c r="AHZ17" s="2854"/>
      <c r="AIA17" s="2854"/>
      <c r="AIB17" s="2854"/>
      <c r="AIC17" s="2854"/>
      <c r="AID17" s="2854"/>
      <c r="AIE17" s="2854"/>
      <c r="AIF17" s="2854"/>
      <c r="AIG17" s="2854"/>
      <c r="AIH17" s="2854"/>
      <c r="AII17" s="2854"/>
      <c r="AIJ17" s="2854"/>
      <c r="AIK17" s="2854"/>
      <c r="AIL17" s="2854"/>
      <c r="AIM17" s="2854"/>
      <c r="AIN17" s="2854"/>
      <c r="AIO17" s="2854"/>
      <c r="AIP17" s="2854"/>
      <c r="AIQ17" s="2854"/>
      <c r="AIR17" s="2854"/>
      <c r="AIS17" s="2854"/>
      <c r="AIT17" s="2854"/>
      <c r="AIU17" s="2854"/>
      <c r="AIV17" s="2854"/>
      <c r="AIW17" s="2854"/>
      <c r="AIX17" s="2854"/>
      <c r="AIY17" s="2854"/>
      <c r="AIZ17" s="2854"/>
      <c r="AJA17" s="2854"/>
      <c r="AJB17" s="2854"/>
      <c r="AJC17" s="2854"/>
      <c r="AJD17" s="2854"/>
      <c r="AJE17" s="2854"/>
      <c r="AJF17" s="2854"/>
      <c r="AJG17" s="2854"/>
      <c r="AJH17" s="2854"/>
      <c r="AJI17" s="2854"/>
      <c r="AJJ17" s="2854"/>
      <c r="AJK17" s="2854"/>
      <c r="AJL17" s="2854"/>
      <c r="AJM17" s="2854"/>
      <c r="AJN17" s="2854"/>
      <c r="AJO17" s="2854"/>
      <c r="AJP17" s="2854"/>
      <c r="AJQ17" s="2854"/>
      <c r="AJR17" s="2854"/>
      <c r="AJS17" s="2854"/>
      <c r="AJT17" s="2854"/>
      <c r="AJU17" s="2854"/>
      <c r="AJV17" s="2854"/>
      <c r="AJW17" s="2854"/>
      <c r="AJX17" s="2854"/>
      <c r="AJY17" s="2854"/>
      <c r="AJZ17" s="2854"/>
      <c r="AKA17" s="2854"/>
      <c r="AKB17" s="2854"/>
      <c r="AKC17" s="2854"/>
      <c r="AKD17" s="2854"/>
      <c r="AKE17" s="2854"/>
      <c r="AKF17" s="2854"/>
      <c r="AKG17" s="2854"/>
      <c r="AKH17" s="2854"/>
      <c r="AKI17" s="2854"/>
      <c r="AKJ17" s="2854"/>
      <c r="AKK17" s="2854"/>
      <c r="AKL17" s="2854"/>
      <c r="AKM17" s="2854"/>
      <c r="AKN17" s="2854"/>
      <c r="AKO17" s="2854"/>
      <c r="AKP17" s="2854"/>
      <c r="AKQ17" s="2854"/>
      <c r="AKR17" s="2854"/>
      <c r="AKS17" s="2854"/>
      <c r="AKT17" s="2854"/>
      <c r="AKU17" s="2854"/>
      <c r="AKV17" s="2854"/>
      <c r="AKW17" s="2854"/>
      <c r="AKX17" s="2854"/>
      <c r="AKY17" s="2854"/>
      <c r="AKZ17" s="2854"/>
      <c r="ALA17" s="2854"/>
      <c r="ALB17" s="2854"/>
      <c r="ALC17" s="2854"/>
      <c r="ALD17" s="2854"/>
      <c r="ALE17" s="2854"/>
      <c r="ALF17" s="2854"/>
      <c r="ALG17" s="2854"/>
      <c r="ALH17" s="2854"/>
      <c r="ALI17" s="2854"/>
      <c r="ALJ17" s="2854"/>
      <c r="ALK17" s="2854"/>
      <c r="ALL17" s="2854"/>
      <c r="ALM17" s="2854"/>
      <c r="ALN17" s="2854"/>
      <c r="ALO17" s="2854"/>
      <c r="ALP17" s="2854"/>
      <c r="ALQ17" s="2854"/>
      <c r="ALR17" s="2854"/>
      <c r="ALS17" s="2854"/>
      <c r="ALT17" s="2854"/>
      <c r="ALU17" s="2854"/>
      <c r="ALV17" s="2854"/>
      <c r="ALW17" s="2854"/>
      <c r="ALX17" s="2854"/>
      <c r="ALY17" s="2854"/>
      <c r="ALZ17" s="2854"/>
      <c r="AMA17" s="2854"/>
      <c r="AMB17" s="2854"/>
      <c r="AMC17" s="2854"/>
      <c r="AMD17" s="2854"/>
      <c r="AME17" s="2854"/>
      <c r="AMF17" s="2854"/>
      <c r="AMG17" s="2854"/>
      <c r="AMH17" s="2854"/>
      <c r="AMI17" s="2854"/>
      <c r="AMJ17" s="2854"/>
      <c r="AMK17" s="2854"/>
      <c r="AML17" s="2854"/>
      <c r="AMM17" s="2854"/>
      <c r="AMN17" s="2854"/>
      <c r="AMO17" s="2854"/>
      <c r="AMP17" s="2854"/>
      <c r="AMQ17" s="2854"/>
      <c r="AMR17" s="2854"/>
      <c r="AMS17" s="2854"/>
      <c r="AMT17" s="2854"/>
      <c r="AMU17" s="2854"/>
      <c r="AMV17" s="2854"/>
      <c r="AMW17" s="2854"/>
      <c r="AMX17" s="2854"/>
      <c r="AMY17" s="2854"/>
      <c r="AMZ17" s="2854"/>
      <c r="ANA17" s="2854"/>
      <c r="ANB17" s="2854"/>
      <c r="ANC17" s="2854"/>
      <c r="AND17" s="2854"/>
      <c r="ANE17" s="2854"/>
      <c r="ANF17" s="2854"/>
      <c r="ANG17" s="2854"/>
      <c r="ANH17" s="2854"/>
      <c r="ANI17" s="2854"/>
      <c r="ANJ17" s="2854"/>
      <c r="ANK17" s="2854"/>
      <c r="ANL17" s="2854"/>
      <c r="ANM17" s="2854"/>
      <c r="ANN17" s="2854"/>
      <c r="ANO17" s="2854"/>
      <c r="ANP17" s="2854"/>
      <c r="ANQ17" s="2854"/>
      <c r="ANR17" s="2854"/>
      <c r="ANS17" s="2854"/>
      <c r="ANT17" s="2854"/>
      <c r="ANU17" s="2854"/>
      <c r="ANV17" s="2854"/>
      <c r="ANW17" s="2854"/>
      <c r="ANX17" s="2854"/>
      <c r="ANY17" s="2854"/>
      <c r="ANZ17" s="2854"/>
      <c r="AOA17" s="2854"/>
      <c r="AOB17" s="2854"/>
      <c r="AOC17" s="2854"/>
      <c r="AOD17" s="2854"/>
      <c r="AOE17" s="2854"/>
      <c r="AOF17" s="2854"/>
      <c r="AOG17" s="2854"/>
      <c r="AOH17" s="2854"/>
      <c r="AOI17" s="2854"/>
      <c r="AOJ17" s="2854"/>
      <c r="AOK17" s="2854"/>
      <c r="AOL17" s="2854"/>
      <c r="AOM17" s="2854"/>
      <c r="AON17" s="2854"/>
      <c r="AOO17" s="2854"/>
      <c r="AOP17" s="2854"/>
      <c r="AOQ17" s="2854"/>
      <c r="AOR17" s="2854"/>
      <c r="AOS17" s="2854"/>
      <c r="AOT17" s="2854"/>
      <c r="AOU17" s="2854"/>
      <c r="AOV17" s="2854"/>
      <c r="AOW17" s="2854"/>
      <c r="AOX17" s="2854"/>
      <c r="AOY17" s="2854"/>
      <c r="AOZ17" s="2854"/>
      <c r="APA17" s="2854"/>
      <c r="APB17" s="2854"/>
      <c r="APC17" s="2854"/>
      <c r="APD17" s="2854"/>
      <c r="APE17" s="2854"/>
      <c r="APF17" s="2854"/>
      <c r="APG17" s="2854"/>
      <c r="APH17" s="2854"/>
      <c r="API17" s="2854"/>
      <c r="APJ17" s="2854"/>
      <c r="APK17" s="2854"/>
      <c r="APL17" s="2854"/>
      <c r="APM17" s="2854"/>
      <c r="APN17" s="2854"/>
      <c r="APO17" s="2854"/>
      <c r="APP17" s="2854"/>
      <c r="APQ17" s="2854"/>
      <c r="APR17" s="2854"/>
      <c r="APS17" s="2854"/>
      <c r="APT17" s="2854"/>
      <c r="APU17" s="2854"/>
      <c r="APV17" s="2854"/>
      <c r="APW17" s="2854"/>
      <c r="APX17" s="2854"/>
      <c r="APY17" s="2854"/>
      <c r="APZ17" s="2854"/>
      <c r="AQA17" s="2854"/>
      <c r="AQB17" s="2854"/>
      <c r="AQC17" s="2854"/>
      <c r="AQD17" s="2854"/>
      <c r="AQE17" s="2854"/>
      <c r="AQF17" s="2854"/>
      <c r="AQG17" s="2854"/>
      <c r="AQH17" s="2854"/>
      <c r="AQI17" s="2854"/>
      <c r="AQJ17" s="2854"/>
      <c r="AQK17" s="2854"/>
      <c r="AQL17" s="2854"/>
      <c r="AQM17" s="2854"/>
      <c r="AQN17" s="2854"/>
      <c r="AQO17" s="2854"/>
      <c r="AQP17" s="2854"/>
      <c r="AQQ17" s="2854"/>
      <c r="AQR17" s="2854"/>
      <c r="AQS17" s="2854"/>
      <c r="AQT17" s="2854"/>
      <c r="AQU17" s="2854"/>
      <c r="AQV17" s="2854"/>
      <c r="AQW17" s="2854"/>
      <c r="AQX17" s="2854"/>
      <c r="AQY17" s="2854"/>
      <c r="AQZ17" s="2854"/>
      <c r="ARA17" s="2854"/>
      <c r="ARB17" s="2854"/>
      <c r="ARC17" s="2854"/>
      <c r="ARD17" s="2854"/>
      <c r="ARE17" s="2854"/>
      <c r="ARF17" s="2854"/>
      <c r="ARG17" s="2854"/>
      <c r="ARH17" s="2854"/>
      <c r="ARI17" s="2854"/>
      <c r="ARJ17" s="2854"/>
      <c r="ARK17" s="2854"/>
      <c r="ARL17" s="2854"/>
      <c r="ARM17" s="2854"/>
      <c r="ARN17" s="2854"/>
      <c r="ARO17" s="2854"/>
      <c r="ARP17" s="2854"/>
      <c r="ARQ17" s="2854"/>
      <c r="ARR17" s="2854"/>
      <c r="ARS17" s="2854"/>
      <c r="ART17" s="2854"/>
      <c r="ARU17" s="2854"/>
      <c r="ARV17" s="2854"/>
      <c r="ARW17" s="2854"/>
      <c r="ARX17" s="2854"/>
      <c r="ARY17" s="2854"/>
      <c r="ARZ17" s="2854"/>
      <c r="ASA17" s="2854"/>
      <c r="ASB17" s="2854"/>
      <c r="ASC17" s="2854"/>
      <c r="ASD17" s="2854"/>
      <c r="ASE17" s="2854"/>
      <c r="ASF17" s="2854"/>
      <c r="ASG17" s="2854"/>
      <c r="ASH17" s="2854"/>
      <c r="ASI17" s="2854"/>
      <c r="ASJ17" s="2854"/>
      <c r="ASK17" s="2854"/>
      <c r="ASL17" s="2854"/>
      <c r="ASM17" s="2854"/>
      <c r="ASN17" s="2854"/>
      <c r="ASO17" s="2854"/>
      <c r="ASP17" s="2854"/>
      <c r="ASQ17" s="2854"/>
      <c r="ASR17" s="2854"/>
      <c r="ASS17" s="2854"/>
      <c r="AST17" s="2854"/>
      <c r="ASU17" s="2854"/>
      <c r="ASV17" s="2854"/>
      <c r="ASW17" s="2854"/>
      <c r="ASX17" s="2854"/>
      <c r="ASY17" s="2854"/>
      <c r="ASZ17" s="2854"/>
      <c r="ATA17" s="2854"/>
      <c r="ATB17" s="2854"/>
      <c r="ATC17" s="2854"/>
      <c r="ATD17" s="2854"/>
      <c r="ATE17" s="2854"/>
      <c r="ATF17" s="2854"/>
      <c r="ATG17" s="2854"/>
      <c r="ATH17" s="2854"/>
      <c r="ATI17" s="2854"/>
      <c r="ATJ17" s="2854"/>
      <c r="ATK17" s="2854"/>
      <c r="ATL17" s="2854"/>
      <c r="ATM17" s="2854"/>
      <c r="ATN17" s="2854"/>
      <c r="ATO17" s="2854"/>
      <c r="ATP17" s="2854"/>
      <c r="ATQ17" s="2854"/>
      <c r="ATR17" s="2854"/>
      <c r="ATS17" s="2854"/>
      <c r="ATT17" s="2854"/>
      <c r="ATU17" s="2854"/>
      <c r="ATV17" s="2854"/>
      <c r="ATW17" s="2854"/>
      <c r="ATX17" s="2854"/>
      <c r="ATY17" s="2854"/>
      <c r="ATZ17" s="2854"/>
      <c r="AUA17" s="2854"/>
      <c r="AUB17" s="2854"/>
      <c r="AUC17" s="2854"/>
      <c r="AUD17" s="2854"/>
      <c r="AUE17" s="2854"/>
      <c r="AUF17" s="2854"/>
      <c r="AUG17" s="2854"/>
      <c r="AUH17" s="2854"/>
      <c r="AUI17" s="2854"/>
      <c r="AUJ17" s="2854"/>
      <c r="AUK17" s="2854"/>
      <c r="AUL17" s="2854"/>
      <c r="AUM17" s="2854"/>
      <c r="AUN17" s="2854"/>
      <c r="AUO17" s="2854"/>
      <c r="AUP17" s="2854"/>
      <c r="AUQ17" s="2854"/>
      <c r="AUR17" s="2854"/>
      <c r="AUS17" s="2854"/>
      <c r="AUT17" s="2854"/>
      <c r="AUU17" s="2854"/>
      <c r="AUV17" s="2854"/>
      <c r="AUW17" s="2854"/>
      <c r="AUX17" s="2854"/>
      <c r="AUY17" s="2854"/>
      <c r="AUZ17" s="2854"/>
      <c r="AVA17" s="2854"/>
      <c r="AVB17" s="2854"/>
      <c r="AVC17" s="2854"/>
      <c r="AVD17" s="2854"/>
      <c r="AVE17" s="2854"/>
      <c r="AVF17" s="2854"/>
      <c r="AVG17" s="2854"/>
      <c r="AVH17" s="2854"/>
      <c r="AVI17" s="2854"/>
      <c r="AVJ17" s="2854"/>
      <c r="AVK17" s="2854"/>
      <c r="AVL17" s="2854"/>
      <c r="AVM17" s="2854"/>
      <c r="AVN17" s="2854"/>
      <c r="AVO17" s="2854"/>
      <c r="AVP17" s="2854"/>
      <c r="AVQ17" s="2854"/>
      <c r="AVR17" s="2854"/>
      <c r="AVS17" s="2854"/>
      <c r="AVT17" s="2854"/>
      <c r="AVU17" s="2854"/>
      <c r="AVV17" s="2854"/>
      <c r="AVW17" s="2854"/>
      <c r="AVX17" s="2854"/>
      <c r="AVY17" s="2854"/>
      <c r="AVZ17" s="2854"/>
      <c r="AWA17" s="2854"/>
      <c r="AWB17" s="2854"/>
      <c r="AWC17" s="2854"/>
      <c r="AWD17" s="2854"/>
      <c r="AWE17" s="2854"/>
      <c r="AWF17" s="2854"/>
      <c r="AWG17" s="2854"/>
      <c r="AWH17" s="2854"/>
      <c r="AWI17" s="2854"/>
      <c r="AWJ17" s="2854"/>
      <c r="AWK17" s="2854"/>
      <c r="AWL17" s="2854"/>
      <c r="AWM17" s="2854"/>
      <c r="AWN17" s="2854"/>
      <c r="AWO17" s="2854"/>
      <c r="AWP17" s="2854"/>
      <c r="AWQ17" s="2854"/>
      <c r="AWR17" s="2854"/>
      <c r="AWS17" s="2854"/>
      <c r="AWT17" s="2854"/>
      <c r="AWU17" s="2854"/>
      <c r="AWV17" s="2854"/>
      <c r="AWW17" s="2854"/>
      <c r="AWX17" s="2854"/>
      <c r="AWY17" s="2854"/>
      <c r="AWZ17" s="2854"/>
      <c r="AXA17" s="2854"/>
      <c r="AXB17" s="2854"/>
      <c r="AXC17" s="2854"/>
      <c r="AXD17" s="2854"/>
      <c r="AXE17" s="2854"/>
      <c r="AXF17" s="2854"/>
      <c r="AXG17" s="2854"/>
      <c r="AXH17" s="2854"/>
      <c r="AXI17" s="2854"/>
      <c r="AXJ17" s="2854"/>
      <c r="AXK17" s="2854"/>
      <c r="AXL17" s="2854"/>
      <c r="AXM17" s="2854"/>
      <c r="AXN17" s="2854"/>
      <c r="AXO17" s="2854"/>
      <c r="AXP17" s="2854"/>
      <c r="AXQ17" s="2854"/>
      <c r="AXR17" s="2854"/>
      <c r="AXS17" s="2854"/>
      <c r="AXT17" s="2854"/>
      <c r="AXU17" s="2854"/>
      <c r="AXV17" s="2854"/>
      <c r="AXW17" s="2854"/>
      <c r="AXX17" s="2854"/>
      <c r="AXY17" s="2854"/>
      <c r="AXZ17" s="2854"/>
      <c r="AYA17" s="2854"/>
      <c r="AYB17" s="2854"/>
      <c r="AYC17" s="2854"/>
      <c r="AYD17" s="2854"/>
      <c r="AYE17" s="2854"/>
      <c r="AYF17" s="2854"/>
      <c r="AYG17" s="2854"/>
      <c r="AYH17" s="2854"/>
      <c r="AYI17" s="2854"/>
      <c r="AYJ17" s="2854"/>
      <c r="AYK17" s="2854"/>
      <c r="AYL17" s="2854"/>
      <c r="AYM17" s="2854"/>
      <c r="AYN17" s="2854"/>
      <c r="AYO17" s="2854"/>
      <c r="AYP17" s="2854"/>
      <c r="AYQ17" s="2854"/>
      <c r="AYR17" s="2854"/>
      <c r="AYS17" s="2854"/>
      <c r="AYT17" s="2854"/>
      <c r="AYU17" s="2854"/>
      <c r="AYV17" s="2854"/>
      <c r="AYW17" s="2854"/>
      <c r="AYX17" s="2854"/>
      <c r="AYY17" s="2854"/>
      <c r="AYZ17" s="2854"/>
      <c r="AZA17" s="2854"/>
      <c r="AZB17" s="2854"/>
      <c r="AZC17" s="2854"/>
      <c r="AZD17" s="2854"/>
      <c r="AZE17" s="2854"/>
      <c r="AZF17" s="2854"/>
      <c r="AZG17" s="2854"/>
      <c r="AZH17" s="2854"/>
      <c r="AZI17" s="2854"/>
      <c r="AZJ17" s="2854"/>
      <c r="AZK17" s="2854"/>
      <c r="AZL17" s="2854"/>
      <c r="AZM17" s="2854"/>
      <c r="AZN17" s="2854"/>
      <c r="AZO17" s="2854"/>
      <c r="AZP17" s="2854"/>
      <c r="AZQ17" s="2854"/>
      <c r="AZR17" s="2854"/>
      <c r="AZS17" s="2854"/>
      <c r="AZT17" s="2854"/>
      <c r="AZU17" s="2854"/>
      <c r="AZV17" s="2854"/>
      <c r="AZW17" s="2854"/>
      <c r="AZX17" s="2854"/>
      <c r="AZY17" s="2854"/>
      <c r="AZZ17" s="2854"/>
      <c r="BAA17" s="2854"/>
      <c r="BAB17" s="2854"/>
      <c r="BAC17" s="2854"/>
      <c r="BAD17" s="2854"/>
      <c r="BAE17" s="2854"/>
      <c r="BAF17" s="2854"/>
      <c r="BAG17" s="2854"/>
      <c r="BAH17" s="2854"/>
      <c r="BAI17" s="2854"/>
      <c r="BAJ17" s="2854"/>
      <c r="BAK17" s="2854"/>
      <c r="BAL17" s="2854"/>
      <c r="BAM17" s="2854"/>
      <c r="BAN17" s="2854"/>
      <c r="BAO17" s="2854"/>
      <c r="BAP17" s="2854"/>
      <c r="BAQ17" s="2854"/>
      <c r="BAR17" s="2854"/>
      <c r="BAS17" s="2854"/>
      <c r="BAT17" s="2854"/>
      <c r="BAU17" s="2854"/>
      <c r="BAV17" s="2854"/>
      <c r="BAW17" s="2854"/>
      <c r="BAX17" s="2854"/>
      <c r="BAY17" s="2854"/>
      <c r="BAZ17" s="2854"/>
      <c r="BBA17" s="2854"/>
      <c r="BBB17" s="2854"/>
      <c r="BBC17" s="2854"/>
      <c r="BBD17" s="2854"/>
      <c r="BBE17" s="2854"/>
      <c r="BBF17" s="2854"/>
      <c r="BBG17" s="2854"/>
      <c r="BBH17" s="2854"/>
      <c r="BBI17" s="2854"/>
      <c r="BBJ17" s="2854"/>
      <c r="BBK17" s="2854"/>
      <c r="BBL17" s="2854"/>
      <c r="BBM17" s="2854"/>
      <c r="BBN17" s="2854"/>
      <c r="BBO17" s="2854"/>
      <c r="BBP17" s="2854"/>
      <c r="BBQ17" s="2854"/>
      <c r="BBR17" s="2854"/>
      <c r="BBS17" s="2854"/>
      <c r="BBT17" s="2854"/>
      <c r="BBU17" s="2854"/>
      <c r="BBV17" s="2854"/>
      <c r="BBW17" s="2854"/>
      <c r="BBX17" s="2854"/>
      <c r="BBY17" s="2854"/>
      <c r="BBZ17" s="2854"/>
      <c r="BCA17" s="2854"/>
      <c r="BCB17" s="2854"/>
      <c r="BCC17" s="2854"/>
      <c r="BCD17" s="2854"/>
      <c r="BCE17" s="2854"/>
      <c r="BCF17" s="2854"/>
      <c r="BCG17" s="2854"/>
      <c r="BCH17" s="2854"/>
      <c r="BCI17" s="2854"/>
      <c r="BCJ17" s="2854"/>
      <c r="BCK17" s="2854"/>
      <c r="BCL17" s="2854"/>
      <c r="BCM17" s="2854"/>
      <c r="BCN17" s="2854"/>
      <c r="BCO17" s="2854"/>
      <c r="BCP17" s="2854"/>
      <c r="BCQ17" s="2854"/>
      <c r="BCR17" s="2854"/>
      <c r="BCS17" s="2854"/>
      <c r="BCT17" s="2854"/>
      <c r="BCU17" s="2854"/>
      <c r="BCV17" s="2854"/>
      <c r="BCW17" s="2854"/>
      <c r="BCX17" s="2854"/>
      <c r="BCY17" s="2854"/>
      <c r="BCZ17" s="2854"/>
      <c r="BDA17" s="2854"/>
      <c r="BDB17" s="2854"/>
      <c r="BDC17" s="2854"/>
      <c r="BDD17" s="2854"/>
      <c r="BDE17" s="2854"/>
      <c r="BDF17" s="2854"/>
      <c r="BDG17" s="2854"/>
      <c r="BDH17" s="2854"/>
      <c r="BDI17" s="2854"/>
      <c r="BDJ17" s="2854"/>
      <c r="BDK17" s="2854"/>
      <c r="BDL17" s="2854"/>
      <c r="BDM17" s="2854"/>
      <c r="BDN17" s="2854"/>
      <c r="BDO17" s="2854"/>
      <c r="BDP17" s="2854"/>
      <c r="BDQ17" s="2854"/>
      <c r="BDR17" s="2854"/>
      <c r="BDS17" s="2854"/>
      <c r="BDT17" s="2854"/>
      <c r="BDU17" s="2854"/>
      <c r="BDV17" s="2854"/>
      <c r="BDW17" s="2854"/>
      <c r="BDX17" s="2854"/>
      <c r="BDY17" s="2854"/>
      <c r="BDZ17" s="2854"/>
      <c r="BEA17" s="2854"/>
      <c r="BEB17" s="2854"/>
      <c r="BEC17" s="2854"/>
      <c r="BED17" s="2854"/>
      <c r="BEE17" s="2854"/>
      <c r="BEF17" s="2854"/>
      <c r="BEG17" s="2854"/>
      <c r="BEH17" s="2854"/>
      <c r="BEI17" s="2854"/>
      <c r="BEJ17" s="2854"/>
      <c r="BEK17" s="2854"/>
      <c r="BEL17" s="2854"/>
      <c r="BEM17" s="2854"/>
      <c r="BEN17" s="2854"/>
      <c r="BEO17" s="2854"/>
      <c r="BEP17" s="2854"/>
      <c r="BEQ17" s="2854"/>
      <c r="BER17" s="2854"/>
      <c r="BES17" s="2854"/>
      <c r="BET17" s="2854"/>
      <c r="BEU17" s="2854"/>
      <c r="BEV17" s="2854"/>
      <c r="BEW17" s="2854"/>
      <c r="BEX17" s="2854"/>
      <c r="BEY17" s="2854"/>
      <c r="BEZ17" s="2854"/>
      <c r="BFA17" s="2854"/>
      <c r="BFB17" s="2854"/>
      <c r="BFC17" s="2854"/>
      <c r="BFD17" s="2854"/>
      <c r="BFE17" s="2854"/>
      <c r="BFF17" s="2854"/>
      <c r="BFG17" s="2854"/>
      <c r="BFH17" s="2854"/>
      <c r="BFI17" s="2854"/>
      <c r="BFJ17" s="2854"/>
      <c r="BFK17" s="2854"/>
      <c r="BFL17" s="2854"/>
      <c r="BFM17" s="2854"/>
      <c r="BFN17" s="2854"/>
      <c r="BFO17" s="2854"/>
      <c r="BFP17" s="2854"/>
      <c r="BFQ17" s="2854"/>
      <c r="BFR17" s="2854"/>
      <c r="BFS17" s="2854"/>
      <c r="BFT17" s="2854"/>
      <c r="BFU17" s="2854"/>
      <c r="BFV17" s="2854"/>
      <c r="BFW17" s="2854"/>
      <c r="BFX17" s="2854"/>
      <c r="BFY17" s="2854"/>
      <c r="BFZ17" s="2854"/>
      <c r="BGA17" s="2854"/>
      <c r="BGB17" s="2854"/>
      <c r="BGC17" s="2854"/>
      <c r="BGD17" s="2854"/>
      <c r="BGE17" s="2854"/>
      <c r="BGF17" s="2854"/>
      <c r="BGG17" s="2854"/>
      <c r="BGH17" s="2854"/>
      <c r="BGI17" s="2854"/>
      <c r="BGJ17" s="2854"/>
      <c r="BGK17" s="2854"/>
      <c r="BGL17" s="2854"/>
      <c r="BGM17" s="2854"/>
      <c r="BGN17" s="2854"/>
      <c r="BGO17" s="2854"/>
      <c r="BGP17" s="2854"/>
      <c r="BGQ17" s="2854"/>
      <c r="BGR17" s="2854"/>
      <c r="BGS17" s="2854"/>
      <c r="BGT17" s="2854"/>
      <c r="BGU17" s="2854"/>
      <c r="BGV17" s="2854"/>
      <c r="BGW17" s="2854"/>
      <c r="BGX17" s="2854"/>
      <c r="BGY17" s="2854"/>
      <c r="BGZ17" s="2854"/>
      <c r="BHA17" s="2854"/>
      <c r="BHB17" s="2854"/>
      <c r="BHC17" s="2854"/>
      <c r="BHD17" s="2854"/>
      <c r="BHE17" s="2854"/>
      <c r="BHF17" s="2854"/>
      <c r="BHG17" s="2854"/>
      <c r="BHH17" s="2854"/>
      <c r="BHI17" s="2854"/>
      <c r="BHJ17" s="2854"/>
      <c r="BHK17" s="2854"/>
      <c r="BHL17" s="2854"/>
      <c r="BHM17" s="2854"/>
      <c r="BHN17" s="2854"/>
      <c r="BHO17" s="2854"/>
      <c r="BHP17" s="2854"/>
      <c r="BHQ17" s="2854"/>
      <c r="BHR17" s="2854"/>
      <c r="BHS17" s="2854"/>
      <c r="BHT17" s="2854"/>
      <c r="BHU17" s="2854"/>
      <c r="BHV17" s="2854"/>
      <c r="BHW17" s="2854"/>
      <c r="BHX17" s="2854"/>
      <c r="BHY17" s="2854"/>
      <c r="BHZ17" s="2854"/>
      <c r="BIA17" s="2854"/>
      <c r="BIB17" s="2854"/>
      <c r="BIC17" s="2854"/>
      <c r="BID17" s="2854"/>
      <c r="BIE17" s="2854"/>
      <c r="BIF17" s="2854"/>
      <c r="BIG17" s="2854"/>
      <c r="BIH17" s="2854"/>
      <c r="BII17" s="2854"/>
      <c r="BIJ17" s="2854"/>
      <c r="BIK17" s="2854"/>
      <c r="BIL17" s="2854"/>
      <c r="BIM17" s="2854"/>
      <c r="BIN17" s="2854"/>
      <c r="BIO17" s="2854"/>
      <c r="BIP17" s="2854"/>
      <c r="BIQ17" s="2854"/>
      <c r="BIR17" s="2854"/>
      <c r="BIS17" s="2854"/>
      <c r="BIT17" s="2854"/>
      <c r="BIU17" s="2854"/>
      <c r="BIV17" s="2854"/>
      <c r="BIW17" s="2854"/>
      <c r="BIX17" s="2854"/>
      <c r="BIY17" s="2854"/>
      <c r="BIZ17" s="2854"/>
      <c r="BJA17" s="2854"/>
      <c r="BJB17" s="2854"/>
      <c r="BJC17" s="2854"/>
      <c r="BJD17" s="2854"/>
      <c r="BJE17" s="2854"/>
      <c r="BJF17" s="2854"/>
      <c r="BJG17" s="2854"/>
      <c r="BJH17" s="2854"/>
      <c r="BJI17" s="2854"/>
      <c r="BJJ17" s="2854"/>
      <c r="BJK17" s="2854"/>
      <c r="BJL17" s="2854"/>
      <c r="BJM17" s="2854"/>
      <c r="BJN17" s="2854"/>
      <c r="BJO17" s="2854"/>
      <c r="BJP17" s="2854"/>
      <c r="BJQ17" s="2854"/>
      <c r="BJR17" s="2854"/>
      <c r="BJS17" s="2854"/>
      <c r="BJT17" s="2854"/>
      <c r="BJU17" s="2854"/>
      <c r="BJV17" s="2854"/>
      <c r="BJW17" s="2854"/>
      <c r="BJX17" s="2854"/>
      <c r="BJY17" s="2854"/>
      <c r="BJZ17" s="2854"/>
      <c r="BKA17" s="2854"/>
      <c r="BKB17" s="2854"/>
      <c r="BKC17" s="2854"/>
      <c r="BKD17" s="2854"/>
      <c r="BKE17" s="2854"/>
      <c r="BKF17" s="2854"/>
      <c r="BKG17" s="2854"/>
      <c r="BKH17" s="2854"/>
      <c r="BKI17" s="2854"/>
      <c r="BKJ17" s="2854"/>
      <c r="BKK17" s="2854"/>
      <c r="BKL17" s="2854"/>
      <c r="BKM17" s="2854"/>
      <c r="BKN17" s="2854"/>
      <c r="BKO17" s="2854"/>
      <c r="BKP17" s="2854"/>
      <c r="BKQ17" s="2854"/>
      <c r="BKR17" s="2854"/>
      <c r="BKS17" s="2854"/>
      <c r="BKT17" s="2854"/>
      <c r="BKU17" s="2854"/>
      <c r="BKV17" s="2854"/>
      <c r="BKW17" s="2854"/>
      <c r="BKX17" s="2854"/>
      <c r="BKY17" s="2854"/>
      <c r="BKZ17" s="2854"/>
      <c r="BLA17" s="2854"/>
      <c r="BLB17" s="2854"/>
      <c r="BLC17" s="2854"/>
      <c r="BLD17" s="2854"/>
      <c r="BLE17" s="2854"/>
      <c r="BLF17" s="2854"/>
      <c r="BLG17" s="2854"/>
      <c r="BLH17" s="2854"/>
      <c r="BLI17" s="2854"/>
      <c r="BLJ17" s="2854"/>
      <c r="BLK17" s="2854"/>
      <c r="BLL17" s="2854"/>
      <c r="BLM17" s="2854"/>
      <c r="BLN17" s="2854"/>
      <c r="BLO17" s="2854"/>
      <c r="BLP17" s="2854"/>
      <c r="BLQ17" s="2854"/>
      <c r="BLR17" s="2854"/>
      <c r="BLS17" s="2854"/>
      <c r="BLT17" s="2854"/>
      <c r="BLU17" s="2854"/>
      <c r="BLV17" s="2854"/>
      <c r="BLW17" s="2854"/>
      <c r="BLX17" s="2854"/>
      <c r="BLY17" s="2854"/>
      <c r="BLZ17" s="2854"/>
      <c r="BMA17" s="2854"/>
      <c r="BMB17" s="2854"/>
      <c r="BMC17" s="2854"/>
      <c r="BMD17" s="2854"/>
      <c r="BME17" s="2854"/>
      <c r="BMF17" s="2854"/>
      <c r="BMG17" s="2854"/>
      <c r="BMH17" s="2854"/>
      <c r="BMI17" s="2854"/>
      <c r="BMJ17" s="2854"/>
      <c r="BMK17" s="2854"/>
      <c r="BML17" s="2854"/>
      <c r="BMM17" s="2854"/>
      <c r="BMN17" s="2854"/>
      <c r="BMO17" s="2854"/>
      <c r="BMP17" s="2854"/>
      <c r="BMQ17" s="2854"/>
      <c r="BMR17" s="2854"/>
      <c r="BMS17" s="2854"/>
      <c r="BMT17" s="2854"/>
      <c r="BMU17" s="2854"/>
      <c r="BMV17" s="2854"/>
      <c r="BMW17" s="2854"/>
      <c r="BMX17" s="2854"/>
      <c r="BMY17" s="2854"/>
      <c r="BMZ17" s="2854"/>
      <c r="BNA17" s="2854"/>
      <c r="BNB17" s="2854"/>
      <c r="BNC17" s="2854"/>
      <c r="BND17" s="2854"/>
      <c r="BNE17" s="2854"/>
      <c r="BNF17" s="2854"/>
      <c r="BNG17" s="2854"/>
      <c r="BNH17" s="2854"/>
      <c r="BNI17" s="2854"/>
      <c r="BNJ17" s="2854"/>
      <c r="BNK17" s="2854"/>
      <c r="BNL17" s="2854"/>
      <c r="BNM17" s="2854"/>
      <c r="BNN17" s="2854"/>
      <c r="BNO17" s="2854"/>
      <c r="BNP17" s="2854"/>
      <c r="BNQ17" s="2854"/>
      <c r="BNR17" s="2854"/>
      <c r="BNS17" s="2854"/>
      <c r="BNT17" s="2854"/>
      <c r="BNU17" s="2854"/>
      <c r="BNV17" s="2854"/>
      <c r="BNW17" s="2854"/>
      <c r="BNX17" s="2854"/>
      <c r="BNY17" s="2854"/>
      <c r="BNZ17" s="2854"/>
      <c r="BOA17" s="2854"/>
      <c r="BOB17" s="2854"/>
      <c r="BOC17" s="2854"/>
      <c r="BOD17" s="2854"/>
      <c r="BOE17" s="2854"/>
      <c r="BOF17" s="2854"/>
      <c r="BOG17" s="2854"/>
      <c r="BOH17" s="2854"/>
      <c r="BOI17" s="2854"/>
      <c r="BOJ17" s="2854"/>
      <c r="BOK17" s="2854"/>
      <c r="BOL17" s="2854"/>
      <c r="BOM17" s="2854"/>
      <c r="BON17" s="2854"/>
      <c r="BOO17" s="2854"/>
      <c r="BOP17" s="2854"/>
      <c r="BOQ17" s="2854"/>
      <c r="BOR17" s="2854"/>
      <c r="BOS17" s="2854"/>
      <c r="BOT17" s="2854"/>
      <c r="BOU17" s="2854"/>
      <c r="BOV17" s="2854"/>
      <c r="BOW17" s="2854"/>
      <c r="BOX17" s="2854"/>
      <c r="BOY17" s="2854"/>
      <c r="BOZ17" s="2854"/>
      <c r="BPA17" s="2854"/>
      <c r="BPB17" s="2854"/>
      <c r="BPC17" s="2854"/>
      <c r="BPD17" s="2854"/>
      <c r="BPE17" s="2854"/>
      <c r="BPF17" s="2854"/>
      <c r="BPG17" s="2854"/>
      <c r="BPH17" s="2854"/>
      <c r="BPI17" s="2854"/>
      <c r="BPJ17" s="2854"/>
      <c r="BPK17" s="2854"/>
      <c r="BPL17" s="2854"/>
      <c r="BPM17" s="2854"/>
      <c r="BPN17" s="2854"/>
      <c r="BPO17" s="2854"/>
      <c r="BPP17" s="2854"/>
      <c r="BPQ17" s="2854"/>
      <c r="BPR17" s="2854"/>
      <c r="BPS17" s="2854"/>
      <c r="BPT17" s="2854"/>
      <c r="BPU17" s="2854"/>
      <c r="BPV17" s="2854"/>
      <c r="BPW17" s="2854"/>
      <c r="BPX17" s="2854"/>
      <c r="BPY17" s="2854"/>
      <c r="BPZ17" s="2854"/>
      <c r="BQA17" s="2854"/>
      <c r="BQB17" s="2854"/>
      <c r="BQC17" s="2854"/>
      <c r="BQD17" s="2854"/>
      <c r="BQE17" s="2854"/>
      <c r="BQF17" s="2854"/>
      <c r="BQG17" s="2854"/>
      <c r="BQH17" s="2854"/>
      <c r="BQI17" s="2854"/>
      <c r="BQJ17" s="2854"/>
      <c r="BQK17" s="2854"/>
      <c r="BQL17" s="2854"/>
      <c r="BQM17" s="2854"/>
      <c r="BQN17" s="2854"/>
      <c r="BQO17" s="2854"/>
      <c r="BQP17" s="2854"/>
      <c r="BQQ17" s="2854"/>
      <c r="BQR17" s="2854"/>
      <c r="BQS17" s="2854"/>
      <c r="BQT17" s="2854"/>
      <c r="BQU17" s="2854"/>
      <c r="BQV17" s="2854"/>
      <c r="BQW17" s="2854"/>
      <c r="BQX17" s="2854"/>
      <c r="BQY17" s="2854"/>
      <c r="BQZ17" s="2854"/>
      <c r="BRA17" s="2854"/>
      <c r="BRB17" s="2854"/>
      <c r="BRC17" s="2854"/>
      <c r="BRD17" s="2854"/>
      <c r="BRE17" s="2854"/>
      <c r="BRF17" s="2854"/>
      <c r="BRG17" s="2854"/>
      <c r="BRH17" s="2854"/>
      <c r="BRI17" s="2854"/>
      <c r="BRJ17" s="2854"/>
      <c r="BRK17" s="2854"/>
      <c r="BRL17" s="2854"/>
      <c r="BRM17" s="2854"/>
      <c r="BRN17" s="2854"/>
      <c r="BRO17" s="2854"/>
      <c r="BRP17" s="2854"/>
      <c r="BRQ17" s="2854"/>
      <c r="BRR17" s="2854"/>
      <c r="BRS17" s="2854"/>
      <c r="BRT17" s="2854"/>
      <c r="BRU17" s="2854"/>
      <c r="BRV17" s="2854"/>
      <c r="BRW17" s="2854"/>
      <c r="BRX17" s="2854"/>
      <c r="BRY17" s="2854"/>
      <c r="BRZ17" s="2854"/>
      <c r="BSA17" s="2854"/>
      <c r="BSB17" s="2854"/>
      <c r="BSC17" s="2854"/>
      <c r="BSD17" s="2854"/>
      <c r="BSE17" s="2854"/>
      <c r="BSF17" s="2854"/>
      <c r="BSG17" s="2854"/>
      <c r="BSH17" s="2854"/>
      <c r="BSI17" s="2854"/>
      <c r="BSJ17" s="2854"/>
      <c r="BSK17" s="2854"/>
      <c r="BSL17" s="2854"/>
      <c r="BSM17" s="2854"/>
      <c r="BSN17" s="2854"/>
      <c r="BSO17" s="2854"/>
      <c r="BSP17" s="2854"/>
      <c r="BSQ17" s="2854"/>
      <c r="BSR17" s="2854"/>
      <c r="BSS17" s="2854"/>
      <c r="BST17" s="2854"/>
      <c r="BSU17" s="2854"/>
      <c r="BSV17" s="2854"/>
      <c r="BSW17" s="2854"/>
      <c r="BSX17" s="2854"/>
      <c r="BSY17" s="2854"/>
      <c r="BSZ17" s="2854"/>
      <c r="BTA17" s="2854"/>
      <c r="BTB17" s="2854"/>
      <c r="BTC17" s="2854"/>
      <c r="BTD17" s="2854"/>
      <c r="BTE17" s="2854"/>
      <c r="BTF17" s="2854"/>
      <c r="BTG17" s="2854"/>
      <c r="BTH17" s="2854"/>
      <c r="BTI17" s="2854"/>
      <c r="BTJ17" s="2854"/>
      <c r="BTK17" s="2854"/>
      <c r="BTL17" s="2854"/>
      <c r="BTM17" s="2854"/>
      <c r="BTN17" s="2854"/>
      <c r="BTO17" s="2854"/>
      <c r="BTP17" s="2854"/>
      <c r="BTQ17" s="2854"/>
      <c r="BTR17" s="2854"/>
      <c r="BTS17" s="2854"/>
      <c r="BTT17" s="2854"/>
      <c r="BTU17" s="2854"/>
      <c r="BTV17" s="2854"/>
      <c r="BTW17" s="2854"/>
      <c r="BTX17" s="2854"/>
      <c r="BTY17" s="2854"/>
      <c r="BTZ17" s="2854"/>
      <c r="BUA17" s="2854"/>
      <c r="BUB17" s="2854"/>
      <c r="BUC17" s="2854"/>
      <c r="BUD17" s="2854"/>
      <c r="BUE17" s="2854"/>
      <c r="BUF17" s="2854"/>
      <c r="BUG17" s="2854"/>
      <c r="BUH17" s="2854"/>
      <c r="BUI17" s="2854"/>
      <c r="BUJ17" s="2854"/>
      <c r="BUK17" s="2854"/>
      <c r="BUL17" s="2854"/>
      <c r="BUM17" s="2854"/>
      <c r="BUN17" s="2854"/>
      <c r="BUO17" s="2854"/>
      <c r="BUP17" s="2854"/>
      <c r="BUQ17" s="2854"/>
      <c r="BUR17" s="2854"/>
      <c r="BUS17" s="2854"/>
      <c r="BUT17" s="2854"/>
      <c r="BUU17" s="2854"/>
      <c r="BUV17" s="2854"/>
      <c r="BUW17" s="2854"/>
      <c r="BUX17" s="2854"/>
      <c r="BUY17" s="2854"/>
      <c r="BUZ17" s="2854"/>
      <c r="BVA17" s="2854"/>
      <c r="BVB17" s="2854"/>
      <c r="BVC17" s="2854"/>
      <c r="BVD17" s="2854"/>
      <c r="BVE17" s="2854"/>
      <c r="BVF17" s="2854"/>
      <c r="BVG17" s="2854"/>
      <c r="BVH17" s="2854"/>
      <c r="BVI17" s="2854"/>
      <c r="BVJ17" s="2854"/>
      <c r="BVK17" s="2854"/>
      <c r="BVL17" s="2854"/>
      <c r="BVM17" s="2854"/>
      <c r="BVN17" s="2854"/>
      <c r="BVO17" s="2854"/>
      <c r="BVP17" s="2854"/>
      <c r="BVQ17" s="2854"/>
      <c r="BVR17" s="2854"/>
      <c r="BVS17" s="2854"/>
      <c r="BVT17" s="2854"/>
      <c r="BVU17" s="2854"/>
      <c r="BVV17" s="2854"/>
      <c r="BVW17" s="2854"/>
      <c r="BVX17" s="2854"/>
      <c r="BVY17" s="2854"/>
      <c r="BVZ17" s="2854"/>
      <c r="BWA17" s="2854"/>
      <c r="BWB17" s="2854"/>
      <c r="BWC17" s="2854"/>
      <c r="BWD17" s="2854"/>
      <c r="BWE17" s="2854"/>
      <c r="BWF17" s="2854"/>
      <c r="BWG17" s="2854"/>
      <c r="BWH17" s="2854"/>
      <c r="BWI17" s="2854"/>
      <c r="BWJ17" s="2854"/>
      <c r="BWK17" s="2854"/>
      <c r="BWL17" s="2854"/>
      <c r="BWM17" s="2854"/>
      <c r="BWN17" s="2854"/>
      <c r="BWO17" s="2854"/>
      <c r="BWP17" s="2854"/>
      <c r="BWQ17" s="2854"/>
      <c r="BWR17" s="2854"/>
      <c r="BWS17" s="2854"/>
      <c r="BWT17" s="2854"/>
      <c r="BWU17" s="2854"/>
      <c r="BWV17" s="2854"/>
      <c r="BWW17" s="2854"/>
      <c r="BWX17" s="2854"/>
      <c r="BWY17" s="2854"/>
      <c r="BWZ17" s="2854"/>
      <c r="BXA17" s="2854"/>
      <c r="BXB17" s="2854"/>
      <c r="BXC17" s="2854"/>
      <c r="BXD17" s="2854"/>
      <c r="BXE17" s="2854"/>
      <c r="BXF17" s="2854"/>
      <c r="BXG17" s="2854"/>
      <c r="BXH17" s="2854"/>
      <c r="BXI17" s="2854"/>
      <c r="BXJ17" s="2854"/>
      <c r="BXK17" s="2854"/>
      <c r="BXL17" s="2854"/>
      <c r="BXM17" s="2854"/>
      <c r="BXN17" s="2854"/>
      <c r="BXO17" s="2854"/>
      <c r="BXP17" s="2854"/>
      <c r="BXQ17" s="2854"/>
      <c r="BXR17" s="2854"/>
      <c r="BXS17" s="2854"/>
      <c r="BXT17" s="2854"/>
      <c r="BXU17" s="2854"/>
      <c r="BXV17" s="2854"/>
      <c r="BXW17" s="2854"/>
      <c r="BXX17" s="2854"/>
      <c r="BXY17" s="2854"/>
      <c r="BXZ17" s="2854"/>
      <c r="BYA17" s="2854"/>
      <c r="BYB17" s="2854"/>
      <c r="BYC17" s="2854"/>
      <c r="BYD17" s="2854"/>
      <c r="BYE17" s="2854"/>
      <c r="BYF17" s="2854"/>
      <c r="BYG17" s="2854"/>
      <c r="BYH17" s="2854"/>
      <c r="BYI17" s="2854"/>
      <c r="BYJ17" s="2854"/>
      <c r="BYK17" s="2854"/>
      <c r="BYL17" s="2854"/>
      <c r="BYM17" s="2854"/>
      <c r="BYN17" s="2854"/>
      <c r="BYO17" s="2854"/>
      <c r="BYP17" s="2854"/>
      <c r="BYQ17" s="2854"/>
      <c r="BYR17" s="2854"/>
      <c r="BYS17" s="2854"/>
      <c r="BYT17" s="2854"/>
      <c r="BYU17" s="2854"/>
      <c r="BYV17" s="2854"/>
      <c r="BYW17" s="2854"/>
      <c r="BYX17" s="2854"/>
      <c r="BYY17" s="2854"/>
      <c r="BYZ17" s="2854"/>
      <c r="BZA17" s="2854"/>
      <c r="BZB17" s="2854"/>
      <c r="BZC17" s="2854"/>
      <c r="BZD17" s="2854"/>
      <c r="BZE17" s="2854"/>
      <c r="BZF17" s="2854"/>
      <c r="BZG17" s="2854"/>
      <c r="BZH17" s="2854"/>
      <c r="BZI17" s="2854"/>
      <c r="BZJ17" s="2854"/>
      <c r="BZK17" s="2854"/>
      <c r="BZL17" s="2854"/>
      <c r="BZM17" s="2854"/>
      <c r="BZN17" s="2854"/>
      <c r="BZO17" s="2854"/>
      <c r="BZP17" s="2854"/>
      <c r="BZQ17" s="2854"/>
      <c r="BZR17" s="2854"/>
      <c r="BZS17" s="2854"/>
      <c r="BZT17" s="2854"/>
      <c r="BZU17" s="2854"/>
      <c r="BZV17" s="2854"/>
      <c r="BZW17" s="2854"/>
      <c r="BZX17" s="2854"/>
      <c r="BZY17" s="2854"/>
      <c r="BZZ17" s="2854"/>
      <c r="CAA17" s="2854"/>
      <c r="CAB17" s="2854"/>
      <c r="CAC17" s="2854"/>
      <c r="CAD17" s="2854"/>
      <c r="CAE17" s="2854"/>
      <c r="CAF17" s="2854"/>
      <c r="CAG17" s="2854"/>
      <c r="CAH17" s="2854"/>
      <c r="CAI17" s="2854"/>
      <c r="CAJ17" s="2854"/>
      <c r="CAK17" s="2854"/>
      <c r="CAL17" s="2854"/>
      <c r="CAM17" s="2854"/>
      <c r="CAN17" s="2854"/>
      <c r="CAO17" s="2854"/>
      <c r="CAP17" s="2854"/>
      <c r="CAQ17" s="2854"/>
      <c r="CAR17" s="2854"/>
      <c r="CAS17" s="2854"/>
      <c r="CAT17" s="2854"/>
      <c r="CAU17" s="2854"/>
      <c r="CAV17" s="2854"/>
      <c r="CAW17" s="2854"/>
      <c r="CAX17" s="2854"/>
      <c r="CAY17" s="2854"/>
      <c r="CAZ17" s="2854"/>
      <c r="CBA17" s="2854"/>
      <c r="CBB17" s="2854"/>
      <c r="CBC17" s="2854"/>
      <c r="CBD17" s="2854"/>
      <c r="CBE17" s="2854"/>
      <c r="CBF17" s="2854"/>
      <c r="CBG17" s="2854"/>
      <c r="CBH17" s="2854"/>
      <c r="CBI17" s="2854"/>
      <c r="CBJ17" s="2854"/>
      <c r="CBK17" s="2854"/>
      <c r="CBL17" s="2854"/>
      <c r="CBM17" s="2854"/>
      <c r="CBN17" s="2854"/>
      <c r="CBO17" s="2854"/>
      <c r="CBP17" s="2854"/>
      <c r="CBQ17" s="2854"/>
      <c r="CBR17" s="2854"/>
      <c r="CBS17" s="2854"/>
      <c r="CBT17" s="2854"/>
      <c r="CBU17" s="2854"/>
      <c r="CBV17" s="2854"/>
      <c r="CBW17" s="2854"/>
      <c r="CBX17" s="2854"/>
      <c r="CBY17" s="2854"/>
      <c r="CBZ17" s="2854"/>
      <c r="CCA17" s="2854"/>
      <c r="CCB17" s="2854"/>
      <c r="CCC17" s="2854"/>
      <c r="CCD17" s="2854"/>
      <c r="CCE17" s="2854"/>
      <c r="CCF17" s="2854"/>
      <c r="CCG17" s="2854"/>
      <c r="CCH17" s="2854"/>
      <c r="CCI17" s="2854"/>
      <c r="CCJ17" s="2854"/>
      <c r="CCK17" s="2854"/>
      <c r="CCL17" s="2854"/>
      <c r="CCM17" s="2854"/>
      <c r="CCN17" s="2854"/>
      <c r="CCO17" s="2854"/>
      <c r="CCP17" s="2854"/>
      <c r="CCQ17" s="2854"/>
      <c r="CCR17" s="2854"/>
      <c r="CCS17" s="2854"/>
      <c r="CCT17" s="2854"/>
      <c r="CCU17" s="2854"/>
      <c r="CCV17" s="2854"/>
      <c r="CCW17" s="2854"/>
      <c r="CCX17" s="2854"/>
      <c r="CCY17" s="2854"/>
      <c r="CCZ17" s="2854"/>
      <c r="CDA17" s="2854"/>
      <c r="CDB17" s="2854"/>
      <c r="CDC17" s="2854"/>
      <c r="CDD17" s="2854"/>
      <c r="CDE17" s="2854"/>
      <c r="CDF17" s="2854"/>
      <c r="CDG17" s="2854"/>
      <c r="CDH17" s="2854"/>
      <c r="CDI17" s="2854"/>
      <c r="CDJ17" s="2854"/>
      <c r="CDK17" s="2854"/>
      <c r="CDL17" s="2854"/>
      <c r="CDM17" s="2854"/>
      <c r="CDN17" s="2854"/>
      <c r="CDO17" s="2854"/>
      <c r="CDP17" s="2854"/>
      <c r="CDQ17" s="2854"/>
      <c r="CDR17" s="2854"/>
      <c r="CDS17" s="2854"/>
      <c r="CDT17" s="2854"/>
      <c r="CDU17" s="2854"/>
      <c r="CDV17" s="2854"/>
      <c r="CDW17" s="2854"/>
      <c r="CDX17" s="2854"/>
      <c r="CDY17" s="2854"/>
      <c r="CDZ17" s="2854"/>
      <c r="CEA17" s="2854"/>
      <c r="CEB17" s="2854"/>
      <c r="CEC17" s="2854"/>
      <c r="CED17" s="2854"/>
      <c r="CEE17" s="2854"/>
      <c r="CEF17" s="2854"/>
      <c r="CEG17" s="2854"/>
      <c r="CEH17" s="2854"/>
      <c r="CEI17" s="2854"/>
      <c r="CEJ17" s="2854"/>
      <c r="CEK17" s="2854"/>
      <c r="CEL17" s="2854"/>
      <c r="CEM17" s="2854"/>
      <c r="CEN17" s="2854"/>
      <c r="CEO17" s="2854"/>
      <c r="CEP17" s="2854"/>
      <c r="CEQ17" s="2854"/>
      <c r="CER17" s="2854"/>
      <c r="CES17" s="2854"/>
      <c r="CET17" s="2854"/>
      <c r="CEU17" s="2854"/>
      <c r="CEV17" s="2854"/>
      <c r="CEW17" s="2854"/>
      <c r="CEX17" s="2854"/>
      <c r="CEY17" s="2854"/>
      <c r="CEZ17" s="2854"/>
      <c r="CFA17" s="2854"/>
      <c r="CFB17" s="2854"/>
      <c r="CFC17" s="2854"/>
      <c r="CFD17" s="2854"/>
      <c r="CFE17" s="2854"/>
      <c r="CFF17" s="2854"/>
      <c r="CFG17" s="2854"/>
      <c r="CFH17" s="2854"/>
      <c r="CFI17" s="2854"/>
      <c r="CFJ17" s="2854"/>
      <c r="CFK17" s="2854"/>
      <c r="CFL17" s="2854"/>
      <c r="CFM17" s="2854"/>
      <c r="CFN17" s="2854"/>
      <c r="CFO17" s="2854"/>
      <c r="CFP17" s="2854"/>
      <c r="CFQ17" s="2854"/>
      <c r="CFR17" s="2854"/>
      <c r="CFS17" s="2854"/>
      <c r="CFT17" s="2854"/>
      <c r="CFU17" s="2854"/>
      <c r="CFV17" s="2854"/>
      <c r="CFW17" s="2854"/>
      <c r="CFX17" s="2854"/>
      <c r="CFY17" s="2854"/>
      <c r="CFZ17" s="2854"/>
      <c r="CGA17" s="2854"/>
      <c r="CGB17" s="2854"/>
      <c r="CGC17" s="2854"/>
      <c r="CGD17" s="2854"/>
      <c r="CGE17" s="2854"/>
      <c r="CGF17" s="2854"/>
      <c r="CGG17" s="2854"/>
      <c r="CGH17" s="2854"/>
      <c r="CGI17" s="2854"/>
      <c r="CGJ17" s="2854"/>
      <c r="CGK17" s="2854"/>
      <c r="CGL17" s="2854"/>
      <c r="CGM17" s="2854"/>
      <c r="CGN17" s="2854"/>
      <c r="CGO17" s="2854"/>
      <c r="CGP17" s="2854"/>
      <c r="CGQ17" s="2854"/>
      <c r="CGR17" s="2854"/>
      <c r="CGS17" s="2854"/>
      <c r="CGT17" s="2854"/>
      <c r="CGU17" s="2854"/>
      <c r="CGV17" s="2854"/>
      <c r="CGW17" s="2854"/>
      <c r="CGX17" s="2854"/>
      <c r="CGY17" s="2854"/>
      <c r="CGZ17" s="2854"/>
      <c r="CHA17" s="2854"/>
      <c r="CHB17" s="2854"/>
      <c r="CHC17" s="2854"/>
      <c r="CHD17" s="2854"/>
      <c r="CHE17" s="2854"/>
      <c r="CHF17" s="2854"/>
      <c r="CHG17" s="2854"/>
      <c r="CHH17" s="2854"/>
      <c r="CHI17" s="2854"/>
      <c r="CHJ17" s="2854"/>
      <c r="CHK17" s="2854"/>
      <c r="CHL17" s="2854"/>
      <c r="CHM17" s="2854"/>
      <c r="CHN17" s="2854"/>
      <c r="CHO17" s="2854"/>
      <c r="CHP17" s="2854"/>
      <c r="CHQ17" s="2854"/>
      <c r="CHR17" s="2854"/>
      <c r="CHS17" s="2854"/>
      <c r="CHT17" s="2854"/>
      <c r="CHU17" s="2854"/>
      <c r="CHV17" s="2854"/>
      <c r="CHW17" s="2854"/>
      <c r="CHX17" s="2854"/>
      <c r="CHY17" s="2854"/>
      <c r="CHZ17" s="2854"/>
      <c r="CIA17" s="2854"/>
      <c r="CIB17" s="2854"/>
      <c r="CIC17" s="2854"/>
      <c r="CID17" s="2854"/>
      <c r="CIE17" s="2854"/>
      <c r="CIF17" s="2854"/>
      <c r="CIG17" s="2854"/>
      <c r="CIH17" s="2854"/>
      <c r="CII17" s="2854"/>
      <c r="CIJ17" s="2854"/>
      <c r="CIK17" s="2854"/>
      <c r="CIL17" s="2854"/>
      <c r="CIM17" s="2854"/>
      <c r="CIN17" s="2854"/>
      <c r="CIO17" s="2854"/>
      <c r="CIP17" s="2854"/>
      <c r="CIQ17" s="2854"/>
      <c r="CIR17" s="2854"/>
      <c r="CIS17" s="2854"/>
      <c r="CIT17" s="2854"/>
      <c r="CIU17" s="2854"/>
      <c r="CIV17" s="2854"/>
      <c r="CIW17" s="2854"/>
      <c r="CIX17" s="2854"/>
      <c r="CIY17" s="2854"/>
      <c r="CIZ17" s="2854"/>
      <c r="CJA17" s="2854"/>
      <c r="CJB17" s="2854"/>
      <c r="CJC17" s="2854"/>
      <c r="CJD17" s="2854"/>
      <c r="CJE17" s="2854"/>
      <c r="CJF17" s="2854"/>
      <c r="CJG17" s="2854"/>
      <c r="CJH17" s="2854"/>
      <c r="CJI17" s="2854"/>
      <c r="CJJ17" s="2854"/>
      <c r="CJK17" s="2854"/>
      <c r="CJL17" s="2854"/>
      <c r="CJM17" s="2854"/>
      <c r="CJN17" s="2854"/>
      <c r="CJO17" s="2854"/>
      <c r="CJP17" s="2854"/>
      <c r="CJQ17" s="2854"/>
      <c r="CJR17" s="2854"/>
      <c r="CJS17" s="2854"/>
      <c r="CJT17" s="2854"/>
      <c r="CJU17" s="2854"/>
      <c r="CJV17" s="2854"/>
      <c r="CJW17" s="2854"/>
      <c r="CJX17" s="2854"/>
      <c r="CJY17" s="2854"/>
      <c r="CJZ17" s="2854"/>
      <c r="CKA17" s="2854"/>
      <c r="CKB17" s="2854"/>
      <c r="CKC17" s="2854"/>
      <c r="CKD17" s="2854"/>
      <c r="CKE17" s="2854"/>
      <c r="CKF17" s="2854"/>
      <c r="CKG17" s="2854"/>
      <c r="CKH17" s="2854"/>
      <c r="CKI17" s="2854"/>
      <c r="CKJ17" s="2854"/>
      <c r="CKK17" s="2854"/>
      <c r="CKL17" s="2854"/>
      <c r="CKM17" s="2854"/>
      <c r="CKN17" s="2854"/>
      <c r="CKO17" s="2854"/>
      <c r="CKP17" s="2854"/>
      <c r="CKQ17" s="2854"/>
      <c r="CKR17" s="2854"/>
      <c r="CKS17" s="2854"/>
      <c r="CKT17" s="2854"/>
      <c r="CKU17" s="2854"/>
      <c r="CKV17" s="2854"/>
      <c r="CKW17" s="2854"/>
      <c r="CKX17" s="2854"/>
      <c r="CKY17" s="2854"/>
      <c r="CKZ17" s="2854"/>
      <c r="CLA17" s="2854"/>
      <c r="CLB17" s="2854"/>
      <c r="CLC17" s="2854"/>
      <c r="CLD17" s="2854"/>
      <c r="CLE17" s="2854"/>
      <c r="CLF17" s="2854"/>
      <c r="CLG17" s="2854"/>
      <c r="CLH17" s="2854"/>
      <c r="CLI17" s="2854"/>
      <c r="CLJ17" s="2854"/>
      <c r="CLK17" s="2854"/>
      <c r="CLL17" s="2854"/>
      <c r="CLM17" s="2854"/>
      <c r="CLN17" s="2854"/>
      <c r="CLO17" s="2854"/>
      <c r="CLP17" s="2854"/>
      <c r="CLQ17" s="2854"/>
      <c r="CLR17" s="2854"/>
      <c r="CLS17" s="2854"/>
      <c r="CLT17" s="2854"/>
      <c r="CLU17" s="2854"/>
      <c r="CLV17" s="2854"/>
      <c r="CLW17" s="2854"/>
    </row>
    <row r="18" spans="1:2363" s="2843" customFormat="1" ht="15" customHeight="1" x14ac:dyDescent="0.2">
      <c r="A18" s="3868"/>
      <c r="B18" s="3875"/>
      <c r="C18" s="3157"/>
      <c r="D18" s="3158" t="s">
        <v>639</v>
      </c>
      <c r="E18" s="3159"/>
      <c r="F18" s="3160"/>
      <c r="G18" s="3161"/>
      <c r="H18" s="3162"/>
      <c r="I18" s="3163"/>
      <c r="J18" s="3164"/>
      <c r="K18" s="3165"/>
      <c r="L18" s="3163"/>
      <c r="M18" s="3166"/>
      <c r="N18" s="3167"/>
      <c r="O18" s="3168"/>
      <c r="P18" s="3169"/>
      <c r="Q18" s="3169"/>
      <c r="R18" s="3169"/>
      <c r="S18" s="3169"/>
      <c r="T18" s="3170"/>
      <c r="U18" s="3169"/>
      <c r="V18" s="3171"/>
      <c r="W18" s="3172"/>
      <c r="X18" s="3173"/>
      <c r="Y18" s="3174"/>
      <c r="Z18" s="3175"/>
      <c r="AA18" s="3176"/>
      <c r="AB18" s="3169"/>
      <c r="AC18" s="3173"/>
      <c r="AD18" s="3177"/>
      <c r="AE18" s="3177"/>
      <c r="AF18" s="3173"/>
      <c r="AG18" s="3173"/>
      <c r="AH18" s="3173"/>
      <c r="AI18" s="3178"/>
      <c r="AJ18" s="3179"/>
      <c r="AK18" s="3170"/>
      <c r="AL18" s="3173"/>
      <c r="AM18" s="3173"/>
      <c r="AN18" s="3173"/>
      <c r="AO18" s="3173"/>
      <c r="AP18" s="3173"/>
      <c r="AQ18" s="3173"/>
      <c r="AR18" s="3173"/>
      <c r="AS18" s="3173"/>
      <c r="AT18" s="3173"/>
      <c r="AU18" s="3173"/>
      <c r="AV18" s="3173"/>
      <c r="AW18" s="3180"/>
      <c r="AX18" s="3173"/>
      <c r="AY18" s="3173"/>
      <c r="AZ18" s="3173"/>
      <c r="BA18" s="3173"/>
      <c r="BB18" s="3173"/>
      <c r="BC18" s="3173"/>
      <c r="BD18" s="3173"/>
      <c r="BE18" s="3173"/>
      <c r="BF18" s="3173"/>
      <c r="BG18" s="3173"/>
      <c r="BH18" s="3173"/>
      <c r="BI18" s="3180"/>
      <c r="BJ18" s="3173"/>
      <c r="BK18" s="3173"/>
      <c r="BL18" s="3173"/>
      <c r="BM18" s="3177"/>
      <c r="BN18" s="3177"/>
      <c r="BO18" s="3177"/>
      <c r="BP18" s="3177"/>
      <c r="BQ18" s="3173"/>
      <c r="BR18" s="3177"/>
      <c r="BS18" s="3177"/>
      <c r="BT18" s="3180"/>
      <c r="BU18" s="3144"/>
      <c r="BV18" s="3058"/>
      <c r="BW18" s="3058"/>
      <c r="BX18" s="3058"/>
      <c r="BY18" s="3144"/>
      <c r="BZ18" s="3144"/>
      <c r="CA18" s="3145"/>
      <c r="CB18" s="3145"/>
      <c r="CC18" s="3145"/>
      <c r="CD18" s="3145"/>
      <c r="CE18" s="3145"/>
      <c r="CF18" s="3145"/>
      <c r="CG18" s="3145"/>
      <c r="CH18" s="3146"/>
      <c r="CI18" s="2859"/>
      <c r="CJ18" s="401"/>
      <c r="CK18" s="2859"/>
      <c r="CL18" s="401"/>
      <c r="CM18" s="2859"/>
      <c r="CN18" s="401"/>
      <c r="CO18" s="2859"/>
      <c r="CP18" s="401"/>
      <c r="CQ18" s="2859"/>
      <c r="CR18" s="2859"/>
      <c r="CS18" s="401"/>
      <c r="CT18" s="2859"/>
      <c r="CU18" s="401"/>
      <c r="CV18" s="2859"/>
      <c r="CW18" s="2859"/>
      <c r="CX18" s="2859"/>
      <c r="CY18" s="2859"/>
      <c r="CZ18" s="2859"/>
      <c r="DA18" s="2859"/>
      <c r="DB18" s="2859"/>
      <c r="DC18" s="2859"/>
      <c r="DD18" s="2859"/>
      <c r="DE18" s="2859"/>
      <c r="DF18" s="2859"/>
      <c r="DG18" s="2859"/>
      <c r="DH18" s="2859"/>
      <c r="DI18" s="2859"/>
      <c r="DJ18" s="2859"/>
      <c r="DK18" s="2859"/>
      <c r="DL18" s="2859"/>
      <c r="DM18" s="2859"/>
      <c r="DN18" s="2859"/>
      <c r="DO18" s="2859"/>
      <c r="DP18" s="2859"/>
      <c r="DQ18" s="2859"/>
      <c r="DR18" s="2859"/>
      <c r="DS18" s="2859"/>
      <c r="DT18" s="2859"/>
      <c r="DU18" s="2859"/>
      <c r="DV18" s="2859"/>
      <c r="DW18" s="2859"/>
      <c r="DX18" s="2859"/>
      <c r="DY18" s="2859"/>
      <c r="DZ18" s="2859"/>
      <c r="EA18" s="2859"/>
      <c r="EB18" s="2859"/>
      <c r="EC18" s="2859"/>
      <c r="ED18" s="2859"/>
      <c r="EE18" s="2859"/>
      <c r="EF18" s="2859"/>
      <c r="EG18" s="2859"/>
      <c r="EH18" s="2859"/>
      <c r="EI18" s="2859"/>
      <c r="EJ18" s="2859"/>
      <c r="EK18" s="2859"/>
      <c r="EL18" s="2859"/>
      <c r="EM18" s="2859"/>
      <c r="EN18" s="2859"/>
      <c r="EO18" s="2859"/>
      <c r="EP18" s="2859"/>
      <c r="EQ18" s="2859"/>
      <c r="ER18" s="2859"/>
      <c r="ES18" s="2859"/>
      <c r="ET18" s="2859"/>
      <c r="EU18" s="2859"/>
      <c r="EV18" s="2859"/>
      <c r="EW18" s="2859"/>
      <c r="EX18" s="2859"/>
      <c r="EY18" s="2859"/>
      <c r="EZ18" s="2859"/>
      <c r="FA18" s="2859"/>
      <c r="FB18" s="2859"/>
      <c r="FC18" s="2859"/>
      <c r="FD18" s="2859"/>
      <c r="FE18" s="2859"/>
      <c r="FF18" s="2859"/>
      <c r="FG18" s="2859"/>
      <c r="FH18" s="2859"/>
      <c r="FI18" s="2859"/>
      <c r="FJ18" s="2859"/>
      <c r="FK18" s="2859"/>
      <c r="FL18" s="2859"/>
      <c r="FM18" s="2859"/>
      <c r="FN18" s="2859"/>
      <c r="FO18" s="2859"/>
      <c r="FP18" s="2859"/>
      <c r="FQ18" s="2859"/>
      <c r="FR18" s="2859"/>
      <c r="FS18" s="2859"/>
      <c r="FT18" s="2859"/>
      <c r="FU18" s="2859"/>
      <c r="FV18" s="2859"/>
      <c r="FW18" s="2859"/>
      <c r="FX18" s="2859"/>
      <c r="FY18" s="2859"/>
      <c r="FZ18" s="2859"/>
      <c r="GA18" s="2859"/>
      <c r="GB18" s="2859"/>
      <c r="GC18" s="2859"/>
      <c r="GD18" s="2859"/>
      <c r="GE18" s="2859"/>
      <c r="GF18" s="2859"/>
      <c r="GG18" s="2859"/>
      <c r="GH18" s="2859"/>
      <c r="GI18" s="2859"/>
      <c r="GJ18" s="2859"/>
      <c r="GK18" s="2859"/>
      <c r="GL18" s="2859"/>
      <c r="GM18" s="2859"/>
      <c r="GN18" s="2859"/>
      <c r="GO18" s="2859"/>
      <c r="GP18" s="2859"/>
      <c r="GQ18" s="2859"/>
      <c r="GR18" s="2859"/>
      <c r="GS18" s="2859"/>
      <c r="GT18" s="2859"/>
      <c r="GU18" s="2859"/>
      <c r="GV18" s="2859"/>
      <c r="GW18" s="2859"/>
      <c r="GX18" s="2859"/>
      <c r="GY18" s="2859"/>
      <c r="GZ18" s="2859"/>
      <c r="HA18" s="2859"/>
      <c r="HB18" s="2859"/>
      <c r="HC18" s="2859"/>
      <c r="HD18" s="2859"/>
      <c r="HE18" s="2859"/>
      <c r="HF18" s="2859"/>
      <c r="HG18" s="2859"/>
      <c r="HH18" s="2859"/>
      <c r="HI18" s="2859"/>
      <c r="HJ18" s="2859"/>
      <c r="HK18" s="2859"/>
      <c r="HL18" s="2859"/>
      <c r="HM18" s="2859"/>
      <c r="HN18" s="2859"/>
      <c r="HO18" s="2859"/>
      <c r="HP18" s="2859"/>
      <c r="HQ18" s="2859"/>
      <c r="HR18" s="2859"/>
      <c r="HS18" s="2859"/>
      <c r="HT18" s="2859"/>
      <c r="HU18" s="2859"/>
      <c r="HV18" s="2859"/>
      <c r="HW18" s="2859"/>
      <c r="HX18" s="2859"/>
      <c r="HY18" s="2859"/>
      <c r="HZ18" s="2859"/>
      <c r="IA18" s="2859"/>
      <c r="IB18" s="2859"/>
      <c r="IC18" s="2859"/>
      <c r="ID18" s="2859"/>
      <c r="IE18" s="2859"/>
      <c r="IF18" s="2859"/>
      <c r="IG18" s="2859"/>
      <c r="IH18" s="2859"/>
      <c r="II18" s="2859"/>
      <c r="IJ18" s="2859"/>
      <c r="IK18" s="2859"/>
      <c r="IL18" s="2859"/>
      <c r="IM18" s="2859"/>
      <c r="IN18" s="2859"/>
      <c r="IO18" s="2859"/>
      <c r="IP18" s="2859"/>
      <c r="IQ18" s="2859"/>
      <c r="IR18" s="2859"/>
      <c r="IS18" s="2859"/>
      <c r="IT18" s="2859"/>
      <c r="IU18" s="2859"/>
      <c r="IV18" s="2859"/>
      <c r="IW18" s="2859"/>
      <c r="IX18" s="2859"/>
      <c r="IY18" s="2859"/>
      <c r="IZ18" s="2859"/>
      <c r="JA18" s="2859"/>
      <c r="JB18" s="2859"/>
      <c r="JC18" s="2859"/>
      <c r="JD18" s="2859"/>
      <c r="JE18" s="2859"/>
      <c r="JF18" s="2859"/>
      <c r="JG18" s="2859"/>
      <c r="JH18" s="2859"/>
      <c r="JI18" s="2859"/>
      <c r="JJ18" s="2859"/>
      <c r="JK18" s="2859"/>
      <c r="JL18" s="2859"/>
      <c r="JM18" s="2859"/>
      <c r="JN18" s="2859"/>
      <c r="JO18" s="2859"/>
      <c r="JP18" s="2859"/>
      <c r="JQ18" s="2859"/>
      <c r="JR18" s="2859"/>
      <c r="JS18" s="2859"/>
      <c r="JT18" s="2859"/>
      <c r="JU18" s="2859"/>
      <c r="JV18" s="2859"/>
      <c r="JW18" s="2859"/>
      <c r="JX18" s="2859"/>
      <c r="JY18" s="2859"/>
      <c r="JZ18" s="2859"/>
      <c r="KA18" s="2859"/>
      <c r="KB18" s="2859"/>
      <c r="KC18" s="2859"/>
      <c r="KD18" s="2859"/>
      <c r="KE18" s="2859"/>
      <c r="KF18" s="2859"/>
      <c r="KG18" s="2859"/>
      <c r="KH18" s="2859"/>
      <c r="KI18" s="2859"/>
      <c r="KJ18" s="2859"/>
      <c r="KK18" s="2859"/>
      <c r="KL18" s="2859"/>
      <c r="KM18" s="2859"/>
      <c r="KN18" s="2859"/>
      <c r="KO18" s="2859"/>
      <c r="KP18" s="2859"/>
      <c r="KQ18" s="2859"/>
      <c r="KR18" s="2859"/>
      <c r="KS18" s="2859"/>
      <c r="KT18" s="2859"/>
      <c r="KU18" s="2859"/>
      <c r="KV18" s="2859"/>
      <c r="KW18" s="2859"/>
      <c r="KX18" s="2859"/>
      <c r="KY18" s="2859"/>
      <c r="KZ18" s="2859"/>
      <c r="LA18" s="2859"/>
      <c r="LB18" s="2859"/>
      <c r="LC18" s="2859"/>
      <c r="LD18" s="2859"/>
      <c r="LE18" s="2859"/>
      <c r="LF18" s="2859"/>
      <c r="LG18" s="2859"/>
      <c r="LH18" s="2859"/>
      <c r="LI18" s="2859"/>
      <c r="LJ18" s="2859"/>
      <c r="LK18" s="2859"/>
      <c r="LL18" s="2859"/>
      <c r="LM18" s="2859"/>
      <c r="LN18" s="2859"/>
      <c r="LO18" s="2859"/>
      <c r="LP18" s="2859"/>
      <c r="LQ18" s="2859"/>
      <c r="LR18" s="2859"/>
      <c r="LS18" s="2859"/>
      <c r="LT18" s="2859"/>
      <c r="LU18" s="2859"/>
      <c r="LV18" s="2859"/>
      <c r="LW18" s="2859"/>
      <c r="LX18" s="2859"/>
      <c r="LY18" s="2859"/>
      <c r="LZ18" s="2859"/>
      <c r="MA18" s="2859"/>
      <c r="MB18" s="2859"/>
      <c r="MC18" s="2859"/>
      <c r="MD18" s="2859"/>
      <c r="ME18" s="2859"/>
      <c r="MF18" s="2859"/>
      <c r="MG18" s="2859"/>
      <c r="MH18" s="2859"/>
      <c r="MI18" s="2859"/>
      <c r="MJ18" s="2859"/>
      <c r="MK18" s="2859"/>
      <c r="ML18" s="2859"/>
      <c r="MM18" s="2859"/>
      <c r="MN18" s="2859"/>
      <c r="MO18" s="2859"/>
      <c r="MP18" s="2859"/>
      <c r="MQ18" s="2859"/>
      <c r="MR18" s="2859"/>
      <c r="MS18" s="2859"/>
      <c r="MT18" s="2859"/>
      <c r="MU18" s="2859"/>
      <c r="MV18" s="2859"/>
      <c r="MW18" s="2859"/>
      <c r="MX18" s="2859"/>
      <c r="MY18" s="2859"/>
      <c r="MZ18" s="2859"/>
      <c r="NA18" s="2859"/>
      <c r="NB18" s="2859"/>
      <c r="NC18" s="2859"/>
      <c r="ND18" s="2859"/>
      <c r="NE18" s="2859"/>
      <c r="NF18" s="2859"/>
      <c r="NG18" s="2859"/>
      <c r="NH18" s="2859"/>
      <c r="NI18" s="2859"/>
      <c r="NJ18" s="2859"/>
      <c r="NK18" s="2859"/>
      <c r="NL18" s="2859"/>
      <c r="NM18" s="2859"/>
      <c r="NN18" s="2859"/>
      <c r="NO18" s="2859"/>
      <c r="NP18" s="2859"/>
      <c r="NQ18" s="2859"/>
      <c r="NR18" s="2859"/>
      <c r="NS18" s="2859"/>
      <c r="NT18" s="2859"/>
      <c r="NU18" s="2859"/>
      <c r="NV18" s="2859"/>
      <c r="NW18" s="2859"/>
      <c r="NX18" s="2859"/>
      <c r="NY18" s="2859"/>
      <c r="NZ18" s="2859"/>
      <c r="OA18" s="2859"/>
      <c r="OB18" s="2859"/>
      <c r="OC18" s="2859"/>
      <c r="OD18" s="2859"/>
      <c r="OE18" s="2859"/>
      <c r="OF18" s="2859"/>
      <c r="OG18" s="2859"/>
      <c r="OH18" s="2859"/>
      <c r="OI18" s="2859"/>
      <c r="OJ18" s="2859"/>
      <c r="OK18" s="2859"/>
      <c r="OL18" s="2859"/>
      <c r="OM18" s="2859"/>
      <c r="ON18" s="2859"/>
      <c r="OO18" s="2859"/>
      <c r="OP18" s="2859"/>
      <c r="OQ18" s="2859"/>
      <c r="OR18" s="2859"/>
      <c r="OS18" s="2859"/>
      <c r="OT18" s="2859"/>
      <c r="OU18" s="2859"/>
      <c r="OV18" s="2859"/>
      <c r="OW18" s="2859"/>
      <c r="OX18" s="2859"/>
      <c r="OY18" s="2859"/>
      <c r="OZ18" s="2859"/>
      <c r="PA18" s="2859"/>
      <c r="PB18" s="2859"/>
      <c r="PC18" s="2859"/>
      <c r="PD18" s="2859"/>
      <c r="PE18" s="2859"/>
      <c r="PF18" s="2859"/>
      <c r="PG18" s="2859"/>
      <c r="PH18" s="2859"/>
      <c r="PI18" s="2859"/>
      <c r="PJ18" s="2859"/>
      <c r="PK18" s="2859"/>
      <c r="PL18" s="2859"/>
      <c r="PM18" s="2859"/>
      <c r="PN18" s="2859"/>
      <c r="PO18" s="2859"/>
      <c r="PP18" s="2859"/>
      <c r="PQ18" s="2859"/>
      <c r="PR18" s="2859"/>
      <c r="PS18" s="2859"/>
      <c r="PT18" s="2859"/>
      <c r="PU18" s="2859"/>
      <c r="PV18" s="2859"/>
      <c r="PW18" s="2859"/>
      <c r="PX18" s="2859"/>
      <c r="PY18" s="2859"/>
      <c r="PZ18" s="2859"/>
      <c r="QA18" s="2859"/>
      <c r="QB18" s="2859"/>
      <c r="QC18" s="2859"/>
      <c r="QD18" s="2859"/>
      <c r="QE18" s="2859"/>
      <c r="QF18" s="2859"/>
      <c r="QG18" s="2859"/>
      <c r="QH18" s="2859"/>
      <c r="QI18" s="2859"/>
      <c r="QJ18" s="2859"/>
      <c r="QK18" s="2859"/>
      <c r="QL18" s="2859"/>
      <c r="QM18" s="2859"/>
      <c r="QN18" s="2859"/>
      <c r="QO18" s="2859"/>
      <c r="QP18" s="2859"/>
      <c r="QQ18" s="2859"/>
      <c r="QR18" s="2859"/>
      <c r="QS18" s="2859"/>
      <c r="QT18" s="2859"/>
      <c r="QU18" s="2859"/>
      <c r="QV18" s="2859"/>
      <c r="QW18" s="2859"/>
      <c r="QX18" s="2859"/>
      <c r="QY18" s="2859"/>
      <c r="QZ18" s="2859"/>
      <c r="RA18" s="2859"/>
      <c r="RB18" s="2859"/>
      <c r="RC18" s="2859"/>
      <c r="RD18" s="2859"/>
      <c r="RE18" s="2859"/>
      <c r="RF18" s="2859"/>
      <c r="RG18" s="2859"/>
      <c r="RH18" s="2859"/>
      <c r="RI18" s="2859"/>
      <c r="RJ18" s="2859"/>
      <c r="RK18" s="2859"/>
      <c r="RL18" s="2859"/>
      <c r="RM18" s="2859"/>
      <c r="RN18" s="2859"/>
      <c r="RO18" s="2859"/>
      <c r="RP18" s="2859"/>
      <c r="RQ18" s="2859"/>
      <c r="RR18" s="2859"/>
      <c r="RS18" s="2859"/>
      <c r="RT18" s="2859"/>
      <c r="RU18" s="2859"/>
      <c r="RV18" s="2859"/>
      <c r="RW18" s="2859"/>
      <c r="RX18" s="2859"/>
      <c r="RY18" s="2859"/>
      <c r="RZ18" s="2859"/>
      <c r="SA18" s="2859"/>
      <c r="SB18" s="2859"/>
      <c r="SC18" s="2859"/>
      <c r="SD18" s="2859"/>
      <c r="SE18" s="2859"/>
      <c r="SF18" s="2859"/>
      <c r="SG18" s="2859"/>
      <c r="SH18" s="2859"/>
      <c r="SI18" s="2859"/>
      <c r="SJ18" s="2859"/>
      <c r="SK18" s="2859"/>
      <c r="SL18" s="2859"/>
      <c r="SM18" s="2859"/>
      <c r="SN18" s="2859"/>
      <c r="SO18" s="2859"/>
      <c r="SP18" s="2859"/>
      <c r="SQ18" s="2859"/>
      <c r="SR18" s="2859"/>
      <c r="SS18" s="2859"/>
      <c r="ST18" s="2859"/>
      <c r="SU18" s="2859"/>
      <c r="SV18" s="2859"/>
      <c r="SW18" s="2859"/>
      <c r="SX18" s="2859"/>
      <c r="SY18" s="2859"/>
      <c r="SZ18" s="2859"/>
      <c r="TA18" s="2859"/>
      <c r="TB18" s="2859"/>
      <c r="TC18" s="2859"/>
      <c r="TD18" s="2859"/>
      <c r="TE18" s="2859"/>
      <c r="TF18" s="2859"/>
      <c r="TG18" s="2859"/>
      <c r="TH18" s="2859"/>
      <c r="TI18" s="2859"/>
      <c r="TJ18" s="2859"/>
      <c r="TK18" s="2859"/>
      <c r="TL18" s="2859"/>
      <c r="TM18" s="2859"/>
      <c r="TN18" s="2859"/>
      <c r="TO18" s="2859"/>
      <c r="TP18" s="2859"/>
      <c r="TQ18" s="2859"/>
      <c r="TR18" s="2859"/>
      <c r="TS18" s="2859"/>
      <c r="TT18" s="2859"/>
      <c r="TU18" s="3783"/>
      <c r="TV18" s="3783"/>
      <c r="TW18" s="3783"/>
      <c r="TX18" s="3783"/>
      <c r="TY18" s="3783"/>
      <c r="TZ18" s="3783"/>
      <c r="UA18" s="3783"/>
      <c r="UB18" s="3783"/>
      <c r="UC18" s="3783"/>
      <c r="UD18" s="3783"/>
      <c r="UE18" s="3783"/>
      <c r="UF18" s="3783"/>
      <c r="UG18" s="3783"/>
      <c r="UH18" s="3783"/>
      <c r="UI18" s="3783"/>
      <c r="UJ18" s="3783"/>
      <c r="UK18" s="3783"/>
      <c r="UL18" s="3783"/>
      <c r="UM18" s="3783"/>
      <c r="UN18" s="3783"/>
      <c r="UO18" s="3783"/>
      <c r="UP18" s="2859"/>
      <c r="UQ18" s="2859"/>
      <c r="UR18" s="2859"/>
      <c r="US18" s="2859"/>
      <c r="UT18" s="2859"/>
      <c r="UU18" s="2859"/>
      <c r="UV18" s="2859"/>
      <c r="UW18" s="2859"/>
      <c r="UX18" s="2859"/>
      <c r="UY18" s="2859"/>
      <c r="UZ18" s="2859"/>
      <c r="VA18" s="2859"/>
      <c r="VB18" s="2859"/>
      <c r="VC18" s="2859"/>
      <c r="VD18" s="2859"/>
      <c r="VE18" s="2859"/>
      <c r="VF18" s="2859"/>
      <c r="VG18" s="2859"/>
      <c r="VH18" s="2859"/>
      <c r="VI18" s="2859"/>
      <c r="VJ18" s="2859"/>
      <c r="VK18" s="2859"/>
      <c r="VL18" s="2859"/>
      <c r="VM18" s="2859"/>
      <c r="VN18" s="2859"/>
      <c r="VO18" s="2859"/>
      <c r="VP18" s="2859"/>
      <c r="VQ18" s="2859"/>
      <c r="VR18" s="2859"/>
      <c r="VS18" s="2859"/>
      <c r="VT18" s="2859"/>
      <c r="VU18" s="2859"/>
      <c r="VV18" s="2859"/>
      <c r="VW18" s="2859"/>
      <c r="VX18" s="2859"/>
      <c r="VY18" s="2859"/>
      <c r="VZ18" s="2859"/>
      <c r="WA18" s="2859"/>
      <c r="WB18" s="2859"/>
      <c r="WC18" s="2859"/>
      <c r="WD18" s="2859"/>
      <c r="WE18" s="2859"/>
      <c r="WF18" s="2859"/>
      <c r="WG18" s="2859"/>
      <c r="WH18" s="2859"/>
      <c r="WI18" s="2859"/>
      <c r="WJ18" s="2859"/>
      <c r="WK18" s="2859"/>
      <c r="WL18" s="2859"/>
      <c r="WM18" s="2859"/>
      <c r="WN18" s="2859"/>
      <c r="WO18" s="2859"/>
      <c r="WP18" s="2859"/>
      <c r="WQ18" s="2859"/>
      <c r="WR18" s="2859"/>
      <c r="WS18" s="2859"/>
      <c r="WT18" s="2859"/>
      <c r="WU18" s="2859"/>
      <c r="WV18" s="2859"/>
      <c r="WW18" s="2859"/>
      <c r="WX18" s="2859"/>
      <c r="WY18" s="2859"/>
      <c r="WZ18" s="2859"/>
      <c r="XA18" s="2859"/>
      <c r="XB18" s="2859"/>
      <c r="XC18" s="2859"/>
      <c r="XD18" s="2859"/>
      <c r="XE18" s="2859"/>
      <c r="XF18" s="2859"/>
      <c r="XG18" s="2859"/>
      <c r="XH18" s="2859"/>
      <c r="XI18" s="2859"/>
      <c r="XJ18" s="2859"/>
      <c r="XK18" s="2859"/>
      <c r="XL18" s="2859"/>
      <c r="XM18" s="2859"/>
      <c r="XN18" s="2859"/>
      <c r="XO18" s="2859"/>
      <c r="XP18" s="2859"/>
      <c r="XQ18" s="2859"/>
      <c r="XR18" s="2859"/>
      <c r="XS18" s="2859"/>
      <c r="XT18" s="2859"/>
      <c r="XU18" s="2859"/>
      <c r="XV18" s="2859"/>
      <c r="XW18" s="2859"/>
      <c r="XX18" s="2859"/>
      <c r="XY18" s="2859"/>
      <c r="XZ18" s="2859"/>
      <c r="YA18" s="2859"/>
      <c r="YB18" s="2859"/>
      <c r="YC18" s="2859"/>
      <c r="YD18" s="2859"/>
      <c r="YE18" s="2859"/>
      <c r="YF18" s="2859"/>
      <c r="YG18" s="2859"/>
      <c r="YH18" s="2859"/>
      <c r="YI18" s="2859"/>
      <c r="YJ18" s="2859"/>
      <c r="YK18" s="2859"/>
      <c r="YL18" s="2859"/>
      <c r="YM18" s="2859"/>
      <c r="YN18" s="2859"/>
      <c r="YO18" s="2859"/>
      <c r="YP18" s="2859"/>
      <c r="YQ18" s="2859"/>
      <c r="YR18" s="2859"/>
      <c r="YS18" s="2859"/>
      <c r="YT18" s="2859"/>
      <c r="YU18" s="2859"/>
      <c r="YV18" s="2859"/>
      <c r="YW18" s="2859"/>
      <c r="YX18" s="2859"/>
      <c r="YY18" s="2859"/>
      <c r="YZ18" s="2859"/>
      <c r="ZA18" s="2859"/>
      <c r="ZB18" s="2859"/>
      <c r="ZC18" s="2859"/>
      <c r="ZD18" s="2859"/>
      <c r="ZE18" s="2859"/>
      <c r="ZF18" s="2859"/>
      <c r="ZG18" s="2859"/>
      <c r="ZH18" s="2859"/>
      <c r="ZI18" s="2859"/>
      <c r="ZJ18" s="2859"/>
      <c r="ZK18" s="2859"/>
      <c r="ZL18" s="2859"/>
      <c r="ZM18" s="2859"/>
      <c r="ZN18" s="2859"/>
      <c r="ZO18" s="2859"/>
      <c r="ZP18" s="2859"/>
      <c r="ZQ18" s="2859"/>
      <c r="ZR18" s="2859"/>
      <c r="ZS18" s="2859"/>
      <c r="ZT18" s="2859"/>
      <c r="ZU18" s="2859"/>
      <c r="ZV18" s="2859"/>
      <c r="ZW18" s="2859"/>
      <c r="ZX18" s="2859"/>
      <c r="ZY18" s="2859"/>
      <c r="ZZ18" s="2859"/>
      <c r="AAA18" s="2859"/>
      <c r="AAB18" s="2859"/>
      <c r="AAC18" s="2859"/>
      <c r="AAD18" s="2859"/>
      <c r="AAE18" s="2859"/>
      <c r="AAF18" s="2859"/>
      <c r="AAG18" s="2859"/>
      <c r="AAH18" s="2859"/>
      <c r="AAI18" s="2859"/>
      <c r="AAJ18" s="2859"/>
      <c r="AAK18" s="2859"/>
      <c r="AAL18" s="2859"/>
      <c r="AAM18" s="2859"/>
      <c r="AAN18" s="2859"/>
      <c r="AAO18" s="2859"/>
      <c r="AAP18" s="2859"/>
      <c r="AAQ18" s="2859"/>
      <c r="AAR18" s="2859"/>
      <c r="AAS18" s="2859"/>
      <c r="AAT18" s="2859"/>
      <c r="AAU18" s="2859"/>
      <c r="AAV18" s="2859"/>
      <c r="AAW18" s="2859"/>
      <c r="AAX18" s="2859"/>
      <c r="AAY18" s="2859"/>
      <c r="AAZ18" s="2859"/>
      <c r="ABA18" s="2859"/>
      <c r="ABB18" s="2859"/>
      <c r="ABC18" s="2859"/>
      <c r="ABD18" s="2859"/>
      <c r="ABE18" s="2859"/>
      <c r="ABF18" s="2859"/>
      <c r="ABG18" s="2859"/>
      <c r="ABH18" s="2859"/>
      <c r="ABI18" s="2859"/>
      <c r="ABJ18" s="2859"/>
      <c r="ABK18" s="2859"/>
      <c r="ABL18" s="2859"/>
      <c r="ABM18" s="2859"/>
      <c r="ABN18" s="2859"/>
      <c r="ABO18" s="2859"/>
      <c r="ABP18" s="2859"/>
      <c r="ABQ18" s="2859"/>
      <c r="ABR18" s="2859"/>
      <c r="ABS18" s="2859"/>
      <c r="ABT18" s="2859"/>
      <c r="ABU18" s="2859"/>
      <c r="ABV18" s="2859"/>
      <c r="ABW18" s="2859"/>
      <c r="ABX18" s="2859"/>
      <c r="ABY18" s="2859"/>
      <c r="ABZ18" s="2859"/>
      <c r="ACA18" s="2859"/>
      <c r="ACB18" s="2859"/>
      <c r="ACC18" s="2859"/>
      <c r="ACD18" s="2859"/>
      <c r="ACE18" s="2859"/>
      <c r="ACF18" s="2859"/>
      <c r="ACG18" s="2859"/>
      <c r="ACH18" s="2859"/>
      <c r="ACI18" s="2859"/>
      <c r="ACJ18" s="2859"/>
      <c r="ACK18" s="2859"/>
      <c r="ACL18" s="2859"/>
      <c r="ACM18" s="2859"/>
      <c r="ACN18" s="2859"/>
      <c r="ACO18" s="2859"/>
      <c r="ACP18" s="2859"/>
      <c r="ACQ18" s="2859"/>
      <c r="ACR18" s="2859"/>
      <c r="ACS18" s="2859"/>
      <c r="ACT18" s="2859"/>
      <c r="ACU18" s="2859"/>
      <c r="ACV18" s="2859"/>
      <c r="ACW18" s="2859"/>
      <c r="ACX18" s="2859"/>
      <c r="ACY18" s="2859"/>
      <c r="ACZ18" s="2859"/>
      <c r="ADA18" s="2859"/>
      <c r="ADB18" s="2859"/>
      <c r="ADC18" s="2859"/>
      <c r="ADD18" s="2859"/>
      <c r="ADE18" s="2859"/>
      <c r="ADF18" s="2859"/>
      <c r="ADG18" s="2859"/>
      <c r="ADH18" s="2859"/>
      <c r="ADI18" s="2859"/>
      <c r="ADJ18" s="2859"/>
      <c r="ADK18" s="2859"/>
      <c r="ADL18" s="2859"/>
      <c r="ADM18" s="2859"/>
      <c r="ADN18" s="2859"/>
      <c r="ADO18" s="2859"/>
      <c r="ADP18" s="2859"/>
      <c r="ADQ18" s="2859"/>
      <c r="ADR18" s="2859"/>
      <c r="ADS18" s="2859"/>
      <c r="ADT18" s="2859"/>
      <c r="ADU18" s="2859"/>
      <c r="ADV18" s="2859"/>
      <c r="ADW18" s="2859"/>
      <c r="ADX18" s="2859"/>
      <c r="ADY18" s="2859"/>
      <c r="ADZ18" s="2859"/>
      <c r="AEA18" s="2859"/>
      <c r="AEB18" s="2859"/>
      <c r="AEC18" s="2859"/>
      <c r="AED18" s="2859"/>
      <c r="AEE18" s="2859"/>
      <c r="AEF18" s="2859"/>
      <c r="AEG18" s="2859"/>
      <c r="AEH18" s="2859"/>
      <c r="AEI18" s="2859"/>
      <c r="AEJ18" s="2859"/>
      <c r="AEK18" s="2859"/>
      <c r="AEL18" s="2859"/>
      <c r="AEM18" s="2859"/>
      <c r="AEN18" s="2859"/>
      <c r="AEO18" s="2859"/>
      <c r="AEP18" s="2859"/>
      <c r="AEQ18" s="2859"/>
      <c r="AER18" s="2859"/>
      <c r="AES18" s="2859"/>
      <c r="AET18" s="2859"/>
      <c r="AEU18" s="2859"/>
      <c r="AEV18" s="2859"/>
      <c r="AEW18" s="2859"/>
      <c r="AEX18" s="2859"/>
      <c r="AEY18" s="2859"/>
      <c r="AEZ18" s="2859"/>
      <c r="AFA18" s="2859"/>
      <c r="AFB18" s="2859"/>
      <c r="AFC18" s="2859"/>
      <c r="AFD18" s="2859"/>
      <c r="AFE18" s="2859"/>
      <c r="AFF18" s="2859"/>
      <c r="AFG18" s="2859"/>
      <c r="AFH18" s="2859"/>
      <c r="AFI18" s="2859"/>
      <c r="AFJ18" s="2859"/>
      <c r="AFK18" s="2859"/>
      <c r="AFL18" s="2859"/>
      <c r="AFM18" s="2859"/>
      <c r="AFN18" s="2859"/>
      <c r="AFO18" s="2859"/>
      <c r="AFP18" s="2859"/>
      <c r="AFQ18" s="2859"/>
      <c r="AFR18" s="2859"/>
      <c r="AFS18" s="2859"/>
      <c r="AFT18" s="2859"/>
      <c r="AFU18" s="2859"/>
      <c r="AFV18" s="2859"/>
      <c r="AFW18" s="2859"/>
      <c r="AFX18" s="2859"/>
      <c r="AFY18" s="2859"/>
      <c r="AFZ18" s="2859"/>
      <c r="AGA18" s="2859"/>
      <c r="AGB18" s="2859"/>
      <c r="AGC18" s="2859"/>
      <c r="AGD18" s="2859"/>
      <c r="AGE18" s="2859"/>
      <c r="AGF18" s="2859"/>
      <c r="AGG18" s="2859"/>
      <c r="AGH18" s="2859"/>
      <c r="AGI18" s="2859"/>
      <c r="AGJ18" s="2859"/>
      <c r="AGK18" s="2859"/>
      <c r="AGL18" s="2859"/>
      <c r="AGM18" s="2859"/>
      <c r="AGN18" s="2859"/>
      <c r="AGO18" s="2859"/>
      <c r="AGP18" s="2859"/>
      <c r="AGQ18" s="2859"/>
      <c r="AGR18" s="2859"/>
      <c r="AGS18" s="2859"/>
      <c r="AGT18" s="2859"/>
      <c r="AGU18" s="2859"/>
      <c r="AGV18" s="2859"/>
      <c r="AGW18" s="2859"/>
      <c r="AGX18" s="2859"/>
      <c r="AGY18" s="2859"/>
      <c r="AGZ18" s="2859"/>
      <c r="AHA18" s="2859"/>
      <c r="AHB18" s="2859"/>
      <c r="AHC18" s="2859"/>
      <c r="AHD18" s="2859"/>
      <c r="AHE18" s="2859"/>
      <c r="AHF18" s="2859"/>
      <c r="AHG18" s="2859"/>
      <c r="AHH18" s="2859"/>
      <c r="AHI18" s="2859"/>
      <c r="AHJ18" s="2859"/>
      <c r="AHK18" s="2859"/>
      <c r="AHL18" s="2859"/>
      <c r="AHM18" s="2859"/>
      <c r="AHN18" s="2859"/>
      <c r="AHO18" s="2859"/>
      <c r="AHP18" s="2859"/>
      <c r="AHQ18" s="2859"/>
      <c r="AHR18" s="2859"/>
      <c r="AHS18" s="2859"/>
      <c r="AHT18" s="2859"/>
      <c r="AHU18" s="2859"/>
      <c r="AHV18" s="2859"/>
      <c r="AHW18" s="2859"/>
      <c r="AHX18" s="2859"/>
      <c r="AHY18" s="2859"/>
      <c r="AHZ18" s="2859"/>
      <c r="AIA18" s="2859"/>
      <c r="AIB18" s="2859"/>
      <c r="AIC18" s="2859"/>
      <c r="AID18" s="2859"/>
      <c r="AIE18" s="2859"/>
      <c r="AIF18" s="2859"/>
      <c r="AIG18" s="2859"/>
      <c r="AIH18" s="2859"/>
      <c r="AII18" s="2859"/>
      <c r="AIJ18" s="2859"/>
      <c r="AIK18" s="2859"/>
      <c r="AIL18" s="2859"/>
      <c r="AIM18" s="2859"/>
      <c r="AIN18" s="2859"/>
      <c r="AIO18" s="2859"/>
      <c r="AIP18" s="2859"/>
      <c r="AIQ18" s="2859"/>
      <c r="AIR18" s="2859"/>
      <c r="AIS18" s="2859"/>
      <c r="AIT18" s="2859"/>
      <c r="AIU18" s="2859"/>
      <c r="AIV18" s="2859"/>
      <c r="AIW18" s="2859"/>
      <c r="AIX18" s="2859"/>
      <c r="AIY18" s="2859"/>
      <c r="AIZ18" s="2859"/>
      <c r="AJA18" s="2859"/>
      <c r="AJB18" s="2859"/>
      <c r="AJC18" s="2859"/>
      <c r="AJD18" s="2859"/>
      <c r="AJE18" s="2859"/>
      <c r="AJF18" s="2859"/>
      <c r="AJG18" s="2859"/>
      <c r="AJH18" s="2859"/>
      <c r="AJI18" s="2859"/>
      <c r="AJJ18" s="2859"/>
      <c r="AJK18" s="2859"/>
      <c r="AJL18" s="2859"/>
      <c r="AJM18" s="2859"/>
      <c r="AJN18" s="2859"/>
      <c r="AJO18" s="2859"/>
      <c r="AJP18" s="2859"/>
      <c r="AJQ18" s="2859"/>
      <c r="AJR18" s="2859"/>
      <c r="AJS18" s="2859"/>
      <c r="AJT18" s="2859"/>
      <c r="AJU18" s="2859"/>
      <c r="AJV18" s="2859"/>
      <c r="AJW18" s="2859"/>
      <c r="AJX18" s="2859"/>
      <c r="AJY18" s="2859"/>
      <c r="AJZ18" s="2859"/>
      <c r="AKA18" s="2859"/>
      <c r="AKB18" s="2859"/>
      <c r="AKC18" s="2859"/>
      <c r="AKD18" s="2859"/>
      <c r="AKE18" s="2859"/>
      <c r="AKF18" s="2859"/>
      <c r="AKG18" s="2859"/>
      <c r="AKH18" s="2859"/>
      <c r="AKI18" s="2859"/>
      <c r="AKJ18" s="2859"/>
      <c r="AKK18" s="2859"/>
      <c r="AKL18" s="2859"/>
      <c r="AKM18" s="2859"/>
      <c r="AKN18" s="2859"/>
      <c r="AKO18" s="2859"/>
      <c r="AKP18" s="2859"/>
      <c r="AKQ18" s="2859"/>
      <c r="AKR18" s="2859"/>
      <c r="AKS18" s="2859"/>
      <c r="AKT18" s="2859"/>
      <c r="AKU18" s="2859"/>
      <c r="AKV18" s="2859"/>
      <c r="AKW18" s="2859"/>
      <c r="AKX18" s="2859"/>
      <c r="AKY18" s="2859"/>
      <c r="AKZ18" s="2859"/>
      <c r="ALA18" s="2859"/>
      <c r="ALB18" s="2859"/>
      <c r="ALC18" s="2859"/>
      <c r="ALD18" s="2859"/>
      <c r="ALE18" s="2859"/>
      <c r="ALF18" s="2859"/>
      <c r="ALG18" s="2859"/>
      <c r="ALH18" s="2859"/>
      <c r="ALI18" s="2859"/>
      <c r="ALJ18" s="2859"/>
      <c r="ALK18" s="2859"/>
      <c r="ALL18" s="2859"/>
      <c r="ALM18" s="2859"/>
      <c r="ALN18" s="2859"/>
      <c r="ALO18" s="2859"/>
      <c r="ALP18" s="2859"/>
      <c r="ALQ18" s="2859"/>
      <c r="ALR18" s="2859"/>
      <c r="ALS18" s="2859"/>
      <c r="ALT18" s="2859"/>
      <c r="ALU18" s="2859"/>
      <c r="ALV18" s="2859"/>
      <c r="ALW18" s="2859"/>
      <c r="ALX18" s="2859"/>
      <c r="ALY18" s="2859"/>
      <c r="ALZ18" s="2859"/>
      <c r="AMA18" s="2859"/>
      <c r="AMB18" s="2859"/>
      <c r="AMC18" s="2859"/>
      <c r="AMD18" s="2859"/>
      <c r="AME18" s="2859"/>
      <c r="AMF18" s="2859"/>
      <c r="AMG18" s="2859"/>
      <c r="AMH18" s="2859"/>
      <c r="AMI18" s="2859"/>
      <c r="AMJ18" s="2859"/>
      <c r="AMK18" s="2859"/>
      <c r="AML18" s="2859"/>
      <c r="AMM18" s="2859"/>
      <c r="AMN18" s="2859"/>
      <c r="AMO18" s="2859"/>
      <c r="AMP18" s="2859"/>
      <c r="AMQ18" s="2859"/>
      <c r="AMR18" s="2859"/>
      <c r="AMS18" s="2859"/>
      <c r="AMT18" s="2859"/>
      <c r="AMU18" s="2859"/>
      <c r="AMV18" s="2859"/>
      <c r="AMW18" s="2859"/>
      <c r="AMX18" s="2859"/>
      <c r="AMY18" s="2859"/>
      <c r="AMZ18" s="2859"/>
      <c r="ANA18" s="2859"/>
      <c r="ANB18" s="2859"/>
      <c r="ANC18" s="2859"/>
      <c r="AND18" s="2859"/>
      <c r="ANE18" s="2859"/>
      <c r="ANF18" s="2859"/>
      <c r="ANG18" s="2859"/>
      <c r="ANH18" s="2859"/>
      <c r="ANI18" s="2859"/>
      <c r="ANJ18" s="2859"/>
      <c r="ANK18" s="2859"/>
      <c r="ANL18" s="2859"/>
      <c r="ANM18" s="2859"/>
      <c r="ANN18" s="2859"/>
      <c r="ANO18" s="2859"/>
      <c r="ANP18" s="2859"/>
      <c r="ANQ18" s="2859"/>
      <c r="ANR18" s="2859"/>
      <c r="ANS18" s="2859"/>
      <c r="ANT18" s="2859"/>
      <c r="ANU18" s="2859"/>
      <c r="ANV18" s="2859"/>
      <c r="ANW18" s="2859"/>
      <c r="ANX18" s="2859"/>
      <c r="ANY18" s="2859"/>
      <c r="ANZ18" s="2859"/>
      <c r="AOA18" s="2859"/>
      <c r="AOB18" s="2859"/>
      <c r="AOC18" s="2859"/>
      <c r="AOD18" s="2859"/>
      <c r="AOE18" s="2859"/>
      <c r="AOF18" s="2859"/>
      <c r="AOG18" s="2859"/>
      <c r="AOH18" s="2859"/>
      <c r="AOI18" s="2859"/>
      <c r="AOJ18" s="2859"/>
      <c r="AOK18" s="2859"/>
      <c r="AOL18" s="2859"/>
      <c r="AOM18" s="2859"/>
      <c r="AON18" s="2859"/>
      <c r="AOO18" s="2859"/>
      <c r="AOP18" s="2859"/>
      <c r="AOQ18" s="2859"/>
      <c r="AOR18" s="2859"/>
      <c r="AOS18" s="2859"/>
      <c r="AOT18" s="2859"/>
      <c r="AOU18" s="2859"/>
      <c r="AOV18" s="2859"/>
      <c r="AOW18" s="2859"/>
      <c r="AOX18" s="2859"/>
      <c r="AOY18" s="2859"/>
      <c r="AOZ18" s="2859"/>
      <c r="APA18" s="2859"/>
      <c r="APB18" s="2859"/>
      <c r="APC18" s="2859"/>
      <c r="APD18" s="2859"/>
      <c r="APE18" s="2859"/>
      <c r="APF18" s="2859"/>
      <c r="APG18" s="2859"/>
      <c r="APH18" s="2859"/>
      <c r="API18" s="2859"/>
      <c r="APJ18" s="2859"/>
      <c r="APK18" s="2859"/>
      <c r="APL18" s="2859"/>
      <c r="APM18" s="2859"/>
      <c r="APN18" s="2859"/>
      <c r="APO18" s="2859"/>
      <c r="APP18" s="2859"/>
      <c r="APQ18" s="2859"/>
      <c r="APR18" s="2859"/>
      <c r="APS18" s="2859"/>
      <c r="APT18" s="2859"/>
      <c r="APU18" s="2859"/>
      <c r="APV18" s="2859"/>
      <c r="APW18" s="2859"/>
      <c r="APX18" s="2859"/>
      <c r="APY18" s="2859"/>
      <c r="APZ18" s="2859"/>
      <c r="AQA18" s="2859"/>
      <c r="AQB18" s="2859"/>
      <c r="AQC18" s="2859"/>
      <c r="AQD18" s="2859"/>
      <c r="AQE18" s="2859"/>
      <c r="AQF18" s="2859"/>
      <c r="AQG18" s="2859"/>
      <c r="AQH18" s="2859"/>
      <c r="AQI18" s="2859"/>
      <c r="AQJ18" s="2859"/>
      <c r="AQK18" s="2859"/>
      <c r="AQL18" s="2859"/>
      <c r="AQM18" s="2859"/>
      <c r="AQN18" s="2859"/>
      <c r="AQO18" s="2859"/>
      <c r="AQP18" s="2859"/>
      <c r="AQQ18" s="2859"/>
      <c r="AQR18" s="2859"/>
      <c r="AQS18" s="2859"/>
      <c r="AQT18" s="2859"/>
      <c r="AQU18" s="2859"/>
      <c r="AQV18" s="2859"/>
      <c r="AQW18" s="2859"/>
      <c r="AQX18" s="2859"/>
      <c r="AQY18" s="2859"/>
      <c r="AQZ18" s="2859"/>
      <c r="ARA18" s="2859"/>
      <c r="ARB18" s="2859"/>
      <c r="ARC18" s="2859"/>
      <c r="ARD18" s="2859"/>
      <c r="ARE18" s="2859"/>
      <c r="ARF18" s="2859"/>
      <c r="ARG18" s="2859"/>
      <c r="ARH18" s="2859"/>
      <c r="ARI18" s="2859"/>
      <c r="ARJ18" s="2859"/>
      <c r="ARK18" s="2859"/>
      <c r="ARL18" s="2859"/>
      <c r="ARM18" s="2859"/>
      <c r="ARN18" s="2859"/>
      <c r="ARO18" s="2859"/>
      <c r="ARP18" s="2859"/>
      <c r="ARQ18" s="2859"/>
      <c r="ARR18" s="2859"/>
      <c r="ARS18" s="2859"/>
      <c r="ART18" s="2859"/>
      <c r="ARU18" s="2859"/>
      <c r="ARV18" s="2859"/>
      <c r="ARW18" s="2859"/>
      <c r="ARX18" s="2859"/>
      <c r="ARY18" s="2859"/>
      <c r="ARZ18" s="2859"/>
      <c r="ASA18" s="2859"/>
      <c r="ASB18" s="2859"/>
      <c r="ASC18" s="2859"/>
      <c r="ASD18" s="2859"/>
      <c r="ASE18" s="2859"/>
      <c r="ASF18" s="2859"/>
      <c r="ASG18" s="2859"/>
      <c r="ASH18" s="2859"/>
      <c r="ASI18" s="2859"/>
      <c r="ASJ18" s="2859"/>
      <c r="ASK18" s="2859"/>
      <c r="ASL18" s="2859"/>
      <c r="ASM18" s="2859"/>
      <c r="ASN18" s="2859"/>
      <c r="ASO18" s="2859"/>
      <c r="ASP18" s="2859"/>
      <c r="ASQ18" s="2859"/>
      <c r="ASR18" s="2859"/>
      <c r="ASS18" s="2859"/>
      <c r="AST18" s="2859"/>
      <c r="ASU18" s="2859"/>
      <c r="ASV18" s="2859"/>
      <c r="ASW18" s="2859"/>
      <c r="ASX18" s="2859"/>
      <c r="ASY18" s="2859"/>
      <c r="ASZ18" s="2859"/>
      <c r="ATA18" s="2859"/>
      <c r="ATB18" s="2859"/>
      <c r="ATC18" s="2859"/>
      <c r="ATD18" s="2859"/>
      <c r="ATE18" s="2859"/>
      <c r="ATF18" s="2859"/>
      <c r="ATG18" s="2859"/>
      <c r="ATH18" s="2859"/>
      <c r="ATI18" s="2859"/>
      <c r="ATJ18" s="2859"/>
      <c r="ATK18" s="2859"/>
      <c r="ATL18" s="2859"/>
      <c r="ATM18" s="2859"/>
      <c r="ATN18" s="2859"/>
      <c r="ATO18" s="2859"/>
      <c r="ATP18" s="2859"/>
      <c r="ATQ18" s="2859"/>
      <c r="ATR18" s="2859"/>
      <c r="ATS18" s="2859"/>
      <c r="ATT18" s="2859"/>
      <c r="ATU18" s="2859"/>
      <c r="ATV18" s="2859"/>
      <c r="ATW18" s="2859"/>
      <c r="ATX18" s="2859"/>
      <c r="ATY18" s="2859"/>
      <c r="ATZ18" s="2859"/>
      <c r="AUA18" s="2859"/>
      <c r="AUB18" s="2859"/>
      <c r="AUC18" s="2859"/>
      <c r="AUD18" s="2859"/>
      <c r="AUE18" s="2859"/>
      <c r="AUF18" s="2859"/>
      <c r="AUG18" s="2859"/>
      <c r="AUH18" s="2859"/>
      <c r="AUI18" s="2859"/>
      <c r="AUJ18" s="2859"/>
      <c r="AUK18" s="2859"/>
      <c r="AUL18" s="2859"/>
      <c r="AUM18" s="2859"/>
      <c r="AUN18" s="2859"/>
      <c r="AUO18" s="2859"/>
      <c r="AUP18" s="2859"/>
      <c r="AUQ18" s="2859"/>
      <c r="AUR18" s="2859"/>
      <c r="AUS18" s="2859"/>
      <c r="AUT18" s="2859"/>
      <c r="AUU18" s="2859"/>
      <c r="AUV18" s="2859"/>
      <c r="AUW18" s="2859"/>
      <c r="AUX18" s="2859"/>
      <c r="AUY18" s="2859"/>
      <c r="AUZ18" s="2859"/>
      <c r="AVA18" s="2859"/>
      <c r="AVB18" s="2859"/>
      <c r="AVC18" s="2859"/>
      <c r="AVD18" s="2859"/>
      <c r="AVE18" s="2859"/>
      <c r="AVF18" s="2859"/>
      <c r="AVG18" s="2859"/>
      <c r="AVH18" s="2859"/>
      <c r="AVI18" s="2859"/>
      <c r="AVJ18" s="2859"/>
      <c r="AVK18" s="2859"/>
      <c r="AVL18" s="2859"/>
      <c r="AVM18" s="2859"/>
      <c r="AVN18" s="2859"/>
      <c r="AVO18" s="2859"/>
      <c r="AVP18" s="2859"/>
      <c r="AVQ18" s="2859"/>
      <c r="AVR18" s="2859"/>
      <c r="AVS18" s="2859"/>
      <c r="AVT18" s="2859"/>
      <c r="AVU18" s="2859"/>
      <c r="AVV18" s="2859"/>
      <c r="AVW18" s="2859"/>
      <c r="AVX18" s="2859"/>
      <c r="AVY18" s="2859"/>
      <c r="AVZ18" s="2859"/>
      <c r="AWA18" s="2859"/>
      <c r="AWB18" s="2859"/>
      <c r="AWC18" s="2859"/>
      <c r="AWD18" s="2859"/>
      <c r="AWE18" s="2859"/>
      <c r="AWF18" s="2859"/>
      <c r="AWG18" s="2859"/>
      <c r="AWH18" s="2859"/>
      <c r="AWI18" s="2859"/>
      <c r="AWJ18" s="2859"/>
      <c r="AWK18" s="2859"/>
      <c r="AWL18" s="2859"/>
      <c r="AWM18" s="2859"/>
      <c r="AWN18" s="2859"/>
      <c r="AWO18" s="2859"/>
      <c r="AWP18" s="2859"/>
      <c r="AWQ18" s="2859"/>
      <c r="AWR18" s="2859"/>
      <c r="AWS18" s="2859"/>
      <c r="AWT18" s="2859"/>
      <c r="AWU18" s="2859"/>
      <c r="AWV18" s="2859"/>
      <c r="AWW18" s="2859"/>
      <c r="AWX18" s="2859"/>
      <c r="AWY18" s="2859"/>
      <c r="AWZ18" s="2859"/>
      <c r="AXA18" s="2859"/>
      <c r="AXB18" s="2859"/>
      <c r="AXC18" s="2859"/>
      <c r="AXD18" s="2859"/>
      <c r="AXE18" s="2859"/>
      <c r="AXF18" s="2859"/>
      <c r="AXG18" s="2859"/>
      <c r="AXH18" s="2859"/>
      <c r="AXI18" s="2859"/>
      <c r="AXJ18" s="2859"/>
      <c r="AXK18" s="2859"/>
      <c r="AXL18" s="2859"/>
      <c r="AXM18" s="2859"/>
      <c r="AXN18" s="2859"/>
      <c r="AXO18" s="2859"/>
      <c r="AXP18" s="2859"/>
      <c r="AXQ18" s="2859"/>
      <c r="AXR18" s="2859"/>
      <c r="AXS18" s="2859"/>
      <c r="AXT18" s="2859"/>
      <c r="AXU18" s="2859"/>
      <c r="AXV18" s="2859"/>
      <c r="AXW18" s="2859"/>
      <c r="AXX18" s="2859"/>
      <c r="AXY18" s="2859"/>
      <c r="AXZ18" s="2859"/>
      <c r="AYA18" s="2859"/>
      <c r="AYB18" s="2859"/>
      <c r="AYC18" s="2859"/>
      <c r="AYD18" s="2859"/>
      <c r="AYE18" s="2859"/>
      <c r="AYF18" s="2859"/>
      <c r="AYG18" s="2859"/>
      <c r="AYH18" s="2859"/>
      <c r="AYI18" s="2859"/>
      <c r="AYJ18" s="2859"/>
      <c r="AYK18" s="2859"/>
      <c r="AYL18" s="2859"/>
      <c r="AYM18" s="2859"/>
      <c r="AYN18" s="2859"/>
      <c r="AYO18" s="2859"/>
      <c r="AYP18" s="2859"/>
      <c r="AYQ18" s="2859"/>
      <c r="AYR18" s="2859"/>
      <c r="AYS18" s="2859"/>
      <c r="AYT18" s="2859"/>
      <c r="AYU18" s="2859"/>
      <c r="AYV18" s="2859"/>
      <c r="AYW18" s="2859"/>
      <c r="AYX18" s="2859"/>
      <c r="AYY18" s="2859"/>
      <c r="AYZ18" s="2859"/>
      <c r="AZA18" s="2859"/>
      <c r="AZB18" s="2859"/>
      <c r="AZC18" s="2859"/>
      <c r="AZD18" s="2859"/>
      <c r="AZE18" s="2859"/>
      <c r="AZF18" s="2859"/>
      <c r="AZG18" s="2859"/>
      <c r="AZH18" s="2859"/>
      <c r="AZI18" s="2859"/>
      <c r="AZJ18" s="2859"/>
      <c r="AZK18" s="2859"/>
      <c r="AZL18" s="2859"/>
      <c r="AZM18" s="2859"/>
      <c r="AZN18" s="2859"/>
      <c r="AZO18" s="2859"/>
      <c r="AZP18" s="2859"/>
      <c r="AZQ18" s="2859"/>
      <c r="AZR18" s="2859"/>
      <c r="AZS18" s="2859"/>
      <c r="AZT18" s="2859"/>
      <c r="AZU18" s="2859"/>
      <c r="AZV18" s="2859"/>
      <c r="AZW18" s="2859"/>
      <c r="AZX18" s="2859"/>
      <c r="AZY18" s="2859"/>
      <c r="AZZ18" s="2859"/>
      <c r="BAA18" s="2859"/>
      <c r="BAB18" s="2859"/>
      <c r="BAC18" s="2859"/>
      <c r="BAD18" s="2859"/>
      <c r="BAE18" s="2859"/>
      <c r="BAF18" s="2859"/>
      <c r="BAG18" s="2859"/>
      <c r="BAH18" s="2859"/>
      <c r="BAI18" s="2859"/>
      <c r="BAJ18" s="2859"/>
      <c r="BAK18" s="2859"/>
      <c r="BAL18" s="2859"/>
      <c r="BAM18" s="2859"/>
      <c r="BAN18" s="2859"/>
      <c r="BAO18" s="2859"/>
      <c r="BAP18" s="2859"/>
      <c r="BAQ18" s="2859"/>
      <c r="BAR18" s="2859"/>
      <c r="BAS18" s="2859"/>
      <c r="BAT18" s="2859"/>
      <c r="BAU18" s="2859"/>
      <c r="BAV18" s="2859"/>
      <c r="BAW18" s="2859"/>
      <c r="BAX18" s="2859"/>
      <c r="BAY18" s="2859"/>
      <c r="BAZ18" s="2859"/>
      <c r="BBA18" s="2859"/>
      <c r="BBB18" s="2859"/>
      <c r="BBC18" s="2859"/>
      <c r="BBD18" s="2859"/>
      <c r="BBE18" s="2859"/>
      <c r="BBF18" s="2859"/>
      <c r="BBG18" s="2859"/>
      <c r="BBH18" s="2859"/>
      <c r="BBI18" s="2859"/>
      <c r="BBJ18" s="2859"/>
      <c r="BBK18" s="2859"/>
      <c r="BBL18" s="2859"/>
      <c r="BBM18" s="2859"/>
      <c r="BBN18" s="2859"/>
      <c r="BBO18" s="2859"/>
      <c r="BBP18" s="2859"/>
      <c r="BBQ18" s="2859"/>
      <c r="BBR18" s="2859"/>
      <c r="BBS18" s="2859"/>
      <c r="BBT18" s="2859"/>
      <c r="BBU18" s="2859"/>
      <c r="BBV18" s="2859"/>
      <c r="BBW18" s="2859"/>
      <c r="BBX18" s="2859"/>
      <c r="BBY18" s="2859"/>
      <c r="BBZ18" s="2859"/>
      <c r="BCA18" s="2859"/>
      <c r="BCB18" s="2859"/>
      <c r="BCC18" s="2859"/>
      <c r="BCD18" s="2859"/>
      <c r="BCE18" s="2859"/>
      <c r="BCF18" s="2859"/>
      <c r="BCG18" s="2859"/>
      <c r="BCH18" s="2859"/>
      <c r="BCI18" s="2859"/>
      <c r="BCJ18" s="2859"/>
      <c r="BCK18" s="2859"/>
      <c r="BCL18" s="2859"/>
      <c r="BCM18" s="2859"/>
      <c r="BCN18" s="2859"/>
      <c r="BCO18" s="2859"/>
      <c r="BCP18" s="2859"/>
      <c r="BCQ18" s="2859"/>
      <c r="BCR18" s="2859"/>
      <c r="BCS18" s="2859"/>
      <c r="BCT18" s="2859"/>
      <c r="BCU18" s="2859"/>
      <c r="BCV18" s="2859"/>
      <c r="BCW18" s="2859"/>
      <c r="BCX18" s="2859"/>
      <c r="BCY18" s="2859"/>
      <c r="BCZ18" s="2859"/>
      <c r="BDA18" s="2859"/>
      <c r="BDB18" s="2859"/>
      <c r="BDC18" s="2859"/>
      <c r="BDD18" s="2859"/>
      <c r="BDE18" s="2859"/>
      <c r="BDF18" s="2859"/>
      <c r="BDG18" s="2859"/>
      <c r="BDH18" s="2859"/>
      <c r="BDI18" s="2859"/>
      <c r="BDJ18" s="2859"/>
      <c r="BDK18" s="2859"/>
      <c r="BDL18" s="2859"/>
      <c r="BDM18" s="2859"/>
      <c r="BDN18" s="2859"/>
      <c r="BDO18" s="2859"/>
      <c r="BDP18" s="2859"/>
      <c r="BDQ18" s="2859"/>
      <c r="BDR18" s="2859"/>
      <c r="BDS18" s="2859"/>
      <c r="BDT18" s="2859"/>
      <c r="BDU18" s="2859"/>
      <c r="BDV18" s="2859"/>
      <c r="BDW18" s="2859"/>
      <c r="BDX18" s="2859"/>
      <c r="BDY18" s="2859"/>
      <c r="BDZ18" s="2859"/>
      <c r="BEA18" s="2859"/>
      <c r="BEB18" s="2859"/>
      <c r="BEC18" s="2859"/>
      <c r="BED18" s="2859"/>
      <c r="BEE18" s="2859"/>
      <c r="BEF18" s="2859"/>
      <c r="BEG18" s="2859"/>
      <c r="BEH18" s="2859"/>
      <c r="BEI18" s="2859"/>
      <c r="BEJ18" s="2859"/>
      <c r="BEK18" s="2859"/>
      <c r="BEL18" s="2859"/>
      <c r="BEM18" s="2859"/>
      <c r="BEN18" s="2859"/>
      <c r="BEO18" s="2859"/>
      <c r="BEP18" s="2859"/>
      <c r="BEQ18" s="2859"/>
      <c r="BER18" s="2859"/>
      <c r="BES18" s="2859"/>
      <c r="BET18" s="2859"/>
      <c r="BEU18" s="2859"/>
      <c r="BEV18" s="2859"/>
      <c r="BEW18" s="2859"/>
      <c r="BEX18" s="2859"/>
      <c r="BEY18" s="2859"/>
      <c r="BEZ18" s="2859"/>
      <c r="BFA18" s="2859"/>
      <c r="BFB18" s="2859"/>
      <c r="BFC18" s="2859"/>
      <c r="BFD18" s="2859"/>
      <c r="BFE18" s="2859"/>
      <c r="BFF18" s="2859"/>
      <c r="BFG18" s="2859"/>
      <c r="BFH18" s="2859"/>
      <c r="BFI18" s="2859"/>
      <c r="BFJ18" s="2859"/>
      <c r="BFK18" s="2859"/>
      <c r="BFL18" s="2859"/>
      <c r="BFM18" s="2859"/>
      <c r="BFN18" s="2859"/>
      <c r="BFO18" s="2859"/>
      <c r="BFP18" s="2859"/>
      <c r="BFQ18" s="2859"/>
      <c r="BFR18" s="2859"/>
      <c r="BFS18" s="2859"/>
      <c r="BFT18" s="2859"/>
      <c r="BFU18" s="2859"/>
      <c r="BFV18" s="2859"/>
      <c r="BFW18" s="2859"/>
      <c r="BFX18" s="2859"/>
      <c r="BFY18" s="2859"/>
      <c r="BFZ18" s="2859"/>
      <c r="BGA18" s="2859"/>
      <c r="BGB18" s="2859"/>
      <c r="BGC18" s="2859"/>
      <c r="BGD18" s="2859"/>
      <c r="BGE18" s="2859"/>
      <c r="BGF18" s="2859"/>
      <c r="BGG18" s="2859"/>
      <c r="BGH18" s="2859"/>
      <c r="BGI18" s="2859"/>
      <c r="BGJ18" s="2859"/>
      <c r="BGK18" s="2859"/>
      <c r="BGL18" s="2859"/>
      <c r="BGM18" s="2859"/>
      <c r="BGN18" s="2859"/>
      <c r="BGO18" s="2859"/>
      <c r="BGP18" s="2859"/>
      <c r="BGQ18" s="2859"/>
      <c r="BGR18" s="2859"/>
      <c r="BGS18" s="2859"/>
      <c r="BGT18" s="2859"/>
      <c r="BGU18" s="2859"/>
      <c r="BGV18" s="2859"/>
      <c r="BGW18" s="2859"/>
      <c r="BGX18" s="2859"/>
      <c r="BGY18" s="2859"/>
      <c r="BGZ18" s="2859"/>
      <c r="BHA18" s="2859"/>
      <c r="BHB18" s="2859"/>
      <c r="BHC18" s="2859"/>
      <c r="BHD18" s="2859"/>
      <c r="BHE18" s="2859"/>
      <c r="BHF18" s="2859"/>
      <c r="BHG18" s="2859"/>
      <c r="BHH18" s="2859"/>
      <c r="BHI18" s="2859"/>
      <c r="BHJ18" s="2859"/>
      <c r="BHK18" s="2859"/>
      <c r="BHL18" s="2859"/>
      <c r="BHM18" s="2859"/>
      <c r="BHN18" s="2859"/>
      <c r="BHO18" s="2859"/>
      <c r="BHP18" s="2859"/>
      <c r="BHQ18" s="2859"/>
      <c r="BHR18" s="2859"/>
      <c r="BHS18" s="2859"/>
      <c r="BHT18" s="2859"/>
      <c r="BHU18" s="2859"/>
      <c r="BHV18" s="2859"/>
      <c r="BHW18" s="2859"/>
      <c r="BHX18" s="2859"/>
      <c r="BHY18" s="2859"/>
      <c r="BHZ18" s="2859"/>
      <c r="BIA18" s="2859"/>
      <c r="BIB18" s="2859"/>
      <c r="BIC18" s="2859"/>
      <c r="BID18" s="2859"/>
      <c r="BIE18" s="2859"/>
      <c r="BIF18" s="2859"/>
      <c r="BIG18" s="2859"/>
      <c r="BIH18" s="2859"/>
      <c r="BII18" s="2859"/>
      <c r="BIJ18" s="2859"/>
      <c r="BIK18" s="2859"/>
      <c r="BIL18" s="2859"/>
      <c r="BIM18" s="2859"/>
      <c r="BIN18" s="2859"/>
      <c r="BIO18" s="2859"/>
      <c r="BIP18" s="2859"/>
      <c r="BIQ18" s="2859"/>
      <c r="BIR18" s="2859"/>
      <c r="BIS18" s="2859"/>
      <c r="BIT18" s="2859"/>
      <c r="BIU18" s="2859"/>
      <c r="BIV18" s="2859"/>
      <c r="BIW18" s="2859"/>
      <c r="BIX18" s="2859"/>
      <c r="BIY18" s="2859"/>
      <c r="BIZ18" s="2859"/>
      <c r="BJA18" s="2859"/>
      <c r="BJB18" s="2859"/>
      <c r="BJC18" s="2859"/>
      <c r="BJD18" s="2859"/>
      <c r="BJE18" s="2859"/>
      <c r="BJF18" s="2859"/>
      <c r="BJG18" s="2859"/>
      <c r="BJH18" s="2859"/>
      <c r="BJI18" s="2859"/>
      <c r="BJJ18" s="2859"/>
      <c r="BJK18" s="2859"/>
      <c r="BJL18" s="2859"/>
      <c r="BJM18" s="2859"/>
      <c r="BJN18" s="2859"/>
      <c r="BJO18" s="2859"/>
      <c r="BJP18" s="2859"/>
      <c r="BJQ18" s="2859"/>
      <c r="BJR18" s="2859"/>
      <c r="BJS18" s="2859"/>
      <c r="BJT18" s="2859"/>
      <c r="BJU18" s="2859"/>
      <c r="BJV18" s="2859"/>
      <c r="BJW18" s="2859"/>
      <c r="BJX18" s="2859"/>
      <c r="BJY18" s="2859"/>
      <c r="BJZ18" s="2859"/>
      <c r="BKA18" s="2859"/>
      <c r="BKB18" s="2859"/>
      <c r="BKC18" s="2859"/>
      <c r="BKD18" s="2859"/>
      <c r="BKE18" s="2859"/>
      <c r="BKF18" s="2859"/>
      <c r="BKG18" s="2859"/>
      <c r="BKH18" s="2859"/>
      <c r="BKI18" s="2859"/>
      <c r="BKJ18" s="2859"/>
      <c r="BKK18" s="2859"/>
      <c r="BKL18" s="2859"/>
      <c r="BKM18" s="2859"/>
      <c r="BKN18" s="2859"/>
      <c r="BKO18" s="2859"/>
      <c r="BKP18" s="2859"/>
      <c r="BKQ18" s="2859"/>
      <c r="BKR18" s="2859"/>
      <c r="BKS18" s="2859"/>
      <c r="BKT18" s="2859"/>
      <c r="BKU18" s="2859"/>
      <c r="BKV18" s="2859"/>
      <c r="BKW18" s="2859"/>
      <c r="BKX18" s="2859"/>
      <c r="BKY18" s="2859"/>
      <c r="BKZ18" s="2859"/>
      <c r="BLA18" s="2859"/>
      <c r="BLB18" s="2859"/>
      <c r="BLC18" s="2859"/>
      <c r="BLD18" s="2859"/>
      <c r="BLE18" s="2859"/>
      <c r="BLF18" s="2859"/>
      <c r="BLG18" s="2859"/>
      <c r="BLH18" s="2859"/>
      <c r="BLI18" s="2859"/>
      <c r="BLJ18" s="2859"/>
      <c r="BLK18" s="2859"/>
      <c r="BLL18" s="2859"/>
      <c r="BLM18" s="2859"/>
      <c r="BLN18" s="2859"/>
      <c r="BLO18" s="2859"/>
      <c r="BLP18" s="2859"/>
      <c r="BLQ18" s="2859"/>
      <c r="BLR18" s="2859"/>
      <c r="BLS18" s="2859"/>
      <c r="BLT18" s="2859"/>
      <c r="BLU18" s="2859"/>
      <c r="BLV18" s="2859"/>
      <c r="BLW18" s="2859"/>
      <c r="BLX18" s="2859"/>
      <c r="BLY18" s="2859"/>
      <c r="BLZ18" s="2859"/>
      <c r="BMA18" s="2859"/>
      <c r="BMB18" s="2859"/>
      <c r="BMC18" s="2859"/>
      <c r="BMD18" s="2859"/>
      <c r="BME18" s="2859"/>
      <c r="BMF18" s="2859"/>
      <c r="BMG18" s="2859"/>
      <c r="BMH18" s="2859"/>
      <c r="BMI18" s="2859"/>
      <c r="BMJ18" s="2859"/>
      <c r="BMK18" s="2859"/>
      <c r="BML18" s="2859"/>
      <c r="BMM18" s="2859"/>
      <c r="BMN18" s="2859"/>
      <c r="BMO18" s="2859"/>
      <c r="BMP18" s="2859"/>
      <c r="BMQ18" s="2859"/>
      <c r="BMR18" s="2859"/>
      <c r="BMS18" s="2859"/>
      <c r="BMT18" s="2859"/>
      <c r="BMU18" s="2859"/>
      <c r="BMV18" s="2859"/>
      <c r="BMW18" s="2859"/>
      <c r="BMX18" s="2859"/>
      <c r="BMY18" s="2859"/>
      <c r="BMZ18" s="2859"/>
      <c r="BNA18" s="2859"/>
      <c r="BNB18" s="2859"/>
      <c r="BNC18" s="2859"/>
      <c r="BND18" s="2859"/>
      <c r="BNE18" s="2859"/>
      <c r="BNF18" s="2859"/>
      <c r="BNG18" s="2859"/>
      <c r="BNH18" s="2859"/>
      <c r="BNI18" s="2859"/>
      <c r="BNJ18" s="2859"/>
      <c r="BNK18" s="2859"/>
      <c r="BNL18" s="2859"/>
      <c r="BNM18" s="2859"/>
      <c r="BNN18" s="2859"/>
      <c r="BNO18" s="2859"/>
      <c r="BNP18" s="2859"/>
      <c r="BNQ18" s="2859"/>
      <c r="BNR18" s="2859"/>
      <c r="BNS18" s="2859"/>
      <c r="BNT18" s="2859"/>
      <c r="BNU18" s="2859"/>
      <c r="BNV18" s="2859"/>
      <c r="BNW18" s="2859"/>
      <c r="BNX18" s="2859"/>
      <c r="BNY18" s="2859"/>
      <c r="BNZ18" s="2859"/>
      <c r="BOA18" s="2859"/>
      <c r="BOB18" s="2859"/>
      <c r="BOC18" s="2859"/>
      <c r="BOD18" s="2859"/>
      <c r="BOE18" s="2859"/>
      <c r="BOF18" s="2859"/>
      <c r="BOG18" s="2859"/>
      <c r="BOH18" s="2859"/>
      <c r="BOI18" s="2859"/>
      <c r="BOJ18" s="2859"/>
      <c r="BOK18" s="2859"/>
      <c r="BOL18" s="2859"/>
      <c r="BOM18" s="2859"/>
      <c r="BON18" s="2859"/>
      <c r="BOO18" s="2859"/>
      <c r="BOP18" s="2859"/>
      <c r="BOQ18" s="2859"/>
      <c r="BOR18" s="2859"/>
      <c r="BOS18" s="2859"/>
      <c r="BOT18" s="2859"/>
      <c r="BOU18" s="2859"/>
      <c r="BOV18" s="2859"/>
      <c r="BOW18" s="2859"/>
      <c r="BOX18" s="2859"/>
      <c r="BOY18" s="2859"/>
      <c r="BOZ18" s="2859"/>
      <c r="BPA18" s="2859"/>
      <c r="BPB18" s="2859"/>
      <c r="BPC18" s="2859"/>
      <c r="BPD18" s="2859"/>
      <c r="BPE18" s="2859"/>
      <c r="BPF18" s="2859"/>
      <c r="BPG18" s="2859"/>
      <c r="BPH18" s="2859"/>
      <c r="BPI18" s="2859"/>
      <c r="BPJ18" s="2859"/>
      <c r="BPK18" s="2859"/>
      <c r="BPL18" s="2859"/>
      <c r="BPM18" s="2859"/>
      <c r="BPN18" s="2859"/>
      <c r="BPO18" s="2859"/>
      <c r="BPP18" s="2859"/>
      <c r="BPQ18" s="2859"/>
      <c r="BPR18" s="2859"/>
      <c r="BPS18" s="2859"/>
      <c r="BPT18" s="2859"/>
      <c r="BPU18" s="2859"/>
      <c r="BPV18" s="2859"/>
      <c r="BPW18" s="2859"/>
      <c r="BPX18" s="2859"/>
      <c r="BPY18" s="2859"/>
      <c r="BPZ18" s="2859"/>
      <c r="BQA18" s="2859"/>
      <c r="BQB18" s="2859"/>
      <c r="BQC18" s="2859"/>
      <c r="BQD18" s="2859"/>
      <c r="BQE18" s="2859"/>
      <c r="BQF18" s="2859"/>
      <c r="BQG18" s="2859"/>
      <c r="BQH18" s="2859"/>
      <c r="BQI18" s="2859"/>
      <c r="BQJ18" s="2859"/>
      <c r="BQK18" s="2859"/>
      <c r="BQL18" s="2859"/>
      <c r="BQM18" s="2859"/>
      <c r="BQN18" s="2859"/>
      <c r="BQO18" s="2859"/>
      <c r="BQP18" s="2859"/>
      <c r="BQQ18" s="2859"/>
      <c r="BQR18" s="2859"/>
      <c r="BQS18" s="2859"/>
      <c r="BQT18" s="2859"/>
      <c r="BQU18" s="2859"/>
      <c r="BQV18" s="2859"/>
      <c r="BQW18" s="2859"/>
      <c r="BQX18" s="2859"/>
      <c r="BQY18" s="2859"/>
      <c r="BQZ18" s="2859"/>
      <c r="BRA18" s="2859"/>
      <c r="BRB18" s="2859"/>
      <c r="BRC18" s="2859"/>
      <c r="BRD18" s="2859"/>
      <c r="BRE18" s="2859"/>
      <c r="BRF18" s="2859"/>
      <c r="BRG18" s="2859"/>
      <c r="BRH18" s="2859"/>
      <c r="BRI18" s="2859"/>
      <c r="BRJ18" s="2859"/>
      <c r="BRK18" s="2859"/>
      <c r="BRL18" s="2859"/>
      <c r="BRM18" s="2859"/>
      <c r="BRN18" s="2859"/>
      <c r="BRO18" s="2859"/>
      <c r="BRP18" s="2859"/>
      <c r="BRQ18" s="2859"/>
      <c r="BRR18" s="2859"/>
      <c r="BRS18" s="2859"/>
      <c r="BRT18" s="2859"/>
      <c r="BRU18" s="2859"/>
      <c r="BRV18" s="2859"/>
      <c r="BRW18" s="2859"/>
      <c r="BRX18" s="2859"/>
      <c r="BRY18" s="2859"/>
      <c r="BRZ18" s="2859"/>
      <c r="BSA18" s="2859"/>
      <c r="BSB18" s="2859"/>
      <c r="BSC18" s="2859"/>
      <c r="BSD18" s="2859"/>
      <c r="BSE18" s="2859"/>
      <c r="BSF18" s="2859"/>
      <c r="BSG18" s="2859"/>
      <c r="BSH18" s="2859"/>
      <c r="BSI18" s="2859"/>
      <c r="BSJ18" s="2859"/>
      <c r="BSK18" s="2859"/>
      <c r="BSL18" s="2859"/>
      <c r="BSM18" s="2859"/>
      <c r="BSN18" s="2859"/>
      <c r="BSO18" s="2859"/>
      <c r="BSP18" s="2859"/>
      <c r="BSQ18" s="2859"/>
      <c r="BSR18" s="2859"/>
      <c r="BSS18" s="2859"/>
      <c r="BST18" s="2859"/>
      <c r="BSU18" s="2859"/>
      <c r="BSV18" s="2859"/>
      <c r="BSW18" s="2859"/>
      <c r="BSX18" s="2859"/>
      <c r="BSY18" s="2859"/>
      <c r="BSZ18" s="2859"/>
      <c r="BTA18" s="2859"/>
      <c r="BTB18" s="2859"/>
      <c r="BTC18" s="2859"/>
      <c r="BTD18" s="2859"/>
      <c r="BTE18" s="2859"/>
      <c r="BTF18" s="2859"/>
      <c r="BTG18" s="2859"/>
      <c r="BTH18" s="2859"/>
      <c r="BTI18" s="2859"/>
      <c r="BTJ18" s="2859"/>
      <c r="BTK18" s="2859"/>
      <c r="BTL18" s="2859"/>
      <c r="BTM18" s="2859"/>
      <c r="BTN18" s="2859"/>
      <c r="BTO18" s="2859"/>
      <c r="BTP18" s="2859"/>
      <c r="BTQ18" s="2859"/>
      <c r="BTR18" s="2859"/>
      <c r="BTS18" s="2859"/>
      <c r="BTT18" s="2859"/>
      <c r="BTU18" s="2859"/>
      <c r="BTV18" s="2859"/>
      <c r="BTW18" s="2859"/>
      <c r="BTX18" s="2859"/>
      <c r="BTY18" s="2859"/>
      <c r="BTZ18" s="2859"/>
      <c r="BUA18" s="2859"/>
      <c r="BUB18" s="2859"/>
      <c r="BUC18" s="2859"/>
      <c r="BUD18" s="2859"/>
      <c r="BUE18" s="2859"/>
      <c r="BUF18" s="2859"/>
      <c r="BUG18" s="2859"/>
      <c r="BUH18" s="2859"/>
      <c r="BUI18" s="2859"/>
      <c r="BUJ18" s="2859"/>
      <c r="BUK18" s="2859"/>
      <c r="BUL18" s="2859"/>
      <c r="BUM18" s="2859"/>
      <c r="BUN18" s="2859"/>
      <c r="BUO18" s="2859"/>
      <c r="BUP18" s="2859"/>
      <c r="BUQ18" s="2859"/>
      <c r="BUR18" s="2859"/>
      <c r="BUS18" s="2859"/>
      <c r="BUT18" s="2859"/>
      <c r="BUU18" s="2859"/>
      <c r="BUV18" s="2859"/>
      <c r="BUW18" s="2859"/>
      <c r="BUX18" s="2859"/>
      <c r="BUY18" s="2859"/>
      <c r="BUZ18" s="2859"/>
      <c r="BVA18" s="2859"/>
      <c r="BVB18" s="2859"/>
      <c r="BVC18" s="2859"/>
      <c r="BVD18" s="2859"/>
      <c r="BVE18" s="2859"/>
      <c r="BVF18" s="2859"/>
      <c r="BVG18" s="2859"/>
      <c r="BVH18" s="2859"/>
      <c r="BVI18" s="2859"/>
      <c r="BVJ18" s="2859"/>
      <c r="BVK18" s="2859"/>
      <c r="BVL18" s="2859"/>
      <c r="BVM18" s="2859"/>
      <c r="BVN18" s="2859"/>
      <c r="BVO18" s="2859"/>
      <c r="BVP18" s="2859"/>
      <c r="BVQ18" s="2859"/>
      <c r="BVR18" s="2859"/>
      <c r="BVS18" s="2859"/>
      <c r="BVT18" s="2859"/>
      <c r="BVU18" s="2859"/>
      <c r="BVV18" s="2859"/>
      <c r="BVW18" s="2859"/>
      <c r="BVX18" s="2859"/>
      <c r="BVY18" s="2859"/>
      <c r="BVZ18" s="2859"/>
      <c r="BWA18" s="2859"/>
      <c r="BWB18" s="2859"/>
      <c r="BWC18" s="2859"/>
      <c r="BWD18" s="2859"/>
      <c r="BWE18" s="2859"/>
      <c r="BWF18" s="2859"/>
      <c r="BWG18" s="2859"/>
      <c r="BWH18" s="2859"/>
      <c r="BWI18" s="2859"/>
      <c r="BWJ18" s="2859"/>
      <c r="BWK18" s="2859"/>
      <c r="BWL18" s="2859"/>
      <c r="BWM18" s="2859"/>
      <c r="BWN18" s="2859"/>
      <c r="BWO18" s="2859"/>
      <c r="BWP18" s="2859"/>
      <c r="BWQ18" s="2859"/>
      <c r="BWR18" s="2859"/>
      <c r="BWS18" s="2859"/>
      <c r="BWT18" s="2859"/>
      <c r="BWU18" s="2859"/>
      <c r="BWV18" s="2859"/>
      <c r="BWW18" s="2859"/>
      <c r="BWX18" s="2859"/>
      <c r="BWY18" s="2859"/>
      <c r="BWZ18" s="2859"/>
      <c r="BXA18" s="2859"/>
      <c r="BXB18" s="2859"/>
      <c r="BXC18" s="2859"/>
      <c r="BXD18" s="2859"/>
      <c r="BXE18" s="2859"/>
      <c r="BXF18" s="2859"/>
      <c r="BXG18" s="2859"/>
      <c r="BXH18" s="2859"/>
      <c r="BXI18" s="2859"/>
      <c r="BXJ18" s="2859"/>
      <c r="BXK18" s="2859"/>
      <c r="BXL18" s="2859"/>
      <c r="BXM18" s="2859"/>
      <c r="BXN18" s="2859"/>
      <c r="BXO18" s="2859"/>
      <c r="BXP18" s="2859"/>
      <c r="BXQ18" s="2859"/>
      <c r="BXR18" s="2859"/>
      <c r="BXS18" s="2859"/>
      <c r="BXT18" s="2859"/>
      <c r="BXU18" s="2859"/>
      <c r="BXV18" s="2859"/>
      <c r="BXW18" s="2859"/>
      <c r="BXX18" s="2859"/>
      <c r="BXY18" s="2859"/>
      <c r="BXZ18" s="2859"/>
      <c r="BYA18" s="2859"/>
      <c r="BYB18" s="2859"/>
      <c r="BYC18" s="2859"/>
      <c r="BYD18" s="2859"/>
      <c r="BYE18" s="2859"/>
      <c r="BYF18" s="2859"/>
      <c r="BYG18" s="2859"/>
      <c r="BYH18" s="2859"/>
      <c r="BYI18" s="2859"/>
      <c r="BYJ18" s="2859"/>
      <c r="BYK18" s="2859"/>
      <c r="BYL18" s="2859"/>
      <c r="BYM18" s="2859"/>
      <c r="BYN18" s="2859"/>
      <c r="BYO18" s="2859"/>
      <c r="BYP18" s="2859"/>
      <c r="BYQ18" s="2859"/>
      <c r="BYR18" s="2859"/>
      <c r="BYS18" s="2859"/>
      <c r="BYT18" s="2859"/>
      <c r="BYU18" s="2859"/>
      <c r="BYV18" s="2859"/>
      <c r="BYW18" s="2859"/>
      <c r="BYX18" s="2859"/>
      <c r="BYY18" s="2859"/>
      <c r="BYZ18" s="2859"/>
      <c r="BZA18" s="2859"/>
      <c r="BZB18" s="2859"/>
      <c r="BZC18" s="2859"/>
      <c r="BZD18" s="2859"/>
      <c r="BZE18" s="2859"/>
      <c r="BZF18" s="2859"/>
      <c r="BZG18" s="2859"/>
      <c r="BZH18" s="2859"/>
      <c r="BZI18" s="2859"/>
      <c r="BZJ18" s="2859"/>
      <c r="BZK18" s="2859"/>
      <c r="BZL18" s="2859"/>
      <c r="BZM18" s="2859"/>
      <c r="BZN18" s="2859"/>
      <c r="BZO18" s="2859"/>
      <c r="BZP18" s="2859"/>
      <c r="BZQ18" s="2859"/>
      <c r="BZR18" s="2859"/>
      <c r="BZS18" s="2859"/>
      <c r="BZT18" s="2859"/>
      <c r="BZU18" s="2859"/>
      <c r="BZV18" s="2859"/>
      <c r="BZW18" s="2859"/>
      <c r="BZX18" s="2859"/>
      <c r="BZY18" s="2859"/>
      <c r="BZZ18" s="2859"/>
      <c r="CAA18" s="2859"/>
      <c r="CAB18" s="2859"/>
      <c r="CAC18" s="2859"/>
      <c r="CAD18" s="2859"/>
      <c r="CAE18" s="2859"/>
      <c r="CAF18" s="2859"/>
      <c r="CAG18" s="2859"/>
      <c r="CAH18" s="2859"/>
      <c r="CAI18" s="2859"/>
      <c r="CAJ18" s="2859"/>
      <c r="CAK18" s="2859"/>
      <c r="CAL18" s="2859"/>
      <c r="CAM18" s="2859"/>
      <c r="CAN18" s="2859"/>
      <c r="CAO18" s="2859"/>
      <c r="CAP18" s="2859"/>
      <c r="CAQ18" s="2859"/>
      <c r="CAR18" s="2859"/>
      <c r="CAS18" s="2859"/>
      <c r="CAT18" s="2859"/>
      <c r="CAU18" s="2859"/>
      <c r="CAV18" s="2859"/>
      <c r="CAW18" s="2859"/>
      <c r="CAX18" s="2859"/>
      <c r="CAY18" s="2859"/>
      <c r="CAZ18" s="2859"/>
      <c r="CBA18" s="2859"/>
      <c r="CBB18" s="2859"/>
      <c r="CBC18" s="2859"/>
      <c r="CBD18" s="2859"/>
      <c r="CBE18" s="2859"/>
      <c r="CBF18" s="2859"/>
      <c r="CBG18" s="2859"/>
      <c r="CBH18" s="2859"/>
      <c r="CBI18" s="2859"/>
      <c r="CBJ18" s="2859"/>
      <c r="CBK18" s="2859"/>
      <c r="CBL18" s="2859"/>
      <c r="CBM18" s="2859"/>
      <c r="CBN18" s="2859"/>
      <c r="CBO18" s="2859"/>
      <c r="CBP18" s="2859"/>
      <c r="CBQ18" s="2859"/>
      <c r="CBR18" s="2859"/>
      <c r="CBS18" s="2859"/>
      <c r="CBT18" s="2859"/>
      <c r="CBU18" s="2859"/>
      <c r="CBV18" s="2859"/>
      <c r="CBW18" s="2859"/>
      <c r="CBX18" s="2859"/>
      <c r="CBY18" s="2859"/>
      <c r="CBZ18" s="2859"/>
      <c r="CCA18" s="2859"/>
      <c r="CCB18" s="2859"/>
      <c r="CCC18" s="2859"/>
      <c r="CCD18" s="2859"/>
      <c r="CCE18" s="2859"/>
      <c r="CCF18" s="2859"/>
      <c r="CCG18" s="2859"/>
      <c r="CCH18" s="2859"/>
      <c r="CCI18" s="2859"/>
      <c r="CCJ18" s="2859"/>
      <c r="CCK18" s="2859"/>
      <c r="CCL18" s="2859"/>
      <c r="CCM18" s="2859"/>
      <c r="CCN18" s="2859"/>
      <c r="CCO18" s="2859"/>
      <c r="CCP18" s="2859"/>
      <c r="CCQ18" s="2859"/>
      <c r="CCR18" s="2859"/>
      <c r="CCS18" s="2859"/>
      <c r="CCT18" s="2859"/>
      <c r="CCU18" s="2859"/>
      <c r="CCV18" s="2859"/>
      <c r="CCW18" s="2859"/>
      <c r="CCX18" s="2859"/>
      <c r="CCY18" s="2859"/>
      <c r="CCZ18" s="2859"/>
      <c r="CDA18" s="2859"/>
      <c r="CDB18" s="2859"/>
      <c r="CDC18" s="2859"/>
      <c r="CDD18" s="2859"/>
      <c r="CDE18" s="2859"/>
      <c r="CDF18" s="2859"/>
      <c r="CDG18" s="2859"/>
      <c r="CDH18" s="2859"/>
      <c r="CDI18" s="2859"/>
      <c r="CDJ18" s="2859"/>
      <c r="CDK18" s="2859"/>
      <c r="CDL18" s="2859"/>
      <c r="CDM18" s="2859"/>
      <c r="CDN18" s="2859"/>
      <c r="CDO18" s="2859"/>
      <c r="CDP18" s="2859"/>
      <c r="CDQ18" s="2859"/>
      <c r="CDR18" s="2859"/>
      <c r="CDS18" s="2859"/>
      <c r="CDT18" s="2859"/>
      <c r="CDU18" s="2859"/>
      <c r="CDV18" s="2859"/>
      <c r="CDW18" s="2859"/>
      <c r="CDX18" s="2859"/>
      <c r="CDY18" s="2859"/>
      <c r="CDZ18" s="2859"/>
      <c r="CEA18" s="2859"/>
      <c r="CEB18" s="2859"/>
      <c r="CEC18" s="2859"/>
      <c r="CED18" s="2859"/>
      <c r="CEE18" s="2859"/>
      <c r="CEF18" s="2859"/>
      <c r="CEG18" s="2859"/>
      <c r="CEH18" s="2859"/>
      <c r="CEI18" s="2859"/>
      <c r="CEJ18" s="2859"/>
      <c r="CEK18" s="2859"/>
      <c r="CEL18" s="2859"/>
      <c r="CEM18" s="2859"/>
      <c r="CEN18" s="2859"/>
      <c r="CEO18" s="2859"/>
      <c r="CEP18" s="2859"/>
      <c r="CEQ18" s="2859"/>
      <c r="CER18" s="2859"/>
      <c r="CES18" s="2859"/>
      <c r="CET18" s="2859"/>
      <c r="CEU18" s="2859"/>
      <c r="CEV18" s="2859"/>
      <c r="CEW18" s="2859"/>
      <c r="CEX18" s="2859"/>
      <c r="CEY18" s="2859"/>
      <c r="CEZ18" s="2859"/>
      <c r="CFA18" s="2859"/>
      <c r="CFB18" s="2859"/>
      <c r="CFC18" s="2859"/>
      <c r="CFD18" s="2859"/>
      <c r="CFE18" s="2859"/>
      <c r="CFF18" s="2859"/>
      <c r="CFG18" s="2859"/>
      <c r="CFH18" s="2859"/>
      <c r="CFI18" s="2859"/>
      <c r="CFJ18" s="2859"/>
      <c r="CFK18" s="2859"/>
      <c r="CFL18" s="2859"/>
      <c r="CFM18" s="2859"/>
      <c r="CFN18" s="2859"/>
      <c r="CFO18" s="2859"/>
      <c r="CFP18" s="2859"/>
      <c r="CFQ18" s="2859"/>
      <c r="CFR18" s="2859"/>
      <c r="CFS18" s="2859"/>
      <c r="CFT18" s="2859"/>
      <c r="CFU18" s="2859"/>
      <c r="CFV18" s="2859"/>
      <c r="CFW18" s="2859"/>
      <c r="CFX18" s="2859"/>
      <c r="CFY18" s="2859"/>
      <c r="CFZ18" s="2859"/>
      <c r="CGA18" s="2859"/>
      <c r="CGB18" s="2859"/>
      <c r="CGC18" s="2859"/>
      <c r="CGD18" s="2859"/>
      <c r="CGE18" s="2859"/>
      <c r="CGF18" s="2859"/>
      <c r="CGG18" s="2859"/>
      <c r="CGH18" s="2859"/>
      <c r="CGI18" s="2859"/>
      <c r="CGJ18" s="2859"/>
      <c r="CGK18" s="2859"/>
      <c r="CGL18" s="2859"/>
      <c r="CGM18" s="2859"/>
      <c r="CGN18" s="2859"/>
      <c r="CGO18" s="2859"/>
      <c r="CGP18" s="2859"/>
      <c r="CGQ18" s="2859"/>
      <c r="CGR18" s="2859"/>
      <c r="CGS18" s="2859"/>
      <c r="CGT18" s="2859"/>
      <c r="CGU18" s="2859"/>
      <c r="CGV18" s="2859"/>
      <c r="CGW18" s="2859"/>
      <c r="CGX18" s="2859"/>
      <c r="CGY18" s="2859"/>
      <c r="CGZ18" s="2859"/>
      <c r="CHA18" s="2859"/>
      <c r="CHB18" s="2859"/>
      <c r="CHC18" s="2859"/>
      <c r="CHD18" s="2859"/>
      <c r="CHE18" s="2859"/>
      <c r="CHF18" s="2859"/>
      <c r="CHG18" s="2859"/>
      <c r="CHH18" s="2859"/>
      <c r="CHI18" s="2859"/>
      <c r="CHJ18" s="2859"/>
      <c r="CHK18" s="2859"/>
      <c r="CHL18" s="2859"/>
      <c r="CHM18" s="2859"/>
      <c r="CHN18" s="2859"/>
      <c r="CHO18" s="2859"/>
      <c r="CHP18" s="2859"/>
      <c r="CHQ18" s="2859"/>
      <c r="CHR18" s="2859"/>
      <c r="CHS18" s="2859"/>
      <c r="CHT18" s="2859"/>
      <c r="CHU18" s="2859"/>
      <c r="CHV18" s="2859"/>
      <c r="CHW18" s="2859"/>
      <c r="CHX18" s="2859"/>
      <c r="CHY18" s="2859"/>
      <c r="CHZ18" s="2859"/>
      <c r="CIA18" s="2859"/>
      <c r="CIB18" s="2859"/>
      <c r="CIC18" s="2859"/>
      <c r="CID18" s="2859"/>
      <c r="CIE18" s="2859"/>
      <c r="CIF18" s="2859"/>
      <c r="CIG18" s="2859"/>
      <c r="CIH18" s="2859"/>
      <c r="CII18" s="2859"/>
      <c r="CIJ18" s="2859"/>
      <c r="CIK18" s="2859"/>
      <c r="CIL18" s="2859"/>
      <c r="CIM18" s="2859"/>
      <c r="CIN18" s="2859"/>
      <c r="CIO18" s="2859"/>
      <c r="CIP18" s="2859"/>
      <c r="CIQ18" s="2859"/>
      <c r="CIR18" s="2859"/>
      <c r="CIS18" s="2859"/>
      <c r="CIT18" s="2859"/>
      <c r="CIU18" s="2859"/>
      <c r="CIV18" s="2859"/>
      <c r="CIW18" s="2859"/>
      <c r="CIX18" s="2859"/>
      <c r="CIY18" s="2859"/>
      <c r="CIZ18" s="2859"/>
      <c r="CJA18" s="2859"/>
      <c r="CJB18" s="2859"/>
      <c r="CJC18" s="2859"/>
      <c r="CJD18" s="2859"/>
      <c r="CJE18" s="2859"/>
      <c r="CJF18" s="2859"/>
      <c r="CJG18" s="2859"/>
      <c r="CJH18" s="2859"/>
      <c r="CJI18" s="2859"/>
      <c r="CJJ18" s="2859"/>
      <c r="CJK18" s="2859"/>
      <c r="CJL18" s="2859"/>
      <c r="CJM18" s="2859"/>
      <c r="CJN18" s="2859"/>
      <c r="CJO18" s="2859"/>
      <c r="CJP18" s="2859"/>
      <c r="CJQ18" s="2859"/>
      <c r="CJR18" s="2859"/>
      <c r="CJS18" s="2859"/>
      <c r="CJT18" s="2859"/>
      <c r="CJU18" s="2859"/>
      <c r="CJV18" s="2859"/>
      <c r="CJW18" s="2859"/>
      <c r="CJX18" s="2859"/>
      <c r="CJY18" s="2859"/>
      <c r="CJZ18" s="2859"/>
      <c r="CKA18" s="2859"/>
      <c r="CKB18" s="2859"/>
      <c r="CKC18" s="2859"/>
      <c r="CKD18" s="2859"/>
      <c r="CKE18" s="2859"/>
      <c r="CKF18" s="2859"/>
      <c r="CKG18" s="2859"/>
      <c r="CKH18" s="2859"/>
      <c r="CKI18" s="2859"/>
      <c r="CKJ18" s="2859"/>
      <c r="CKK18" s="2859"/>
      <c r="CKL18" s="2859"/>
      <c r="CKM18" s="2859"/>
      <c r="CKN18" s="2859"/>
      <c r="CKO18" s="2859"/>
      <c r="CKP18" s="2859"/>
      <c r="CKQ18" s="2859"/>
      <c r="CKR18" s="2859"/>
      <c r="CKS18" s="2859"/>
      <c r="CKT18" s="2859"/>
      <c r="CKU18" s="2859"/>
      <c r="CKV18" s="2859"/>
      <c r="CKW18" s="2859"/>
      <c r="CKX18" s="2859"/>
      <c r="CKY18" s="2859"/>
      <c r="CKZ18" s="2859"/>
      <c r="CLA18" s="2859"/>
      <c r="CLB18" s="2859"/>
      <c r="CLC18" s="2859"/>
      <c r="CLD18" s="2859"/>
      <c r="CLE18" s="2859"/>
      <c r="CLF18" s="2859"/>
      <c r="CLG18" s="2859"/>
      <c r="CLH18" s="2859"/>
      <c r="CLI18" s="2859"/>
      <c r="CLJ18" s="2859"/>
      <c r="CLK18" s="2859"/>
      <c r="CLL18" s="2859"/>
      <c r="CLM18" s="2859"/>
      <c r="CLN18" s="2859"/>
      <c r="CLO18" s="2859"/>
      <c r="CLP18" s="2859"/>
      <c r="CLQ18" s="2859"/>
      <c r="CLR18" s="2859"/>
      <c r="CLS18" s="2859"/>
      <c r="CLT18" s="2859"/>
      <c r="CLU18" s="2859"/>
      <c r="CLV18" s="2859"/>
      <c r="CLW18" s="2859"/>
    </row>
    <row r="19" spans="1:2363" ht="15" customHeight="1" x14ac:dyDescent="0.25">
      <c r="A19" s="3868"/>
      <c r="B19" s="3880" t="s">
        <v>572</v>
      </c>
      <c r="C19" s="2207">
        <v>1</v>
      </c>
      <c r="D19" s="3215"/>
      <c r="E19" s="3214"/>
      <c r="F19" s="2787"/>
      <c r="G19" s="1800"/>
      <c r="H19" s="3135"/>
      <c r="I19" s="3136"/>
      <c r="J19" s="2664"/>
      <c r="K19" s="2200"/>
      <c r="L19" s="2244"/>
      <c r="M19" s="3114"/>
      <c r="N19" s="3115">
        <f>+F19+I19+L19</f>
        <v>0</v>
      </c>
      <c r="O19" s="1999">
        <f>+I19+F19</f>
        <v>0</v>
      </c>
      <c r="P19" s="1818"/>
      <c r="Q19" s="2102"/>
      <c r="R19" s="1888"/>
      <c r="S19" s="2293"/>
      <c r="T19" s="2806"/>
      <c r="U19" s="2294"/>
      <c r="V19" s="2920"/>
      <c r="W19" s="2807"/>
      <c r="X19" s="2925"/>
      <c r="Y19" s="2923"/>
      <c r="Z19" s="3525"/>
      <c r="AA19" s="1858">
        <v>332543.3</v>
      </c>
      <c r="AB19" s="1858">
        <v>332543.3</v>
      </c>
      <c r="AC19" s="2082">
        <v>0</v>
      </c>
      <c r="AD19" s="1896">
        <v>1544306.38</v>
      </c>
      <c r="AE19" s="1896">
        <v>341271.28</v>
      </c>
      <c r="AF19" s="1860"/>
      <c r="AG19" s="2868"/>
      <c r="AH19" s="2131">
        <f>AD19+AF19+AE19+AG19</f>
        <v>1885577.66</v>
      </c>
      <c r="AI19" s="3410"/>
      <c r="AJ19" s="2148"/>
      <c r="AK19" s="2769">
        <f>AI19+AJ19</f>
        <v>0</v>
      </c>
      <c r="AL19" s="2679">
        <v>0</v>
      </c>
      <c r="AM19" s="2680">
        <v>0</v>
      </c>
      <c r="AN19" s="1930">
        <f t="shared" ref="AN19:AN24" si="22">AL19+AM19</f>
        <v>0</v>
      </c>
      <c r="AO19" s="2160">
        <v>0</v>
      </c>
      <c r="AP19" s="2509">
        <v>0</v>
      </c>
      <c r="AQ19" s="2172">
        <v>0</v>
      </c>
      <c r="AR19" s="2509">
        <v>0</v>
      </c>
      <c r="AS19" s="2407">
        <f>+AO19+AP19+AQ19+AR19</f>
        <v>0</v>
      </c>
      <c r="AT19" s="3229"/>
      <c r="AU19" s="2491"/>
      <c r="AV19" s="3260">
        <v>0</v>
      </c>
      <c r="AW19" s="2492">
        <f>AU19+AV19</f>
        <v>0</v>
      </c>
      <c r="AX19" s="3520"/>
      <c r="AY19" s="3298"/>
      <c r="AZ19" s="1930">
        <f>AX19-AY19</f>
        <v>0</v>
      </c>
      <c r="BA19" s="3082">
        <v>0</v>
      </c>
      <c r="BB19" s="3083">
        <v>0</v>
      </c>
      <c r="BC19" s="3084">
        <v>0</v>
      </c>
      <c r="BD19" s="3083">
        <v>0</v>
      </c>
      <c r="BE19" s="3084">
        <f>+BA19+BB19+BC19+BD19+AZ19</f>
        <v>0</v>
      </c>
      <c r="BF19" s="3299">
        <v>0</v>
      </c>
      <c r="BG19" s="3298"/>
      <c r="BH19" s="3260">
        <v>0</v>
      </c>
      <c r="BI19" s="3209">
        <f>BG19+BH19</f>
        <v>0</v>
      </c>
      <c r="BJ19" s="3399">
        <v>0</v>
      </c>
      <c r="BK19" s="1853">
        <v>0</v>
      </c>
      <c r="BL19" s="2135">
        <f>BJ19-BK19</f>
        <v>0</v>
      </c>
      <c r="BM19" s="3443">
        <v>0</v>
      </c>
      <c r="BN19" s="3439">
        <v>0</v>
      </c>
      <c r="BO19" s="2065">
        <f t="shared" ref="BN19:BP26" si="23">+AQ19+AF19</f>
        <v>0</v>
      </c>
      <c r="BP19" s="3438">
        <v>0</v>
      </c>
      <c r="BQ19" s="3469">
        <v>0</v>
      </c>
      <c r="BR19" s="3447">
        <v>0</v>
      </c>
      <c r="BS19" s="1858">
        <f t="shared" ref="BR19:BS26" si="24">AJ19+AV19</f>
        <v>0</v>
      </c>
      <c r="BT19" s="3454">
        <v>0</v>
      </c>
      <c r="BU19" s="3144"/>
      <c r="BV19" s="3058"/>
      <c r="BW19" s="3058"/>
      <c r="BX19" s="3058"/>
      <c r="BY19" s="3144"/>
      <c r="BZ19" s="3144"/>
      <c r="CA19" s="3147"/>
      <c r="CB19" s="3147"/>
      <c r="CC19" s="3147"/>
      <c r="CD19" s="3147"/>
      <c r="CE19" s="3147"/>
      <c r="CF19" s="3147"/>
      <c r="CG19" s="3147"/>
      <c r="CH19" s="1050"/>
      <c r="CI19" s="2854"/>
      <c r="CJ19" s="2854"/>
      <c r="CK19" s="2854"/>
      <c r="CL19" s="2854"/>
      <c r="CM19" s="2854"/>
      <c r="CN19" s="2854"/>
      <c r="CO19" s="2854"/>
      <c r="CP19" s="2854"/>
      <c r="CQ19" s="2854"/>
      <c r="CR19" s="2854"/>
      <c r="CS19" s="2854"/>
      <c r="CT19" s="2854"/>
      <c r="CU19" s="175"/>
      <c r="CV19" s="2854"/>
      <c r="CW19" s="2854"/>
      <c r="CX19" s="2854"/>
      <c r="CY19" s="2854"/>
      <c r="CZ19" s="2854"/>
      <c r="DA19" s="2854"/>
      <c r="DB19" s="2854"/>
      <c r="DC19" s="2854"/>
      <c r="DD19" s="2854"/>
      <c r="DE19" s="2854"/>
      <c r="DF19" s="2854"/>
      <c r="DG19" s="2854"/>
      <c r="DH19" s="2854"/>
      <c r="DI19" s="2854"/>
      <c r="DJ19" s="2854"/>
      <c r="DK19" s="2854"/>
      <c r="DL19" s="2854"/>
      <c r="DM19" s="2854"/>
      <c r="DN19" s="2854"/>
      <c r="DO19" s="2854"/>
      <c r="DP19" s="2854"/>
      <c r="DQ19" s="2854"/>
      <c r="DR19" s="2854"/>
      <c r="DS19" s="2854"/>
      <c r="DT19" s="2854"/>
      <c r="DU19" s="2854"/>
      <c r="DV19" s="2854"/>
      <c r="DW19" s="2854"/>
      <c r="DX19" s="2854"/>
      <c r="DY19" s="2854"/>
      <c r="DZ19" s="2854"/>
      <c r="EA19" s="2854"/>
      <c r="EB19" s="2854"/>
      <c r="EC19" s="2854"/>
      <c r="ED19" s="2854"/>
      <c r="EE19" s="2854"/>
      <c r="EF19" s="2854"/>
      <c r="EG19" s="2854"/>
      <c r="EH19" s="2854"/>
      <c r="EI19" s="2854"/>
      <c r="EJ19" s="2854"/>
      <c r="EK19" s="2854"/>
      <c r="EL19" s="2854"/>
      <c r="EM19" s="2854"/>
      <c r="EN19" s="2854"/>
      <c r="EO19" s="2854"/>
      <c r="EP19" s="2854"/>
      <c r="EQ19" s="2854"/>
      <c r="ER19" s="2854"/>
      <c r="ES19" s="2854"/>
      <c r="ET19" s="2854"/>
      <c r="EU19" s="2854"/>
      <c r="EV19" s="2854"/>
      <c r="EW19" s="2854"/>
      <c r="EX19" s="2854"/>
      <c r="EY19" s="2854"/>
      <c r="EZ19" s="2854"/>
      <c r="FA19" s="2854"/>
      <c r="FB19" s="2854"/>
      <c r="FC19" s="2854"/>
      <c r="FD19" s="2854"/>
      <c r="FE19" s="2854"/>
      <c r="FF19" s="2854"/>
      <c r="FG19" s="2854"/>
      <c r="FH19" s="2854"/>
      <c r="FI19" s="2854"/>
      <c r="FJ19" s="2854"/>
      <c r="FK19" s="2854"/>
      <c r="FL19" s="2854"/>
      <c r="FM19" s="2854"/>
      <c r="FN19" s="2854"/>
      <c r="FO19" s="2854"/>
      <c r="FP19" s="2854"/>
      <c r="FQ19" s="2854"/>
      <c r="FR19" s="2854"/>
      <c r="FS19" s="2854"/>
      <c r="FT19" s="2854"/>
      <c r="FU19" s="2854"/>
      <c r="FV19" s="2854"/>
      <c r="FW19" s="2854"/>
      <c r="FX19" s="2854"/>
      <c r="FY19" s="2854"/>
      <c r="FZ19" s="2854"/>
      <c r="GA19" s="2854"/>
      <c r="GB19" s="2854"/>
      <c r="GC19" s="2854"/>
      <c r="GD19" s="2854"/>
      <c r="GE19" s="2854"/>
      <c r="GF19" s="2854"/>
      <c r="GG19" s="2854"/>
      <c r="GH19" s="2854"/>
      <c r="GI19" s="2854"/>
      <c r="GJ19" s="2854"/>
      <c r="GK19" s="2854"/>
      <c r="GL19" s="2854"/>
      <c r="GM19" s="2854"/>
      <c r="GN19" s="2854"/>
      <c r="GO19" s="2854"/>
      <c r="GP19" s="2854"/>
      <c r="GQ19" s="2854"/>
      <c r="GR19" s="2854"/>
      <c r="GS19" s="2854"/>
      <c r="GT19" s="2854"/>
      <c r="GU19" s="2854"/>
      <c r="GV19" s="2854"/>
      <c r="GW19" s="2854"/>
      <c r="GX19" s="2854"/>
      <c r="GY19" s="2854"/>
      <c r="GZ19" s="2854"/>
      <c r="HA19" s="2854"/>
      <c r="HB19" s="2854"/>
      <c r="HC19" s="2854"/>
      <c r="HD19" s="2854"/>
      <c r="HE19" s="2854"/>
      <c r="HF19" s="2854"/>
      <c r="HG19" s="2854"/>
      <c r="HH19" s="2854"/>
      <c r="HI19" s="2854"/>
      <c r="HJ19" s="2854"/>
      <c r="HK19" s="2854"/>
      <c r="HL19" s="2854"/>
      <c r="HM19" s="2854"/>
      <c r="HN19" s="2854"/>
      <c r="HO19" s="2854"/>
      <c r="HP19" s="2854"/>
      <c r="HQ19" s="2854"/>
      <c r="HR19" s="2854"/>
      <c r="HS19" s="2854"/>
      <c r="HT19" s="2854"/>
      <c r="HU19" s="2854"/>
      <c r="HV19" s="2854"/>
      <c r="HW19" s="2854"/>
      <c r="HX19" s="2854"/>
      <c r="HY19" s="2854"/>
      <c r="HZ19" s="2854"/>
      <c r="IA19" s="2854"/>
      <c r="IB19" s="2854"/>
      <c r="IC19" s="2854"/>
      <c r="ID19" s="2854"/>
      <c r="IE19" s="2854"/>
      <c r="IF19" s="2854"/>
      <c r="IG19" s="2854"/>
      <c r="IH19" s="2854"/>
      <c r="II19" s="2854"/>
      <c r="IJ19" s="2854"/>
      <c r="IK19" s="2854"/>
      <c r="IL19" s="2854"/>
      <c r="IM19" s="2854"/>
      <c r="IN19" s="2854"/>
      <c r="IO19" s="2854"/>
      <c r="IP19" s="2854"/>
      <c r="IQ19" s="2854"/>
      <c r="IR19" s="2854"/>
      <c r="IS19" s="2854"/>
      <c r="IT19" s="2854"/>
      <c r="IU19" s="2854"/>
      <c r="IV19" s="2854"/>
      <c r="IW19" s="2854"/>
      <c r="IX19" s="2854"/>
      <c r="IY19" s="2854"/>
      <c r="IZ19" s="2854"/>
      <c r="JA19" s="2854"/>
      <c r="JB19" s="2854"/>
      <c r="JC19" s="2854"/>
      <c r="JD19" s="2854"/>
      <c r="JE19" s="2854"/>
      <c r="JF19" s="2854"/>
      <c r="JG19" s="2854"/>
      <c r="JH19" s="2854"/>
      <c r="JI19" s="2854"/>
      <c r="JJ19" s="2854"/>
      <c r="JK19" s="2854"/>
      <c r="JL19" s="2854"/>
      <c r="JM19" s="2854"/>
      <c r="JN19" s="2854"/>
      <c r="JO19" s="2854"/>
      <c r="JP19" s="2854"/>
      <c r="JQ19" s="2854"/>
      <c r="JR19" s="2854"/>
      <c r="JS19" s="2854"/>
      <c r="JT19" s="2854"/>
      <c r="JU19" s="2854"/>
      <c r="JV19" s="2854"/>
      <c r="JW19" s="2854"/>
      <c r="JX19" s="2854"/>
      <c r="JY19" s="2854"/>
      <c r="JZ19" s="2854"/>
      <c r="KA19" s="2854"/>
      <c r="KB19" s="2854"/>
      <c r="KC19" s="2854"/>
      <c r="KD19" s="2854"/>
      <c r="KE19" s="2854"/>
      <c r="KF19" s="2854"/>
      <c r="KG19" s="2854"/>
      <c r="KH19" s="2854"/>
      <c r="KI19" s="2854"/>
      <c r="KJ19" s="2854"/>
      <c r="KK19" s="2854"/>
      <c r="KL19" s="2854"/>
      <c r="KM19" s="2854"/>
      <c r="KN19" s="2854"/>
      <c r="KO19" s="2854"/>
      <c r="KP19" s="2854"/>
      <c r="KQ19" s="2854"/>
      <c r="KR19" s="2854"/>
      <c r="KS19" s="2854"/>
      <c r="KT19" s="2854"/>
      <c r="KU19" s="2854"/>
      <c r="KV19" s="2854"/>
      <c r="KW19" s="2854"/>
      <c r="KX19" s="2854"/>
      <c r="KY19" s="2854"/>
      <c r="KZ19" s="2854"/>
      <c r="LA19" s="2854"/>
      <c r="LB19" s="2854"/>
      <c r="LC19" s="2854"/>
      <c r="LD19" s="2854"/>
      <c r="LE19" s="2854"/>
      <c r="LF19" s="2854"/>
      <c r="LG19" s="2854"/>
      <c r="LH19" s="2854"/>
      <c r="LI19" s="2854"/>
      <c r="LJ19" s="2854"/>
      <c r="LK19" s="2854"/>
      <c r="LL19" s="2854"/>
      <c r="LM19" s="2854"/>
      <c r="LN19" s="2854"/>
      <c r="LO19" s="2854"/>
      <c r="LP19" s="2854"/>
      <c r="LQ19" s="2854"/>
      <c r="LR19" s="2854"/>
      <c r="LS19" s="2854"/>
      <c r="LT19" s="2854"/>
      <c r="LU19" s="2854"/>
      <c r="LV19" s="2854"/>
      <c r="LW19" s="2854"/>
      <c r="LX19" s="2854"/>
      <c r="LY19" s="2854"/>
      <c r="LZ19" s="2854"/>
      <c r="MA19" s="2854"/>
      <c r="MB19" s="2854"/>
      <c r="MC19" s="2854"/>
      <c r="MD19" s="2854"/>
      <c r="ME19" s="2854"/>
      <c r="MF19" s="2854"/>
      <c r="MG19" s="2854"/>
      <c r="MH19" s="2854"/>
      <c r="MI19" s="2854"/>
      <c r="MJ19" s="2854"/>
      <c r="MK19" s="2854"/>
      <c r="ML19" s="2854"/>
      <c r="MM19" s="2854"/>
      <c r="MN19" s="2854"/>
      <c r="MO19" s="2854"/>
      <c r="MP19" s="2854"/>
      <c r="MQ19" s="2854"/>
      <c r="MR19" s="2854"/>
      <c r="MS19" s="2854"/>
      <c r="MT19" s="2854"/>
      <c r="MU19" s="2854"/>
      <c r="MV19" s="2854"/>
      <c r="MW19" s="2854"/>
      <c r="MX19" s="2854"/>
      <c r="MY19" s="2854"/>
      <c r="MZ19" s="2854"/>
      <c r="NA19" s="2854"/>
      <c r="NB19" s="2854"/>
      <c r="NC19" s="2854"/>
      <c r="ND19" s="2854"/>
      <c r="NE19" s="2854"/>
      <c r="NF19" s="2854"/>
      <c r="NG19" s="2854"/>
      <c r="NH19" s="2854"/>
      <c r="NI19" s="2854"/>
      <c r="NJ19" s="2854"/>
      <c r="NK19" s="2854"/>
      <c r="NL19" s="2854"/>
      <c r="NM19" s="2854"/>
      <c r="NN19" s="2854"/>
      <c r="NO19" s="2854"/>
      <c r="NP19" s="2854"/>
      <c r="NQ19" s="2854"/>
      <c r="NR19" s="2854"/>
      <c r="NS19" s="2854"/>
      <c r="NT19" s="2854"/>
      <c r="NU19" s="2854"/>
      <c r="NV19" s="2854"/>
      <c r="NW19" s="2854"/>
      <c r="NX19" s="2854"/>
      <c r="NY19" s="2854"/>
      <c r="NZ19" s="2854"/>
      <c r="OA19" s="2854"/>
      <c r="OB19" s="2854"/>
      <c r="OC19" s="2854"/>
      <c r="OD19" s="2854"/>
      <c r="OE19" s="2854"/>
      <c r="OF19" s="2854"/>
      <c r="OG19" s="2854"/>
      <c r="OH19" s="2854"/>
      <c r="OI19" s="2854"/>
      <c r="OJ19" s="2854"/>
      <c r="OK19" s="2854"/>
      <c r="OL19" s="2854"/>
      <c r="OM19" s="2854"/>
      <c r="ON19" s="2854"/>
      <c r="OO19" s="2854"/>
      <c r="OP19" s="2854"/>
      <c r="OQ19" s="2854"/>
      <c r="OR19" s="2854"/>
      <c r="OS19" s="2854"/>
      <c r="OT19" s="2854"/>
      <c r="OU19" s="2854"/>
      <c r="OV19" s="2854"/>
      <c r="OW19" s="2854"/>
      <c r="OX19" s="2854"/>
      <c r="OY19" s="2854"/>
      <c r="OZ19" s="2854"/>
      <c r="PA19" s="2854"/>
      <c r="PB19" s="2854"/>
      <c r="PC19" s="2854"/>
      <c r="PD19" s="2854"/>
      <c r="PE19" s="2854"/>
      <c r="PF19" s="2854"/>
      <c r="PG19" s="2854"/>
      <c r="PH19" s="2854"/>
      <c r="PI19" s="2854"/>
      <c r="PJ19" s="2854"/>
      <c r="PK19" s="2854"/>
      <c r="PL19" s="2854"/>
      <c r="PM19" s="2854"/>
      <c r="PN19" s="2854"/>
      <c r="PO19" s="2854"/>
      <c r="PP19" s="2854"/>
      <c r="PQ19" s="2854"/>
      <c r="PR19" s="2854"/>
      <c r="PS19" s="2854"/>
      <c r="PT19" s="2854"/>
      <c r="PU19" s="2854"/>
      <c r="PV19" s="2854"/>
      <c r="PW19" s="2854"/>
      <c r="PX19" s="2854"/>
      <c r="PY19" s="2854"/>
      <c r="PZ19" s="2854"/>
      <c r="QA19" s="2854"/>
      <c r="QB19" s="2854"/>
      <c r="QC19" s="2854"/>
      <c r="QD19" s="2854"/>
      <c r="QE19" s="2854"/>
      <c r="QF19" s="2854"/>
      <c r="QG19" s="2854"/>
      <c r="QH19" s="2854"/>
      <c r="QI19" s="2854"/>
      <c r="QJ19" s="2854"/>
      <c r="QK19" s="2854"/>
      <c r="QL19" s="2854"/>
      <c r="QM19" s="2854"/>
      <c r="QN19" s="2854"/>
      <c r="QO19" s="2854"/>
      <c r="QP19" s="2854"/>
      <c r="QQ19" s="2854"/>
      <c r="QR19" s="2854"/>
      <c r="QS19" s="2854"/>
      <c r="QT19" s="2854"/>
      <c r="QU19" s="2854"/>
      <c r="QV19" s="2854"/>
      <c r="QW19" s="2854"/>
      <c r="QX19" s="2854"/>
      <c r="QY19" s="2854"/>
      <c r="QZ19" s="2854"/>
      <c r="RA19" s="2854"/>
      <c r="RB19" s="2854"/>
      <c r="RC19" s="2854"/>
      <c r="RD19" s="2854"/>
      <c r="RE19" s="2854"/>
      <c r="RF19" s="2854"/>
      <c r="RG19" s="2854"/>
      <c r="RH19" s="2854"/>
      <c r="RI19" s="2854"/>
      <c r="RJ19" s="2854"/>
      <c r="RK19" s="2854"/>
      <c r="RL19" s="2854"/>
      <c r="RM19" s="2854"/>
      <c r="RN19" s="2854"/>
      <c r="RO19" s="2854"/>
      <c r="RP19" s="2854"/>
      <c r="RQ19" s="2854"/>
      <c r="RR19" s="2854"/>
      <c r="RS19" s="2854"/>
      <c r="RT19" s="2854"/>
      <c r="RU19" s="2854"/>
      <c r="RV19" s="2854"/>
      <c r="RW19" s="2854"/>
      <c r="RX19" s="2854"/>
      <c r="RY19" s="2854"/>
      <c r="RZ19" s="2854"/>
      <c r="SA19" s="2854"/>
      <c r="SB19" s="2854"/>
      <c r="SC19" s="2854"/>
      <c r="SD19" s="2854"/>
      <c r="SE19" s="2854"/>
      <c r="SF19" s="2854"/>
      <c r="SG19" s="2854"/>
      <c r="SH19" s="2854"/>
      <c r="SI19" s="2854"/>
      <c r="SJ19" s="2854"/>
      <c r="SK19" s="2854"/>
      <c r="SL19" s="2854"/>
      <c r="SM19" s="2854"/>
      <c r="SN19" s="2854"/>
      <c r="SO19" s="2854"/>
      <c r="SP19" s="2854"/>
      <c r="SQ19" s="2854"/>
      <c r="SR19" s="2854"/>
      <c r="SS19" s="2854"/>
      <c r="ST19" s="2854"/>
      <c r="SU19" s="2854"/>
      <c r="SV19" s="2854"/>
      <c r="SW19" s="2854"/>
      <c r="SX19" s="2854"/>
      <c r="SY19" s="2854"/>
      <c r="SZ19" s="2854"/>
      <c r="TA19" s="2854"/>
      <c r="TB19" s="2854"/>
      <c r="TC19" s="2854"/>
      <c r="TD19" s="2854"/>
      <c r="TE19" s="2854"/>
      <c r="TF19" s="2854"/>
      <c r="TG19" s="2854"/>
      <c r="TH19" s="2854"/>
      <c r="TI19" s="2854"/>
      <c r="TJ19" s="2854"/>
      <c r="TK19" s="2854"/>
      <c r="TL19" s="2854"/>
      <c r="TM19" s="2854"/>
      <c r="TN19" s="2854"/>
      <c r="TO19" s="2854"/>
      <c r="TP19" s="2854"/>
      <c r="TQ19" s="2854"/>
      <c r="TR19" s="2854"/>
      <c r="TS19" s="2854"/>
      <c r="TT19" s="2854"/>
      <c r="TU19" s="3783"/>
      <c r="TV19" s="3783"/>
      <c r="TW19" s="3783"/>
      <c r="TX19" s="3783"/>
      <c r="TY19" s="3783"/>
      <c r="TZ19" s="3783"/>
      <c r="UA19" s="3783"/>
      <c r="UB19" s="3783"/>
      <c r="UC19" s="3783"/>
      <c r="UD19" s="3783"/>
      <c r="UE19" s="3783"/>
      <c r="UF19" s="3783"/>
      <c r="UG19" s="3783"/>
      <c r="UH19" s="3783"/>
      <c r="UI19" s="3783"/>
      <c r="UJ19" s="3783"/>
      <c r="UK19" s="3783"/>
      <c r="UL19" s="3783"/>
      <c r="UM19" s="3783"/>
      <c r="UN19" s="3783"/>
      <c r="UO19" s="3783"/>
      <c r="UP19" s="2854"/>
      <c r="UQ19" s="2854"/>
      <c r="UR19" s="2854"/>
      <c r="US19" s="2854"/>
      <c r="UT19" s="2854"/>
      <c r="UU19" s="2854"/>
      <c r="UV19" s="2854"/>
      <c r="UW19" s="2854"/>
      <c r="UX19" s="2854"/>
      <c r="UY19" s="2854"/>
      <c r="UZ19" s="2854"/>
      <c r="VA19" s="2854"/>
      <c r="VB19" s="2854"/>
      <c r="VC19" s="2854"/>
      <c r="VD19" s="2854"/>
      <c r="VE19" s="2854"/>
      <c r="VF19" s="2854"/>
      <c r="VG19" s="2854"/>
      <c r="VH19" s="2854"/>
      <c r="VI19" s="2854"/>
      <c r="VJ19" s="2854"/>
      <c r="VK19" s="2854"/>
      <c r="VL19" s="2854"/>
      <c r="VM19" s="2854"/>
      <c r="VN19" s="2854"/>
      <c r="VO19" s="2854"/>
      <c r="VP19" s="2854"/>
      <c r="VQ19" s="2854"/>
      <c r="VR19" s="2854"/>
      <c r="VS19" s="2854"/>
      <c r="VT19" s="2854"/>
      <c r="VU19" s="2854"/>
      <c r="VV19" s="2854"/>
      <c r="VW19" s="2854"/>
      <c r="VX19" s="2854"/>
      <c r="VY19" s="2854"/>
      <c r="VZ19" s="2854"/>
      <c r="WA19" s="2854"/>
      <c r="WB19" s="2854"/>
      <c r="WC19" s="2854"/>
      <c r="WD19" s="2854"/>
      <c r="WE19" s="2854"/>
      <c r="WF19" s="2854"/>
      <c r="WG19" s="2854"/>
      <c r="WH19" s="2854"/>
      <c r="WI19" s="2854"/>
      <c r="WJ19" s="2854"/>
      <c r="WK19" s="2854"/>
      <c r="WL19" s="2854"/>
      <c r="WM19" s="2854"/>
      <c r="WN19" s="2854"/>
      <c r="WO19" s="2854"/>
      <c r="WP19" s="2854"/>
      <c r="WQ19" s="2854"/>
      <c r="WR19" s="2854"/>
      <c r="WS19" s="2854"/>
      <c r="WT19" s="2854"/>
      <c r="WU19" s="2854"/>
      <c r="WV19" s="2854"/>
      <c r="WW19" s="2854"/>
      <c r="WX19" s="2854"/>
      <c r="WY19" s="2854"/>
      <c r="WZ19" s="2854"/>
      <c r="XA19" s="2854"/>
      <c r="XB19" s="2854"/>
      <c r="XC19" s="2854"/>
      <c r="XD19" s="2854"/>
      <c r="XE19" s="2854"/>
      <c r="XF19" s="2854"/>
      <c r="XG19" s="2854"/>
      <c r="XH19" s="2854"/>
      <c r="XI19" s="2854"/>
      <c r="XJ19" s="2854"/>
      <c r="XK19" s="2854"/>
      <c r="XL19" s="2854"/>
      <c r="XM19" s="2854"/>
      <c r="XN19" s="2854"/>
      <c r="XO19" s="2854"/>
      <c r="XP19" s="2854"/>
      <c r="XQ19" s="2854"/>
      <c r="XR19" s="2854"/>
      <c r="XS19" s="2854"/>
      <c r="XT19" s="2854"/>
      <c r="XU19" s="2854"/>
      <c r="XV19" s="2854"/>
      <c r="XW19" s="2854"/>
      <c r="XX19" s="2854"/>
      <c r="XY19" s="2854"/>
      <c r="XZ19" s="2854"/>
      <c r="YA19" s="2854"/>
      <c r="YB19" s="2854"/>
      <c r="YC19" s="2854"/>
      <c r="YD19" s="2854"/>
      <c r="YE19" s="2854"/>
      <c r="YF19" s="2854"/>
      <c r="YG19" s="2854"/>
      <c r="YH19" s="2854"/>
      <c r="YI19" s="2854"/>
      <c r="YJ19" s="2854"/>
      <c r="YK19" s="2854"/>
      <c r="YL19" s="2854"/>
      <c r="YM19" s="2854"/>
      <c r="YN19" s="2854"/>
      <c r="YO19" s="2854"/>
      <c r="YP19" s="2854"/>
      <c r="YQ19" s="2854"/>
      <c r="YR19" s="2854"/>
      <c r="YS19" s="2854"/>
      <c r="YT19" s="2854"/>
      <c r="YU19" s="2854"/>
      <c r="YV19" s="2854"/>
      <c r="YW19" s="2854"/>
      <c r="YX19" s="2854"/>
      <c r="YY19" s="2854"/>
      <c r="YZ19" s="2854"/>
      <c r="ZA19" s="2854"/>
      <c r="ZB19" s="2854"/>
      <c r="ZC19" s="2854"/>
      <c r="ZD19" s="2854"/>
      <c r="ZE19" s="2854"/>
      <c r="ZF19" s="2854"/>
      <c r="ZG19" s="2854"/>
      <c r="ZH19" s="2854"/>
      <c r="ZI19" s="2854"/>
      <c r="ZJ19" s="2854"/>
      <c r="ZK19" s="2854"/>
      <c r="ZL19" s="2854"/>
      <c r="ZM19" s="2854"/>
      <c r="ZN19" s="2854"/>
      <c r="ZO19" s="2854"/>
      <c r="ZP19" s="2854"/>
      <c r="ZQ19" s="2854"/>
      <c r="ZR19" s="2854"/>
      <c r="ZS19" s="2854"/>
      <c r="ZT19" s="2854"/>
      <c r="ZU19" s="2854"/>
      <c r="ZV19" s="2854"/>
      <c r="ZW19" s="2854"/>
      <c r="ZX19" s="2854"/>
      <c r="ZY19" s="2854"/>
      <c r="ZZ19" s="2854"/>
      <c r="AAA19" s="2854"/>
      <c r="AAB19" s="2854"/>
      <c r="AAC19" s="2854"/>
      <c r="AAD19" s="2854"/>
      <c r="AAE19" s="2854"/>
      <c r="AAF19" s="2854"/>
      <c r="AAG19" s="2854"/>
      <c r="AAH19" s="2854"/>
      <c r="AAI19" s="2854"/>
      <c r="AAJ19" s="2854"/>
      <c r="AAK19" s="2854"/>
      <c r="AAL19" s="2854"/>
      <c r="AAM19" s="2854"/>
      <c r="AAN19" s="2854"/>
      <c r="AAO19" s="2854"/>
      <c r="AAP19" s="2854"/>
      <c r="AAQ19" s="2854"/>
      <c r="AAR19" s="2854"/>
      <c r="AAS19" s="2854"/>
      <c r="AAT19" s="2854"/>
      <c r="AAU19" s="2854"/>
      <c r="AAV19" s="2854"/>
      <c r="AAW19" s="2854"/>
      <c r="AAX19" s="2854"/>
      <c r="AAY19" s="2854"/>
      <c r="AAZ19" s="2854"/>
      <c r="ABA19" s="2854"/>
      <c r="ABB19" s="2854"/>
      <c r="ABC19" s="2854"/>
      <c r="ABD19" s="2854"/>
      <c r="ABE19" s="2854"/>
      <c r="ABF19" s="2854"/>
      <c r="ABG19" s="2854"/>
      <c r="ABH19" s="2854"/>
      <c r="ABI19" s="2854"/>
      <c r="ABJ19" s="2854"/>
      <c r="ABK19" s="2854"/>
      <c r="ABL19" s="2854"/>
      <c r="ABM19" s="2854"/>
      <c r="ABN19" s="2854"/>
      <c r="ABO19" s="2854"/>
      <c r="ABP19" s="2854"/>
      <c r="ABQ19" s="2854"/>
      <c r="ABR19" s="2854"/>
      <c r="ABS19" s="2854"/>
      <c r="ABT19" s="2854"/>
      <c r="ABU19" s="2854"/>
      <c r="ABV19" s="2854"/>
      <c r="ABW19" s="2854"/>
      <c r="ABX19" s="2854"/>
      <c r="ABY19" s="2854"/>
      <c r="ABZ19" s="2854"/>
      <c r="ACA19" s="2854"/>
      <c r="ACB19" s="2854"/>
      <c r="ACC19" s="2854"/>
      <c r="ACD19" s="2854"/>
      <c r="ACE19" s="2854"/>
      <c r="ACF19" s="2854"/>
      <c r="ACG19" s="2854"/>
      <c r="ACH19" s="2854"/>
      <c r="ACI19" s="2854"/>
      <c r="ACJ19" s="2854"/>
      <c r="ACK19" s="2854"/>
      <c r="ACL19" s="2854"/>
      <c r="ACM19" s="2854"/>
      <c r="ACN19" s="2854"/>
      <c r="ACO19" s="2854"/>
      <c r="ACP19" s="2854"/>
      <c r="ACQ19" s="2854"/>
      <c r="ACR19" s="2854"/>
      <c r="ACS19" s="2854"/>
      <c r="ACT19" s="2854"/>
      <c r="ACU19" s="2854"/>
      <c r="ACV19" s="2854"/>
      <c r="ACW19" s="2854"/>
      <c r="ACX19" s="2854"/>
      <c r="ACY19" s="2854"/>
      <c r="ACZ19" s="2854"/>
      <c r="ADA19" s="2854"/>
      <c r="ADB19" s="2854"/>
      <c r="ADC19" s="2854"/>
      <c r="ADD19" s="2854"/>
      <c r="ADE19" s="2854"/>
      <c r="ADF19" s="2854"/>
      <c r="ADG19" s="2854"/>
      <c r="ADH19" s="2854"/>
      <c r="ADI19" s="2854"/>
      <c r="ADJ19" s="2854"/>
      <c r="ADK19" s="2854"/>
      <c r="ADL19" s="2854"/>
      <c r="ADM19" s="2854"/>
      <c r="ADN19" s="2854"/>
      <c r="ADO19" s="2854"/>
      <c r="ADP19" s="2854"/>
      <c r="ADQ19" s="2854"/>
      <c r="ADR19" s="2854"/>
      <c r="ADS19" s="2854"/>
      <c r="ADT19" s="2854"/>
      <c r="ADU19" s="2854"/>
      <c r="ADV19" s="2854"/>
      <c r="ADW19" s="2854"/>
      <c r="ADX19" s="2854"/>
      <c r="ADY19" s="2854"/>
      <c r="ADZ19" s="2854"/>
      <c r="AEA19" s="2854"/>
      <c r="AEB19" s="2854"/>
      <c r="AEC19" s="2854"/>
      <c r="AED19" s="2854"/>
      <c r="AEE19" s="2854"/>
      <c r="AEF19" s="2854"/>
      <c r="AEG19" s="2854"/>
      <c r="AEH19" s="2854"/>
      <c r="AEI19" s="2854"/>
      <c r="AEJ19" s="2854"/>
      <c r="AEK19" s="2854"/>
      <c r="AEL19" s="2854"/>
      <c r="AEM19" s="2854"/>
      <c r="AEN19" s="2854"/>
      <c r="AEO19" s="2854"/>
      <c r="AEP19" s="2854"/>
      <c r="AEQ19" s="2854"/>
      <c r="AER19" s="2854"/>
      <c r="AES19" s="2854"/>
      <c r="AET19" s="2854"/>
      <c r="AEU19" s="2854"/>
      <c r="AEV19" s="2854"/>
      <c r="AEW19" s="2854"/>
      <c r="AEX19" s="2854"/>
      <c r="AEY19" s="2854"/>
      <c r="AEZ19" s="2854"/>
      <c r="AFA19" s="2854"/>
      <c r="AFB19" s="2854"/>
      <c r="AFC19" s="2854"/>
      <c r="AFD19" s="2854"/>
      <c r="AFE19" s="2854"/>
      <c r="AFF19" s="2854"/>
      <c r="AFG19" s="2854"/>
      <c r="AFH19" s="2854"/>
      <c r="AFI19" s="2854"/>
      <c r="AFJ19" s="2854"/>
      <c r="AFK19" s="2854"/>
      <c r="AFL19" s="2854"/>
      <c r="AFM19" s="2854"/>
      <c r="AFN19" s="2854"/>
      <c r="AFO19" s="2854"/>
      <c r="AFP19" s="2854"/>
      <c r="AFQ19" s="2854"/>
      <c r="AFR19" s="2854"/>
      <c r="AFS19" s="2854"/>
      <c r="AFT19" s="2854"/>
      <c r="AFU19" s="2854"/>
      <c r="AFV19" s="2854"/>
      <c r="AFW19" s="2854"/>
      <c r="AFX19" s="2854"/>
      <c r="AFY19" s="2854"/>
      <c r="AFZ19" s="2854"/>
      <c r="AGA19" s="2854"/>
      <c r="AGB19" s="2854"/>
      <c r="AGC19" s="2854"/>
      <c r="AGD19" s="2854"/>
      <c r="AGE19" s="2854"/>
      <c r="AGF19" s="2854"/>
      <c r="AGG19" s="2854"/>
      <c r="AGH19" s="2854"/>
      <c r="AGI19" s="2854"/>
      <c r="AGJ19" s="2854"/>
      <c r="AGK19" s="2854"/>
      <c r="AGL19" s="2854"/>
      <c r="AGM19" s="2854"/>
      <c r="AGN19" s="2854"/>
      <c r="AGO19" s="2854"/>
      <c r="AGP19" s="2854"/>
      <c r="AGQ19" s="2854"/>
      <c r="AGR19" s="2854"/>
      <c r="AGS19" s="2854"/>
      <c r="AGT19" s="2854"/>
      <c r="AGU19" s="2854"/>
      <c r="AGV19" s="2854"/>
      <c r="AGW19" s="2854"/>
      <c r="AGX19" s="2854"/>
      <c r="AGY19" s="2854"/>
      <c r="AGZ19" s="2854"/>
      <c r="AHA19" s="2854"/>
      <c r="AHB19" s="2854"/>
      <c r="AHC19" s="2854"/>
      <c r="AHD19" s="2854"/>
      <c r="AHE19" s="2854"/>
      <c r="AHF19" s="2854"/>
      <c r="AHG19" s="2854"/>
      <c r="AHH19" s="2854"/>
      <c r="AHI19" s="2854"/>
      <c r="AHJ19" s="2854"/>
      <c r="AHK19" s="2854"/>
      <c r="AHL19" s="2854"/>
      <c r="AHM19" s="2854"/>
      <c r="AHN19" s="2854"/>
      <c r="AHO19" s="2854"/>
      <c r="AHP19" s="2854"/>
      <c r="AHQ19" s="2854"/>
      <c r="AHR19" s="2854"/>
      <c r="AHS19" s="2854"/>
      <c r="AHT19" s="2854"/>
      <c r="AHU19" s="2854"/>
      <c r="AHV19" s="2854"/>
      <c r="AHW19" s="2854"/>
      <c r="AHX19" s="2854"/>
      <c r="AHY19" s="2854"/>
      <c r="AHZ19" s="2854"/>
      <c r="AIA19" s="2854"/>
      <c r="AIB19" s="2854"/>
      <c r="AIC19" s="2854"/>
      <c r="AID19" s="2854"/>
      <c r="AIE19" s="2854"/>
      <c r="AIF19" s="2854"/>
      <c r="AIG19" s="2854"/>
      <c r="AIH19" s="2854"/>
      <c r="AII19" s="2854"/>
      <c r="AIJ19" s="2854"/>
      <c r="AIK19" s="2854"/>
      <c r="AIL19" s="2854"/>
      <c r="AIM19" s="2854"/>
      <c r="AIN19" s="2854"/>
      <c r="AIO19" s="2854"/>
      <c r="AIP19" s="2854"/>
      <c r="AIQ19" s="2854"/>
      <c r="AIR19" s="2854"/>
      <c r="AIS19" s="2854"/>
      <c r="AIT19" s="2854"/>
      <c r="AIU19" s="2854"/>
      <c r="AIV19" s="2854"/>
      <c r="AIW19" s="2854"/>
      <c r="AIX19" s="2854"/>
      <c r="AIY19" s="2854"/>
      <c r="AIZ19" s="2854"/>
      <c r="AJA19" s="2854"/>
      <c r="AJB19" s="2854"/>
      <c r="AJC19" s="2854"/>
      <c r="AJD19" s="2854"/>
      <c r="AJE19" s="2854"/>
      <c r="AJF19" s="2854"/>
      <c r="AJG19" s="2854"/>
      <c r="AJH19" s="2854"/>
      <c r="AJI19" s="2854"/>
      <c r="AJJ19" s="2854"/>
      <c r="AJK19" s="2854"/>
      <c r="AJL19" s="2854"/>
      <c r="AJM19" s="2854"/>
      <c r="AJN19" s="2854"/>
      <c r="AJO19" s="2854"/>
      <c r="AJP19" s="2854"/>
      <c r="AJQ19" s="2854"/>
      <c r="AJR19" s="2854"/>
      <c r="AJS19" s="2854"/>
      <c r="AJT19" s="2854"/>
      <c r="AJU19" s="2854"/>
      <c r="AJV19" s="2854"/>
      <c r="AJW19" s="2854"/>
      <c r="AJX19" s="2854"/>
      <c r="AJY19" s="2854"/>
      <c r="AJZ19" s="2854"/>
      <c r="AKA19" s="2854"/>
      <c r="AKB19" s="2854"/>
      <c r="AKC19" s="2854"/>
      <c r="AKD19" s="2854"/>
      <c r="AKE19" s="2854"/>
      <c r="AKF19" s="2854"/>
      <c r="AKG19" s="2854"/>
      <c r="AKH19" s="2854"/>
      <c r="AKI19" s="2854"/>
      <c r="AKJ19" s="2854"/>
      <c r="AKK19" s="2854"/>
      <c r="AKL19" s="2854"/>
      <c r="AKM19" s="2854"/>
      <c r="AKN19" s="2854"/>
      <c r="AKO19" s="2854"/>
      <c r="AKP19" s="2854"/>
      <c r="AKQ19" s="2854"/>
      <c r="AKR19" s="2854"/>
      <c r="AKS19" s="2854"/>
      <c r="AKT19" s="2854"/>
      <c r="AKU19" s="2854"/>
      <c r="AKV19" s="2854"/>
      <c r="AKW19" s="2854"/>
      <c r="AKX19" s="2854"/>
      <c r="AKY19" s="2854"/>
      <c r="AKZ19" s="2854"/>
      <c r="ALA19" s="2854"/>
      <c r="ALB19" s="2854"/>
      <c r="ALC19" s="2854"/>
      <c r="ALD19" s="2854"/>
      <c r="ALE19" s="2854"/>
      <c r="ALF19" s="2854"/>
      <c r="ALG19" s="2854"/>
      <c r="ALH19" s="2854"/>
      <c r="ALI19" s="2854"/>
      <c r="ALJ19" s="2854"/>
      <c r="ALK19" s="2854"/>
      <c r="ALL19" s="2854"/>
      <c r="ALM19" s="2854"/>
      <c r="ALN19" s="2854"/>
      <c r="ALO19" s="2854"/>
      <c r="ALP19" s="2854"/>
      <c r="ALQ19" s="2854"/>
      <c r="ALR19" s="2854"/>
      <c r="ALS19" s="2854"/>
      <c r="ALT19" s="2854"/>
      <c r="ALU19" s="2854"/>
      <c r="ALV19" s="2854"/>
      <c r="ALW19" s="2854"/>
      <c r="ALX19" s="2854"/>
      <c r="ALY19" s="2854"/>
      <c r="ALZ19" s="2854"/>
      <c r="AMA19" s="2854"/>
      <c r="AMB19" s="2854"/>
      <c r="AMC19" s="2854"/>
      <c r="AMD19" s="2854"/>
      <c r="AME19" s="2854"/>
      <c r="AMF19" s="2854"/>
      <c r="AMG19" s="2854"/>
      <c r="AMH19" s="2854"/>
      <c r="AMI19" s="2854"/>
      <c r="AMJ19" s="2854"/>
      <c r="AMK19" s="2854"/>
      <c r="AML19" s="2854"/>
      <c r="AMM19" s="2854"/>
      <c r="AMN19" s="2854"/>
      <c r="AMO19" s="2854"/>
      <c r="AMP19" s="2854"/>
      <c r="AMQ19" s="2854"/>
      <c r="AMR19" s="2854"/>
      <c r="AMS19" s="2854"/>
      <c r="AMT19" s="2854"/>
      <c r="AMU19" s="2854"/>
      <c r="AMV19" s="2854"/>
      <c r="AMW19" s="2854"/>
      <c r="AMX19" s="2854"/>
      <c r="AMY19" s="2854"/>
      <c r="AMZ19" s="2854"/>
      <c r="ANA19" s="2854"/>
      <c r="ANB19" s="2854"/>
      <c r="ANC19" s="2854"/>
      <c r="AND19" s="2854"/>
      <c r="ANE19" s="2854"/>
      <c r="ANF19" s="2854"/>
      <c r="ANG19" s="2854"/>
      <c r="ANH19" s="2854"/>
      <c r="ANI19" s="2854"/>
      <c r="ANJ19" s="2854"/>
      <c r="ANK19" s="2854"/>
      <c r="ANL19" s="2854"/>
      <c r="ANM19" s="2854"/>
      <c r="ANN19" s="2854"/>
      <c r="ANO19" s="2854"/>
      <c r="ANP19" s="2854"/>
      <c r="ANQ19" s="2854"/>
      <c r="ANR19" s="2854"/>
      <c r="ANS19" s="2854"/>
      <c r="ANT19" s="2854"/>
      <c r="ANU19" s="2854"/>
      <c r="ANV19" s="2854"/>
      <c r="ANW19" s="2854"/>
      <c r="ANX19" s="2854"/>
      <c r="ANY19" s="2854"/>
      <c r="ANZ19" s="2854"/>
      <c r="AOA19" s="2854"/>
      <c r="AOB19" s="2854"/>
      <c r="AOC19" s="2854"/>
      <c r="AOD19" s="2854"/>
      <c r="AOE19" s="2854"/>
      <c r="AOF19" s="2854"/>
      <c r="AOG19" s="2854"/>
      <c r="AOH19" s="2854"/>
      <c r="AOI19" s="2854"/>
      <c r="AOJ19" s="2854"/>
      <c r="AOK19" s="2854"/>
      <c r="AOL19" s="2854"/>
      <c r="AOM19" s="2854"/>
      <c r="AON19" s="2854"/>
      <c r="AOO19" s="2854"/>
      <c r="AOP19" s="2854"/>
      <c r="AOQ19" s="2854"/>
      <c r="AOR19" s="2854"/>
      <c r="AOS19" s="2854"/>
      <c r="AOT19" s="2854"/>
      <c r="AOU19" s="2854"/>
      <c r="AOV19" s="2854"/>
      <c r="AOW19" s="2854"/>
      <c r="AOX19" s="2854"/>
      <c r="AOY19" s="2854"/>
      <c r="AOZ19" s="2854"/>
      <c r="APA19" s="2854"/>
      <c r="APB19" s="2854"/>
      <c r="APC19" s="2854"/>
      <c r="APD19" s="2854"/>
      <c r="APE19" s="2854"/>
      <c r="APF19" s="2854"/>
      <c r="APG19" s="2854"/>
      <c r="APH19" s="2854"/>
      <c r="API19" s="2854"/>
      <c r="APJ19" s="2854"/>
      <c r="APK19" s="2854"/>
      <c r="APL19" s="2854"/>
      <c r="APM19" s="2854"/>
      <c r="APN19" s="2854"/>
      <c r="APO19" s="2854"/>
      <c r="APP19" s="2854"/>
      <c r="APQ19" s="2854"/>
      <c r="APR19" s="2854"/>
      <c r="APS19" s="2854"/>
      <c r="APT19" s="2854"/>
      <c r="APU19" s="2854"/>
      <c r="APV19" s="2854"/>
      <c r="APW19" s="2854"/>
      <c r="APX19" s="2854"/>
      <c r="APY19" s="2854"/>
      <c r="APZ19" s="2854"/>
      <c r="AQA19" s="2854"/>
      <c r="AQB19" s="2854"/>
      <c r="AQC19" s="2854"/>
      <c r="AQD19" s="2854"/>
      <c r="AQE19" s="2854"/>
      <c r="AQF19" s="2854"/>
      <c r="AQG19" s="2854"/>
      <c r="AQH19" s="2854"/>
      <c r="AQI19" s="2854"/>
      <c r="AQJ19" s="2854"/>
      <c r="AQK19" s="2854"/>
      <c r="AQL19" s="2854"/>
      <c r="AQM19" s="2854"/>
      <c r="AQN19" s="2854"/>
      <c r="AQO19" s="2854"/>
      <c r="AQP19" s="2854"/>
      <c r="AQQ19" s="2854"/>
      <c r="AQR19" s="2854"/>
      <c r="AQS19" s="2854"/>
      <c r="AQT19" s="2854"/>
      <c r="AQU19" s="2854"/>
      <c r="AQV19" s="2854"/>
      <c r="AQW19" s="2854"/>
      <c r="AQX19" s="2854"/>
      <c r="AQY19" s="2854"/>
      <c r="AQZ19" s="2854"/>
      <c r="ARA19" s="2854"/>
      <c r="ARB19" s="2854"/>
      <c r="ARC19" s="2854"/>
      <c r="ARD19" s="2854"/>
      <c r="ARE19" s="2854"/>
      <c r="ARF19" s="2854"/>
      <c r="ARG19" s="2854"/>
      <c r="ARH19" s="2854"/>
      <c r="ARI19" s="2854"/>
      <c r="ARJ19" s="2854"/>
      <c r="ARK19" s="2854"/>
      <c r="ARL19" s="2854"/>
      <c r="ARM19" s="2854"/>
      <c r="ARN19" s="2854"/>
      <c r="ARO19" s="2854"/>
      <c r="ARP19" s="2854"/>
      <c r="ARQ19" s="2854"/>
      <c r="ARR19" s="2854"/>
      <c r="ARS19" s="2854"/>
      <c r="ART19" s="2854"/>
      <c r="ARU19" s="2854"/>
      <c r="ARV19" s="2854"/>
      <c r="ARW19" s="2854"/>
      <c r="ARX19" s="2854"/>
      <c r="ARY19" s="2854"/>
      <c r="ARZ19" s="2854"/>
      <c r="ASA19" s="2854"/>
      <c r="ASB19" s="2854"/>
      <c r="ASC19" s="2854"/>
      <c r="ASD19" s="2854"/>
      <c r="ASE19" s="2854"/>
      <c r="ASF19" s="2854"/>
      <c r="ASG19" s="2854"/>
      <c r="ASH19" s="2854"/>
      <c r="ASI19" s="2854"/>
      <c r="ASJ19" s="2854"/>
      <c r="ASK19" s="2854"/>
      <c r="ASL19" s="2854"/>
      <c r="ASM19" s="2854"/>
      <c r="ASN19" s="2854"/>
      <c r="ASO19" s="2854"/>
      <c r="ASP19" s="2854"/>
      <c r="ASQ19" s="2854"/>
      <c r="ASR19" s="2854"/>
      <c r="ASS19" s="2854"/>
      <c r="AST19" s="2854"/>
      <c r="ASU19" s="2854"/>
      <c r="ASV19" s="2854"/>
      <c r="ASW19" s="2854"/>
      <c r="ASX19" s="2854"/>
      <c r="ASY19" s="2854"/>
      <c r="ASZ19" s="2854"/>
      <c r="ATA19" s="2854"/>
      <c r="ATB19" s="2854"/>
      <c r="ATC19" s="2854"/>
      <c r="ATD19" s="2854"/>
      <c r="ATE19" s="2854"/>
      <c r="ATF19" s="2854"/>
      <c r="ATG19" s="2854"/>
      <c r="ATH19" s="2854"/>
      <c r="ATI19" s="2854"/>
      <c r="ATJ19" s="2854"/>
      <c r="ATK19" s="2854"/>
      <c r="ATL19" s="2854"/>
      <c r="ATM19" s="2854"/>
      <c r="ATN19" s="2854"/>
      <c r="ATO19" s="2854"/>
      <c r="ATP19" s="2854"/>
      <c r="ATQ19" s="2854"/>
      <c r="ATR19" s="2854"/>
      <c r="ATS19" s="2854"/>
      <c r="ATT19" s="2854"/>
      <c r="ATU19" s="2854"/>
      <c r="ATV19" s="2854"/>
      <c r="ATW19" s="2854"/>
      <c r="ATX19" s="2854"/>
      <c r="ATY19" s="2854"/>
      <c r="ATZ19" s="2854"/>
      <c r="AUA19" s="2854"/>
      <c r="AUB19" s="2854"/>
      <c r="AUC19" s="2854"/>
      <c r="AUD19" s="2854"/>
      <c r="AUE19" s="2854"/>
      <c r="AUF19" s="2854"/>
      <c r="AUG19" s="2854"/>
      <c r="AUH19" s="2854"/>
      <c r="AUI19" s="2854"/>
      <c r="AUJ19" s="2854"/>
      <c r="AUK19" s="2854"/>
      <c r="AUL19" s="2854"/>
      <c r="AUM19" s="2854"/>
      <c r="AUN19" s="2854"/>
      <c r="AUO19" s="2854"/>
      <c r="AUP19" s="2854"/>
      <c r="AUQ19" s="2854"/>
      <c r="AUR19" s="2854"/>
      <c r="AUS19" s="2854"/>
      <c r="AUT19" s="2854"/>
      <c r="AUU19" s="2854"/>
      <c r="AUV19" s="2854"/>
      <c r="AUW19" s="2854"/>
      <c r="AUX19" s="2854"/>
      <c r="AUY19" s="2854"/>
      <c r="AUZ19" s="2854"/>
      <c r="AVA19" s="2854"/>
      <c r="AVB19" s="2854"/>
      <c r="AVC19" s="2854"/>
      <c r="AVD19" s="2854"/>
      <c r="AVE19" s="2854"/>
      <c r="AVF19" s="2854"/>
      <c r="AVG19" s="2854"/>
      <c r="AVH19" s="2854"/>
      <c r="AVI19" s="2854"/>
      <c r="AVJ19" s="2854"/>
      <c r="AVK19" s="2854"/>
      <c r="AVL19" s="2854"/>
      <c r="AVM19" s="2854"/>
      <c r="AVN19" s="2854"/>
      <c r="AVO19" s="2854"/>
      <c r="AVP19" s="2854"/>
      <c r="AVQ19" s="2854"/>
      <c r="AVR19" s="2854"/>
      <c r="AVS19" s="2854"/>
      <c r="AVT19" s="2854"/>
      <c r="AVU19" s="2854"/>
      <c r="AVV19" s="2854"/>
      <c r="AVW19" s="2854"/>
      <c r="AVX19" s="2854"/>
      <c r="AVY19" s="2854"/>
      <c r="AVZ19" s="2854"/>
      <c r="AWA19" s="2854"/>
      <c r="AWB19" s="2854"/>
      <c r="AWC19" s="2854"/>
      <c r="AWD19" s="2854"/>
      <c r="AWE19" s="2854"/>
      <c r="AWF19" s="2854"/>
      <c r="AWG19" s="2854"/>
      <c r="AWH19" s="2854"/>
      <c r="AWI19" s="2854"/>
      <c r="AWJ19" s="2854"/>
      <c r="AWK19" s="2854"/>
      <c r="AWL19" s="2854"/>
      <c r="AWM19" s="2854"/>
      <c r="AWN19" s="2854"/>
      <c r="AWO19" s="2854"/>
      <c r="AWP19" s="2854"/>
      <c r="AWQ19" s="2854"/>
      <c r="AWR19" s="2854"/>
      <c r="AWS19" s="2854"/>
      <c r="AWT19" s="2854"/>
      <c r="AWU19" s="2854"/>
      <c r="AWV19" s="2854"/>
      <c r="AWW19" s="2854"/>
      <c r="AWX19" s="2854"/>
      <c r="AWY19" s="2854"/>
      <c r="AWZ19" s="2854"/>
      <c r="AXA19" s="2854"/>
      <c r="AXB19" s="2854"/>
      <c r="AXC19" s="2854"/>
      <c r="AXD19" s="2854"/>
      <c r="AXE19" s="2854"/>
      <c r="AXF19" s="2854"/>
      <c r="AXG19" s="2854"/>
      <c r="AXH19" s="2854"/>
      <c r="AXI19" s="2854"/>
      <c r="AXJ19" s="2854"/>
      <c r="AXK19" s="2854"/>
      <c r="AXL19" s="2854"/>
      <c r="AXM19" s="2854"/>
      <c r="AXN19" s="2854"/>
      <c r="AXO19" s="2854"/>
      <c r="AXP19" s="2854"/>
      <c r="AXQ19" s="2854"/>
      <c r="AXR19" s="2854"/>
      <c r="AXS19" s="2854"/>
      <c r="AXT19" s="2854"/>
      <c r="AXU19" s="2854"/>
      <c r="AXV19" s="2854"/>
      <c r="AXW19" s="2854"/>
      <c r="AXX19" s="2854"/>
      <c r="AXY19" s="2854"/>
      <c r="AXZ19" s="2854"/>
      <c r="AYA19" s="2854"/>
      <c r="AYB19" s="2854"/>
      <c r="AYC19" s="2854"/>
      <c r="AYD19" s="2854"/>
      <c r="AYE19" s="2854"/>
      <c r="AYF19" s="2854"/>
      <c r="AYG19" s="2854"/>
      <c r="AYH19" s="2854"/>
      <c r="AYI19" s="2854"/>
      <c r="AYJ19" s="2854"/>
      <c r="AYK19" s="2854"/>
      <c r="AYL19" s="2854"/>
      <c r="AYM19" s="2854"/>
      <c r="AYN19" s="2854"/>
      <c r="AYO19" s="2854"/>
      <c r="AYP19" s="2854"/>
      <c r="AYQ19" s="2854"/>
      <c r="AYR19" s="2854"/>
      <c r="AYS19" s="2854"/>
      <c r="AYT19" s="2854"/>
      <c r="AYU19" s="2854"/>
      <c r="AYV19" s="2854"/>
      <c r="AYW19" s="2854"/>
      <c r="AYX19" s="2854"/>
      <c r="AYY19" s="2854"/>
      <c r="AYZ19" s="2854"/>
      <c r="AZA19" s="2854"/>
      <c r="AZB19" s="2854"/>
      <c r="AZC19" s="2854"/>
      <c r="AZD19" s="2854"/>
      <c r="AZE19" s="2854"/>
      <c r="AZF19" s="2854"/>
      <c r="AZG19" s="2854"/>
      <c r="AZH19" s="2854"/>
      <c r="AZI19" s="2854"/>
      <c r="AZJ19" s="2854"/>
      <c r="AZK19" s="2854"/>
      <c r="AZL19" s="2854"/>
      <c r="AZM19" s="2854"/>
      <c r="AZN19" s="2854"/>
      <c r="AZO19" s="2854"/>
      <c r="AZP19" s="2854"/>
      <c r="AZQ19" s="2854"/>
      <c r="AZR19" s="2854"/>
      <c r="AZS19" s="2854"/>
      <c r="AZT19" s="2854"/>
      <c r="AZU19" s="2854"/>
      <c r="AZV19" s="2854"/>
      <c r="AZW19" s="2854"/>
      <c r="AZX19" s="2854"/>
      <c r="AZY19" s="2854"/>
      <c r="AZZ19" s="2854"/>
      <c r="BAA19" s="2854"/>
      <c r="BAB19" s="2854"/>
      <c r="BAC19" s="2854"/>
      <c r="BAD19" s="2854"/>
      <c r="BAE19" s="2854"/>
      <c r="BAF19" s="2854"/>
      <c r="BAG19" s="2854"/>
      <c r="BAH19" s="2854"/>
      <c r="BAI19" s="2854"/>
      <c r="BAJ19" s="2854"/>
      <c r="BAK19" s="2854"/>
      <c r="BAL19" s="2854"/>
      <c r="BAM19" s="2854"/>
      <c r="BAN19" s="2854"/>
      <c r="BAO19" s="2854"/>
      <c r="BAP19" s="2854"/>
      <c r="BAQ19" s="2854"/>
      <c r="BAR19" s="2854"/>
      <c r="BAS19" s="2854"/>
      <c r="BAT19" s="2854"/>
      <c r="BAU19" s="2854"/>
      <c r="BAV19" s="2854"/>
      <c r="BAW19" s="2854"/>
      <c r="BAX19" s="2854"/>
      <c r="BAY19" s="2854"/>
      <c r="BAZ19" s="2854"/>
      <c r="BBA19" s="2854"/>
      <c r="BBB19" s="2854"/>
      <c r="BBC19" s="2854"/>
      <c r="BBD19" s="2854"/>
      <c r="BBE19" s="2854"/>
      <c r="BBF19" s="2854"/>
      <c r="BBG19" s="2854"/>
      <c r="BBH19" s="2854"/>
      <c r="BBI19" s="2854"/>
      <c r="BBJ19" s="2854"/>
      <c r="BBK19" s="2854"/>
      <c r="BBL19" s="2854"/>
      <c r="BBM19" s="2854"/>
      <c r="BBN19" s="2854"/>
      <c r="BBO19" s="2854"/>
      <c r="BBP19" s="2854"/>
      <c r="BBQ19" s="2854"/>
      <c r="BBR19" s="2854"/>
      <c r="BBS19" s="2854"/>
      <c r="BBT19" s="2854"/>
      <c r="BBU19" s="2854"/>
      <c r="BBV19" s="2854"/>
      <c r="BBW19" s="2854"/>
      <c r="BBX19" s="2854"/>
      <c r="BBY19" s="2854"/>
      <c r="BBZ19" s="2854"/>
      <c r="BCA19" s="2854"/>
      <c r="BCB19" s="2854"/>
      <c r="BCC19" s="2854"/>
      <c r="BCD19" s="2854"/>
      <c r="BCE19" s="2854"/>
      <c r="BCF19" s="2854"/>
      <c r="BCG19" s="2854"/>
      <c r="BCH19" s="2854"/>
      <c r="BCI19" s="2854"/>
      <c r="BCJ19" s="2854"/>
      <c r="BCK19" s="2854"/>
      <c r="BCL19" s="2854"/>
      <c r="BCM19" s="2854"/>
      <c r="BCN19" s="2854"/>
      <c r="BCO19" s="2854"/>
      <c r="BCP19" s="2854"/>
      <c r="BCQ19" s="2854"/>
      <c r="BCR19" s="2854"/>
      <c r="BCS19" s="2854"/>
      <c r="BCT19" s="2854"/>
      <c r="BCU19" s="2854"/>
      <c r="BCV19" s="2854"/>
      <c r="BCW19" s="2854"/>
      <c r="BCX19" s="2854"/>
      <c r="BCY19" s="2854"/>
      <c r="BCZ19" s="2854"/>
      <c r="BDA19" s="2854"/>
      <c r="BDB19" s="2854"/>
      <c r="BDC19" s="2854"/>
      <c r="BDD19" s="2854"/>
      <c r="BDE19" s="2854"/>
      <c r="BDF19" s="2854"/>
      <c r="BDG19" s="2854"/>
      <c r="BDH19" s="2854"/>
      <c r="BDI19" s="2854"/>
      <c r="BDJ19" s="2854"/>
      <c r="BDK19" s="2854"/>
      <c r="BDL19" s="2854"/>
      <c r="BDM19" s="2854"/>
      <c r="BDN19" s="2854"/>
      <c r="BDO19" s="2854"/>
      <c r="BDP19" s="2854"/>
      <c r="BDQ19" s="2854"/>
      <c r="BDR19" s="2854"/>
      <c r="BDS19" s="2854"/>
      <c r="BDT19" s="2854"/>
      <c r="BDU19" s="2854"/>
      <c r="BDV19" s="2854"/>
      <c r="BDW19" s="2854"/>
      <c r="BDX19" s="2854"/>
      <c r="BDY19" s="2854"/>
      <c r="BDZ19" s="2854"/>
      <c r="BEA19" s="2854"/>
      <c r="BEB19" s="2854"/>
      <c r="BEC19" s="2854"/>
      <c r="BED19" s="2854"/>
      <c r="BEE19" s="2854"/>
      <c r="BEF19" s="2854"/>
      <c r="BEG19" s="2854"/>
      <c r="BEH19" s="2854"/>
      <c r="BEI19" s="2854"/>
      <c r="BEJ19" s="2854"/>
      <c r="BEK19" s="2854"/>
      <c r="BEL19" s="2854"/>
      <c r="BEM19" s="2854"/>
      <c r="BEN19" s="2854"/>
      <c r="BEO19" s="2854"/>
      <c r="BEP19" s="2854"/>
      <c r="BEQ19" s="2854"/>
      <c r="BER19" s="2854"/>
      <c r="BES19" s="2854"/>
      <c r="BET19" s="2854"/>
      <c r="BEU19" s="2854"/>
      <c r="BEV19" s="2854"/>
      <c r="BEW19" s="2854"/>
      <c r="BEX19" s="2854"/>
      <c r="BEY19" s="2854"/>
      <c r="BEZ19" s="2854"/>
      <c r="BFA19" s="2854"/>
      <c r="BFB19" s="2854"/>
      <c r="BFC19" s="2854"/>
      <c r="BFD19" s="2854"/>
      <c r="BFE19" s="2854"/>
      <c r="BFF19" s="2854"/>
      <c r="BFG19" s="2854"/>
      <c r="BFH19" s="2854"/>
      <c r="BFI19" s="2854"/>
      <c r="BFJ19" s="2854"/>
      <c r="BFK19" s="2854"/>
      <c r="BFL19" s="2854"/>
      <c r="BFM19" s="2854"/>
      <c r="BFN19" s="2854"/>
      <c r="BFO19" s="2854"/>
      <c r="BFP19" s="2854"/>
      <c r="BFQ19" s="2854"/>
      <c r="BFR19" s="2854"/>
      <c r="BFS19" s="2854"/>
      <c r="BFT19" s="2854"/>
      <c r="BFU19" s="2854"/>
      <c r="BFV19" s="2854"/>
      <c r="BFW19" s="2854"/>
      <c r="BFX19" s="2854"/>
      <c r="BFY19" s="2854"/>
      <c r="BFZ19" s="2854"/>
      <c r="BGA19" s="2854"/>
      <c r="BGB19" s="2854"/>
      <c r="BGC19" s="2854"/>
      <c r="BGD19" s="2854"/>
      <c r="BGE19" s="2854"/>
      <c r="BGF19" s="2854"/>
      <c r="BGG19" s="2854"/>
      <c r="BGH19" s="2854"/>
      <c r="BGI19" s="2854"/>
      <c r="BGJ19" s="2854"/>
      <c r="BGK19" s="2854"/>
      <c r="BGL19" s="2854"/>
      <c r="BGM19" s="2854"/>
      <c r="BGN19" s="2854"/>
      <c r="BGO19" s="2854"/>
      <c r="BGP19" s="2854"/>
      <c r="BGQ19" s="2854"/>
      <c r="BGR19" s="2854"/>
      <c r="BGS19" s="2854"/>
      <c r="BGT19" s="2854"/>
      <c r="BGU19" s="2854"/>
      <c r="BGV19" s="2854"/>
      <c r="BGW19" s="2854"/>
      <c r="BGX19" s="2854"/>
      <c r="BGY19" s="2854"/>
      <c r="BGZ19" s="2854"/>
      <c r="BHA19" s="2854"/>
      <c r="BHB19" s="2854"/>
      <c r="BHC19" s="2854"/>
      <c r="BHD19" s="2854"/>
      <c r="BHE19" s="2854"/>
      <c r="BHF19" s="2854"/>
      <c r="BHG19" s="2854"/>
      <c r="BHH19" s="2854"/>
      <c r="BHI19" s="2854"/>
      <c r="BHJ19" s="2854"/>
      <c r="BHK19" s="2854"/>
      <c r="BHL19" s="2854"/>
      <c r="BHM19" s="2854"/>
      <c r="BHN19" s="2854"/>
      <c r="BHO19" s="2854"/>
      <c r="BHP19" s="2854"/>
      <c r="BHQ19" s="2854"/>
      <c r="BHR19" s="2854"/>
      <c r="BHS19" s="2854"/>
      <c r="BHT19" s="2854"/>
      <c r="BHU19" s="2854"/>
      <c r="BHV19" s="2854"/>
      <c r="BHW19" s="2854"/>
      <c r="BHX19" s="2854"/>
      <c r="BHY19" s="2854"/>
      <c r="BHZ19" s="2854"/>
      <c r="BIA19" s="2854"/>
      <c r="BIB19" s="2854"/>
      <c r="BIC19" s="2854"/>
      <c r="BID19" s="2854"/>
      <c r="BIE19" s="2854"/>
      <c r="BIF19" s="2854"/>
      <c r="BIG19" s="2854"/>
      <c r="BIH19" s="2854"/>
      <c r="BII19" s="2854"/>
      <c r="BIJ19" s="2854"/>
      <c r="BIK19" s="2854"/>
      <c r="BIL19" s="2854"/>
      <c r="BIM19" s="2854"/>
      <c r="BIN19" s="2854"/>
      <c r="BIO19" s="2854"/>
      <c r="BIP19" s="2854"/>
      <c r="BIQ19" s="2854"/>
      <c r="BIR19" s="2854"/>
      <c r="BIS19" s="2854"/>
      <c r="BIT19" s="2854"/>
      <c r="BIU19" s="2854"/>
      <c r="BIV19" s="2854"/>
      <c r="BIW19" s="2854"/>
      <c r="BIX19" s="2854"/>
      <c r="BIY19" s="2854"/>
      <c r="BIZ19" s="2854"/>
      <c r="BJA19" s="2854"/>
      <c r="BJB19" s="2854"/>
      <c r="BJC19" s="2854"/>
      <c r="BJD19" s="2854"/>
      <c r="BJE19" s="2854"/>
      <c r="BJF19" s="2854"/>
      <c r="BJG19" s="2854"/>
      <c r="BJH19" s="2854"/>
      <c r="BJI19" s="2854"/>
      <c r="BJJ19" s="2854"/>
      <c r="BJK19" s="2854"/>
      <c r="BJL19" s="2854"/>
      <c r="BJM19" s="2854"/>
      <c r="BJN19" s="2854"/>
      <c r="BJO19" s="2854"/>
      <c r="BJP19" s="2854"/>
      <c r="BJQ19" s="2854"/>
      <c r="BJR19" s="2854"/>
      <c r="BJS19" s="2854"/>
      <c r="BJT19" s="2854"/>
      <c r="BJU19" s="2854"/>
      <c r="BJV19" s="2854"/>
      <c r="BJW19" s="2854"/>
      <c r="BJX19" s="2854"/>
      <c r="BJY19" s="2854"/>
      <c r="BJZ19" s="2854"/>
      <c r="BKA19" s="2854"/>
      <c r="BKB19" s="2854"/>
      <c r="BKC19" s="2854"/>
      <c r="BKD19" s="2854"/>
      <c r="BKE19" s="2854"/>
      <c r="BKF19" s="2854"/>
      <c r="BKG19" s="2854"/>
      <c r="BKH19" s="2854"/>
      <c r="BKI19" s="2854"/>
      <c r="BKJ19" s="2854"/>
      <c r="BKK19" s="2854"/>
      <c r="BKL19" s="2854"/>
      <c r="BKM19" s="2854"/>
      <c r="BKN19" s="2854"/>
      <c r="BKO19" s="2854"/>
      <c r="BKP19" s="2854"/>
      <c r="BKQ19" s="2854"/>
      <c r="BKR19" s="2854"/>
      <c r="BKS19" s="2854"/>
      <c r="BKT19" s="2854"/>
      <c r="BKU19" s="2854"/>
      <c r="BKV19" s="2854"/>
      <c r="BKW19" s="2854"/>
      <c r="BKX19" s="2854"/>
      <c r="BKY19" s="2854"/>
      <c r="BKZ19" s="2854"/>
      <c r="BLA19" s="2854"/>
      <c r="BLB19" s="2854"/>
      <c r="BLC19" s="2854"/>
      <c r="BLD19" s="2854"/>
      <c r="BLE19" s="2854"/>
      <c r="BLF19" s="2854"/>
      <c r="BLG19" s="2854"/>
      <c r="BLH19" s="2854"/>
      <c r="BLI19" s="2854"/>
      <c r="BLJ19" s="2854"/>
      <c r="BLK19" s="2854"/>
      <c r="BLL19" s="2854"/>
      <c r="BLM19" s="2854"/>
      <c r="BLN19" s="2854"/>
      <c r="BLO19" s="2854"/>
      <c r="BLP19" s="2854"/>
      <c r="BLQ19" s="2854"/>
      <c r="BLR19" s="2854"/>
      <c r="BLS19" s="2854"/>
      <c r="BLT19" s="2854"/>
      <c r="BLU19" s="2854"/>
      <c r="BLV19" s="2854"/>
      <c r="BLW19" s="2854"/>
      <c r="BLX19" s="2854"/>
      <c r="BLY19" s="2854"/>
      <c r="BLZ19" s="2854"/>
      <c r="BMA19" s="2854"/>
      <c r="BMB19" s="2854"/>
      <c r="BMC19" s="2854"/>
      <c r="BMD19" s="2854"/>
      <c r="BME19" s="2854"/>
      <c r="BMF19" s="2854"/>
      <c r="BMG19" s="2854"/>
      <c r="BMH19" s="2854"/>
      <c r="BMI19" s="2854"/>
      <c r="BMJ19" s="2854"/>
      <c r="BMK19" s="2854"/>
      <c r="BML19" s="2854"/>
      <c r="BMM19" s="2854"/>
      <c r="BMN19" s="2854"/>
      <c r="BMO19" s="2854"/>
      <c r="BMP19" s="2854"/>
      <c r="BMQ19" s="2854"/>
      <c r="BMR19" s="2854"/>
      <c r="BMS19" s="2854"/>
      <c r="BMT19" s="2854"/>
      <c r="BMU19" s="2854"/>
      <c r="BMV19" s="2854"/>
      <c r="BMW19" s="2854"/>
      <c r="BMX19" s="2854"/>
      <c r="BMY19" s="2854"/>
      <c r="BMZ19" s="2854"/>
      <c r="BNA19" s="2854"/>
      <c r="BNB19" s="2854"/>
      <c r="BNC19" s="2854"/>
      <c r="BND19" s="2854"/>
      <c r="BNE19" s="2854"/>
      <c r="BNF19" s="2854"/>
      <c r="BNG19" s="2854"/>
      <c r="BNH19" s="2854"/>
      <c r="BNI19" s="2854"/>
      <c r="BNJ19" s="2854"/>
      <c r="BNK19" s="2854"/>
      <c r="BNL19" s="2854"/>
      <c r="BNM19" s="2854"/>
      <c r="BNN19" s="2854"/>
      <c r="BNO19" s="2854"/>
      <c r="BNP19" s="2854"/>
      <c r="BNQ19" s="2854"/>
      <c r="BNR19" s="2854"/>
      <c r="BNS19" s="2854"/>
      <c r="BNT19" s="2854"/>
      <c r="BNU19" s="2854"/>
      <c r="BNV19" s="2854"/>
      <c r="BNW19" s="2854"/>
      <c r="BNX19" s="2854"/>
      <c r="BNY19" s="2854"/>
      <c r="BNZ19" s="2854"/>
      <c r="BOA19" s="2854"/>
      <c r="BOB19" s="2854"/>
      <c r="BOC19" s="2854"/>
      <c r="BOD19" s="2854"/>
      <c r="BOE19" s="2854"/>
      <c r="BOF19" s="2854"/>
      <c r="BOG19" s="2854"/>
      <c r="BOH19" s="2854"/>
      <c r="BOI19" s="2854"/>
      <c r="BOJ19" s="2854"/>
      <c r="BOK19" s="2854"/>
      <c r="BOL19" s="2854"/>
      <c r="BOM19" s="2854"/>
      <c r="BON19" s="2854"/>
      <c r="BOO19" s="2854"/>
      <c r="BOP19" s="2854"/>
      <c r="BOQ19" s="2854"/>
      <c r="BOR19" s="2854"/>
      <c r="BOS19" s="2854"/>
      <c r="BOT19" s="2854"/>
      <c r="BOU19" s="2854"/>
      <c r="BOV19" s="2854"/>
      <c r="BOW19" s="2854"/>
      <c r="BOX19" s="2854"/>
      <c r="BOY19" s="2854"/>
      <c r="BOZ19" s="2854"/>
      <c r="BPA19" s="2854"/>
      <c r="BPB19" s="2854"/>
      <c r="BPC19" s="2854"/>
      <c r="BPD19" s="2854"/>
      <c r="BPE19" s="2854"/>
      <c r="BPF19" s="2854"/>
      <c r="BPG19" s="2854"/>
      <c r="BPH19" s="2854"/>
      <c r="BPI19" s="2854"/>
      <c r="BPJ19" s="2854"/>
      <c r="BPK19" s="2854"/>
      <c r="BPL19" s="2854"/>
      <c r="BPM19" s="2854"/>
      <c r="BPN19" s="2854"/>
      <c r="BPO19" s="2854"/>
      <c r="BPP19" s="2854"/>
      <c r="BPQ19" s="2854"/>
      <c r="BPR19" s="2854"/>
      <c r="BPS19" s="2854"/>
      <c r="BPT19" s="2854"/>
      <c r="BPU19" s="2854"/>
      <c r="BPV19" s="2854"/>
      <c r="BPW19" s="2854"/>
      <c r="BPX19" s="2854"/>
      <c r="BPY19" s="2854"/>
      <c r="BPZ19" s="2854"/>
      <c r="BQA19" s="2854"/>
      <c r="BQB19" s="2854"/>
      <c r="BQC19" s="2854"/>
      <c r="BQD19" s="2854"/>
      <c r="BQE19" s="2854"/>
      <c r="BQF19" s="2854"/>
      <c r="BQG19" s="2854"/>
      <c r="BQH19" s="2854"/>
      <c r="BQI19" s="2854"/>
      <c r="BQJ19" s="2854"/>
      <c r="BQK19" s="2854"/>
      <c r="BQL19" s="2854"/>
      <c r="BQM19" s="2854"/>
      <c r="BQN19" s="2854"/>
      <c r="BQO19" s="2854"/>
      <c r="BQP19" s="2854"/>
      <c r="BQQ19" s="2854"/>
      <c r="BQR19" s="2854"/>
      <c r="BQS19" s="2854"/>
      <c r="BQT19" s="2854"/>
      <c r="BQU19" s="2854"/>
      <c r="BQV19" s="2854"/>
      <c r="BQW19" s="2854"/>
      <c r="BQX19" s="2854"/>
      <c r="BQY19" s="2854"/>
      <c r="BQZ19" s="2854"/>
      <c r="BRA19" s="2854"/>
      <c r="BRB19" s="2854"/>
      <c r="BRC19" s="2854"/>
      <c r="BRD19" s="2854"/>
      <c r="BRE19" s="2854"/>
      <c r="BRF19" s="2854"/>
      <c r="BRG19" s="2854"/>
      <c r="BRH19" s="2854"/>
      <c r="BRI19" s="2854"/>
      <c r="BRJ19" s="2854"/>
      <c r="BRK19" s="2854"/>
      <c r="BRL19" s="2854"/>
      <c r="BRM19" s="2854"/>
      <c r="BRN19" s="2854"/>
      <c r="BRO19" s="2854"/>
      <c r="BRP19" s="2854"/>
      <c r="BRQ19" s="2854"/>
      <c r="BRR19" s="2854"/>
      <c r="BRS19" s="2854"/>
      <c r="BRT19" s="2854"/>
      <c r="BRU19" s="2854"/>
      <c r="BRV19" s="2854"/>
      <c r="BRW19" s="2854"/>
      <c r="BRX19" s="2854"/>
      <c r="BRY19" s="2854"/>
      <c r="BRZ19" s="2854"/>
      <c r="BSA19" s="2854"/>
      <c r="BSB19" s="2854"/>
      <c r="BSC19" s="2854"/>
      <c r="BSD19" s="2854"/>
      <c r="BSE19" s="2854"/>
      <c r="BSF19" s="2854"/>
      <c r="BSG19" s="2854"/>
      <c r="BSH19" s="2854"/>
      <c r="BSI19" s="2854"/>
      <c r="BSJ19" s="2854"/>
      <c r="BSK19" s="2854"/>
      <c r="BSL19" s="2854"/>
      <c r="BSM19" s="2854"/>
      <c r="BSN19" s="2854"/>
      <c r="BSO19" s="2854"/>
      <c r="BSP19" s="2854"/>
      <c r="BSQ19" s="2854"/>
      <c r="BSR19" s="2854"/>
      <c r="BSS19" s="2854"/>
      <c r="BST19" s="2854"/>
      <c r="BSU19" s="2854"/>
      <c r="BSV19" s="2854"/>
      <c r="BSW19" s="2854"/>
      <c r="BSX19" s="2854"/>
      <c r="BSY19" s="2854"/>
      <c r="BSZ19" s="2854"/>
      <c r="BTA19" s="2854"/>
      <c r="BTB19" s="2854"/>
      <c r="BTC19" s="2854"/>
      <c r="BTD19" s="2854"/>
      <c r="BTE19" s="2854"/>
      <c r="BTF19" s="2854"/>
      <c r="BTG19" s="2854"/>
      <c r="BTH19" s="2854"/>
      <c r="BTI19" s="2854"/>
      <c r="BTJ19" s="2854"/>
      <c r="BTK19" s="2854"/>
      <c r="BTL19" s="2854"/>
      <c r="BTM19" s="2854"/>
      <c r="BTN19" s="2854"/>
      <c r="BTO19" s="2854"/>
      <c r="BTP19" s="2854"/>
      <c r="BTQ19" s="2854"/>
      <c r="BTR19" s="2854"/>
      <c r="BTS19" s="2854"/>
      <c r="BTT19" s="2854"/>
      <c r="BTU19" s="2854"/>
      <c r="BTV19" s="2854"/>
      <c r="BTW19" s="2854"/>
      <c r="BTX19" s="2854"/>
      <c r="BTY19" s="2854"/>
      <c r="BTZ19" s="2854"/>
      <c r="BUA19" s="2854"/>
      <c r="BUB19" s="2854"/>
      <c r="BUC19" s="2854"/>
      <c r="BUD19" s="2854"/>
      <c r="BUE19" s="2854"/>
      <c r="BUF19" s="2854"/>
      <c r="BUG19" s="2854"/>
      <c r="BUH19" s="2854"/>
      <c r="BUI19" s="2854"/>
      <c r="BUJ19" s="2854"/>
      <c r="BUK19" s="2854"/>
      <c r="BUL19" s="2854"/>
      <c r="BUM19" s="2854"/>
      <c r="BUN19" s="2854"/>
      <c r="BUO19" s="2854"/>
      <c r="BUP19" s="2854"/>
      <c r="BUQ19" s="2854"/>
      <c r="BUR19" s="2854"/>
      <c r="BUS19" s="2854"/>
      <c r="BUT19" s="2854"/>
      <c r="BUU19" s="2854"/>
      <c r="BUV19" s="2854"/>
      <c r="BUW19" s="2854"/>
      <c r="BUX19" s="2854"/>
      <c r="BUY19" s="2854"/>
      <c r="BUZ19" s="2854"/>
      <c r="BVA19" s="2854"/>
      <c r="BVB19" s="2854"/>
      <c r="BVC19" s="2854"/>
      <c r="BVD19" s="2854"/>
      <c r="BVE19" s="2854"/>
      <c r="BVF19" s="2854"/>
      <c r="BVG19" s="2854"/>
      <c r="BVH19" s="2854"/>
      <c r="BVI19" s="2854"/>
      <c r="BVJ19" s="2854"/>
      <c r="BVK19" s="2854"/>
      <c r="BVL19" s="2854"/>
      <c r="BVM19" s="2854"/>
      <c r="BVN19" s="2854"/>
      <c r="BVO19" s="2854"/>
      <c r="BVP19" s="2854"/>
      <c r="BVQ19" s="2854"/>
      <c r="BVR19" s="2854"/>
      <c r="BVS19" s="2854"/>
      <c r="BVT19" s="2854"/>
      <c r="BVU19" s="2854"/>
      <c r="BVV19" s="2854"/>
      <c r="BVW19" s="2854"/>
      <c r="BVX19" s="2854"/>
      <c r="BVY19" s="2854"/>
      <c r="BVZ19" s="2854"/>
      <c r="BWA19" s="2854"/>
      <c r="BWB19" s="2854"/>
      <c r="BWC19" s="2854"/>
      <c r="BWD19" s="2854"/>
      <c r="BWE19" s="2854"/>
      <c r="BWF19" s="2854"/>
      <c r="BWG19" s="2854"/>
      <c r="BWH19" s="2854"/>
      <c r="BWI19" s="2854"/>
      <c r="BWJ19" s="2854"/>
      <c r="BWK19" s="2854"/>
      <c r="BWL19" s="2854"/>
      <c r="BWM19" s="2854"/>
      <c r="BWN19" s="2854"/>
      <c r="BWO19" s="2854"/>
      <c r="BWP19" s="2854"/>
      <c r="BWQ19" s="2854"/>
      <c r="BWR19" s="2854"/>
      <c r="BWS19" s="2854"/>
      <c r="BWT19" s="2854"/>
      <c r="BWU19" s="2854"/>
      <c r="BWV19" s="2854"/>
      <c r="BWW19" s="2854"/>
      <c r="BWX19" s="2854"/>
      <c r="BWY19" s="2854"/>
      <c r="BWZ19" s="2854"/>
      <c r="BXA19" s="2854"/>
      <c r="BXB19" s="2854"/>
      <c r="BXC19" s="2854"/>
      <c r="BXD19" s="2854"/>
      <c r="BXE19" s="2854"/>
      <c r="BXF19" s="2854"/>
      <c r="BXG19" s="2854"/>
      <c r="BXH19" s="2854"/>
      <c r="BXI19" s="2854"/>
      <c r="BXJ19" s="2854"/>
      <c r="BXK19" s="2854"/>
      <c r="BXL19" s="2854"/>
      <c r="BXM19" s="2854"/>
      <c r="BXN19" s="2854"/>
      <c r="BXO19" s="2854"/>
      <c r="BXP19" s="2854"/>
      <c r="BXQ19" s="2854"/>
      <c r="BXR19" s="2854"/>
      <c r="BXS19" s="2854"/>
      <c r="BXT19" s="2854"/>
      <c r="BXU19" s="2854"/>
      <c r="BXV19" s="2854"/>
      <c r="BXW19" s="2854"/>
      <c r="BXX19" s="2854"/>
      <c r="BXY19" s="2854"/>
      <c r="BXZ19" s="2854"/>
      <c r="BYA19" s="2854"/>
      <c r="BYB19" s="2854"/>
      <c r="BYC19" s="2854"/>
      <c r="BYD19" s="2854"/>
      <c r="BYE19" s="2854"/>
      <c r="BYF19" s="2854"/>
      <c r="BYG19" s="2854"/>
      <c r="BYH19" s="2854"/>
      <c r="BYI19" s="2854"/>
      <c r="BYJ19" s="2854"/>
      <c r="BYK19" s="2854"/>
      <c r="BYL19" s="2854"/>
      <c r="BYM19" s="2854"/>
      <c r="BYN19" s="2854"/>
      <c r="BYO19" s="2854"/>
      <c r="BYP19" s="2854"/>
      <c r="BYQ19" s="2854"/>
      <c r="BYR19" s="2854"/>
      <c r="BYS19" s="2854"/>
      <c r="BYT19" s="2854"/>
      <c r="BYU19" s="2854"/>
      <c r="BYV19" s="2854"/>
      <c r="BYW19" s="2854"/>
      <c r="BYX19" s="2854"/>
      <c r="BYY19" s="2854"/>
      <c r="BYZ19" s="2854"/>
      <c r="BZA19" s="2854"/>
      <c r="BZB19" s="2854"/>
      <c r="BZC19" s="2854"/>
      <c r="BZD19" s="2854"/>
      <c r="BZE19" s="2854"/>
      <c r="BZF19" s="2854"/>
      <c r="BZG19" s="2854"/>
      <c r="BZH19" s="2854"/>
      <c r="BZI19" s="2854"/>
      <c r="BZJ19" s="2854"/>
      <c r="BZK19" s="2854"/>
      <c r="BZL19" s="2854"/>
      <c r="BZM19" s="2854"/>
      <c r="BZN19" s="2854"/>
      <c r="BZO19" s="2854"/>
      <c r="BZP19" s="2854"/>
      <c r="BZQ19" s="2854"/>
      <c r="BZR19" s="2854"/>
      <c r="BZS19" s="2854"/>
      <c r="BZT19" s="2854"/>
      <c r="BZU19" s="2854"/>
      <c r="BZV19" s="2854"/>
      <c r="BZW19" s="2854"/>
      <c r="BZX19" s="2854"/>
      <c r="BZY19" s="2854"/>
      <c r="BZZ19" s="2854"/>
      <c r="CAA19" s="2854"/>
      <c r="CAB19" s="2854"/>
      <c r="CAC19" s="2854"/>
      <c r="CAD19" s="2854"/>
      <c r="CAE19" s="2854"/>
      <c r="CAF19" s="2854"/>
      <c r="CAG19" s="2854"/>
      <c r="CAH19" s="2854"/>
      <c r="CAI19" s="2854"/>
      <c r="CAJ19" s="2854"/>
      <c r="CAK19" s="2854"/>
      <c r="CAL19" s="2854"/>
      <c r="CAM19" s="2854"/>
      <c r="CAN19" s="2854"/>
      <c r="CAO19" s="2854"/>
      <c r="CAP19" s="2854"/>
      <c r="CAQ19" s="2854"/>
      <c r="CAR19" s="2854"/>
      <c r="CAS19" s="2854"/>
      <c r="CAT19" s="2854"/>
      <c r="CAU19" s="2854"/>
      <c r="CAV19" s="2854"/>
      <c r="CAW19" s="2854"/>
      <c r="CAX19" s="2854"/>
      <c r="CAY19" s="2854"/>
      <c r="CAZ19" s="2854"/>
      <c r="CBA19" s="2854"/>
      <c r="CBB19" s="2854"/>
      <c r="CBC19" s="2854"/>
      <c r="CBD19" s="2854"/>
      <c r="CBE19" s="2854"/>
      <c r="CBF19" s="2854"/>
      <c r="CBG19" s="2854"/>
      <c r="CBH19" s="2854"/>
      <c r="CBI19" s="2854"/>
      <c r="CBJ19" s="2854"/>
      <c r="CBK19" s="2854"/>
      <c r="CBL19" s="2854"/>
      <c r="CBM19" s="2854"/>
      <c r="CBN19" s="2854"/>
      <c r="CBO19" s="2854"/>
      <c r="CBP19" s="2854"/>
      <c r="CBQ19" s="2854"/>
      <c r="CBR19" s="2854"/>
      <c r="CBS19" s="2854"/>
      <c r="CBT19" s="2854"/>
      <c r="CBU19" s="2854"/>
      <c r="CBV19" s="2854"/>
      <c r="CBW19" s="2854"/>
      <c r="CBX19" s="2854"/>
      <c r="CBY19" s="2854"/>
      <c r="CBZ19" s="2854"/>
      <c r="CCA19" s="2854"/>
      <c r="CCB19" s="2854"/>
      <c r="CCC19" s="2854"/>
      <c r="CCD19" s="2854"/>
      <c r="CCE19" s="2854"/>
      <c r="CCF19" s="2854"/>
      <c r="CCG19" s="2854"/>
      <c r="CCH19" s="2854"/>
      <c r="CCI19" s="2854"/>
      <c r="CCJ19" s="2854"/>
      <c r="CCK19" s="2854"/>
      <c r="CCL19" s="2854"/>
      <c r="CCM19" s="2854"/>
      <c r="CCN19" s="2854"/>
      <c r="CCO19" s="2854"/>
      <c r="CCP19" s="2854"/>
      <c r="CCQ19" s="2854"/>
      <c r="CCR19" s="2854"/>
      <c r="CCS19" s="2854"/>
      <c r="CCT19" s="2854"/>
      <c r="CCU19" s="2854"/>
      <c r="CCV19" s="2854"/>
      <c r="CCW19" s="2854"/>
      <c r="CCX19" s="2854"/>
      <c r="CCY19" s="2854"/>
      <c r="CCZ19" s="2854"/>
      <c r="CDA19" s="2854"/>
      <c r="CDB19" s="2854"/>
      <c r="CDC19" s="2854"/>
      <c r="CDD19" s="2854"/>
      <c r="CDE19" s="2854"/>
      <c r="CDF19" s="2854"/>
      <c r="CDG19" s="2854"/>
      <c r="CDH19" s="2854"/>
      <c r="CDI19" s="2854"/>
      <c r="CDJ19" s="2854"/>
      <c r="CDK19" s="2854"/>
      <c r="CDL19" s="2854"/>
      <c r="CDM19" s="2854"/>
      <c r="CDN19" s="2854"/>
      <c r="CDO19" s="2854"/>
      <c r="CDP19" s="2854"/>
      <c r="CDQ19" s="2854"/>
      <c r="CDR19" s="2854"/>
      <c r="CDS19" s="2854"/>
      <c r="CDT19" s="2854"/>
      <c r="CDU19" s="2854"/>
      <c r="CDV19" s="2854"/>
      <c r="CDW19" s="2854"/>
      <c r="CDX19" s="2854"/>
      <c r="CDY19" s="2854"/>
      <c r="CDZ19" s="2854"/>
      <c r="CEA19" s="2854"/>
      <c r="CEB19" s="2854"/>
      <c r="CEC19" s="2854"/>
      <c r="CED19" s="2854"/>
      <c r="CEE19" s="2854"/>
      <c r="CEF19" s="2854"/>
      <c r="CEG19" s="2854"/>
      <c r="CEH19" s="2854"/>
      <c r="CEI19" s="2854"/>
      <c r="CEJ19" s="2854"/>
      <c r="CEK19" s="2854"/>
      <c r="CEL19" s="2854"/>
      <c r="CEM19" s="2854"/>
      <c r="CEN19" s="2854"/>
      <c r="CEO19" s="2854"/>
      <c r="CEP19" s="2854"/>
      <c r="CEQ19" s="2854"/>
      <c r="CER19" s="2854"/>
      <c r="CES19" s="2854"/>
      <c r="CET19" s="2854"/>
      <c r="CEU19" s="2854"/>
      <c r="CEV19" s="2854"/>
      <c r="CEW19" s="2854"/>
      <c r="CEX19" s="2854"/>
      <c r="CEY19" s="2854"/>
      <c r="CEZ19" s="2854"/>
      <c r="CFA19" s="2854"/>
      <c r="CFB19" s="2854"/>
      <c r="CFC19" s="2854"/>
      <c r="CFD19" s="2854"/>
      <c r="CFE19" s="2854"/>
      <c r="CFF19" s="2854"/>
      <c r="CFG19" s="2854"/>
      <c r="CFH19" s="2854"/>
      <c r="CFI19" s="2854"/>
      <c r="CFJ19" s="2854"/>
      <c r="CFK19" s="2854"/>
      <c r="CFL19" s="2854"/>
      <c r="CFM19" s="2854"/>
      <c r="CFN19" s="2854"/>
      <c r="CFO19" s="2854"/>
      <c r="CFP19" s="2854"/>
      <c r="CFQ19" s="2854"/>
      <c r="CFR19" s="2854"/>
      <c r="CFS19" s="2854"/>
      <c r="CFT19" s="2854"/>
      <c r="CFU19" s="2854"/>
      <c r="CFV19" s="2854"/>
      <c r="CFW19" s="2854"/>
      <c r="CFX19" s="2854"/>
      <c r="CFY19" s="2854"/>
      <c r="CFZ19" s="2854"/>
      <c r="CGA19" s="2854"/>
      <c r="CGB19" s="2854"/>
      <c r="CGC19" s="2854"/>
      <c r="CGD19" s="2854"/>
      <c r="CGE19" s="2854"/>
      <c r="CGF19" s="2854"/>
      <c r="CGG19" s="2854"/>
      <c r="CGH19" s="2854"/>
      <c r="CGI19" s="2854"/>
      <c r="CGJ19" s="2854"/>
      <c r="CGK19" s="2854"/>
      <c r="CGL19" s="2854"/>
      <c r="CGM19" s="2854"/>
      <c r="CGN19" s="2854"/>
      <c r="CGO19" s="2854"/>
      <c r="CGP19" s="2854"/>
      <c r="CGQ19" s="2854"/>
      <c r="CGR19" s="2854"/>
      <c r="CGS19" s="2854"/>
      <c r="CGT19" s="2854"/>
      <c r="CGU19" s="2854"/>
      <c r="CGV19" s="2854"/>
      <c r="CGW19" s="2854"/>
      <c r="CGX19" s="2854"/>
      <c r="CGY19" s="2854"/>
      <c r="CGZ19" s="2854"/>
      <c r="CHA19" s="2854"/>
      <c r="CHB19" s="2854"/>
      <c r="CHC19" s="2854"/>
      <c r="CHD19" s="2854"/>
      <c r="CHE19" s="2854"/>
      <c r="CHF19" s="2854"/>
      <c r="CHG19" s="2854"/>
      <c r="CHH19" s="2854"/>
      <c r="CHI19" s="2854"/>
      <c r="CHJ19" s="2854"/>
      <c r="CHK19" s="2854"/>
      <c r="CHL19" s="2854"/>
      <c r="CHM19" s="2854"/>
      <c r="CHN19" s="2854"/>
      <c r="CHO19" s="2854"/>
      <c r="CHP19" s="2854"/>
      <c r="CHQ19" s="2854"/>
      <c r="CHR19" s="2854"/>
      <c r="CHS19" s="2854"/>
      <c r="CHT19" s="2854"/>
      <c r="CHU19" s="2854"/>
      <c r="CHV19" s="2854"/>
      <c r="CHW19" s="2854"/>
      <c r="CHX19" s="2854"/>
      <c r="CHY19" s="2854"/>
      <c r="CHZ19" s="2854"/>
      <c r="CIA19" s="2854"/>
      <c r="CIB19" s="2854"/>
      <c r="CIC19" s="2854"/>
      <c r="CID19" s="2854"/>
      <c r="CIE19" s="2854"/>
      <c r="CIF19" s="2854"/>
      <c r="CIG19" s="2854"/>
      <c r="CIH19" s="2854"/>
      <c r="CII19" s="2854"/>
      <c r="CIJ19" s="2854"/>
      <c r="CIK19" s="2854"/>
      <c r="CIL19" s="2854"/>
      <c r="CIM19" s="2854"/>
      <c r="CIN19" s="2854"/>
      <c r="CIO19" s="2854"/>
      <c r="CIP19" s="2854"/>
      <c r="CIQ19" s="2854"/>
      <c r="CIR19" s="2854"/>
      <c r="CIS19" s="2854"/>
      <c r="CIT19" s="2854"/>
      <c r="CIU19" s="2854"/>
      <c r="CIV19" s="2854"/>
      <c r="CIW19" s="2854"/>
      <c r="CIX19" s="2854"/>
      <c r="CIY19" s="2854"/>
      <c r="CIZ19" s="2854"/>
      <c r="CJA19" s="2854"/>
      <c r="CJB19" s="2854"/>
      <c r="CJC19" s="2854"/>
      <c r="CJD19" s="2854"/>
      <c r="CJE19" s="2854"/>
      <c r="CJF19" s="2854"/>
      <c r="CJG19" s="2854"/>
      <c r="CJH19" s="2854"/>
      <c r="CJI19" s="2854"/>
      <c r="CJJ19" s="2854"/>
      <c r="CJK19" s="2854"/>
      <c r="CJL19" s="2854"/>
      <c r="CJM19" s="2854"/>
      <c r="CJN19" s="2854"/>
      <c r="CJO19" s="2854"/>
      <c r="CJP19" s="2854"/>
      <c r="CJQ19" s="2854"/>
      <c r="CJR19" s="2854"/>
      <c r="CJS19" s="2854"/>
      <c r="CJT19" s="2854"/>
      <c r="CJU19" s="2854"/>
      <c r="CJV19" s="2854"/>
      <c r="CJW19" s="2854"/>
      <c r="CJX19" s="2854"/>
      <c r="CJY19" s="2854"/>
      <c r="CJZ19" s="2854"/>
      <c r="CKA19" s="2854"/>
      <c r="CKB19" s="2854"/>
      <c r="CKC19" s="2854"/>
      <c r="CKD19" s="2854"/>
      <c r="CKE19" s="2854"/>
      <c r="CKF19" s="2854"/>
      <c r="CKG19" s="2854"/>
      <c r="CKH19" s="2854"/>
      <c r="CKI19" s="2854"/>
      <c r="CKJ19" s="2854"/>
      <c r="CKK19" s="2854"/>
      <c r="CKL19" s="2854"/>
      <c r="CKM19" s="2854"/>
      <c r="CKN19" s="2854"/>
      <c r="CKO19" s="2854"/>
      <c r="CKP19" s="2854"/>
      <c r="CKQ19" s="2854"/>
      <c r="CKR19" s="2854"/>
      <c r="CKS19" s="2854"/>
      <c r="CKT19" s="2854"/>
      <c r="CKU19" s="2854"/>
      <c r="CKV19" s="2854"/>
      <c r="CKW19" s="2854"/>
      <c r="CKX19" s="2854"/>
      <c r="CKY19" s="2854"/>
      <c r="CKZ19" s="2854"/>
      <c r="CLA19" s="2854"/>
      <c r="CLB19" s="2854"/>
      <c r="CLC19" s="2854"/>
      <c r="CLD19" s="2854"/>
      <c r="CLE19" s="2854"/>
      <c r="CLF19" s="2854"/>
      <c r="CLG19" s="2854"/>
      <c r="CLH19" s="2854"/>
      <c r="CLI19" s="2854"/>
      <c r="CLJ19" s="2854"/>
      <c r="CLK19" s="2854"/>
      <c r="CLL19" s="2854"/>
      <c r="CLM19" s="2854"/>
      <c r="CLN19" s="2854"/>
      <c r="CLO19" s="2854"/>
      <c r="CLP19" s="2854"/>
      <c r="CLQ19" s="2854"/>
      <c r="CLR19" s="2854"/>
      <c r="CLS19" s="2854"/>
      <c r="CLT19" s="2854"/>
      <c r="CLU19" s="2854"/>
      <c r="CLV19" s="2854"/>
      <c r="CLW19" s="2854"/>
    </row>
    <row r="20" spans="1:2363" ht="15" customHeight="1" x14ac:dyDescent="0.25">
      <c r="A20" s="3868"/>
      <c r="B20" s="3881"/>
      <c r="C20" s="3230" t="s">
        <v>657</v>
      </c>
      <c r="D20" s="3571"/>
      <c r="E20" s="3232"/>
      <c r="F20" s="1856"/>
      <c r="G20" s="1800"/>
      <c r="H20" s="3233"/>
      <c r="I20" s="2616"/>
      <c r="J20" s="2664"/>
      <c r="K20" s="3234"/>
      <c r="L20" s="3235"/>
      <c r="M20" s="1891"/>
      <c r="N20" s="3115"/>
      <c r="O20" s="3236"/>
      <c r="P20" s="3237"/>
      <c r="Q20" s="3238"/>
      <c r="R20" s="3239"/>
      <c r="S20" s="3239"/>
      <c r="T20" s="3240"/>
      <c r="U20" s="3241"/>
      <c r="V20" s="3238"/>
      <c r="W20" s="3242"/>
      <c r="X20" s="3243"/>
      <c r="Y20" s="3244"/>
      <c r="Z20" s="3575"/>
      <c r="AA20" s="2767">
        <v>368162.04</v>
      </c>
      <c r="AB20" s="1858">
        <v>368162.04</v>
      </c>
      <c r="AC20" s="2682">
        <v>0</v>
      </c>
      <c r="AD20" s="2461"/>
      <c r="AE20" s="2461"/>
      <c r="AF20" s="1896"/>
      <c r="AG20" s="2869"/>
      <c r="AH20" s="2062"/>
      <c r="AI20" s="3411"/>
      <c r="AJ20" s="2767"/>
      <c r="AK20" s="2831"/>
      <c r="AL20" s="3245">
        <v>0</v>
      </c>
      <c r="AM20" s="3246">
        <v>0</v>
      </c>
      <c r="AN20" s="2116">
        <v>0</v>
      </c>
      <c r="AO20" s="3247"/>
      <c r="AP20" s="2691"/>
      <c r="AQ20" s="3248"/>
      <c r="AR20" s="2691"/>
      <c r="AS20" s="2164">
        <f>+AO20+AP20+AQ20+AR20</f>
        <v>0</v>
      </c>
      <c r="AT20" s="2168"/>
      <c r="AU20" s="2765"/>
      <c r="AV20" s="1835"/>
      <c r="AW20" s="3250"/>
      <c r="AX20" s="3521"/>
      <c r="AY20" s="3522"/>
      <c r="AZ20" s="2116">
        <f>+AX20-AY20</f>
        <v>0</v>
      </c>
      <c r="BA20" s="3251"/>
      <c r="BB20" s="3072"/>
      <c r="BC20" s="3252"/>
      <c r="BD20" s="3072"/>
      <c r="BE20" s="3075">
        <f t="shared" ref="BE20:BE29" si="25">+BA20+BB20+BC20+BD20+AZ20</f>
        <v>0</v>
      </c>
      <c r="BF20" s="3183"/>
      <c r="BG20" s="2765"/>
      <c r="BH20" s="1835">
        <v>0</v>
      </c>
      <c r="BI20" s="3254"/>
      <c r="BJ20" s="3416">
        <v>0</v>
      </c>
      <c r="BK20" s="2767">
        <v>0</v>
      </c>
      <c r="BL20" s="1859">
        <f>+BJ20-BK20</f>
        <v>0</v>
      </c>
      <c r="BM20" s="3431">
        <f>AD20+AO20</f>
        <v>0</v>
      </c>
      <c r="BN20" s="3441">
        <f t="shared" si="23"/>
        <v>0</v>
      </c>
      <c r="BO20" s="3442">
        <f t="shared" si="23"/>
        <v>0</v>
      </c>
      <c r="BP20" s="3303">
        <v>0</v>
      </c>
      <c r="BQ20" s="3468">
        <v>0</v>
      </c>
      <c r="BR20" s="3446">
        <f t="shared" si="24"/>
        <v>0</v>
      </c>
      <c r="BS20" s="1858">
        <f t="shared" si="24"/>
        <v>0</v>
      </c>
      <c r="BT20" s="3449">
        <f t="shared" ref="BT20:BT26" si="26">+AW20+AK20</f>
        <v>0</v>
      </c>
      <c r="BU20" s="3144"/>
      <c r="BV20" s="3058"/>
      <c r="BW20" s="3058"/>
      <c r="BX20" s="3058"/>
      <c r="BY20" s="3144"/>
      <c r="BZ20" s="3144"/>
      <c r="CA20" s="3147"/>
      <c r="CB20" s="3147"/>
      <c r="CC20" s="3147"/>
      <c r="CD20" s="3147"/>
      <c r="CE20" s="3147"/>
      <c r="CF20" s="3147"/>
      <c r="CG20" s="3147"/>
      <c r="CH20" s="1050"/>
      <c r="CI20" s="2854"/>
      <c r="CJ20" s="2854"/>
      <c r="CK20" s="2854"/>
      <c r="CL20" s="2854"/>
      <c r="CM20" s="2854"/>
      <c r="CN20" s="2854"/>
      <c r="CO20" s="2854"/>
      <c r="CP20" s="2854"/>
      <c r="CQ20" s="2854"/>
      <c r="CR20" s="2854"/>
      <c r="CS20" s="2854"/>
      <c r="CT20" s="2854"/>
      <c r="CU20" s="175"/>
      <c r="CV20" s="2854"/>
      <c r="CW20" s="2854"/>
      <c r="CX20" s="2854"/>
      <c r="CY20" s="2854"/>
      <c r="CZ20" s="2854"/>
      <c r="DA20" s="2854"/>
      <c r="DB20" s="2854"/>
      <c r="DC20" s="2854"/>
      <c r="DD20" s="2854"/>
      <c r="DE20" s="2854"/>
      <c r="DF20" s="2854"/>
      <c r="DG20" s="2854"/>
      <c r="DH20" s="2854"/>
      <c r="DI20" s="2854"/>
      <c r="DJ20" s="2854"/>
      <c r="DK20" s="2854"/>
      <c r="DL20" s="2854"/>
      <c r="DM20" s="2854"/>
      <c r="DN20" s="2854"/>
      <c r="DO20" s="2854"/>
      <c r="DP20" s="2854"/>
      <c r="DQ20" s="2854"/>
      <c r="DR20" s="2854"/>
      <c r="DS20" s="2854"/>
      <c r="DT20" s="2854"/>
      <c r="DU20" s="2854"/>
      <c r="DV20" s="2854"/>
      <c r="DW20" s="2854"/>
      <c r="DX20" s="2854"/>
      <c r="DY20" s="2854"/>
      <c r="DZ20" s="2854"/>
      <c r="EA20" s="2854"/>
      <c r="EB20" s="2854"/>
      <c r="EC20" s="2854"/>
      <c r="ED20" s="2854"/>
      <c r="EE20" s="2854"/>
      <c r="EF20" s="2854"/>
      <c r="EG20" s="2854"/>
      <c r="EH20" s="2854"/>
      <c r="EI20" s="2854"/>
      <c r="EJ20" s="2854"/>
      <c r="EK20" s="2854"/>
      <c r="EL20" s="2854"/>
      <c r="EM20" s="2854"/>
      <c r="EN20" s="2854"/>
      <c r="EO20" s="2854"/>
      <c r="EP20" s="2854"/>
      <c r="EQ20" s="2854"/>
      <c r="ER20" s="2854"/>
      <c r="ES20" s="2854"/>
      <c r="ET20" s="2854"/>
      <c r="EU20" s="2854"/>
      <c r="EV20" s="2854"/>
      <c r="EW20" s="2854"/>
      <c r="EX20" s="2854"/>
      <c r="EY20" s="2854"/>
      <c r="EZ20" s="2854"/>
      <c r="FA20" s="2854"/>
      <c r="FB20" s="2854"/>
      <c r="FC20" s="2854"/>
      <c r="FD20" s="2854"/>
      <c r="FE20" s="2854"/>
      <c r="FF20" s="2854"/>
      <c r="FG20" s="2854"/>
      <c r="FH20" s="2854"/>
      <c r="FI20" s="2854"/>
      <c r="FJ20" s="2854"/>
      <c r="FK20" s="2854"/>
      <c r="FL20" s="2854"/>
      <c r="FM20" s="2854"/>
      <c r="FN20" s="2854"/>
      <c r="FO20" s="2854"/>
      <c r="FP20" s="2854"/>
      <c r="FQ20" s="2854"/>
      <c r="FR20" s="2854"/>
      <c r="FS20" s="2854"/>
      <c r="FT20" s="2854"/>
      <c r="FU20" s="2854"/>
      <c r="FV20" s="2854"/>
      <c r="FW20" s="2854"/>
      <c r="FX20" s="2854"/>
      <c r="FY20" s="2854"/>
      <c r="FZ20" s="2854"/>
      <c r="GA20" s="2854"/>
      <c r="GB20" s="2854"/>
      <c r="GC20" s="2854"/>
      <c r="GD20" s="2854"/>
      <c r="GE20" s="2854"/>
      <c r="GF20" s="2854"/>
      <c r="GG20" s="2854"/>
      <c r="GH20" s="2854"/>
      <c r="GI20" s="2854"/>
      <c r="GJ20" s="2854"/>
      <c r="GK20" s="2854"/>
      <c r="GL20" s="2854"/>
      <c r="GM20" s="2854"/>
      <c r="GN20" s="2854"/>
      <c r="GO20" s="2854"/>
      <c r="GP20" s="2854"/>
      <c r="GQ20" s="2854"/>
      <c r="GR20" s="2854"/>
      <c r="GS20" s="2854"/>
      <c r="GT20" s="2854"/>
      <c r="GU20" s="2854"/>
      <c r="GV20" s="2854"/>
      <c r="GW20" s="2854"/>
      <c r="GX20" s="2854"/>
      <c r="GY20" s="2854"/>
      <c r="GZ20" s="2854"/>
      <c r="HA20" s="2854"/>
      <c r="HB20" s="2854"/>
      <c r="HC20" s="2854"/>
      <c r="HD20" s="2854"/>
      <c r="HE20" s="2854"/>
      <c r="HF20" s="2854"/>
      <c r="HG20" s="2854"/>
      <c r="HH20" s="2854"/>
      <c r="HI20" s="2854"/>
      <c r="HJ20" s="2854"/>
      <c r="HK20" s="2854"/>
      <c r="HL20" s="2854"/>
      <c r="HM20" s="2854"/>
      <c r="HN20" s="2854"/>
      <c r="HO20" s="2854"/>
      <c r="HP20" s="2854"/>
      <c r="HQ20" s="2854"/>
      <c r="HR20" s="2854"/>
      <c r="HS20" s="2854"/>
      <c r="HT20" s="2854"/>
      <c r="HU20" s="2854"/>
      <c r="HV20" s="2854"/>
      <c r="HW20" s="2854"/>
      <c r="HX20" s="2854"/>
      <c r="HY20" s="2854"/>
      <c r="HZ20" s="2854"/>
      <c r="IA20" s="2854"/>
      <c r="IB20" s="2854"/>
      <c r="IC20" s="2854"/>
      <c r="ID20" s="2854"/>
      <c r="IE20" s="2854"/>
      <c r="IF20" s="2854"/>
      <c r="IG20" s="2854"/>
      <c r="IH20" s="2854"/>
      <c r="II20" s="2854"/>
      <c r="IJ20" s="2854"/>
      <c r="IK20" s="2854"/>
      <c r="IL20" s="2854"/>
      <c r="IM20" s="2854"/>
      <c r="IN20" s="2854"/>
      <c r="IO20" s="2854"/>
      <c r="IP20" s="2854"/>
      <c r="IQ20" s="2854"/>
      <c r="IR20" s="2854"/>
      <c r="IS20" s="2854"/>
      <c r="IT20" s="2854"/>
      <c r="IU20" s="2854"/>
      <c r="IV20" s="2854"/>
      <c r="IW20" s="2854"/>
      <c r="IX20" s="2854"/>
      <c r="IY20" s="2854"/>
      <c r="IZ20" s="2854"/>
      <c r="JA20" s="2854"/>
      <c r="JB20" s="2854"/>
      <c r="JC20" s="2854"/>
      <c r="JD20" s="2854"/>
      <c r="JE20" s="2854"/>
      <c r="JF20" s="2854"/>
      <c r="JG20" s="2854"/>
      <c r="JH20" s="2854"/>
      <c r="JI20" s="2854"/>
      <c r="JJ20" s="2854"/>
      <c r="JK20" s="2854"/>
      <c r="JL20" s="2854"/>
      <c r="JM20" s="2854"/>
      <c r="JN20" s="2854"/>
      <c r="JO20" s="2854"/>
      <c r="JP20" s="2854"/>
      <c r="JQ20" s="2854"/>
      <c r="JR20" s="2854"/>
      <c r="JS20" s="2854"/>
      <c r="JT20" s="2854"/>
      <c r="JU20" s="2854"/>
      <c r="JV20" s="2854"/>
      <c r="JW20" s="2854"/>
      <c r="JX20" s="2854"/>
      <c r="JY20" s="2854"/>
      <c r="JZ20" s="2854"/>
      <c r="KA20" s="2854"/>
      <c r="KB20" s="2854"/>
      <c r="KC20" s="2854"/>
      <c r="KD20" s="2854"/>
      <c r="KE20" s="2854"/>
      <c r="KF20" s="2854"/>
      <c r="KG20" s="2854"/>
      <c r="KH20" s="2854"/>
      <c r="KI20" s="2854"/>
      <c r="KJ20" s="2854"/>
      <c r="KK20" s="2854"/>
      <c r="KL20" s="2854"/>
      <c r="KM20" s="2854"/>
      <c r="KN20" s="2854"/>
      <c r="KO20" s="2854"/>
      <c r="KP20" s="2854"/>
      <c r="KQ20" s="2854"/>
      <c r="KR20" s="2854"/>
      <c r="KS20" s="2854"/>
      <c r="KT20" s="2854"/>
      <c r="KU20" s="2854"/>
      <c r="KV20" s="2854"/>
      <c r="KW20" s="2854"/>
      <c r="KX20" s="2854"/>
      <c r="KY20" s="2854"/>
      <c r="KZ20" s="2854"/>
      <c r="LA20" s="2854"/>
      <c r="LB20" s="2854"/>
      <c r="LC20" s="2854"/>
      <c r="LD20" s="2854"/>
      <c r="LE20" s="2854"/>
      <c r="LF20" s="2854"/>
      <c r="LG20" s="2854"/>
      <c r="LH20" s="2854"/>
      <c r="LI20" s="2854"/>
      <c r="LJ20" s="2854"/>
      <c r="LK20" s="2854"/>
      <c r="LL20" s="2854"/>
      <c r="LM20" s="2854"/>
      <c r="LN20" s="2854"/>
      <c r="LO20" s="2854"/>
      <c r="LP20" s="2854"/>
      <c r="LQ20" s="2854"/>
      <c r="LR20" s="2854"/>
      <c r="LS20" s="2854"/>
      <c r="LT20" s="2854"/>
      <c r="LU20" s="2854"/>
      <c r="LV20" s="2854"/>
      <c r="LW20" s="2854"/>
      <c r="LX20" s="2854"/>
      <c r="LY20" s="2854"/>
      <c r="LZ20" s="2854"/>
      <c r="MA20" s="2854"/>
      <c r="MB20" s="2854"/>
      <c r="MC20" s="2854"/>
      <c r="MD20" s="2854"/>
      <c r="ME20" s="2854"/>
      <c r="MF20" s="2854"/>
      <c r="MG20" s="2854"/>
      <c r="MH20" s="2854"/>
      <c r="MI20" s="2854"/>
      <c r="MJ20" s="2854"/>
      <c r="MK20" s="2854"/>
      <c r="ML20" s="2854"/>
      <c r="MM20" s="2854"/>
      <c r="MN20" s="2854"/>
      <c r="MO20" s="2854"/>
      <c r="MP20" s="2854"/>
      <c r="MQ20" s="2854"/>
      <c r="MR20" s="2854"/>
      <c r="MS20" s="2854"/>
      <c r="MT20" s="2854"/>
      <c r="MU20" s="2854"/>
      <c r="MV20" s="2854"/>
      <c r="MW20" s="2854"/>
      <c r="MX20" s="2854"/>
      <c r="MY20" s="2854"/>
      <c r="MZ20" s="2854"/>
      <c r="NA20" s="2854"/>
      <c r="NB20" s="2854"/>
      <c r="NC20" s="2854"/>
      <c r="ND20" s="2854"/>
      <c r="NE20" s="2854"/>
      <c r="NF20" s="2854"/>
      <c r="NG20" s="2854"/>
      <c r="NH20" s="2854"/>
      <c r="NI20" s="2854"/>
      <c r="NJ20" s="2854"/>
      <c r="NK20" s="2854"/>
      <c r="NL20" s="2854"/>
      <c r="NM20" s="2854"/>
      <c r="NN20" s="2854"/>
      <c r="NO20" s="2854"/>
      <c r="NP20" s="2854"/>
      <c r="NQ20" s="2854"/>
      <c r="NR20" s="2854"/>
      <c r="NS20" s="2854"/>
      <c r="NT20" s="2854"/>
      <c r="NU20" s="2854"/>
      <c r="NV20" s="2854"/>
      <c r="NW20" s="2854"/>
      <c r="NX20" s="2854"/>
      <c r="NY20" s="2854"/>
      <c r="NZ20" s="2854"/>
      <c r="OA20" s="2854"/>
      <c r="OB20" s="2854"/>
      <c r="OC20" s="2854"/>
      <c r="OD20" s="2854"/>
      <c r="OE20" s="2854"/>
      <c r="OF20" s="2854"/>
      <c r="OG20" s="2854"/>
      <c r="OH20" s="2854"/>
      <c r="OI20" s="2854"/>
      <c r="OJ20" s="2854"/>
      <c r="OK20" s="2854"/>
      <c r="OL20" s="2854"/>
      <c r="OM20" s="2854"/>
      <c r="ON20" s="2854"/>
      <c r="OO20" s="2854"/>
      <c r="OP20" s="2854"/>
      <c r="OQ20" s="2854"/>
      <c r="OR20" s="2854"/>
      <c r="OS20" s="2854"/>
      <c r="OT20" s="2854"/>
      <c r="OU20" s="2854"/>
      <c r="OV20" s="2854"/>
      <c r="OW20" s="2854"/>
      <c r="OX20" s="2854"/>
      <c r="OY20" s="2854"/>
      <c r="OZ20" s="2854"/>
      <c r="PA20" s="2854"/>
      <c r="PB20" s="2854"/>
      <c r="PC20" s="2854"/>
      <c r="PD20" s="2854"/>
      <c r="PE20" s="2854"/>
      <c r="PF20" s="2854"/>
      <c r="PG20" s="2854"/>
      <c r="PH20" s="2854"/>
      <c r="PI20" s="2854"/>
      <c r="PJ20" s="2854"/>
      <c r="PK20" s="2854"/>
      <c r="PL20" s="2854"/>
      <c r="PM20" s="2854"/>
      <c r="PN20" s="2854"/>
      <c r="PO20" s="2854"/>
      <c r="PP20" s="2854"/>
      <c r="PQ20" s="2854"/>
      <c r="PR20" s="2854"/>
      <c r="PS20" s="2854"/>
      <c r="PT20" s="2854"/>
      <c r="PU20" s="2854"/>
      <c r="PV20" s="2854"/>
      <c r="PW20" s="2854"/>
      <c r="PX20" s="2854"/>
      <c r="PY20" s="2854"/>
      <c r="PZ20" s="2854"/>
      <c r="QA20" s="2854"/>
      <c r="QB20" s="2854"/>
      <c r="QC20" s="2854"/>
      <c r="QD20" s="2854"/>
      <c r="QE20" s="2854"/>
      <c r="QF20" s="2854"/>
      <c r="QG20" s="2854"/>
      <c r="QH20" s="2854"/>
      <c r="QI20" s="2854"/>
      <c r="QJ20" s="2854"/>
      <c r="QK20" s="2854"/>
      <c r="QL20" s="2854"/>
      <c r="QM20" s="2854"/>
      <c r="QN20" s="2854"/>
      <c r="QO20" s="2854"/>
      <c r="QP20" s="2854"/>
      <c r="QQ20" s="2854"/>
      <c r="QR20" s="2854"/>
      <c r="QS20" s="2854"/>
      <c r="QT20" s="2854"/>
      <c r="QU20" s="2854"/>
      <c r="QV20" s="2854"/>
      <c r="QW20" s="2854"/>
      <c r="QX20" s="2854"/>
      <c r="QY20" s="2854"/>
      <c r="QZ20" s="2854"/>
      <c r="RA20" s="2854"/>
      <c r="RB20" s="2854"/>
      <c r="RC20" s="2854"/>
      <c r="RD20" s="2854"/>
      <c r="RE20" s="2854"/>
      <c r="RF20" s="2854"/>
      <c r="RG20" s="2854"/>
      <c r="RH20" s="2854"/>
      <c r="RI20" s="2854"/>
      <c r="RJ20" s="2854"/>
      <c r="RK20" s="2854"/>
      <c r="RL20" s="2854"/>
      <c r="RM20" s="2854"/>
      <c r="RN20" s="2854"/>
      <c r="RO20" s="2854"/>
      <c r="RP20" s="2854"/>
      <c r="RQ20" s="2854"/>
      <c r="RR20" s="2854"/>
      <c r="RS20" s="2854"/>
      <c r="RT20" s="2854"/>
      <c r="RU20" s="2854"/>
      <c r="RV20" s="2854"/>
      <c r="RW20" s="2854"/>
      <c r="RX20" s="2854"/>
      <c r="RY20" s="2854"/>
      <c r="RZ20" s="2854"/>
      <c r="SA20" s="2854"/>
      <c r="SB20" s="2854"/>
      <c r="SC20" s="2854"/>
      <c r="SD20" s="2854"/>
      <c r="SE20" s="2854"/>
      <c r="SF20" s="2854"/>
      <c r="SG20" s="2854"/>
      <c r="SH20" s="2854"/>
      <c r="SI20" s="2854"/>
      <c r="SJ20" s="2854"/>
      <c r="SK20" s="2854"/>
      <c r="SL20" s="2854"/>
      <c r="SM20" s="2854"/>
      <c r="SN20" s="2854"/>
      <c r="SO20" s="2854"/>
      <c r="SP20" s="2854"/>
      <c r="SQ20" s="2854"/>
      <c r="SR20" s="2854"/>
      <c r="SS20" s="2854"/>
      <c r="ST20" s="2854"/>
      <c r="SU20" s="2854"/>
      <c r="SV20" s="2854"/>
      <c r="SW20" s="2854"/>
      <c r="SX20" s="2854"/>
      <c r="SY20" s="2854"/>
      <c r="SZ20" s="2854"/>
      <c r="TA20" s="2854"/>
      <c r="TB20" s="2854"/>
      <c r="TC20" s="2854"/>
      <c r="TD20" s="2854"/>
      <c r="TE20" s="2854"/>
      <c r="TF20" s="2854"/>
      <c r="TG20" s="2854"/>
      <c r="TH20" s="2854"/>
      <c r="TI20" s="2854"/>
      <c r="TJ20" s="2854"/>
      <c r="TK20" s="2854"/>
      <c r="TL20" s="2854"/>
      <c r="TM20" s="2854"/>
      <c r="TN20" s="2854"/>
      <c r="TO20" s="2854"/>
      <c r="TP20" s="2854"/>
      <c r="TQ20" s="2854"/>
      <c r="TR20" s="2854"/>
      <c r="TS20" s="2854"/>
      <c r="TT20" s="2854"/>
      <c r="TU20" s="3783"/>
      <c r="TV20" s="3783"/>
      <c r="TW20" s="3783"/>
      <c r="TX20" s="3783"/>
      <c r="TY20" s="3783"/>
      <c r="TZ20" s="3783"/>
      <c r="UA20" s="3783"/>
      <c r="UB20" s="3783"/>
      <c r="UC20" s="3783"/>
      <c r="UD20" s="3783"/>
      <c r="UE20" s="3783"/>
      <c r="UF20" s="3783"/>
      <c r="UG20" s="3783"/>
      <c r="UH20" s="3783"/>
      <c r="UI20" s="3783"/>
      <c r="UJ20" s="3783"/>
      <c r="UK20" s="3783"/>
      <c r="UL20" s="3783"/>
      <c r="UM20" s="3783"/>
      <c r="UN20" s="3783"/>
      <c r="UO20" s="3783"/>
      <c r="UP20" s="2854"/>
      <c r="UQ20" s="2854"/>
      <c r="UR20" s="2854"/>
      <c r="US20" s="2854"/>
      <c r="UT20" s="2854"/>
      <c r="UU20" s="2854"/>
      <c r="UV20" s="2854"/>
      <c r="UW20" s="2854"/>
      <c r="UX20" s="2854"/>
      <c r="UY20" s="2854"/>
      <c r="UZ20" s="2854"/>
      <c r="VA20" s="2854"/>
      <c r="VB20" s="2854"/>
      <c r="VC20" s="2854"/>
      <c r="VD20" s="2854"/>
      <c r="VE20" s="2854"/>
      <c r="VF20" s="2854"/>
      <c r="VG20" s="2854"/>
      <c r="VH20" s="2854"/>
      <c r="VI20" s="2854"/>
      <c r="VJ20" s="2854"/>
      <c r="VK20" s="2854"/>
      <c r="VL20" s="2854"/>
      <c r="VM20" s="2854"/>
      <c r="VN20" s="2854"/>
      <c r="VO20" s="2854"/>
      <c r="VP20" s="2854"/>
      <c r="VQ20" s="2854"/>
      <c r="VR20" s="2854"/>
      <c r="VS20" s="2854"/>
      <c r="VT20" s="2854"/>
      <c r="VU20" s="2854"/>
      <c r="VV20" s="2854"/>
      <c r="VW20" s="2854"/>
      <c r="VX20" s="2854"/>
      <c r="VY20" s="2854"/>
      <c r="VZ20" s="2854"/>
      <c r="WA20" s="2854"/>
      <c r="WB20" s="2854"/>
      <c r="WC20" s="2854"/>
      <c r="WD20" s="2854"/>
      <c r="WE20" s="2854"/>
      <c r="WF20" s="2854"/>
      <c r="WG20" s="2854"/>
      <c r="WH20" s="2854"/>
      <c r="WI20" s="2854"/>
      <c r="WJ20" s="2854"/>
      <c r="WK20" s="2854"/>
      <c r="WL20" s="2854"/>
      <c r="WM20" s="2854"/>
      <c r="WN20" s="2854"/>
      <c r="WO20" s="2854"/>
      <c r="WP20" s="2854"/>
      <c r="WQ20" s="2854"/>
      <c r="WR20" s="2854"/>
      <c r="WS20" s="2854"/>
      <c r="WT20" s="2854"/>
      <c r="WU20" s="2854"/>
      <c r="WV20" s="2854"/>
      <c r="WW20" s="2854"/>
      <c r="WX20" s="2854"/>
      <c r="WY20" s="2854"/>
      <c r="WZ20" s="2854"/>
      <c r="XA20" s="2854"/>
      <c r="XB20" s="2854"/>
      <c r="XC20" s="2854"/>
      <c r="XD20" s="2854"/>
      <c r="XE20" s="2854"/>
      <c r="XF20" s="2854"/>
      <c r="XG20" s="2854"/>
      <c r="XH20" s="2854"/>
      <c r="XI20" s="2854"/>
      <c r="XJ20" s="2854"/>
      <c r="XK20" s="2854"/>
      <c r="XL20" s="2854"/>
      <c r="XM20" s="2854"/>
      <c r="XN20" s="2854"/>
      <c r="XO20" s="2854"/>
      <c r="XP20" s="2854"/>
      <c r="XQ20" s="2854"/>
      <c r="XR20" s="2854"/>
      <c r="XS20" s="2854"/>
      <c r="XT20" s="2854"/>
      <c r="XU20" s="2854"/>
      <c r="XV20" s="2854"/>
      <c r="XW20" s="2854"/>
      <c r="XX20" s="2854"/>
      <c r="XY20" s="2854"/>
      <c r="XZ20" s="2854"/>
      <c r="YA20" s="2854"/>
      <c r="YB20" s="2854"/>
      <c r="YC20" s="2854"/>
      <c r="YD20" s="2854"/>
      <c r="YE20" s="2854"/>
      <c r="YF20" s="2854"/>
      <c r="YG20" s="2854"/>
      <c r="YH20" s="2854"/>
      <c r="YI20" s="2854"/>
      <c r="YJ20" s="2854"/>
      <c r="YK20" s="2854"/>
      <c r="YL20" s="2854"/>
      <c r="YM20" s="2854"/>
      <c r="YN20" s="2854"/>
      <c r="YO20" s="2854"/>
      <c r="YP20" s="2854"/>
      <c r="YQ20" s="2854"/>
      <c r="YR20" s="2854"/>
      <c r="YS20" s="2854"/>
      <c r="YT20" s="2854"/>
      <c r="YU20" s="2854"/>
      <c r="YV20" s="2854"/>
      <c r="YW20" s="2854"/>
      <c r="YX20" s="2854"/>
      <c r="YY20" s="2854"/>
      <c r="YZ20" s="2854"/>
      <c r="ZA20" s="2854"/>
      <c r="ZB20" s="2854"/>
      <c r="ZC20" s="2854"/>
      <c r="ZD20" s="2854"/>
      <c r="ZE20" s="2854"/>
      <c r="ZF20" s="2854"/>
      <c r="ZG20" s="2854"/>
      <c r="ZH20" s="2854"/>
      <c r="ZI20" s="2854"/>
      <c r="ZJ20" s="2854"/>
      <c r="ZK20" s="2854"/>
      <c r="ZL20" s="2854"/>
      <c r="ZM20" s="2854"/>
      <c r="ZN20" s="2854"/>
      <c r="ZO20" s="2854"/>
      <c r="ZP20" s="2854"/>
      <c r="ZQ20" s="2854"/>
      <c r="ZR20" s="2854"/>
      <c r="ZS20" s="2854"/>
      <c r="ZT20" s="2854"/>
      <c r="ZU20" s="2854"/>
      <c r="ZV20" s="2854"/>
      <c r="ZW20" s="2854"/>
      <c r="ZX20" s="2854"/>
      <c r="ZY20" s="2854"/>
      <c r="ZZ20" s="2854"/>
      <c r="AAA20" s="2854"/>
      <c r="AAB20" s="2854"/>
      <c r="AAC20" s="2854"/>
      <c r="AAD20" s="2854"/>
      <c r="AAE20" s="2854"/>
      <c r="AAF20" s="2854"/>
      <c r="AAG20" s="2854"/>
      <c r="AAH20" s="2854"/>
      <c r="AAI20" s="2854"/>
      <c r="AAJ20" s="2854"/>
      <c r="AAK20" s="2854"/>
      <c r="AAL20" s="2854"/>
      <c r="AAM20" s="2854"/>
      <c r="AAN20" s="2854"/>
      <c r="AAO20" s="2854"/>
      <c r="AAP20" s="2854"/>
      <c r="AAQ20" s="2854"/>
      <c r="AAR20" s="2854"/>
      <c r="AAS20" s="2854"/>
      <c r="AAT20" s="2854"/>
      <c r="AAU20" s="2854"/>
      <c r="AAV20" s="2854"/>
      <c r="AAW20" s="2854"/>
      <c r="AAX20" s="2854"/>
      <c r="AAY20" s="2854"/>
      <c r="AAZ20" s="2854"/>
      <c r="ABA20" s="2854"/>
      <c r="ABB20" s="2854"/>
      <c r="ABC20" s="2854"/>
      <c r="ABD20" s="2854"/>
      <c r="ABE20" s="2854"/>
      <c r="ABF20" s="2854"/>
      <c r="ABG20" s="2854"/>
      <c r="ABH20" s="2854"/>
      <c r="ABI20" s="2854"/>
      <c r="ABJ20" s="2854"/>
      <c r="ABK20" s="2854"/>
      <c r="ABL20" s="2854"/>
      <c r="ABM20" s="2854"/>
      <c r="ABN20" s="2854"/>
      <c r="ABO20" s="2854"/>
      <c r="ABP20" s="2854"/>
      <c r="ABQ20" s="2854"/>
      <c r="ABR20" s="2854"/>
      <c r="ABS20" s="2854"/>
      <c r="ABT20" s="2854"/>
      <c r="ABU20" s="2854"/>
      <c r="ABV20" s="2854"/>
      <c r="ABW20" s="2854"/>
      <c r="ABX20" s="2854"/>
      <c r="ABY20" s="2854"/>
      <c r="ABZ20" s="2854"/>
      <c r="ACA20" s="2854"/>
      <c r="ACB20" s="2854"/>
      <c r="ACC20" s="2854"/>
      <c r="ACD20" s="2854"/>
      <c r="ACE20" s="2854"/>
      <c r="ACF20" s="2854"/>
      <c r="ACG20" s="2854"/>
      <c r="ACH20" s="2854"/>
      <c r="ACI20" s="2854"/>
      <c r="ACJ20" s="2854"/>
      <c r="ACK20" s="2854"/>
      <c r="ACL20" s="2854"/>
      <c r="ACM20" s="2854"/>
      <c r="ACN20" s="2854"/>
      <c r="ACO20" s="2854"/>
      <c r="ACP20" s="2854"/>
      <c r="ACQ20" s="2854"/>
      <c r="ACR20" s="2854"/>
      <c r="ACS20" s="2854"/>
      <c r="ACT20" s="2854"/>
      <c r="ACU20" s="2854"/>
      <c r="ACV20" s="2854"/>
      <c r="ACW20" s="2854"/>
      <c r="ACX20" s="2854"/>
      <c r="ACY20" s="2854"/>
      <c r="ACZ20" s="2854"/>
      <c r="ADA20" s="2854"/>
      <c r="ADB20" s="2854"/>
      <c r="ADC20" s="2854"/>
      <c r="ADD20" s="2854"/>
      <c r="ADE20" s="2854"/>
      <c r="ADF20" s="2854"/>
      <c r="ADG20" s="2854"/>
      <c r="ADH20" s="2854"/>
      <c r="ADI20" s="2854"/>
      <c r="ADJ20" s="2854"/>
      <c r="ADK20" s="2854"/>
      <c r="ADL20" s="2854"/>
      <c r="ADM20" s="2854"/>
      <c r="ADN20" s="2854"/>
      <c r="ADO20" s="2854"/>
      <c r="ADP20" s="2854"/>
      <c r="ADQ20" s="2854"/>
      <c r="ADR20" s="2854"/>
      <c r="ADS20" s="2854"/>
      <c r="ADT20" s="2854"/>
      <c r="ADU20" s="2854"/>
      <c r="ADV20" s="2854"/>
      <c r="ADW20" s="2854"/>
      <c r="ADX20" s="2854"/>
      <c r="ADY20" s="2854"/>
      <c r="ADZ20" s="2854"/>
      <c r="AEA20" s="2854"/>
      <c r="AEB20" s="2854"/>
      <c r="AEC20" s="2854"/>
      <c r="AED20" s="2854"/>
      <c r="AEE20" s="2854"/>
      <c r="AEF20" s="2854"/>
      <c r="AEG20" s="2854"/>
      <c r="AEH20" s="2854"/>
      <c r="AEI20" s="2854"/>
      <c r="AEJ20" s="2854"/>
      <c r="AEK20" s="2854"/>
      <c r="AEL20" s="2854"/>
      <c r="AEM20" s="2854"/>
      <c r="AEN20" s="2854"/>
      <c r="AEO20" s="2854"/>
      <c r="AEP20" s="2854"/>
      <c r="AEQ20" s="2854"/>
      <c r="AER20" s="2854"/>
      <c r="AES20" s="2854"/>
      <c r="AET20" s="2854"/>
      <c r="AEU20" s="2854"/>
      <c r="AEV20" s="2854"/>
      <c r="AEW20" s="2854"/>
      <c r="AEX20" s="2854"/>
      <c r="AEY20" s="2854"/>
      <c r="AEZ20" s="2854"/>
      <c r="AFA20" s="2854"/>
      <c r="AFB20" s="2854"/>
      <c r="AFC20" s="2854"/>
      <c r="AFD20" s="2854"/>
      <c r="AFE20" s="2854"/>
      <c r="AFF20" s="2854"/>
      <c r="AFG20" s="2854"/>
      <c r="AFH20" s="2854"/>
      <c r="AFI20" s="2854"/>
      <c r="AFJ20" s="2854"/>
      <c r="AFK20" s="2854"/>
      <c r="AFL20" s="2854"/>
      <c r="AFM20" s="2854"/>
      <c r="AFN20" s="2854"/>
      <c r="AFO20" s="2854"/>
      <c r="AFP20" s="2854"/>
      <c r="AFQ20" s="2854"/>
      <c r="AFR20" s="2854"/>
      <c r="AFS20" s="2854"/>
      <c r="AFT20" s="2854"/>
      <c r="AFU20" s="2854"/>
      <c r="AFV20" s="2854"/>
      <c r="AFW20" s="2854"/>
      <c r="AFX20" s="2854"/>
      <c r="AFY20" s="2854"/>
      <c r="AFZ20" s="2854"/>
      <c r="AGA20" s="2854"/>
      <c r="AGB20" s="2854"/>
      <c r="AGC20" s="2854"/>
      <c r="AGD20" s="2854"/>
      <c r="AGE20" s="2854"/>
      <c r="AGF20" s="2854"/>
      <c r="AGG20" s="2854"/>
      <c r="AGH20" s="2854"/>
      <c r="AGI20" s="2854"/>
      <c r="AGJ20" s="2854"/>
      <c r="AGK20" s="2854"/>
      <c r="AGL20" s="2854"/>
      <c r="AGM20" s="2854"/>
      <c r="AGN20" s="2854"/>
      <c r="AGO20" s="2854"/>
      <c r="AGP20" s="2854"/>
      <c r="AGQ20" s="2854"/>
      <c r="AGR20" s="2854"/>
      <c r="AGS20" s="2854"/>
      <c r="AGT20" s="2854"/>
      <c r="AGU20" s="2854"/>
      <c r="AGV20" s="2854"/>
      <c r="AGW20" s="2854"/>
      <c r="AGX20" s="2854"/>
      <c r="AGY20" s="2854"/>
      <c r="AGZ20" s="2854"/>
      <c r="AHA20" s="2854"/>
      <c r="AHB20" s="2854"/>
      <c r="AHC20" s="2854"/>
      <c r="AHD20" s="2854"/>
      <c r="AHE20" s="2854"/>
      <c r="AHF20" s="2854"/>
      <c r="AHG20" s="2854"/>
      <c r="AHH20" s="2854"/>
      <c r="AHI20" s="2854"/>
      <c r="AHJ20" s="2854"/>
      <c r="AHK20" s="2854"/>
      <c r="AHL20" s="2854"/>
      <c r="AHM20" s="2854"/>
      <c r="AHN20" s="2854"/>
      <c r="AHO20" s="2854"/>
      <c r="AHP20" s="2854"/>
      <c r="AHQ20" s="2854"/>
      <c r="AHR20" s="2854"/>
      <c r="AHS20" s="2854"/>
      <c r="AHT20" s="2854"/>
      <c r="AHU20" s="2854"/>
      <c r="AHV20" s="2854"/>
      <c r="AHW20" s="2854"/>
      <c r="AHX20" s="2854"/>
      <c r="AHY20" s="2854"/>
      <c r="AHZ20" s="2854"/>
      <c r="AIA20" s="2854"/>
      <c r="AIB20" s="2854"/>
      <c r="AIC20" s="2854"/>
      <c r="AID20" s="2854"/>
      <c r="AIE20" s="2854"/>
      <c r="AIF20" s="2854"/>
      <c r="AIG20" s="2854"/>
      <c r="AIH20" s="2854"/>
      <c r="AII20" s="2854"/>
      <c r="AIJ20" s="2854"/>
      <c r="AIK20" s="2854"/>
      <c r="AIL20" s="2854"/>
      <c r="AIM20" s="2854"/>
      <c r="AIN20" s="2854"/>
      <c r="AIO20" s="2854"/>
      <c r="AIP20" s="2854"/>
      <c r="AIQ20" s="2854"/>
      <c r="AIR20" s="2854"/>
      <c r="AIS20" s="2854"/>
      <c r="AIT20" s="2854"/>
      <c r="AIU20" s="2854"/>
      <c r="AIV20" s="2854"/>
      <c r="AIW20" s="2854"/>
      <c r="AIX20" s="2854"/>
      <c r="AIY20" s="2854"/>
      <c r="AIZ20" s="2854"/>
      <c r="AJA20" s="2854"/>
      <c r="AJB20" s="2854"/>
      <c r="AJC20" s="2854"/>
      <c r="AJD20" s="2854"/>
      <c r="AJE20" s="2854"/>
      <c r="AJF20" s="2854"/>
      <c r="AJG20" s="2854"/>
      <c r="AJH20" s="2854"/>
      <c r="AJI20" s="2854"/>
      <c r="AJJ20" s="2854"/>
      <c r="AJK20" s="2854"/>
      <c r="AJL20" s="2854"/>
      <c r="AJM20" s="2854"/>
      <c r="AJN20" s="2854"/>
      <c r="AJO20" s="2854"/>
      <c r="AJP20" s="2854"/>
      <c r="AJQ20" s="2854"/>
      <c r="AJR20" s="2854"/>
      <c r="AJS20" s="2854"/>
      <c r="AJT20" s="2854"/>
      <c r="AJU20" s="2854"/>
      <c r="AJV20" s="2854"/>
      <c r="AJW20" s="2854"/>
      <c r="AJX20" s="2854"/>
      <c r="AJY20" s="2854"/>
      <c r="AJZ20" s="2854"/>
      <c r="AKA20" s="2854"/>
      <c r="AKB20" s="2854"/>
      <c r="AKC20" s="2854"/>
      <c r="AKD20" s="2854"/>
      <c r="AKE20" s="2854"/>
      <c r="AKF20" s="2854"/>
      <c r="AKG20" s="2854"/>
      <c r="AKH20" s="2854"/>
      <c r="AKI20" s="2854"/>
      <c r="AKJ20" s="2854"/>
      <c r="AKK20" s="2854"/>
      <c r="AKL20" s="2854"/>
      <c r="AKM20" s="2854"/>
      <c r="AKN20" s="2854"/>
      <c r="AKO20" s="2854"/>
      <c r="AKP20" s="2854"/>
      <c r="AKQ20" s="2854"/>
      <c r="AKR20" s="2854"/>
      <c r="AKS20" s="2854"/>
      <c r="AKT20" s="2854"/>
      <c r="AKU20" s="2854"/>
      <c r="AKV20" s="2854"/>
      <c r="AKW20" s="2854"/>
      <c r="AKX20" s="2854"/>
      <c r="AKY20" s="2854"/>
      <c r="AKZ20" s="2854"/>
      <c r="ALA20" s="2854"/>
      <c r="ALB20" s="2854"/>
      <c r="ALC20" s="2854"/>
      <c r="ALD20" s="2854"/>
      <c r="ALE20" s="2854"/>
      <c r="ALF20" s="2854"/>
      <c r="ALG20" s="2854"/>
      <c r="ALH20" s="2854"/>
      <c r="ALI20" s="2854"/>
      <c r="ALJ20" s="2854"/>
      <c r="ALK20" s="2854"/>
      <c r="ALL20" s="2854"/>
      <c r="ALM20" s="2854"/>
      <c r="ALN20" s="2854"/>
      <c r="ALO20" s="2854"/>
      <c r="ALP20" s="2854"/>
      <c r="ALQ20" s="2854"/>
      <c r="ALR20" s="2854"/>
      <c r="ALS20" s="2854"/>
      <c r="ALT20" s="2854"/>
      <c r="ALU20" s="2854"/>
      <c r="ALV20" s="2854"/>
      <c r="ALW20" s="2854"/>
      <c r="ALX20" s="2854"/>
      <c r="ALY20" s="2854"/>
      <c r="ALZ20" s="2854"/>
      <c r="AMA20" s="2854"/>
      <c r="AMB20" s="2854"/>
      <c r="AMC20" s="2854"/>
      <c r="AMD20" s="2854"/>
      <c r="AME20" s="2854"/>
      <c r="AMF20" s="2854"/>
      <c r="AMG20" s="2854"/>
      <c r="AMH20" s="2854"/>
      <c r="AMI20" s="2854"/>
      <c r="AMJ20" s="2854"/>
      <c r="AMK20" s="2854"/>
      <c r="AML20" s="2854"/>
      <c r="AMM20" s="2854"/>
      <c r="AMN20" s="2854"/>
      <c r="AMO20" s="2854"/>
      <c r="AMP20" s="2854"/>
      <c r="AMQ20" s="2854"/>
      <c r="AMR20" s="2854"/>
      <c r="AMS20" s="2854"/>
      <c r="AMT20" s="2854"/>
      <c r="AMU20" s="2854"/>
      <c r="AMV20" s="2854"/>
      <c r="AMW20" s="2854"/>
      <c r="AMX20" s="2854"/>
      <c r="AMY20" s="2854"/>
      <c r="AMZ20" s="2854"/>
      <c r="ANA20" s="2854"/>
      <c r="ANB20" s="2854"/>
      <c r="ANC20" s="2854"/>
      <c r="AND20" s="2854"/>
      <c r="ANE20" s="2854"/>
      <c r="ANF20" s="2854"/>
      <c r="ANG20" s="2854"/>
      <c r="ANH20" s="2854"/>
      <c r="ANI20" s="2854"/>
      <c r="ANJ20" s="2854"/>
      <c r="ANK20" s="2854"/>
      <c r="ANL20" s="2854"/>
      <c r="ANM20" s="2854"/>
      <c r="ANN20" s="2854"/>
      <c r="ANO20" s="2854"/>
      <c r="ANP20" s="2854"/>
      <c r="ANQ20" s="2854"/>
      <c r="ANR20" s="2854"/>
      <c r="ANS20" s="2854"/>
      <c r="ANT20" s="2854"/>
      <c r="ANU20" s="2854"/>
      <c r="ANV20" s="2854"/>
      <c r="ANW20" s="2854"/>
      <c r="ANX20" s="2854"/>
      <c r="ANY20" s="2854"/>
      <c r="ANZ20" s="2854"/>
      <c r="AOA20" s="2854"/>
      <c r="AOB20" s="2854"/>
      <c r="AOC20" s="2854"/>
      <c r="AOD20" s="2854"/>
      <c r="AOE20" s="2854"/>
      <c r="AOF20" s="2854"/>
      <c r="AOG20" s="2854"/>
      <c r="AOH20" s="2854"/>
      <c r="AOI20" s="2854"/>
      <c r="AOJ20" s="2854"/>
      <c r="AOK20" s="2854"/>
      <c r="AOL20" s="2854"/>
      <c r="AOM20" s="2854"/>
      <c r="AON20" s="2854"/>
      <c r="AOO20" s="2854"/>
      <c r="AOP20" s="2854"/>
      <c r="AOQ20" s="2854"/>
      <c r="AOR20" s="2854"/>
      <c r="AOS20" s="2854"/>
      <c r="AOT20" s="2854"/>
      <c r="AOU20" s="2854"/>
      <c r="AOV20" s="2854"/>
      <c r="AOW20" s="2854"/>
      <c r="AOX20" s="2854"/>
      <c r="AOY20" s="2854"/>
      <c r="AOZ20" s="2854"/>
      <c r="APA20" s="2854"/>
      <c r="APB20" s="2854"/>
      <c r="APC20" s="2854"/>
      <c r="APD20" s="2854"/>
      <c r="APE20" s="2854"/>
      <c r="APF20" s="2854"/>
      <c r="APG20" s="2854"/>
      <c r="APH20" s="2854"/>
      <c r="API20" s="2854"/>
      <c r="APJ20" s="2854"/>
      <c r="APK20" s="2854"/>
      <c r="APL20" s="2854"/>
      <c r="APM20" s="2854"/>
      <c r="APN20" s="2854"/>
      <c r="APO20" s="2854"/>
      <c r="APP20" s="2854"/>
      <c r="APQ20" s="2854"/>
      <c r="APR20" s="2854"/>
      <c r="APS20" s="2854"/>
      <c r="APT20" s="2854"/>
      <c r="APU20" s="2854"/>
      <c r="APV20" s="2854"/>
      <c r="APW20" s="2854"/>
      <c r="APX20" s="2854"/>
      <c r="APY20" s="2854"/>
      <c r="APZ20" s="2854"/>
      <c r="AQA20" s="2854"/>
      <c r="AQB20" s="2854"/>
      <c r="AQC20" s="2854"/>
      <c r="AQD20" s="2854"/>
      <c r="AQE20" s="2854"/>
      <c r="AQF20" s="2854"/>
      <c r="AQG20" s="2854"/>
      <c r="AQH20" s="2854"/>
      <c r="AQI20" s="2854"/>
      <c r="AQJ20" s="2854"/>
      <c r="AQK20" s="2854"/>
      <c r="AQL20" s="2854"/>
      <c r="AQM20" s="2854"/>
      <c r="AQN20" s="2854"/>
      <c r="AQO20" s="2854"/>
      <c r="AQP20" s="2854"/>
      <c r="AQQ20" s="2854"/>
      <c r="AQR20" s="2854"/>
      <c r="AQS20" s="2854"/>
      <c r="AQT20" s="2854"/>
      <c r="AQU20" s="2854"/>
      <c r="AQV20" s="2854"/>
      <c r="AQW20" s="2854"/>
      <c r="AQX20" s="2854"/>
      <c r="AQY20" s="2854"/>
      <c r="AQZ20" s="2854"/>
      <c r="ARA20" s="2854"/>
      <c r="ARB20" s="2854"/>
      <c r="ARC20" s="2854"/>
      <c r="ARD20" s="2854"/>
      <c r="ARE20" s="2854"/>
      <c r="ARF20" s="2854"/>
      <c r="ARG20" s="2854"/>
      <c r="ARH20" s="2854"/>
      <c r="ARI20" s="2854"/>
      <c r="ARJ20" s="2854"/>
      <c r="ARK20" s="2854"/>
      <c r="ARL20" s="2854"/>
      <c r="ARM20" s="2854"/>
      <c r="ARN20" s="2854"/>
      <c r="ARO20" s="2854"/>
      <c r="ARP20" s="2854"/>
      <c r="ARQ20" s="2854"/>
      <c r="ARR20" s="2854"/>
      <c r="ARS20" s="2854"/>
      <c r="ART20" s="2854"/>
      <c r="ARU20" s="2854"/>
      <c r="ARV20" s="2854"/>
      <c r="ARW20" s="2854"/>
      <c r="ARX20" s="2854"/>
      <c r="ARY20" s="2854"/>
      <c r="ARZ20" s="2854"/>
      <c r="ASA20" s="2854"/>
      <c r="ASB20" s="2854"/>
      <c r="ASC20" s="2854"/>
      <c r="ASD20" s="2854"/>
      <c r="ASE20" s="2854"/>
      <c r="ASF20" s="2854"/>
      <c r="ASG20" s="2854"/>
      <c r="ASH20" s="2854"/>
      <c r="ASI20" s="2854"/>
      <c r="ASJ20" s="2854"/>
      <c r="ASK20" s="2854"/>
      <c r="ASL20" s="2854"/>
      <c r="ASM20" s="2854"/>
      <c r="ASN20" s="2854"/>
      <c r="ASO20" s="2854"/>
      <c r="ASP20" s="2854"/>
      <c r="ASQ20" s="2854"/>
      <c r="ASR20" s="2854"/>
      <c r="ASS20" s="2854"/>
      <c r="AST20" s="2854"/>
      <c r="ASU20" s="2854"/>
      <c r="ASV20" s="2854"/>
      <c r="ASW20" s="2854"/>
      <c r="ASX20" s="2854"/>
      <c r="ASY20" s="2854"/>
      <c r="ASZ20" s="2854"/>
      <c r="ATA20" s="2854"/>
      <c r="ATB20" s="2854"/>
      <c r="ATC20" s="2854"/>
      <c r="ATD20" s="2854"/>
      <c r="ATE20" s="2854"/>
      <c r="ATF20" s="2854"/>
      <c r="ATG20" s="2854"/>
      <c r="ATH20" s="2854"/>
      <c r="ATI20" s="2854"/>
      <c r="ATJ20" s="2854"/>
      <c r="ATK20" s="2854"/>
      <c r="ATL20" s="2854"/>
      <c r="ATM20" s="2854"/>
      <c r="ATN20" s="2854"/>
      <c r="ATO20" s="2854"/>
      <c r="ATP20" s="2854"/>
      <c r="ATQ20" s="2854"/>
      <c r="ATR20" s="2854"/>
      <c r="ATS20" s="2854"/>
      <c r="ATT20" s="2854"/>
      <c r="ATU20" s="2854"/>
      <c r="ATV20" s="2854"/>
      <c r="ATW20" s="2854"/>
      <c r="ATX20" s="2854"/>
      <c r="ATY20" s="2854"/>
      <c r="ATZ20" s="2854"/>
      <c r="AUA20" s="2854"/>
      <c r="AUB20" s="2854"/>
      <c r="AUC20" s="2854"/>
      <c r="AUD20" s="2854"/>
      <c r="AUE20" s="2854"/>
      <c r="AUF20" s="2854"/>
      <c r="AUG20" s="2854"/>
      <c r="AUH20" s="2854"/>
      <c r="AUI20" s="2854"/>
      <c r="AUJ20" s="2854"/>
      <c r="AUK20" s="2854"/>
      <c r="AUL20" s="2854"/>
      <c r="AUM20" s="2854"/>
      <c r="AUN20" s="2854"/>
      <c r="AUO20" s="2854"/>
      <c r="AUP20" s="2854"/>
      <c r="AUQ20" s="2854"/>
      <c r="AUR20" s="2854"/>
      <c r="AUS20" s="2854"/>
      <c r="AUT20" s="2854"/>
      <c r="AUU20" s="2854"/>
      <c r="AUV20" s="2854"/>
      <c r="AUW20" s="2854"/>
      <c r="AUX20" s="2854"/>
      <c r="AUY20" s="2854"/>
      <c r="AUZ20" s="2854"/>
      <c r="AVA20" s="2854"/>
      <c r="AVB20" s="2854"/>
      <c r="AVC20" s="2854"/>
      <c r="AVD20" s="2854"/>
      <c r="AVE20" s="2854"/>
      <c r="AVF20" s="2854"/>
      <c r="AVG20" s="2854"/>
      <c r="AVH20" s="2854"/>
      <c r="AVI20" s="2854"/>
      <c r="AVJ20" s="2854"/>
      <c r="AVK20" s="2854"/>
      <c r="AVL20" s="2854"/>
      <c r="AVM20" s="2854"/>
      <c r="AVN20" s="2854"/>
      <c r="AVO20" s="2854"/>
      <c r="AVP20" s="2854"/>
      <c r="AVQ20" s="2854"/>
      <c r="AVR20" s="2854"/>
      <c r="AVS20" s="2854"/>
      <c r="AVT20" s="2854"/>
      <c r="AVU20" s="2854"/>
      <c r="AVV20" s="2854"/>
      <c r="AVW20" s="2854"/>
      <c r="AVX20" s="2854"/>
      <c r="AVY20" s="2854"/>
      <c r="AVZ20" s="2854"/>
      <c r="AWA20" s="2854"/>
      <c r="AWB20" s="2854"/>
      <c r="AWC20" s="2854"/>
      <c r="AWD20" s="2854"/>
      <c r="AWE20" s="2854"/>
      <c r="AWF20" s="2854"/>
      <c r="AWG20" s="2854"/>
      <c r="AWH20" s="2854"/>
      <c r="AWI20" s="2854"/>
      <c r="AWJ20" s="2854"/>
      <c r="AWK20" s="2854"/>
      <c r="AWL20" s="2854"/>
      <c r="AWM20" s="2854"/>
      <c r="AWN20" s="2854"/>
      <c r="AWO20" s="2854"/>
      <c r="AWP20" s="2854"/>
      <c r="AWQ20" s="2854"/>
      <c r="AWR20" s="2854"/>
      <c r="AWS20" s="2854"/>
      <c r="AWT20" s="2854"/>
      <c r="AWU20" s="2854"/>
      <c r="AWV20" s="2854"/>
      <c r="AWW20" s="2854"/>
      <c r="AWX20" s="2854"/>
      <c r="AWY20" s="2854"/>
      <c r="AWZ20" s="2854"/>
      <c r="AXA20" s="2854"/>
      <c r="AXB20" s="2854"/>
      <c r="AXC20" s="2854"/>
      <c r="AXD20" s="2854"/>
      <c r="AXE20" s="2854"/>
      <c r="AXF20" s="2854"/>
      <c r="AXG20" s="2854"/>
      <c r="AXH20" s="2854"/>
      <c r="AXI20" s="2854"/>
      <c r="AXJ20" s="2854"/>
      <c r="AXK20" s="2854"/>
      <c r="AXL20" s="2854"/>
      <c r="AXM20" s="2854"/>
      <c r="AXN20" s="2854"/>
      <c r="AXO20" s="2854"/>
      <c r="AXP20" s="2854"/>
      <c r="AXQ20" s="2854"/>
      <c r="AXR20" s="2854"/>
      <c r="AXS20" s="2854"/>
      <c r="AXT20" s="2854"/>
      <c r="AXU20" s="2854"/>
      <c r="AXV20" s="2854"/>
      <c r="AXW20" s="2854"/>
      <c r="AXX20" s="2854"/>
      <c r="AXY20" s="2854"/>
      <c r="AXZ20" s="2854"/>
      <c r="AYA20" s="2854"/>
      <c r="AYB20" s="2854"/>
      <c r="AYC20" s="2854"/>
      <c r="AYD20" s="2854"/>
      <c r="AYE20" s="2854"/>
      <c r="AYF20" s="2854"/>
      <c r="AYG20" s="2854"/>
      <c r="AYH20" s="2854"/>
      <c r="AYI20" s="2854"/>
      <c r="AYJ20" s="2854"/>
      <c r="AYK20" s="2854"/>
      <c r="AYL20" s="2854"/>
      <c r="AYM20" s="2854"/>
      <c r="AYN20" s="2854"/>
      <c r="AYO20" s="2854"/>
      <c r="AYP20" s="2854"/>
      <c r="AYQ20" s="2854"/>
      <c r="AYR20" s="2854"/>
      <c r="AYS20" s="2854"/>
      <c r="AYT20" s="2854"/>
      <c r="AYU20" s="2854"/>
      <c r="AYV20" s="2854"/>
      <c r="AYW20" s="2854"/>
      <c r="AYX20" s="2854"/>
      <c r="AYY20" s="2854"/>
      <c r="AYZ20" s="2854"/>
      <c r="AZA20" s="2854"/>
      <c r="AZB20" s="2854"/>
      <c r="AZC20" s="2854"/>
      <c r="AZD20" s="2854"/>
      <c r="AZE20" s="2854"/>
      <c r="AZF20" s="2854"/>
      <c r="AZG20" s="2854"/>
      <c r="AZH20" s="2854"/>
      <c r="AZI20" s="2854"/>
      <c r="AZJ20" s="2854"/>
      <c r="AZK20" s="2854"/>
      <c r="AZL20" s="2854"/>
      <c r="AZM20" s="2854"/>
      <c r="AZN20" s="2854"/>
      <c r="AZO20" s="2854"/>
      <c r="AZP20" s="2854"/>
      <c r="AZQ20" s="2854"/>
      <c r="AZR20" s="2854"/>
      <c r="AZS20" s="2854"/>
      <c r="AZT20" s="2854"/>
      <c r="AZU20" s="2854"/>
      <c r="AZV20" s="2854"/>
      <c r="AZW20" s="2854"/>
      <c r="AZX20" s="2854"/>
      <c r="AZY20" s="2854"/>
      <c r="AZZ20" s="2854"/>
      <c r="BAA20" s="2854"/>
      <c r="BAB20" s="2854"/>
      <c r="BAC20" s="2854"/>
      <c r="BAD20" s="2854"/>
      <c r="BAE20" s="2854"/>
      <c r="BAF20" s="2854"/>
      <c r="BAG20" s="2854"/>
      <c r="BAH20" s="2854"/>
      <c r="BAI20" s="2854"/>
      <c r="BAJ20" s="2854"/>
      <c r="BAK20" s="2854"/>
      <c r="BAL20" s="2854"/>
      <c r="BAM20" s="2854"/>
      <c r="BAN20" s="2854"/>
      <c r="BAO20" s="2854"/>
      <c r="BAP20" s="2854"/>
      <c r="BAQ20" s="2854"/>
      <c r="BAR20" s="2854"/>
      <c r="BAS20" s="2854"/>
      <c r="BAT20" s="2854"/>
      <c r="BAU20" s="2854"/>
      <c r="BAV20" s="2854"/>
      <c r="BAW20" s="2854"/>
      <c r="BAX20" s="2854"/>
      <c r="BAY20" s="2854"/>
      <c r="BAZ20" s="2854"/>
      <c r="BBA20" s="2854"/>
      <c r="BBB20" s="2854"/>
      <c r="BBC20" s="2854"/>
      <c r="BBD20" s="2854"/>
      <c r="BBE20" s="2854"/>
      <c r="BBF20" s="2854"/>
      <c r="BBG20" s="2854"/>
      <c r="BBH20" s="2854"/>
      <c r="BBI20" s="2854"/>
      <c r="BBJ20" s="2854"/>
      <c r="BBK20" s="2854"/>
      <c r="BBL20" s="2854"/>
      <c r="BBM20" s="2854"/>
      <c r="BBN20" s="2854"/>
      <c r="BBO20" s="2854"/>
      <c r="BBP20" s="2854"/>
      <c r="BBQ20" s="2854"/>
      <c r="BBR20" s="2854"/>
      <c r="BBS20" s="2854"/>
      <c r="BBT20" s="2854"/>
      <c r="BBU20" s="2854"/>
      <c r="BBV20" s="2854"/>
      <c r="BBW20" s="2854"/>
      <c r="BBX20" s="2854"/>
      <c r="BBY20" s="2854"/>
      <c r="BBZ20" s="2854"/>
      <c r="BCA20" s="2854"/>
      <c r="BCB20" s="2854"/>
      <c r="BCC20" s="2854"/>
      <c r="BCD20" s="2854"/>
      <c r="BCE20" s="2854"/>
      <c r="BCF20" s="2854"/>
      <c r="BCG20" s="2854"/>
      <c r="BCH20" s="2854"/>
      <c r="BCI20" s="2854"/>
      <c r="BCJ20" s="2854"/>
      <c r="BCK20" s="2854"/>
      <c r="BCL20" s="2854"/>
      <c r="BCM20" s="2854"/>
      <c r="BCN20" s="2854"/>
      <c r="BCO20" s="2854"/>
      <c r="BCP20" s="2854"/>
      <c r="BCQ20" s="2854"/>
      <c r="BCR20" s="2854"/>
      <c r="BCS20" s="2854"/>
      <c r="BCT20" s="2854"/>
      <c r="BCU20" s="2854"/>
      <c r="BCV20" s="2854"/>
      <c r="BCW20" s="2854"/>
      <c r="BCX20" s="2854"/>
      <c r="BCY20" s="2854"/>
      <c r="BCZ20" s="2854"/>
      <c r="BDA20" s="2854"/>
      <c r="BDB20" s="2854"/>
      <c r="BDC20" s="2854"/>
      <c r="BDD20" s="2854"/>
      <c r="BDE20" s="2854"/>
      <c r="BDF20" s="2854"/>
      <c r="BDG20" s="2854"/>
      <c r="BDH20" s="2854"/>
      <c r="BDI20" s="2854"/>
      <c r="BDJ20" s="2854"/>
      <c r="BDK20" s="2854"/>
      <c r="BDL20" s="2854"/>
      <c r="BDM20" s="2854"/>
      <c r="BDN20" s="2854"/>
      <c r="BDO20" s="2854"/>
      <c r="BDP20" s="2854"/>
      <c r="BDQ20" s="2854"/>
      <c r="BDR20" s="2854"/>
      <c r="BDS20" s="2854"/>
      <c r="BDT20" s="2854"/>
      <c r="BDU20" s="2854"/>
      <c r="BDV20" s="2854"/>
      <c r="BDW20" s="2854"/>
      <c r="BDX20" s="2854"/>
      <c r="BDY20" s="2854"/>
      <c r="BDZ20" s="2854"/>
      <c r="BEA20" s="2854"/>
      <c r="BEB20" s="2854"/>
      <c r="BEC20" s="2854"/>
      <c r="BED20" s="2854"/>
      <c r="BEE20" s="2854"/>
      <c r="BEF20" s="2854"/>
      <c r="BEG20" s="2854"/>
      <c r="BEH20" s="2854"/>
      <c r="BEI20" s="2854"/>
      <c r="BEJ20" s="2854"/>
      <c r="BEK20" s="2854"/>
      <c r="BEL20" s="2854"/>
      <c r="BEM20" s="2854"/>
      <c r="BEN20" s="2854"/>
      <c r="BEO20" s="2854"/>
      <c r="BEP20" s="2854"/>
      <c r="BEQ20" s="2854"/>
      <c r="BER20" s="2854"/>
      <c r="BES20" s="2854"/>
      <c r="BET20" s="2854"/>
      <c r="BEU20" s="2854"/>
      <c r="BEV20" s="2854"/>
      <c r="BEW20" s="2854"/>
      <c r="BEX20" s="2854"/>
      <c r="BEY20" s="2854"/>
      <c r="BEZ20" s="2854"/>
      <c r="BFA20" s="2854"/>
      <c r="BFB20" s="2854"/>
      <c r="BFC20" s="2854"/>
      <c r="BFD20" s="2854"/>
      <c r="BFE20" s="2854"/>
      <c r="BFF20" s="2854"/>
      <c r="BFG20" s="2854"/>
      <c r="BFH20" s="2854"/>
      <c r="BFI20" s="2854"/>
      <c r="BFJ20" s="2854"/>
      <c r="BFK20" s="2854"/>
      <c r="BFL20" s="2854"/>
      <c r="BFM20" s="2854"/>
      <c r="BFN20" s="2854"/>
      <c r="BFO20" s="2854"/>
      <c r="BFP20" s="2854"/>
      <c r="BFQ20" s="2854"/>
      <c r="BFR20" s="2854"/>
      <c r="BFS20" s="2854"/>
      <c r="BFT20" s="2854"/>
      <c r="BFU20" s="2854"/>
      <c r="BFV20" s="2854"/>
      <c r="BFW20" s="2854"/>
      <c r="BFX20" s="2854"/>
      <c r="BFY20" s="2854"/>
      <c r="BFZ20" s="2854"/>
      <c r="BGA20" s="2854"/>
      <c r="BGB20" s="2854"/>
      <c r="BGC20" s="2854"/>
      <c r="BGD20" s="2854"/>
      <c r="BGE20" s="2854"/>
      <c r="BGF20" s="2854"/>
      <c r="BGG20" s="2854"/>
      <c r="BGH20" s="2854"/>
      <c r="BGI20" s="2854"/>
      <c r="BGJ20" s="2854"/>
      <c r="BGK20" s="2854"/>
      <c r="BGL20" s="2854"/>
      <c r="BGM20" s="2854"/>
      <c r="BGN20" s="2854"/>
      <c r="BGO20" s="2854"/>
      <c r="BGP20" s="2854"/>
      <c r="BGQ20" s="2854"/>
      <c r="BGR20" s="2854"/>
      <c r="BGS20" s="2854"/>
      <c r="BGT20" s="2854"/>
      <c r="BGU20" s="2854"/>
      <c r="BGV20" s="2854"/>
      <c r="BGW20" s="2854"/>
      <c r="BGX20" s="2854"/>
      <c r="BGY20" s="2854"/>
      <c r="BGZ20" s="2854"/>
      <c r="BHA20" s="2854"/>
      <c r="BHB20" s="2854"/>
      <c r="BHC20" s="2854"/>
      <c r="BHD20" s="2854"/>
      <c r="BHE20" s="2854"/>
      <c r="BHF20" s="2854"/>
      <c r="BHG20" s="2854"/>
      <c r="BHH20" s="2854"/>
      <c r="BHI20" s="2854"/>
      <c r="BHJ20" s="2854"/>
      <c r="BHK20" s="2854"/>
      <c r="BHL20" s="2854"/>
      <c r="BHM20" s="2854"/>
      <c r="BHN20" s="2854"/>
      <c r="BHO20" s="2854"/>
      <c r="BHP20" s="2854"/>
      <c r="BHQ20" s="2854"/>
      <c r="BHR20" s="2854"/>
      <c r="BHS20" s="2854"/>
      <c r="BHT20" s="2854"/>
      <c r="BHU20" s="2854"/>
      <c r="BHV20" s="2854"/>
      <c r="BHW20" s="2854"/>
      <c r="BHX20" s="2854"/>
      <c r="BHY20" s="2854"/>
      <c r="BHZ20" s="2854"/>
      <c r="BIA20" s="2854"/>
      <c r="BIB20" s="2854"/>
      <c r="BIC20" s="2854"/>
      <c r="BID20" s="2854"/>
      <c r="BIE20" s="2854"/>
      <c r="BIF20" s="2854"/>
      <c r="BIG20" s="2854"/>
      <c r="BIH20" s="2854"/>
      <c r="BII20" s="2854"/>
      <c r="BIJ20" s="2854"/>
      <c r="BIK20" s="2854"/>
      <c r="BIL20" s="2854"/>
      <c r="BIM20" s="2854"/>
      <c r="BIN20" s="2854"/>
      <c r="BIO20" s="2854"/>
      <c r="BIP20" s="2854"/>
      <c r="BIQ20" s="2854"/>
      <c r="BIR20" s="2854"/>
      <c r="BIS20" s="2854"/>
      <c r="BIT20" s="2854"/>
      <c r="BIU20" s="2854"/>
      <c r="BIV20" s="2854"/>
      <c r="BIW20" s="2854"/>
      <c r="BIX20" s="2854"/>
      <c r="BIY20" s="2854"/>
      <c r="BIZ20" s="2854"/>
      <c r="BJA20" s="2854"/>
      <c r="BJB20" s="2854"/>
      <c r="BJC20" s="2854"/>
      <c r="BJD20" s="2854"/>
      <c r="BJE20" s="2854"/>
      <c r="BJF20" s="2854"/>
      <c r="BJG20" s="2854"/>
      <c r="BJH20" s="2854"/>
      <c r="BJI20" s="2854"/>
      <c r="BJJ20" s="2854"/>
      <c r="BJK20" s="2854"/>
      <c r="BJL20" s="2854"/>
      <c r="BJM20" s="2854"/>
      <c r="BJN20" s="2854"/>
      <c r="BJO20" s="2854"/>
      <c r="BJP20" s="2854"/>
      <c r="BJQ20" s="2854"/>
      <c r="BJR20" s="2854"/>
      <c r="BJS20" s="2854"/>
      <c r="BJT20" s="2854"/>
      <c r="BJU20" s="2854"/>
      <c r="BJV20" s="2854"/>
      <c r="BJW20" s="2854"/>
      <c r="BJX20" s="2854"/>
      <c r="BJY20" s="2854"/>
      <c r="BJZ20" s="2854"/>
      <c r="BKA20" s="2854"/>
      <c r="BKB20" s="2854"/>
      <c r="BKC20" s="2854"/>
      <c r="BKD20" s="2854"/>
      <c r="BKE20" s="2854"/>
      <c r="BKF20" s="2854"/>
      <c r="BKG20" s="2854"/>
      <c r="BKH20" s="2854"/>
      <c r="BKI20" s="2854"/>
      <c r="BKJ20" s="2854"/>
      <c r="BKK20" s="2854"/>
      <c r="BKL20" s="2854"/>
      <c r="BKM20" s="2854"/>
      <c r="BKN20" s="2854"/>
      <c r="BKO20" s="2854"/>
      <c r="BKP20" s="2854"/>
      <c r="BKQ20" s="2854"/>
      <c r="BKR20" s="2854"/>
      <c r="BKS20" s="2854"/>
      <c r="BKT20" s="2854"/>
      <c r="BKU20" s="2854"/>
      <c r="BKV20" s="2854"/>
      <c r="BKW20" s="2854"/>
      <c r="BKX20" s="2854"/>
      <c r="BKY20" s="2854"/>
      <c r="BKZ20" s="2854"/>
      <c r="BLA20" s="2854"/>
      <c r="BLB20" s="2854"/>
      <c r="BLC20" s="2854"/>
      <c r="BLD20" s="2854"/>
      <c r="BLE20" s="2854"/>
      <c r="BLF20" s="2854"/>
      <c r="BLG20" s="2854"/>
      <c r="BLH20" s="2854"/>
      <c r="BLI20" s="2854"/>
      <c r="BLJ20" s="2854"/>
      <c r="BLK20" s="2854"/>
      <c r="BLL20" s="2854"/>
      <c r="BLM20" s="2854"/>
      <c r="BLN20" s="2854"/>
      <c r="BLO20" s="2854"/>
      <c r="BLP20" s="2854"/>
      <c r="BLQ20" s="2854"/>
      <c r="BLR20" s="2854"/>
      <c r="BLS20" s="2854"/>
      <c r="BLT20" s="2854"/>
      <c r="BLU20" s="2854"/>
      <c r="BLV20" s="2854"/>
      <c r="BLW20" s="2854"/>
      <c r="BLX20" s="2854"/>
      <c r="BLY20" s="2854"/>
      <c r="BLZ20" s="2854"/>
      <c r="BMA20" s="2854"/>
      <c r="BMB20" s="2854"/>
      <c r="BMC20" s="2854"/>
      <c r="BMD20" s="2854"/>
      <c r="BME20" s="2854"/>
      <c r="BMF20" s="2854"/>
      <c r="BMG20" s="2854"/>
      <c r="BMH20" s="2854"/>
      <c r="BMI20" s="2854"/>
      <c r="BMJ20" s="2854"/>
      <c r="BMK20" s="2854"/>
      <c r="BML20" s="2854"/>
      <c r="BMM20" s="2854"/>
      <c r="BMN20" s="2854"/>
      <c r="BMO20" s="2854"/>
      <c r="BMP20" s="2854"/>
      <c r="BMQ20" s="2854"/>
      <c r="BMR20" s="2854"/>
      <c r="BMS20" s="2854"/>
      <c r="BMT20" s="2854"/>
      <c r="BMU20" s="2854"/>
      <c r="BMV20" s="2854"/>
      <c r="BMW20" s="2854"/>
      <c r="BMX20" s="2854"/>
      <c r="BMY20" s="2854"/>
      <c r="BMZ20" s="2854"/>
      <c r="BNA20" s="2854"/>
      <c r="BNB20" s="2854"/>
      <c r="BNC20" s="2854"/>
      <c r="BND20" s="2854"/>
      <c r="BNE20" s="2854"/>
      <c r="BNF20" s="2854"/>
      <c r="BNG20" s="2854"/>
      <c r="BNH20" s="2854"/>
      <c r="BNI20" s="2854"/>
      <c r="BNJ20" s="2854"/>
      <c r="BNK20" s="2854"/>
      <c r="BNL20" s="2854"/>
      <c r="BNM20" s="2854"/>
      <c r="BNN20" s="2854"/>
      <c r="BNO20" s="2854"/>
      <c r="BNP20" s="2854"/>
      <c r="BNQ20" s="2854"/>
      <c r="BNR20" s="2854"/>
      <c r="BNS20" s="2854"/>
      <c r="BNT20" s="2854"/>
      <c r="BNU20" s="2854"/>
      <c r="BNV20" s="2854"/>
      <c r="BNW20" s="2854"/>
      <c r="BNX20" s="2854"/>
      <c r="BNY20" s="2854"/>
      <c r="BNZ20" s="2854"/>
      <c r="BOA20" s="2854"/>
      <c r="BOB20" s="2854"/>
      <c r="BOC20" s="2854"/>
      <c r="BOD20" s="2854"/>
      <c r="BOE20" s="2854"/>
      <c r="BOF20" s="2854"/>
      <c r="BOG20" s="2854"/>
      <c r="BOH20" s="2854"/>
      <c r="BOI20" s="2854"/>
      <c r="BOJ20" s="2854"/>
      <c r="BOK20" s="2854"/>
      <c r="BOL20" s="2854"/>
      <c r="BOM20" s="2854"/>
      <c r="BON20" s="2854"/>
      <c r="BOO20" s="2854"/>
      <c r="BOP20" s="2854"/>
      <c r="BOQ20" s="2854"/>
      <c r="BOR20" s="2854"/>
      <c r="BOS20" s="2854"/>
      <c r="BOT20" s="2854"/>
      <c r="BOU20" s="2854"/>
      <c r="BOV20" s="2854"/>
      <c r="BOW20" s="2854"/>
      <c r="BOX20" s="2854"/>
      <c r="BOY20" s="2854"/>
      <c r="BOZ20" s="2854"/>
      <c r="BPA20" s="2854"/>
      <c r="BPB20" s="2854"/>
      <c r="BPC20" s="2854"/>
      <c r="BPD20" s="2854"/>
      <c r="BPE20" s="2854"/>
      <c r="BPF20" s="2854"/>
      <c r="BPG20" s="2854"/>
      <c r="BPH20" s="2854"/>
      <c r="BPI20" s="2854"/>
      <c r="BPJ20" s="2854"/>
      <c r="BPK20" s="2854"/>
      <c r="BPL20" s="2854"/>
      <c r="BPM20" s="2854"/>
      <c r="BPN20" s="2854"/>
      <c r="BPO20" s="2854"/>
      <c r="BPP20" s="2854"/>
      <c r="BPQ20" s="2854"/>
      <c r="BPR20" s="2854"/>
      <c r="BPS20" s="2854"/>
      <c r="BPT20" s="2854"/>
      <c r="BPU20" s="2854"/>
      <c r="BPV20" s="2854"/>
      <c r="BPW20" s="2854"/>
      <c r="BPX20" s="2854"/>
      <c r="BPY20" s="2854"/>
      <c r="BPZ20" s="2854"/>
      <c r="BQA20" s="2854"/>
      <c r="BQB20" s="2854"/>
      <c r="BQC20" s="2854"/>
      <c r="BQD20" s="2854"/>
      <c r="BQE20" s="2854"/>
      <c r="BQF20" s="2854"/>
      <c r="BQG20" s="2854"/>
      <c r="BQH20" s="2854"/>
      <c r="BQI20" s="2854"/>
      <c r="BQJ20" s="2854"/>
      <c r="BQK20" s="2854"/>
      <c r="BQL20" s="2854"/>
      <c r="BQM20" s="2854"/>
      <c r="BQN20" s="2854"/>
      <c r="BQO20" s="2854"/>
      <c r="BQP20" s="2854"/>
      <c r="BQQ20" s="2854"/>
      <c r="BQR20" s="2854"/>
      <c r="BQS20" s="2854"/>
      <c r="BQT20" s="2854"/>
      <c r="BQU20" s="2854"/>
      <c r="BQV20" s="2854"/>
      <c r="BQW20" s="2854"/>
      <c r="BQX20" s="2854"/>
      <c r="BQY20" s="2854"/>
      <c r="BQZ20" s="2854"/>
      <c r="BRA20" s="2854"/>
      <c r="BRB20" s="2854"/>
      <c r="BRC20" s="2854"/>
      <c r="BRD20" s="2854"/>
      <c r="BRE20" s="2854"/>
      <c r="BRF20" s="2854"/>
      <c r="BRG20" s="2854"/>
      <c r="BRH20" s="2854"/>
      <c r="BRI20" s="2854"/>
      <c r="BRJ20" s="2854"/>
      <c r="BRK20" s="2854"/>
      <c r="BRL20" s="2854"/>
      <c r="BRM20" s="2854"/>
      <c r="BRN20" s="2854"/>
      <c r="BRO20" s="2854"/>
      <c r="BRP20" s="2854"/>
      <c r="BRQ20" s="2854"/>
      <c r="BRR20" s="2854"/>
      <c r="BRS20" s="2854"/>
      <c r="BRT20" s="2854"/>
      <c r="BRU20" s="2854"/>
      <c r="BRV20" s="2854"/>
      <c r="BRW20" s="2854"/>
      <c r="BRX20" s="2854"/>
      <c r="BRY20" s="2854"/>
      <c r="BRZ20" s="2854"/>
      <c r="BSA20" s="2854"/>
      <c r="BSB20" s="2854"/>
      <c r="BSC20" s="2854"/>
      <c r="BSD20" s="2854"/>
      <c r="BSE20" s="2854"/>
      <c r="BSF20" s="2854"/>
      <c r="BSG20" s="2854"/>
      <c r="BSH20" s="2854"/>
      <c r="BSI20" s="2854"/>
      <c r="BSJ20" s="2854"/>
      <c r="BSK20" s="2854"/>
      <c r="BSL20" s="2854"/>
      <c r="BSM20" s="2854"/>
      <c r="BSN20" s="2854"/>
      <c r="BSO20" s="2854"/>
      <c r="BSP20" s="2854"/>
      <c r="BSQ20" s="2854"/>
      <c r="BSR20" s="2854"/>
      <c r="BSS20" s="2854"/>
      <c r="BST20" s="2854"/>
      <c r="BSU20" s="2854"/>
      <c r="BSV20" s="2854"/>
      <c r="BSW20" s="2854"/>
      <c r="BSX20" s="2854"/>
      <c r="BSY20" s="2854"/>
      <c r="BSZ20" s="2854"/>
      <c r="BTA20" s="2854"/>
      <c r="BTB20" s="2854"/>
      <c r="BTC20" s="2854"/>
      <c r="BTD20" s="2854"/>
      <c r="BTE20" s="2854"/>
      <c r="BTF20" s="2854"/>
      <c r="BTG20" s="2854"/>
      <c r="BTH20" s="2854"/>
      <c r="BTI20" s="2854"/>
      <c r="BTJ20" s="2854"/>
      <c r="BTK20" s="2854"/>
      <c r="BTL20" s="2854"/>
      <c r="BTM20" s="2854"/>
      <c r="BTN20" s="2854"/>
      <c r="BTO20" s="2854"/>
      <c r="BTP20" s="2854"/>
      <c r="BTQ20" s="2854"/>
      <c r="BTR20" s="2854"/>
      <c r="BTS20" s="2854"/>
      <c r="BTT20" s="2854"/>
      <c r="BTU20" s="2854"/>
      <c r="BTV20" s="2854"/>
      <c r="BTW20" s="2854"/>
      <c r="BTX20" s="2854"/>
      <c r="BTY20" s="2854"/>
      <c r="BTZ20" s="2854"/>
      <c r="BUA20" s="2854"/>
      <c r="BUB20" s="2854"/>
      <c r="BUC20" s="2854"/>
      <c r="BUD20" s="2854"/>
      <c r="BUE20" s="2854"/>
      <c r="BUF20" s="2854"/>
      <c r="BUG20" s="2854"/>
      <c r="BUH20" s="2854"/>
      <c r="BUI20" s="2854"/>
      <c r="BUJ20" s="2854"/>
      <c r="BUK20" s="2854"/>
      <c r="BUL20" s="2854"/>
      <c r="BUM20" s="2854"/>
      <c r="BUN20" s="2854"/>
      <c r="BUO20" s="2854"/>
      <c r="BUP20" s="2854"/>
      <c r="BUQ20" s="2854"/>
      <c r="BUR20" s="2854"/>
      <c r="BUS20" s="2854"/>
      <c r="BUT20" s="2854"/>
      <c r="BUU20" s="2854"/>
      <c r="BUV20" s="2854"/>
      <c r="BUW20" s="2854"/>
      <c r="BUX20" s="2854"/>
      <c r="BUY20" s="2854"/>
      <c r="BUZ20" s="2854"/>
      <c r="BVA20" s="2854"/>
      <c r="BVB20" s="2854"/>
      <c r="BVC20" s="2854"/>
      <c r="BVD20" s="2854"/>
      <c r="BVE20" s="2854"/>
      <c r="BVF20" s="2854"/>
      <c r="BVG20" s="2854"/>
      <c r="BVH20" s="2854"/>
      <c r="BVI20" s="2854"/>
      <c r="BVJ20" s="2854"/>
      <c r="BVK20" s="2854"/>
      <c r="BVL20" s="2854"/>
      <c r="BVM20" s="2854"/>
      <c r="BVN20" s="2854"/>
      <c r="BVO20" s="2854"/>
      <c r="BVP20" s="2854"/>
      <c r="BVQ20" s="2854"/>
      <c r="BVR20" s="2854"/>
      <c r="BVS20" s="2854"/>
      <c r="BVT20" s="2854"/>
      <c r="BVU20" s="2854"/>
      <c r="BVV20" s="2854"/>
      <c r="BVW20" s="2854"/>
      <c r="BVX20" s="2854"/>
      <c r="BVY20" s="2854"/>
      <c r="BVZ20" s="2854"/>
      <c r="BWA20" s="2854"/>
      <c r="BWB20" s="2854"/>
      <c r="BWC20" s="2854"/>
      <c r="BWD20" s="2854"/>
      <c r="BWE20" s="2854"/>
      <c r="BWF20" s="2854"/>
      <c r="BWG20" s="2854"/>
      <c r="BWH20" s="2854"/>
      <c r="BWI20" s="2854"/>
      <c r="BWJ20" s="2854"/>
      <c r="BWK20" s="2854"/>
      <c r="BWL20" s="2854"/>
      <c r="BWM20" s="2854"/>
      <c r="BWN20" s="2854"/>
      <c r="BWO20" s="2854"/>
      <c r="BWP20" s="2854"/>
      <c r="BWQ20" s="2854"/>
      <c r="BWR20" s="2854"/>
      <c r="BWS20" s="2854"/>
      <c r="BWT20" s="2854"/>
      <c r="BWU20" s="2854"/>
      <c r="BWV20" s="2854"/>
      <c r="BWW20" s="2854"/>
      <c r="BWX20" s="2854"/>
      <c r="BWY20" s="2854"/>
      <c r="BWZ20" s="2854"/>
      <c r="BXA20" s="2854"/>
      <c r="BXB20" s="2854"/>
      <c r="BXC20" s="2854"/>
      <c r="BXD20" s="2854"/>
      <c r="BXE20" s="2854"/>
      <c r="BXF20" s="2854"/>
      <c r="BXG20" s="2854"/>
      <c r="BXH20" s="2854"/>
      <c r="BXI20" s="2854"/>
      <c r="BXJ20" s="2854"/>
      <c r="BXK20" s="2854"/>
      <c r="BXL20" s="2854"/>
      <c r="BXM20" s="2854"/>
      <c r="BXN20" s="2854"/>
      <c r="BXO20" s="2854"/>
      <c r="BXP20" s="2854"/>
      <c r="BXQ20" s="2854"/>
      <c r="BXR20" s="2854"/>
      <c r="BXS20" s="2854"/>
      <c r="BXT20" s="2854"/>
      <c r="BXU20" s="2854"/>
      <c r="BXV20" s="2854"/>
      <c r="BXW20" s="2854"/>
      <c r="BXX20" s="2854"/>
      <c r="BXY20" s="2854"/>
      <c r="BXZ20" s="2854"/>
      <c r="BYA20" s="2854"/>
      <c r="BYB20" s="2854"/>
      <c r="BYC20" s="2854"/>
      <c r="BYD20" s="2854"/>
      <c r="BYE20" s="2854"/>
      <c r="BYF20" s="2854"/>
      <c r="BYG20" s="2854"/>
      <c r="BYH20" s="2854"/>
      <c r="BYI20" s="2854"/>
      <c r="BYJ20" s="2854"/>
      <c r="BYK20" s="2854"/>
      <c r="BYL20" s="2854"/>
      <c r="BYM20" s="2854"/>
      <c r="BYN20" s="2854"/>
      <c r="BYO20" s="2854"/>
      <c r="BYP20" s="2854"/>
      <c r="BYQ20" s="2854"/>
      <c r="BYR20" s="2854"/>
      <c r="BYS20" s="2854"/>
      <c r="BYT20" s="2854"/>
      <c r="BYU20" s="2854"/>
      <c r="BYV20" s="2854"/>
      <c r="BYW20" s="2854"/>
      <c r="BYX20" s="2854"/>
      <c r="BYY20" s="2854"/>
      <c r="BYZ20" s="2854"/>
      <c r="BZA20" s="2854"/>
      <c r="BZB20" s="2854"/>
      <c r="BZC20" s="2854"/>
      <c r="BZD20" s="2854"/>
      <c r="BZE20" s="2854"/>
      <c r="BZF20" s="2854"/>
      <c r="BZG20" s="2854"/>
      <c r="BZH20" s="2854"/>
      <c r="BZI20" s="2854"/>
      <c r="BZJ20" s="2854"/>
      <c r="BZK20" s="2854"/>
      <c r="BZL20" s="2854"/>
      <c r="BZM20" s="2854"/>
      <c r="BZN20" s="2854"/>
      <c r="BZO20" s="2854"/>
      <c r="BZP20" s="2854"/>
      <c r="BZQ20" s="2854"/>
      <c r="BZR20" s="2854"/>
      <c r="BZS20" s="2854"/>
      <c r="BZT20" s="2854"/>
      <c r="BZU20" s="2854"/>
      <c r="BZV20" s="2854"/>
      <c r="BZW20" s="2854"/>
      <c r="BZX20" s="2854"/>
      <c r="BZY20" s="2854"/>
      <c r="BZZ20" s="2854"/>
      <c r="CAA20" s="2854"/>
      <c r="CAB20" s="2854"/>
      <c r="CAC20" s="2854"/>
      <c r="CAD20" s="2854"/>
      <c r="CAE20" s="2854"/>
      <c r="CAF20" s="2854"/>
      <c r="CAG20" s="2854"/>
      <c r="CAH20" s="2854"/>
      <c r="CAI20" s="2854"/>
      <c r="CAJ20" s="2854"/>
      <c r="CAK20" s="2854"/>
      <c r="CAL20" s="2854"/>
      <c r="CAM20" s="2854"/>
      <c r="CAN20" s="2854"/>
      <c r="CAO20" s="2854"/>
      <c r="CAP20" s="2854"/>
      <c r="CAQ20" s="2854"/>
      <c r="CAR20" s="2854"/>
      <c r="CAS20" s="2854"/>
      <c r="CAT20" s="2854"/>
      <c r="CAU20" s="2854"/>
      <c r="CAV20" s="2854"/>
      <c r="CAW20" s="2854"/>
      <c r="CAX20" s="2854"/>
      <c r="CAY20" s="2854"/>
      <c r="CAZ20" s="2854"/>
      <c r="CBA20" s="2854"/>
      <c r="CBB20" s="2854"/>
      <c r="CBC20" s="2854"/>
      <c r="CBD20" s="2854"/>
      <c r="CBE20" s="2854"/>
      <c r="CBF20" s="2854"/>
      <c r="CBG20" s="2854"/>
      <c r="CBH20" s="2854"/>
      <c r="CBI20" s="2854"/>
      <c r="CBJ20" s="2854"/>
      <c r="CBK20" s="2854"/>
      <c r="CBL20" s="2854"/>
      <c r="CBM20" s="2854"/>
      <c r="CBN20" s="2854"/>
      <c r="CBO20" s="2854"/>
      <c r="CBP20" s="2854"/>
      <c r="CBQ20" s="2854"/>
      <c r="CBR20" s="2854"/>
      <c r="CBS20" s="2854"/>
      <c r="CBT20" s="2854"/>
      <c r="CBU20" s="2854"/>
      <c r="CBV20" s="2854"/>
      <c r="CBW20" s="2854"/>
      <c r="CBX20" s="2854"/>
      <c r="CBY20" s="2854"/>
      <c r="CBZ20" s="2854"/>
      <c r="CCA20" s="2854"/>
      <c r="CCB20" s="2854"/>
      <c r="CCC20" s="2854"/>
      <c r="CCD20" s="2854"/>
      <c r="CCE20" s="2854"/>
      <c r="CCF20" s="2854"/>
      <c r="CCG20" s="2854"/>
      <c r="CCH20" s="2854"/>
      <c r="CCI20" s="2854"/>
      <c r="CCJ20" s="2854"/>
      <c r="CCK20" s="2854"/>
      <c r="CCL20" s="2854"/>
      <c r="CCM20" s="2854"/>
      <c r="CCN20" s="2854"/>
      <c r="CCO20" s="2854"/>
      <c r="CCP20" s="2854"/>
      <c r="CCQ20" s="2854"/>
      <c r="CCR20" s="2854"/>
      <c r="CCS20" s="2854"/>
      <c r="CCT20" s="2854"/>
      <c r="CCU20" s="2854"/>
      <c r="CCV20" s="2854"/>
      <c r="CCW20" s="2854"/>
      <c r="CCX20" s="2854"/>
      <c r="CCY20" s="2854"/>
      <c r="CCZ20" s="2854"/>
      <c r="CDA20" s="2854"/>
      <c r="CDB20" s="2854"/>
      <c r="CDC20" s="2854"/>
      <c r="CDD20" s="2854"/>
      <c r="CDE20" s="2854"/>
      <c r="CDF20" s="2854"/>
      <c r="CDG20" s="2854"/>
      <c r="CDH20" s="2854"/>
      <c r="CDI20" s="2854"/>
      <c r="CDJ20" s="2854"/>
      <c r="CDK20" s="2854"/>
      <c r="CDL20" s="2854"/>
      <c r="CDM20" s="2854"/>
      <c r="CDN20" s="2854"/>
      <c r="CDO20" s="2854"/>
      <c r="CDP20" s="2854"/>
      <c r="CDQ20" s="2854"/>
      <c r="CDR20" s="2854"/>
      <c r="CDS20" s="2854"/>
      <c r="CDT20" s="2854"/>
      <c r="CDU20" s="2854"/>
      <c r="CDV20" s="2854"/>
      <c r="CDW20" s="2854"/>
      <c r="CDX20" s="2854"/>
      <c r="CDY20" s="2854"/>
      <c r="CDZ20" s="2854"/>
      <c r="CEA20" s="2854"/>
      <c r="CEB20" s="2854"/>
      <c r="CEC20" s="2854"/>
      <c r="CED20" s="2854"/>
      <c r="CEE20" s="2854"/>
      <c r="CEF20" s="2854"/>
      <c r="CEG20" s="2854"/>
      <c r="CEH20" s="2854"/>
      <c r="CEI20" s="2854"/>
      <c r="CEJ20" s="2854"/>
      <c r="CEK20" s="2854"/>
      <c r="CEL20" s="2854"/>
      <c r="CEM20" s="2854"/>
      <c r="CEN20" s="2854"/>
      <c r="CEO20" s="2854"/>
      <c r="CEP20" s="2854"/>
      <c r="CEQ20" s="2854"/>
      <c r="CER20" s="2854"/>
      <c r="CES20" s="2854"/>
      <c r="CET20" s="2854"/>
      <c r="CEU20" s="2854"/>
      <c r="CEV20" s="2854"/>
      <c r="CEW20" s="2854"/>
      <c r="CEX20" s="2854"/>
      <c r="CEY20" s="2854"/>
      <c r="CEZ20" s="2854"/>
      <c r="CFA20" s="2854"/>
      <c r="CFB20" s="2854"/>
      <c r="CFC20" s="2854"/>
      <c r="CFD20" s="2854"/>
      <c r="CFE20" s="2854"/>
      <c r="CFF20" s="2854"/>
      <c r="CFG20" s="2854"/>
      <c r="CFH20" s="2854"/>
      <c r="CFI20" s="2854"/>
      <c r="CFJ20" s="2854"/>
      <c r="CFK20" s="2854"/>
      <c r="CFL20" s="2854"/>
      <c r="CFM20" s="2854"/>
      <c r="CFN20" s="2854"/>
      <c r="CFO20" s="2854"/>
      <c r="CFP20" s="2854"/>
      <c r="CFQ20" s="2854"/>
      <c r="CFR20" s="2854"/>
      <c r="CFS20" s="2854"/>
      <c r="CFT20" s="2854"/>
      <c r="CFU20" s="2854"/>
      <c r="CFV20" s="2854"/>
      <c r="CFW20" s="2854"/>
      <c r="CFX20" s="2854"/>
      <c r="CFY20" s="2854"/>
      <c r="CFZ20" s="2854"/>
      <c r="CGA20" s="2854"/>
      <c r="CGB20" s="2854"/>
      <c r="CGC20" s="2854"/>
      <c r="CGD20" s="2854"/>
      <c r="CGE20" s="2854"/>
      <c r="CGF20" s="2854"/>
      <c r="CGG20" s="2854"/>
      <c r="CGH20" s="2854"/>
      <c r="CGI20" s="2854"/>
      <c r="CGJ20" s="2854"/>
      <c r="CGK20" s="2854"/>
      <c r="CGL20" s="2854"/>
      <c r="CGM20" s="2854"/>
      <c r="CGN20" s="2854"/>
      <c r="CGO20" s="2854"/>
      <c r="CGP20" s="2854"/>
      <c r="CGQ20" s="2854"/>
      <c r="CGR20" s="2854"/>
      <c r="CGS20" s="2854"/>
      <c r="CGT20" s="2854"/>
      <c r="CGU20" s="2854"/>
      <c r="CGV20" s="2854"/>
      <c r="CGW20" s="2854"/>
      <c r="CGX20" s="2854"/>
      <c r="CGY20" s="2854"/>
      <c r="CGZ20" s="2854"/>
      <c r="CHA20" s="2854"/>
      <c r="CHB20" s="2854"/>
      <c r="CHC20" s="2854"/>
      <c r="CHD20" s="2854"/>
      <c r="CHE20" s="2854"/>
      <c r="CHF20" s="2854"/>
      <c r="CHG20" s="2854"/>
      <c r="CHH20" s="2854"/>
      <c r="CHI20" s="2854"/>
      <c r="CHJ20" s="2854"/>
      <c r="CHK20" s="2854"/>
      <c r="CHL20" s="2854"/>
      <c r="CHM20" s="2854"/>
      <c r="CHN20" s="2854"/>
      <c r="CHO20" s="2854"/>
      <c r="CHP20" s="2854"/>
      <c r="CHQ20" s="2854"/>
      <c r="CHR20" s="2854"/>
      <c r="CHS20" s="2854"/>
      <c r="CHT20" s="2854"/>
      <c r="CHU20" s="2854"/>
      <c r="CHV20" s="2854"/>
      <c r="CHW20" s="2854"/>
      <c r="CHX20" s="2854"/>
      <c r="CHY20" s="2854"/>
      <c r="CHZ20" s="2854"/>
      <c r="CIA20" s="2854"/>
      <c r="CIB20" s="2854"/>
      <c r="CIC20" s="2854"/>
      <c r="CID20" s="2854"/>
      <c r="CIE20" s="2854"/>
      <c r="CIF20" s="2854"/>
      <c r="CIG20" s="2854"/>
      <c r="CIH20" s="2854"/>
      <c r="CII20" s="2854"/>
      <c r="CIJ20" s="2854"/>
      <c r="CIK20" s="2854"/>
      <c r="CIL20" s="2854"/>
      <c r="CIM20" s="2854"/>
      <c r="CIN20" s="2854"/>
      <c r="CIO20" s="2854"/>
      <c r="CIP20" s="2854"/>
      <c r="CIQ20" s="2854"/>
      <c r="CIR20" s="2854"/>
      <c r="CIS20" s="2854"/>
      <c r="CIT20" s="2854"/>
      <c r="CIU20" s="2854"/>
      <c r="CIV20" s="2854"/>
      <c r="CIW20" s="2854"/>
      <c r="CIX20" s="2854"/>
      <c r="CIY20" s="2854"/>
      <c r="CIZ20" s="2854"/>
      <c r="CJA20" s="2854"/>
      <c r="CJB20" s="2854"/>
      <c r="CJC20" s="2854"/>
      <c r="CJD20" s="2854"/>
      <c r="CJE20" s="2854"/>
      <c r="CJF20" s="2854"/>
      <c r="CJG20" s="2854"/>
      <c r="CJH20" s="2854"/>
      <c r="CJI20" s="2854"/>
      <c r="CJJ20" s="2854"/>
      <c r="CJK20" s="2854"/>
      <c r="CJL20" s="2854"/>
      <c r="CJM20" s="2854"/>
      <c r="CJN20" s="2854"/>
      <c r="CJO20" s="2854"/>
      <c r="CJP20" s="2854"/>
      <c r="CJQ20" s="2854"/>
      <c r="CJR20" s="2854"/>
      <c r="CJS20" s="2854"/>
      <c r="CJT20" s="2854"/>
      <c r="CJU20" s="2854"/>
      <c r="CJV20" s="2854"/>
      <c r="CJW20" s="2854"/>
      <c r="CJX20" s="2854"/>
      <c r="CJY20" s="2854"/>
      <c r="CJZ20" s="2854"/>
      <c r="CKA20" s="2854"/>
      <c r="CKB20" s="2854"/>
      <c r="CKC20" s="2854"/>
      <c r="CKD20" s="2854"/>
      <c r="CKE20" s="2854"/>
      <c r="CKF20" s="2854"/>
      <c r="CKG20" s="2854"/>
      <c r="CKH20" s="2854"/>
      <c r="CKI20" s="2854"/>
      <c r="CKJ20" s="2854"/>
      <c r="CKK20" s="2854"/>
      <c r="CKL20" s="2854"/>
      <c r="CKM20" s="2854"/>
      <c r="CKN20" s="2854"/>
      <c r="CKO20" s="2854"/>
      <c r="CKP20" s="2854"/>
      <c r="CKQ20" s="2854"/>
      <c r="CKR20" s="2854"/>
      <c r="CKS20" s="2854"/>
      <c r="CKT20" s="2854"/>
      <c r="CKU20" s="2854"/>
      <c r="CKV20" s="2854"/>
      <c r="CKW20" s="2854"/>
      <c r="CKX20" s="2854"/>
      <c r="CKY20" s="2854"/>
      <c r="CKZ20" s="2854"/>
      <c r="CLA20" s="2854"/>
      <c r="CLB20" s="2854"/>
      <c r="CLC20" s="2854"/>
      <c r="CLD20" s="2854"/>
      <c r="CLE20" s="2854"/>
      <c r="CLF20" s="2854"/>
      <c r="CLG20" s="2854"/>
      <c r="CLH20" s="2854"/>
      <c r="CLI20" s="2854"/>
      <c r="CLJ20" s="2854"/>
      <c r="CLK20" s="2854"/>
      <c r="CLL20" s="2854"/>
      <c r="CLM20" s="2854"/>
      <c r="CLN20" s="2854"/>
      <c r="CLO20" s="2854"/>
      <c r="CLP20" s="2854"/>
      <c r="CLQ20" s="2854"/>
      <c r="CLR20" s="2854"/>
      <c r="CLS20" s="2854"/>
      <c r="CLT20" s="2854"/>
      <c r="CLU20" s="2854"/>
      <c r="CLV20" s="2854"/>
      <c r="CLW20" s="2854"/>
    </row>
    <row r="21" spans="1:2363" ht="15" customHeight="1" x14ac:dyDescent="0.25">
      <c r="A21" s="3868"/>
      <c r="B21" s="3881"/>
      <c r="C21" s="3230">
        <v>3</v>
      </c>
      <c r="D21" s="3216"/>
      <c r="E21" s="3232"/>
      <c r="F21" s="1856"/>
      <c r="G21" s="1800"/>
      <c r="H21" s="3233"/>
      <c r="I21" s="2616"/>
      <c r="J21" s="2664"/>
      <c r="K21" s="3234"/>
      <c r="L21" s="3235"/>
      <c r="M21" s="1891"/>
      <c r="N21" s="3115"/>
      <c r="O21" s="3236"/>
      <c r="P21" s="3237"/>
      <c r="Q21" s="3238"/>
      <c r="R21" s="3239"/>
      <c r="S21" s="3239"/>
      <c r="T21" s="3240"/>
      <c r="U21" s="3241"/>
      <c r="V21" s="3238"/>
      <c r="W21" s="3242"/>
      <c r="X21" s="3243"/>
      <c r="Y21" s="3244"/>
      <c r="Z21" s="3204"/>
      <c r="AA21" s="2767"/>
      <c r="AB21" s="1858"/>
      <c r="AC21" s="2682"/>
      <c r="AD21" s="2461"/>
      <c r="AE21" s="2461"/>
      <c r="AF21" s="1896"/>
      <c r="AG21" s="2869"/>
      <c r="AH21" s="1993">
        <f>+AD21+AF21</f>
        <v>0</v>
      </c>
      <c r="AI21" s="3411"/>
      <c r="AJ21" s="2767"/>
      <c r="AK21" s="2831">
        <f>AI21+AJ21</f>
        <v>0</v>
      </c>
      <c r="AL21" s="3245">
        <v>0</v>
      </c>
      <c r="AM21" s="3246">
        <v>0</v>
      </c>
      <c r="AN21" s="2116">
        <v>0</v>
      </c>
      <c r="AO21" s="3247"/>
      <c r="AP21" s="2691"/>
      <c r="AQ21" s="3248"/>
      <c r="AR21" s="2691"/>
      <c r="AS21" s="2164">
        <f t="shared" ref="AS21:AS26" si="27">+AO21+AP21+AQ21+AR21</f>
        <v>0</v>
      </c>
      <c r="AT21" s="2170"/>
      <c r="AU21" s="2765"/>
      <c r="AV21" s="3249"/>
      <c r="AW21" s="3250"/>
      <c r="AX21" s="3288"/>
      <c r="AY21" s="3293"/>
      <c r="AZ21" s="2116">
        <f>+AX21-AY21</f>
        <v>0</v>
      </c>
      <c r="BA21" s="3251"/>
      <c r="BB21" s="3072"/>
      <c r="BC21" s="3252"/>
      <c r="BD21" s="3253"/>
      <c r="BE21" s="3075">
        <f t="shared" si="25"/>
        <v>0</v>
      </c>
      <c r="BF21" s="3183"/>
      <c r="BG21" s="2765"/>
      <c r="BH21" s="3249"/>
      <c r="BI21" s="3254"/>
      <c r="BJ21" s="3416">
        <f t="shared" ref="BJ21:BJ24" si="28">+AA21</f>
        <v>0</v>
      </c>
      <c r="BK21" s="2767">
        <v>0</v>
      </c>
      <c r="BL21" s="3255"/>
      <c r="BM21" s="3431">
        <f>AD21+AO21</f>
        <v>0</v>
      </c>
      <c r="BN21" s="3441">
        <f t="shared" si="23"/>
        <v>0</v>
      </c>
      <c r="BO21" s="3442">
        <f t="shared" si="23"/>
        <v>0</v>
      </c>
      <c r="BP21" s="3303">
        <f t="shared" si="23"/>
        <v>0</v>
      </c>
      <c r="BQ21" s="3468">
        <f t="shared" ref="BQ21:BQ26" si="29">AS21+AH21</f>
        <v>0</v>
      </c>
      <c r="BR21" s="3446">
        <f t="shared" si="24"/>
        <v>0</v>
      </c>
      <c r="BS21" s="1858">
        <f t="shared" si="24"/>
        <v>0</v>
      </c>
      <c r="BT21" s="3449">
        <f t="shared" si="26"/>
        <v>0</v>
      </c>
      <c r="BU21" s="3144"/>
      <c r="BV21" s="3058"/>
      <c r="BW21" s="3058"/>
      <c r="BX21" s="3058"/>
      <c r="BY21" s="3144"/>
      <c r="BZ21" s="3144"/>
      <c r="CA21" s="3147"/>
      <c r="CB21" s="3147"/>
      <c r="CC21" s="3147"/>
      <c r="CD21" s="3147"/>
      <c r="CE21" s="3147"/>
      <c r="CF21" s="3147"/>
      <c r="CG21" s="3147"/>
      <c r="CH21" s="1050"/>
      <c r="CI21" s="2854"/>
      <c r="CJ21" s="2854"/>
      <c r="CK21" s="2854"/>
      <c r="CL21" s="2854"/>
      <c r="CM21" s="2854"/>
      <c r="CN21" s="2854"/>
      <c r="CO21" s="2854"/>
      <c r="CP21" s="2854"/>
      <c r="CQ21" s="2854"/>
      <c r="CR21" s="2854"/>
      <c r="CS21" s="2854"/>
      <c r="CT21" s="2854"/>
      <c r="CU21" s="175"/>
      <c r="CV21" s="2854"/>
      <c r="CW21" s="2854"/>
      <c r="CX21" s="2854"/>
      <c r="CY21" s="2854"/>
      <c r="CZ21" s="2854"/>
      <c r="DA21" s="2854"/>
      <c r="DB21" s="2854"/>
      <c r="DC21" s="2854"/>
      <c r="DD21" s="2854"/>
      <c r="DE21" s="2854"/>
      <c r="DF21" s="2854"/>
      <c r="DG21" s="2854"/>
      <c r="DH21" s="2854"/>
      <c r="DI21" s="2854"/>
      <c r="DJ21" s="2854"/>
      <c r="DK21" s="2854"/>
      <c r="DL21" s="2854"/>
      <c r="DM21" s="2854"/>
      <c r="DN21" s="2854"/>
      <c r="DO21" s="2854"/>
      <c r="DP21" s="2854"/>
      <c r="DQ21" s="2854"/>
      <c r="DR21" s="2854"/>
      <c r="DS21" s="2854"/>
      <c r="DT21" s="2854"/>
      <c r="DU21" s="2854"/>
      <c r="DV21" s="2854"/>
      <c r="DW21" s="2854"/>
      <c r="DX21" s="2854"/>
      <c r="DY21" s="2854"/>
      <c r="DZ21" s="2854"/>
      <c r="EA21" s="2854"/>
      <c r="EB21" s="2854"/>
      <c r="EC21" s="2854"/>
      <c r="ED21" s="2854"/>
      <c r="EE21" s="2854"/>
      <c r="EF21" s="2854"/>
      <c r="EG21" s="2854"/>
      <c r="EH21" s="2854"/>
      <c r="EI21" s="2854"/>
      <c r="EJ21" s="2854"/>
      <c r="EK21" s="2854"/>
      <c r="EL21" s="2854"/>
      <c r="EM21" s="2854"/>
      <c r="EN21" s="2854"/>
      <c r="EO21" s="2854"/>
      <c r="EP21" s="2854"/>
      <c r="EQ21" s="2854"/>
      <c r="ER21" s="2854"/>
      <c r="ES21" s="2854"/>
      <c r="ET21" s="2854"/>
      <c r="EU21" s="2854"/>
      <c r="EV21" s="2854"/>
      <c r="EW21" s="2854"/>
      <c r="EX21" s="2854"/>
      <c r="EY21" s="2854"/>
      <c r="EZ21" s="2854"/>
      <c r="FA21" s="2854"/>
      <c r="FB21" s="2854"/>
      <c r="FC21" s="2854"/>
      <c r="FD21" s="2854"/>
      <c r="FE21" s="2854"/>
      <c r="FF21" s="2854"/>
      <c r="FG21" s="2854"/>
      <c r="FH21" s="2854"/>
      <c r="FI21" s="2854"/>
      <c r="FJ21" s="2854"/>
      <c r="FK21" s="2854"/>
      <c r="FL21" s="2854"/>
      <c r="FM21" s="2854"/>
      <c r="FN21" s="2854"/>
      <c r="FO21" s="2854"/>
      <c r="FP21" s="2854"/>
      <c r="FQ21" s="2854"/>
      <c r="FR21" s="2854"/>
      <c r="FS21" s="2854"/>
      <c r="FT21" s="2854"/>
      <c r="FU21" s="2854"/>
      <c r="FV21" s="2854"/>
      <c r="FW21" s="2854"/>
      <c r="FX21" s="2854"/>
      <c r="FY21" s="2854"/>
      <c r="FZ21" s="2854"/>
      <c r="GA21" s="2854"/>
      <c r="GB21" s="2854"/>
      <c r="GC21" s="2854"/>
      <c r="GD21" s="2854"/>
      <c r="GE21" s="2854"/>
      <c r="GF21" s="2854"/>
      <c r="GG21" s="2854"/>
      <c r="GH21" s="2854"/>
      <c r="GI21" s="2854"/>
      <c r="GJ21" s="2854"/>
      <c r="GK21" s="2854"/>
      <c r="GL21" s="2854"/>
      <c r="GM21" s="2854"/>
      <c r="GN21" s="2854"/>
      <c r="GO21" s="2854"/>
      <c r="GP21" s="2854"/>
      <c r="GQ21" s="2854"/>
      <c r="GR21" s="2854"/>
      <c r="GS21" s="2854"/>
      <c r="GT21" s="2854"/>
      <c r="GU21" s="2854"/>
      <c r="GV21" s="2854"/>
      <c r="GW21" s="2854"/>
      <c r="GX21" s="2854"/>
      <c r="GY21" s="2854"/>
      <c r="GZ21" s="2854"/>
      <c r="HA21" s="2854"/>
      <c r="HB21" s="2854"/>
      <c r="HC21" s="2854"/>
      <c r="HD21" s="2854"/>
      <c r="HE21" s="2854"/>
      <c r="HF21" s="2854"/>
      <c r="HG21" s="2854"/>
      <c r="HH21" s="2854"/>
      <c r="HI21" s="2854"/>
      <c r="HJ21" s="2854"/>
      <c r="HK21" s="2854"/>
      <c r="HL21" s="2854"/>
      <c r="HM21" s="2854"/>
      <c r="HN21" s="2854"/>
      <c r="HO21" s="2854"/>
      <c r="HP21" s="2854"/>
      <c r="HQ21" s="2854"/>
      <c r="HR21" s="2854"/>
      <c r="HS21" s="2854"/>
      <c r="HT21" s="2854"/>
      <c r="HU21" s="2854"/>
      <c r="HV21" s="2854"/>
      <c r="HW21" s="2854"/>
      <c r="HX21" s="2854"/>
      <c r="HY21" s="2854"/>
      <c r="HZ21" s="2854"/>
      <c r="IA21" s="2854"/>
      <c r="IB21" s="2854"/>
      <c r="IC21" s="2854"/>
      <c r="ID21" s="2854"/>
      <c r="IE21" s="2854"/>
      <c r="IF21" s="2854"/>
      <c r="IG21" s="2854"/>
      <c r="IH21" s="2854"/>
      <c r="II21" s="2854"/>
      <c r="IJ21" s="2854"/>
      <c r="IK21" s="2854"/>
      <c r="IL21" s="2854"/>
      <c r="IM21" s="2854"/>
      <c r="IN21" s="2854"/>
      <c r="IO21" s="2854"/>
      <c r="IP21" s="2854"/>
      <c r="IQ21" s="2854"/>
      <c r="IR21" s="2854"/>
      <c r="IS21" s="2854"/>
      <c r="IT21" s="2854"/>
      <c r="IU21" s="2854"/>
      <c r="IV21" s="2854"/>
      <c r="IW21" s="2854"/>
      <c r="IX21" s="2854"/>
      <c r="IY21" s="2854"/>
      <c r="IZ21" s="2854"/>
      <c r="JA21" s="2854"/>
      <c r="JB21" s="2854"/>
      <c r="JC21" s="2854"/>
      <c r="JD21" s="2854"/>
      <c r="JE21" s="2854"/>
      <c r="JF21" s="2854"/>
      <c r="JG21" s="2854"/>
      <c r="JH21" s="2854"/>
      <c r="JI21" s="2854"/>
      <c r="JJ21" s="2854"/>
      <c r="JK21" s="2854"/>
      <c r="JL21" s="2854"/>
      <c r="JM21" s="2854"/>
      <c r="JN21" s="2854"/>
      <c r="JO21" s="2854"/>
      <c r="JP21" s="2854"/>
      <c r="JQ21" s="2854"/>
      <c r="JR21" s="2854"/>
      <c r="JS21" s="2854"/>
      <c r="JT21" s="2854"/>
      <c r="JU21" s="2854"/>
      <c r="JV21" s="2854"/>
      <c r="JW21" s="2854"/>
      <c r="JX21" s="2854"/>
      <c r="JY21" s="2854"/>
      <c r="JZ21" s="2854"/>
      <c r="KA21" s="2854"/>
      <c r="KB21" s="2854"/>
      <c r="KC21" s="2854"/>
      <c r="KD21" s="2854"/>
      <c r="KE21" s="2854"/>
      <c r="KF21" s="2854"/>
      <c r="KG21" s="2854"/>
      <c r="KH21" s="2854"/>
      <c r="KI21" s="2854"/>
      <c r="KJ21" s="2854"/>
      <c r="KK21" s="2854"/>
      <c r="KL21" s="2854"/>
      <c r="KM21" s="2854"/>
      <c r="KN21" s="2854"/>
      <c r="KO21" s="2854"/>
      <c r="KP21" s="2854"/>
      <c r="KQ21" s="2854"/>
      <c r="KR21" s="2854"/>
      <c r="KS21" s="2854"/>
      <c r="KT21" s="2854"/>
      <c r="KU21" s="2854"/>
      <c r="KV21" s="2854"/>
      <c r="KW21" s="2854"/>
      <c r="KX21" s="2854"/>
      <c r="KY21" s="2854"/>
      <c r="KZ21" s="2854"/>
      <c r="LA21" s="2854"/>
      <c r="LB21" s="2854"/>
      <c r="LC21" s="2854"/>
      <c r="LD21" s="2854"/>
      <c r="LE21" s="2854"/>
      <c r="LF21" s="2854"/>
      <c r="LG21" s="2854"/>
      <c r="LH21" s="2854"/>
      <c r="LI21" s="2854"/>
      <c r="LJ21" s="2854"/>
      <c r="LK21" s="2854"/>
      <c r="LL21" s="2854"/>
      <c r="LM21" s="2854"/>
      <c r="LN21" s="2854"/>
      <c r="LO21" s="2854"/>
      <c r="LP21" s="2854"/>
      <c r="LQ21" s="2854"/>
      <c r="LR21" s="2854"/>
      <c r="LS21" s="2854"/>
      <c r="LT21" s="2854"/>
      <c r="LU21" s="2854"/>
      <c r="LV21" s="2854"/>
      <c r="LW21" s="2854"/>
      <c r="LX21" s="2854"/>
      <c r="LY21" s="2854"/>
      <c r="LZ21" s="2854"/>
      <c r="MA21" s="2854"/>
      <c r="MB21" s="2854"/>
      <c r="MC21" s="2854"/>
      <c r="MD21" s="2854"/>
      <c r="ME21" s="2854"/>
      <c r="MF21" s="2854"/>
      <c r="MG21" s="2854"/>
      <c r="MH21" s="2854"/>
      <c r="MI21" s="2854"/>
      <c r="MJ21" s="2854"/>
      <c r="MK21" s="2854"/>
      <c r="ML21" s="2854"/>
      <c r="MM21" s="2854"/>
      <c r="MN21" s="2854"/>
      <c r="MO21" s="2854"/>
      <c r="MP21" s="2854"/>
      <c r="MQ21" s="2854"/>
      <c r="MR21" s="2854"/>
      <c r="MS21" s="2854"/>
      <c r="MT21" s="2854"/>
      <c r="MU21" s="2854"/>
      <c r="MV21" s="2854"/>
      <c r="MW21" s="2854"/>
      <c r="MX21" s="2854"/>
      <c r="MY21" s="2854"/>
      <c r="MZ21" s="2854"/>
      <c r="NA21" s="2854"/>
      <c r="NB21" s="2854"/>
      <c r="NC21" s="2854"/>
      <c r="ND21" s="2854"/>
      <c r="NE21" s="2854"/>
      <c r="NF21" s="2854"/>
      <c r="NG21" s="2854"/>
      <c r="NH21" s="2854"/>
      <c r="NI21" s="2854"/>
      <c r="NJ21" s="2854"/>
      <c r="NK21" s="2854"/>
      <c r="NL21" s="2854"/>
      <c r="NM21" s="2854"/>
      <c r="NN21" s="2854"/>
      <c r="NO21" s="2854"/>
      <c r="NP21" s="2854"/>
      <c r="NQ21" s="2854"/>
      <c r="NR21" s="2854"/>
      <c r="NS21" s="2854"/>
      <c r="NT21" s="2854"/>
      <c r="NU21" s="2854"/>
      <c r="NV21" s="2854"/>
      <c r="NW21" s="2854"/>
      <c r="NX21" s="2854"/>
      <c r="NY21" s="2854"/>
      <c r="NZ21" s="2854"/>
      <c r="OA21" s="2854"/>
      <c r="OB21" s="2854"/>
      <c r="OC21" s="2854"/>
      <c r="OD21" s="2854"/>
      <c r="OE21" s="2854"/>
      <c r="OF21" s="2854"/>
      <c r="OG21" s="2854"/>
      <c r="OH21" s="2854"/>
      <c r="OI21" s="2854"/>
      <c r="OJ21" s="2854"/>
      <c r="OK21" s="2854"/>
      <c r="OL21" s="2854"/>
      <c r="OM21" s="2854"/>
      <c r="ON21" s="2854"/>
      <c r="OO21" s="2854"/>
      <c r="OP21" s="2854"/>
      <c r="OQ21" s="2854"/>
      <c r="OR21" s="2854"/>
      <c r="OS21" s="2854"/>
      <c r="OT21" s="2854"/>
      <c r="OU21" s="2854"/>
      <c r="OV21" s="2854"/>
      <c r="OW21" s="2854"/>
      <c r="OX21" s="2854"/>
      <c r="OY21" s="2854"/>
      <c r="OZ21" s="2854"/>
      <c r="PA21" s="2854"/>
      <c r="PB21" s="2854"/>
      <c r="PC21" s="2854"/>
      <c r="PD21" s="2854"/>
      <c r="PE21" s="2854"/>
      <c r="PF21" s="2854"/>
      <c r="PG21" s="2854"/>
      <c r="PH21" s="2854"/>
      <c r="PI21" s="2854"/>
      <c r="PJ21" s="2854"/>
      <c r="PK21" s="2854"/>
      <c r="PL21" s="2854"/>
      <c r="PM21" s="2854"/>
      <c r="PN21" s="2854"/>
      <c r="PO21" s="2854"/>
      <c r="PP21" s="2854"/>
      <c r="PQ21" s="2854"/>
      <c r="PR21" s="2854"/>
      <c r="PS21" s="2854"/>
      <c r="PT21" s="2854"/>
      <c r="PU21" s="2854"/>
      <c r="PV21" s="2854"/>
      <c r="PW21" s="2854"/>
      <c r="PX21" s="2854"/>
      <c r="PY21" s="2854"/>
      <c r="PZ21" s="2854"/>
      <c r="QA21" s="2854"/>
      <c r="QB21" s="2854"/>
      <c r="QC21" s="2854"/>
      <c r="QD21" s="2854"/>
      <c r="QE21" s="2854"/>
      <c r="QF21" s="2854"/>
      <c r="QG21" s="2854"/>
      <c r="QH21" s="2854"/>
      <c r="QI21" s="2854"/>
      <c r="QJ21" s="2854"/>
      <c r="QK21" s="2854"/>
      <c r="QL21" s="2854"/>
      <c r="QM21" s="2854"/>
      <c r="QN21" s="2854"/>
      <c r="QO21" s="2854"/>
      <c r="QP21" s="2854"/>
      <c r="QQ21" s="2854"/>
      <c r="QR21" s="2854"/>
      <c r="QS21" s="2854"/>
      <c r="QT21" s="2854"/>
      <c r="QU21" s="2854"/>
      <c r="QV21" s="2854"/>
      <c r="QW21" s="2854"/>
      <c r="QX21" s="2854"/>
      <c r="QY21" s="2854"/>
      <c r="QZ21" s="2854"/>
      <c r="RA21" s="2854"/>
      <c r="RB21" s="2854"/>
      <c r="RC21" s="2854"/>
      <c r="RD21" s="2854"/>
      <c r="RE21" s="2854"/>
      <c r="RF21" s="2854"/>
      <c r="RG21" s="2854"/>
      <c r="RH21" s="2854"/>
      <c r="RI21" s="2854"/>
      <c r="RJ21" s="2854"/>
      <c r="RK21" s="2854"/>
      <c r="RL21" s="2854"/>
      <c r="RM21" s="2854"/>
      <c r="RN21" s="2854"/>
      <c r="RO21" s="2854"/>
      <c r="RP21" s="2854"/>
      <c r="RQ21" s="2854"/>
      <c r="RR21" s="2854"/>
      <c r="RS21" s="2854"/>
      <c r="RT21" s="2854"/>
      <c r="RU21" s="2854"/>
      <c r="RV21" s="2854"/>
      <c r="RW21" s="2854"/>
      <c r="RX21" s="2854"/>
      <c r="RY21" s="2854"/>
      <c r="RZ21" s="2854"/>
      <c r="SA21" s="2854"/>
      <c r="SB21" s="2854"/>
      <c r="SC21" s="2854"/>
      <c r="SD21" s="2854"/>
      <c r="SE21" s="2854"/>
      <c r="SF21" s="2854"/>
      <c r="SG21" s="2854"/>
      <c r="SH21" s="2854"/>
      <c r="SI21" s="2854"/>
      <c r="SJ21" s="2854"/>
      <c r="SK21" s="2854"/>
      <c r="SL21" s="2854"/>
      <c r="SM21" s="2854"/>
      <c r="SN21" s="2854"/>
      <c r="SO21" s="2854"/>
      <c r="SP21" s="2854"/>
      <c r="SQ21" s="2854"/>
      <c r="SR21" s="2854"/>
      <c r="SS21" s="2854"/>
      <c r="ST21" s="2854"/>
      <c r="SU21" s="2854"/>
      <c r="SV21" s="2854"/>
      <c r="SW21" s="2854"/>
      <c r="SX21" s="2854"/>
      <c r="SY21" s="2854"/>
      <c r="SZ21" s="2854"/>
      <c r="TA21" s="2854"/>
      <c r="TB21" s="2854"/>
      <c r="TC21" s="2854"/>
      <c r="TD21" s="2854"/>
      <c r="TE21" s="2854"/>
      <c r="TF21" s="2854"/>
      <c r="TG21" s="2854"/>
      <c r="TH21" s="2854"/>
      <c r="TI21" s="2854"/>
      <c r="TJ21" s="2854"/>
      <c r="TK21" s="2854"/>
      <c r="TL21" s="2854"/>
      <c r="TM21" s="2854"/>
      <c r="TN21" s="2854"/>
      <c r="TO21" s="2854"/>
      <c r="TP21" s="2854"/>
      <c r="TQ21" s="2854"/>
      <c r="TR21" s="2854"/>
      <c r="TS21" s="2854"/>
      <c r="TT21" s="2854"/>
      <c r="TU21" s="3783"/>
      <c r="TV21" s="3783"/>
      <c r="TW21" s="3783"/>
      <c r="TX21" s="3783"/>
      <c r="TY21" s="3783"/>
      <c r="TZ21" s="3783"/>
      <c r="UA21" s="3783"/>
      <c r="UB21" s="3783"/>
      <c r="UC21" s="3783"/>
      <c r="UD21" s="3783"/>
      <c r="UE21" s="3783"/>
      <c r="UF21" s="3783"/>
      <c r="UG21" s="3783"/>
      <c r="UH21" s="3783"/>
      <c r="UI21" s="3783"/>
      <c r="UJ21" s="3783"/>
      <c r="UK21" s="3783"/>
      <c r="UL21" s="3783"/>
      <c r="UM21" s="3783"/>
      <c r="UN21" s="3783"/>
      <c r="UO21" s="3783"/>
      <c r="UP21" s="2854"/>
      <c r="UQ21" s="2854"/>
      <c r="UR21" s="2854"/>
      <c r="US21" s="2854"/>
      <c r="UT21" s="2854"/>
      <c r="UU21" s="2854"/>
      <c r="UV21" s="2854"/>
      <c r="UW21" s="2854"/>
      <c r="UX21" s="2854"/>
      <c r="UY21" s="2854"/>
      <c r="UZ21" s="2854"/>
      <c r="VA21" s="2854"/>
      <c r="VB21" s="2854"/>
      <c r="VC21" s="2854"/>
      <c r="VD21" s="2854"/>
      <c r="VE21" s="2854"/>
      <c r="VF21" s="2854"/>
      <c r="VG21" s="2854"/>
      <c r="VH21" s="2854"/>
      <c r="VI21" s="2854"/>
      <c r="VJ21" s="2854"/>
      <c r="VK21" s="2854"/>
      <c r="VL21" s="2854"/>
      <c r="VM21" s="2854"/>
      <c r="VN21" s="2854"/>
      <c r="VO21" s="2854"/>
      <c r="VP21" s="2854"/>
      <c r="VQ21" s="2854"/>
      <c r="VR21" s="2854"/>
      <c r="VS21" s="2854"/>
      <c r="VT21" s="2854"/>
      <c r="VU21" s="2854"/>
      <c r="VV21" s="2854"/>
      <c r="VW21" s="2854"/>
      <c r="VX21" s="2854"/>
      <c r="VY21" s="2854"/>
      <c r="VZ21" s="2854"/>
      <c r="WA21" s="2854"/>
      <c r="WB21" s="2854"/>
      <c r="WC21" s="2854"/>
      <c r="WD21" s="2854"/>
      <c r="WE21" s="2854"/>
      <c r="WF21" s="2854"/>
      <c r="WG21" s="2854"/>
      <c r="WH21" s="2854"/>
      <c r="WI21" s="2854"/>
      <c r="WJ21" s="2854"/>
      <c r="WK21" s="2854"/>
      <c r="WL21" s="2854"/>
      <c r="WM21" s="2854"/>
      <c r="WN21" s="2854"/>
      <c r="WO21" s="2854"/>
      <c r="WP21" s="2854"/>
      <c r="WQ21" s="2854"/>
      <c r="WR21" s="2854"/>
      <c r="WS21" s="2854"/>
      <c r="WT21" s="2854"/>
      <c r="WU21" s="2854"/>
      <c r="WV21" s="2854"/>
      <c r="WW21" s="2854"/>
      <c r="WX21" s="2854"/>
      <c r="WY21" s="2854"/>
      <c r="WZ21" s="2854"/>
      <c r="XA21" s="2854"/>
      <c r="XB21" s="2854"/>
      <c r="XC21" s="2854"/>
      <c r="XD21" s="2854"/>
      <c r="XE21" s="2854"/>
      <c r="XF21" s="2854"/>
      <c r="XG21" s="2854"/>
      <c r="XH21" s="2854"/>
      <c r="XI21" s="2854"/>
      <c r="XJ21" s="2854"/>
      <c r="XK21" s="2854"/>
      <c r="XL21" s="2854"/>
      <c r="XM21" s="2854"/>
      <c r="XN21" s="2854"/>
      <c r="XO21" s="2854"/>
      <c r="XP21" s="2854"/>
      <c r="XQ21" s="2854"/>
      <c r="XR21" s="2854"/>
      <c r="XS21" s="2854"/>
      <c r="XT21" s="2854"/>
      <c r="XU21" s="2854"/>
      <c r="XV21" s="2854"/>
      <c r="XW21" s="2854"/>
      <c r="XX21" s="2854"/>
      <c r="XY21" s="2854"/>
      <c r="XZ21" s="2854"/>
      <c r="YA21" s="2854"/>
      <c r="YB21" s="2854"/>
      <c r="YC21" s="2854"/>
      <c r="YD21" s="2854"/>
      <c r="YE21" s="2854"/>
      <c r="YF21" s="2854"/>
      <c r="YG21" s="2854"/>
      <c r="YH21" s="2854"/>
      <c r="YI21" s="2854"/>
      <c r="YJ21" s="2854"/>
      <c r="YK21" s="2854"/>
      <c r="YL21" s="2854"/>
      <c r="YM21" s="2854"/>
      <c r="YN21" s="2854"/>
      <c r="YO21" s="2854"/>
      <c r="YP21" s="2854"/>
      <c r="YQ21" s="2854"/>
      <c r="YR21" s="2854"/>
      <c r="YS21" s="2854"/>
      <c r="YT21" s="2854"/>
      <c r="YU21" s="2854"/>
      <c r="YV21" s="2854"/>
      <c r="YW21" s="2854"/>
      <c r="YX21" s="2854"/>
      <c r="YY21" s="2854"/>
      <c r="YZ21" s="2854"/>
      <c r="ZA21" s="2854"/>
      <c r="ZB21" s="2854"/>
      <c r="ZC21" s="2854"/>
      <c r="ZD21" s="2854"/>
      <c r="ZE21" s="2854"/>
      <c r="ZF21" s="2854"/>
      <c r="ZG21" s="2854"/>
      <c r="ZH21" s="2854"/>
      <c r="ZI21" s="2854"/>
      <c r="ZJ21" s="2854"/>
      <c r="ZK21" s="2854"/>
      <c r="ZL21" s="2854"/>
      <c r="ZM21" s="2854"/>
      <c r="ZN21" s="2854"/>
      <c r="ZO21" s="2854"/>
      <c r="ZP21" s="2854"/>
      <c r="ZQ21" s="2854"/>
      <c r="ZR21" s="2854"/>
      <c r="ZS21" s="2854"/>
      <c r="ZT21" s="2854"/>
      <c r="ZU21" s="2854"/>
      <c r="ZV21" s="2854"/>
      <c r="ZW21" s="2854"/>
      <c r="ZX21" s="2854"/>
      <c r="ZY21" s="2854"/>
      <c r="ZZ21" s="2854"/>
      <c r="AAA21" s="2854"/>
      <c r="AAB21" s="2854"/>
      <c r="AAC21" s="2854"/>
      <c r="AAD21" s="2854"/>
      <c r="AAE21" s="2854"/>
      <c r="AAF21" s="2854"/>
      <c r="AAG21" s="2854"/>
      <c r="AAH21" s="2854"/>
      <c r="AAI21" s="2854"/>
      <c r="AAJ21" s="2854"/>
      <c r="AAK21" s="2854"/>
      <c r="AAL21" s="2854"/>
      <c r="AAM21" s="2854"/>
      <c r="AAN21" s="2854"/>
      <c r="AAO21" s="2854"/>
      <c r="AAP21" s="2854"/>
      <c r="AAQ21" s="2854"/>
      <c r="AAR21" s="2854"/>
      <c r="AAS21" s="2854"/>
      <c r="AAT21" s="2854"/>
      <c r="AAU21" s="2854"/>
      <c r="AAV21" s="2854"/>
      <c r="AAW21" s="2854"/>
      <c r="AAX21" s="2854"/>
      <c r="AAY21" s="2854"/>
      <c r="AAZ21" s="2854"/>
      <c r="ABA21" s="2854"/>
      <c r="ABB21" s="2854"/>
      <c r="ABC21" s="2854"/>
      <c r="ABD21" s="2854"/>
      <c r="ABE21" s="2854"/>
      <c r="ABF21" s="2854"/>
      <c r="ABG21" s="2854"/>
      <c r="ABH21" s="2854"/>
      <c r="ABI21" s="2854"/>
      <c r="ABJ21" s="2854"/>
      <c r="ABK21" s="2854"/>
      <c r="ABL21" s="2854"/>
      <c r="ABM21" s="2854"/>
      <c r="ABN21" s="2854"/>
      <c r="ABO21" s="2854"/>
      <c r="ABP21" s="2854"/>
      <c r="ABQ21" s="2854"/>
      <c r="ABR21" s="2854"/>
      <c r="ABS21" s="2854"/>
      <c r="ABT21" s="2854"/>
      <c r="ABU21" s="2854"/>
      <c r="ABV21" s="2854"/>
      <c r="ABW21" s="2854"/>
      <c r="ABX21" s="2854"/>
      <c r="ABY21" s="2854"/>
      <c r="ABZ21" s="2854"/>
      <c r="ACA21" s="2854"/>
      <c r="ACB21" s="2854"/>
      <c r="ACC21" s="2854"/>
      <c r="ACD21" s="2854"/>
      <c r="ACE21" s="2854"/>
      <c r="ACF21" s="2854"/>
      <c r="ACG21" s="2854"/>
      <c r="ACH21" s="2854"/>
      <c r="ACI21" s="2854"/>
      <c r="ACJ21" s="2854"/>
      <c r="ACK21" s="2854"/>
      <c r="ACL21" s="2854"/>
      <c r="ACM21" s="2854"/>
      <c r="ACN21" s="2854"/>
      <c r="ACO21" s="2854"/>
      <c r="ACP21" s="2854"/>
      <c r="ACQ21" s="2854"/>
      <c r="ACR21" s="2854"/>
      <c r="ACS21" s="2854"/>
      <c r="ACT21" s="2854"/>
      <c r="ACU21" s="2854"/>
      <c r="ACV21" s="2854"/>
      <c r="ACW21" s="2854"/>
      <c r="ACX21" s="2854"/>
      <c r="ACY21" s="2854"/>
      <c r="ACZ21" s="2854"/>
      <c r="ADA21" s="2854"/>
      <c r="ADB21" s="2854"/>
      <c r="ADC21" s="2854"/>
      <c r="ADD21" s="2854"/>
      <c r="ADE21" s="2854"/>
      <c r="ADF21" s="2854"/>
      <c r="ADG21" s="2854"/>
      <c r="ADH21" s="2854"/>
      <c r="ADI21" s="2854"/>
      <c r="ADJ21" s="2854"/>
      <c r="ADK21" s="2854"/>
      <c r="ADL21" s="2854"/>
      <c r="ADM21" s="2854"/>
      <c r="ADN21" s="2854"/>
      <c r="ADO21" s="2854"/>
      <c r="ADP21" s="2854"/>
      <c r="ADQ21" s="2854"/>
      <c r="ADR21" s="2854"/>
      <c r="ADS21" s="2854"/>
      <c r="ADT21" s="2854"/>
      <c r="ADU21" s="2854"/>
      <c r="ADV21" s="2854"/>
      <c r="ADW21" s="2854"/>
      <c r="ADX21" s="2854"/>
      <c r="ADY21" s="2854"/>
      <c r="ADZ21" s="2854"/>
      <c r="AEA21" s="2854"/>
      <c r="AEB21" s="2854"/>
      <c r="AEC21" s="2854"/>
      <c r="AED21" s="2854"/>
      <c r="AEE21" s="2854"/>
      <c r="AEF21" s="2854"/>
      <c r="AEG21" s="2854"/>
      <c r="AEH21" s="2854"/>
      <c r="AEI21" s="2854"/>
      <c r="AEJ21" s="2854"/>
      <c r="AEK21" s="2854"/>
      <c r="AEL21" s="2854"/>
      <c r="AEM21" s="2854"/>
      <c r="AEN21" s="2854"/>
      <c r="AEO21" s="2854"/>
      <c r="AEP21" s="2854"/>
      <c r="AEQ21" s="2854"/>
      <c r="AER21" s="2854"/>
      <c r="AES21" s="2854"/>
      <c r="AET21" s="2854"/>
      <c r="AEU21" s="2854"/>
      <c r="AEV21" s="2854"/>
      <c r="AEW21" s="2854"/>
      <c r="AEX21" s="2854"/>
      <c r="AEY21" s="2854"/>
      <c r="AEZ21" s="2854"/>
      <c r="AFA21" s="2854"/>
      <c r="AFB21" s="2854"/>
      <c r="AFC21" s="2854"/>
      <c r="AFD21" s="2854"/>
      <c r="AFE21" s="2854"/>
      <c r="AFF21" s="2854"/>
      <c r="AFG21" s="2854"/>
      <c r="AFH21" s="2854"/>
      <c r="AFI21" s="2854"/>
      <c r="AFJ21" s="2854"/>
      <c r="AFK21" s="2854"/>
      <c r="AFL21" s="2854"/>
      <c r="AFM21" s="2854"/>
      <c r="AFN21" s="2854"/>
      <c r="AFO21" s="2854"/>
      <c r="AFP21" s="2854"/>
      <c r="AFQ21" s="2854"/>
      <c r="AFR21" s="2854"/>
      <c r="AFS21" s="2854"/>
      <c r="AFT21" s="2854"/>
      <c r="AFU21" s="2854"/>
      <c r="AFV21" s="2854"/>
      <c r="AFW21" s="2854"/>
      <c r="AFX21" s="2854"/>
      <c r="AFY21" s="2854"/>
      <c r="AFZ21" s="2854"/>
      <c r="AGA21" s="2854"/>
      <c r="AGB21" s="2854"/>
      <c r="AGC21" s="2854"/>
      <c r="AGD21" s="2854"/>
      <c r="AGE21" s="2854"/>
      <c r="AGF21" s="2854"/>
      <c r="AGG21" s="2854"/>
      <c r="AGH21" s="2854"/>
      <c r="AGI21" s="2854"/>
      <c r="AGJ21" s="2854"/>
      <c r="AGK21" s="2854"/>
      <c r="AGL21" s="2854"/>
      <c r="AGM21" s="2854"/>
      <c r="AGN21" s="2854"/>
      <c r="AGO21" s="2854"/>
      <c r="AGP21" s="2854"/>
      <c r="AGQ21" s="2854"/>
      <c r="AGR21" s="2854"/>
      <c r="AGS21" s="2854"/>
      <c r="AGT21" s="2854"/>
      <c r="AGU21" s="2854"/>
      <c r="AGV21" s="2854"/>
      <c r="AGW21" s="2854"/>
      <c r="AGX21" s="2854"/>
      <c r="AGY21" s="2854"/>
      <c r="AGZ21" s="2854"/>
      <c r="AHA21" s="2854"/>
      <c r="AHB21" s="2854"/>
      <c r="AHC21" s="2854"/>
      <c r="AHD21" s="2854"/>
      <c r="AHE21" s="2854"/>
      <c r="AHF21" s="2854"/>
      <c r="AHG21" s="2854"/>
      <c r="AHH21" s="2854"/>
      <c r="AHI21" s="2854"/>
      <c r="AHJ21" s="2854"/>
      <c r="AHK21" s="2854"/>
      <c r="AHL21" s="2854"/>
      <c r="AHM21" s="2854"/>
      <c r="AHN21" s="2854"/>
      <c r="AHO21" s="2854"/>
      <c r="AHP21" s="2854"/>
      <c r="AHQ21" s="2854"/>
      <c r="AHR21" s="2854"/>
      <c r="AHS21" s="2854"/>
      <c r="AHT21" s="2854"/>
      <c r="AHU21" s="2854"/>
      <c r="AHV21" s="2854"/>
      <c r="AHW21" s="2854"/>
      <c r="AHX21" s="2854"/>
      <c r="AHY21" s="2854"/>
      <c r="AHZ21" s="2854"/>
      <c r="AIA21" s="2854"/>
      <c r="AIB21" s="2854"/>
      <c r="AIC21" s="2854"/>
      <c r="AID21" s="2854"/>
      <c r="AIE21" s="2854"/>
      <c r="AIF21" s="2854"/>
      <c r="AIG21" s="2854"/>
      <c r="AIH21" s="2854"/>
      <c r="AII21" s="2854"/>
      <c r="AIJ21" s="2854"/>
      <c r="AIK21" s="2854"/>
      <c r="AIL21" s="2854"/>
      <c r="AIM21" s="2854"/>
      <c r="AIN21" s="2854"/>
      <c r="AIO21" s="2854"/>
      <c r="AIP21" s="2854"/>
      <c r="AIQ21" s="2854"/>
      <c r="AIR21" s="2854"/>
      <c r="AIS21" s="2854"/>
      <c r="AIT21" s="2854"/>
      <c r="AIU21" s="2854"/>
      <c r="AIV21" s="2854"/>
      <c r="AIW21" s="2854"/>
      <c r="AIX21" s="2854"/>
      <c r="AIY21" s="2854"/>
      <c r="AIZ21" s="2854"/>
      <c r="AJA21" s="2854"/>
      <c r="AJB21" s="2854"/>
      <c r="AJC21" s="2854"/>
      <c r="AJD21" s="2854"/>
      <c r="AJE21" s="2854"/>
      <c r="AJF21" s="2854"/>
      <c r="AJG21" s="2854"/>
      <c r="AJH21" s="2854"/>
      <c r="AJI21" s="2854"/>
      <c r="AJJ21" s="2854"/>
      <c r="AJK21" s="2854"/>
      <c r="AJL21" s="2854"/>
      <c r="AJM21" s="2854"/>
      <c r="AJN21" s="2854"/>
      <c r="AJO21" s="2854"/>
      <c r="AJP21" s="2854"/>
      <c r="AJQ21" s="2854"/>
      <c r="AJR21" s="2854"/>
      <c r="AJS21" s="2854"/>
      <c r="AJT21" s="2854"/>
      <c r="AJU21" s="2854"/>
      <c r="AJV21" s="2854"/>
      <c r="AJW21" s="2854"/>
      <c r="AJX21" s="2854"/>
      <c r="AJY21" s="2854"/>
      <c r="AJZ21" s="2854"/>
      <c r="AKA21" s="2854"/>
      <c r="AKB21" s="2854"/>
      <c r="AKC21" s="2854"/>
      <c r="AKD21" s="2854"/>
      <c r="AKE21" s="2854"/>
      <c r="AKF21" s="2854"/>
      <c r="AKG21" s="2854"/>
      <c r="AKH21" s="2854"/>
      <c r="AKI21" s="2854"/>
      <c r="AKJ21" s="2854"/>
      <c r="AKK21" s="2854"/>
      <c r="AKL21" s="2854"/>
      <c r="AKM21" s="2854"/>
      <c r="AKN21" s="2854"/>
      <c r="AKO21" s="2854"/>
      <c r="AKP21" s="2854"/>
      <c r="AKQ21" s="2854"/>
      <c r="AKR21" s="2854"/>
      <c r="AKS21" s="2854"/>
      <c r="AKT21" s="2854"/>
      <c r="AKU21" s="2854"/>
      <c r="AKV21" s="2854"/>
      <c r="AKW21" s="2854"/>
      <c r="AKX21" s="2854"/>
      <c r="AKY21" s="2854"/>
      <c r="AKZ21" s="2854"/>
      <c r="ALA21" s="2854"/>
      <c r="ALB21" s="2854"/>
      <c r="ALC21" s="2854"/>
      <c r="ALD21" s="2854"/>
      <c r="ALE21" s="2854"/>
      <c r="ALF21" s="2854"/>
      <c r="ALG21" s="2854"/>
      <c r="ALH21" s="2854"/>
      <c r="ALI21" s="2854"/>
      <c r="ALJ21" s="2854"/>
      <c r="ALK21" s="2854"/>
      <c r="ALL21" s="2854"/>
      <c r="ALM21" s="2854"/>
      <c r="ALN21" s="2854"/>
      <c r="ALO21" s="2854"/>
      <c r="ALP21" s="2854"/>
      <c r="ALQ21" s="2854"/>
      <c r="ALR21" s="2854"/>
      <c r="ALS21" s="2854"/>
      <c r="ALT21" s="2854"/>
      <c r="ALU21" s="2854"/>
      <c r="ALV21" s="2854"/>
      <c r="ALW21" s="2854"/>
      <c r="ALX21" s="2854"/>
      <c r="ALY21" s="2854"/>
      <c r="ALZ21" s="2854"/>
      <c r="AMA21" s="2854"/>
      <c r="AMB21" s="2854"/>
      <c r="AMC21" s="2854"/>
      <c r="AMD21" s="2854"/>
      <c r="AME21" s="2854"/>
      <c r="AMF21" s="2854"/>
      <c r="AMG21" s="2854"/>
      <c r="AMH21" s="2854"/>
      <c r="AMI21" s="2854"/>
      <c r="AMJ21" s="2854"/>
      <c r="AMK21" s="2854"/>
      <c r="AML21" s="2854"/>
      <c r="AMM21" s="2854"/>
      <c r="AMN21" s="2854"/>
      <c r="AMO21" s="2854"/>
      <c r="AMP21" s="2854"/>
      <c r="AMQ21" s="2854"/>
      <c r="AMR21" s="2854"/>
      <c r="AMS21" s="2854"/>
      <c r="AMT21" s="2854"/>
      <c r="AMU21" s="2854"/>
      <c r="AMV21" s="2854"/>
      <c r="AMW21" s="2854"/>
      <c r="AMX21" s="2854"/>
      <c r="AMY21" s="2854"/>
      <c r="AMZ21" s="2854"/>
      <c r="ANA21" s="2854"/>
      <c r="ANB21" s="2854"/>
      <c r="ANC21" s="2854"/>
      <c r="AND21" s="2854"/>
      <c r="ANE21" s="2854"/>
      <c r="ANF21" s="2854"/>
      <c r="ANG21" s="2854"/>
      <c r="ANH21" s="2854"/>
      <c r="ANI21" s="2854"/>
      <c r="ANJ21" s="2854"/>
      <c r="ANK21" s="2854"/>
      <c r="ANL21" s="2854"/>
      <c r="ANM21" s="2854"/>
      <c r="ANN21" s="2854"/>
      <c r="ANO21" s="2854"/>
      <c r="ANP21" s="2854"/>
      <c r="ANQ21" s="2854"/>
      <c r="ANR21" s="2854"/>
      <c r="ANS21" s="2854"/>
      <c r="ANT21" s="2854"/>
      <c r="ANU21" s="2854"/>
      <c r="ANV21" s="2854"/>
      <c r="ANW21" s="2854"/>
      <c r="ANX21" s="2854"/>
      <c r="ANY21" s="2854"/>
      <c r="ANZ21" s="2854"/>
      <c r="AOA21" s="2854"/>
      <c r="AOB21" s="2854"/>
      <c r="AOC21" s="2854"/>
      <c r="AOD21" s="2854"/>
      <c r="AOE21" s="2854"/>
      <c r="AOF21" s="2854"/>
      <c r="AOG21" s="2854"/>
      <c r="AOH21" s="2854"/>
      <c r="AOI21" s="2854"/>
      <c r="AOJ21" s="2854"/>
      <c r="AOK21" s="2854"/>
      <c r="AOL21" s="2854"/>
      <c r="AOM21" s="2854"/>
      <c r="AON21" s="2854"/>
      <c r="AOO21" s="2854"/>
      <c r="AOP21" s="2854"/>
      <c r="AOQ21" s="2854"/>
      <c r="AOR21" s="2854"/>
      <c r="AOS21" s="2854"/>
      <c r="AOT21" s="2854"/>
      <c r="AOU21" s="2854"/>
      <c r="AOV21" s="2854"/>
      <c r="AOW21" s="2854"/>
      <c r="AOX21" s="2854"/>
      <c r="AOY21" s="2854"/>
      <c r="AOZ21" s="2854"/>
      <c r="APA21" s="2854"/>
      <c r="APB21" s="2854"/>
      <c r="APC21" s="2854"/>
      <c r="APD21" s="2854"/>
      <c r="APE21" s="2854"/>
      <c r="APF21" s="2854"/>
      <c r="APG21" s="2854"/>
      <c r="APH21" s="2854"/>
      <c r="API21" s="2854"/>
      <c r="APJ21" s="2854"/>
      <c r="APK21" s="2854"/>
      <c r="APL21" s="2854"/>
      <c r="APM21" s="2854"/>
      <c r="APN21" s="2854"/>
      <c r="APO21" s="2854"/>
      <c r="APP21" s="2854"/>
      <c r="APQ21" s="2854"/>
      <c r="APR21" s="2854"/>
      <c r="APS21" s="2854"/>
      <c r="APT21" s="2854"/>
      <c r="APU21" s="2854"/>
      <c r="APV21" s="2854"/>
      <c r="APW21" s="2854"/>
      <c r="APX21" s="2854"/>
      <c r="APY21" s="2854"/>
      <c r="APZ21" s="2854"/>
      <c r="AQA21" s="2854"/>
      <c r="AQB21" s="2854"/>
      <c r="AQC21" s="2854"/>
      <c r="AQD21" s="2854"/>
      <c r="AQE21" s="2854"/>
      <c r="AQF21" s="2854"/>
      <c r="AQG21" s="2854"/>
      <c r="AQH21" s="2854"/>
      <c r="AQI21" s="2854"/>
      <c r="AQJ21" s="2854"/>
      <c r="AQK21" s="2854"/>
      <c r="AQL21" s="2854"/>
      <c r="AQM21" s="2854"/>
      <c r="AQN21" s="2854"/>
      <c r="AQO21" s="2854"/>
      <c r="AQP21" s="2854"/>
      <c r="AQQ21" s="2854"/>
      <c r="AQR21" s="2854"/>
      <c r="AQS21" s="2854"/>
      <c r="AQT21" s="2854"/>
      <c r="AQU21" s="2854"/>
      <c r="AQV21" s="2854"/>
      <c r="AQW21" s="2854"/>
      <c r="AQX21" s="2854"/>
      <c r="AQY21" s="2854"/>
      <c r="AQZ21" s="2854"/>
      <c r="ARA21" s="2854"/>
      <c r="ARB21" s="2854"/>
      <c r="ARC21" s="2854"/>
      <c r="ARD21" s="2854"/>
      <c r="ARE21" s="2854"/>
      <c r="ARF21" s="2854"/>
      <c r="ARG21" s="2854"/>
      <c r="ARH21" s="2854"/>
      <c r="ARI21" s="2854"/>
      <c r="ARJ21" s="2854"/>
      <c r="ARK21" s="2854"/>
      <c r="ARL21" s="2854"/>
      <c r="ARM21" s="2854"/>
      <c r="ARN21" s="2854"/>
      <c r="ARO21" s="2854"/>
      <c r="ARP21" s="2854"/>
      <c r="ARQ21" s="2854"/>
      <c r="ARR21" s="2854"/>
      <c r="ARS21" s="2854"/>
      <c r="ART21" s="2854"/>
      <c r="ARU21" s="2854"/>
      <c r="ARV21" s="2854"/>
      <c r="ARW21" s="2854"/>
      <c r="ARX21" s="2854"/>
      <c r="ARY21" s="2854"/>
      <c r="ARZ21" s="2854"/>
      <c r="ASA21" s="2854"/>
      <c r="ASB21" s="2854"/>
      <c r="ASC21" s="2854"/>
      <c r="ASD21" s="2854"/>
      <c r="ASE21" s="2854"/>
      <c r="ASF21" s="2854"/>
      <c r="ASG21" s="2854"/>
      <c r="ASH21" s="2854"/>
      <c r="ASI21" s="2854"/>
      <c r="ASJ21" s="2854"/>
      <c r="ASK21" s="2854"/>
      <c r="ASL21" s="2854"/>
      <c r="ASM21" s="2854"/>
      <c r="ASN21" s="2854"/>
      <c r="ASO21" s="2854"/>
      <c r="ASP21" s="2854"/>
      <c r="ASQ21" s="2854"/>
      <c r="ASR21" s="2854"/>
      <c r="ASS21" s="2854"/>
      <c r="AST21" s="2854"/>
      <c r="ASU21" s="2854"/>
      <c r="ASV21" s="2854"/>
      <c r="ASW21" s="2854"/>
      <c r="ASX21" s="2854"/>
      <c r="ASY21" s="2854"/>
      <c r="ASZ21" s="2854"/>
      <c r="ATA21" s="2854"/>
      <c r="ATB21" s="2854"/>
      <c r="ATC21" s="2854"/>
      <c r="ATD21" s="2854"/>
      <c r="ATE21" s="2854"/>
      <c r="ATF21" s="2854"/>
      <c r="ATG21" s="2854"/>
      <c r="ATH21" s="2854"/>
      <c r="ATI21" s="2854"/>
      <c r="ATJ21" s="2854"/>
      <c r="ATK21" s="2854"/>
      <c r="ATL21" s="2854"/>
      <c r="ATM21" s="2854"/>
      <c r="ATN21" s="2854"/>
      <c r="ATO21" s="2854"/>
      <c r="ATP21" s="2854"/>
      <c r="ATQ21" s="2854"/>
      <c r="ATR21" s="2854"/>
      <c r="ATS21" s="2854"/>
      <c r="ATT21" s="2854"/>
      <c r="ATU21" s="2854"/>
      <c r="ATV21" s="2854"/>
      <c r="ATW21" s="2854"/>
      <c r="ATX21" s="2854"/>
      <c r="ATY21" s="2854"/>
      <c r="ATZ21" s="2854"/>
      <c r="AUA21" s="2854"/>
      <c r="AUB21" s="2854"/>
      <c r="AUC21" s="2854"/>
      <c r="AUD21" s="2854"/>
      <c r="AUE21" s="2854"/>
      <c r="AUF21" s="2854"/>
      <c r="AUG21" s="2854"/>
      <c r="AUH21" s="2854"/>
      <c r="AUI21" s="2854"/>
      <c r="AUJ21" s="2854"/>
      <c r="AUK21" s="2854"/>
      <c r="AUL21" s="2854"/>
      <c r="AUM21" s="2854"/>
      <c r="AUN21" s="2854"/>
      <c r="AUO21" s="2854"/>
      <c r="AUP21" s="2854"/>
      <c r="AUQ21" s="2854"/>
      <c r="AUR21" s="2854"/>
      <c r="AUS21" s="2854"/>
      <c r="AUT21" s="2854"/>
      <c r="AUU21" s="2854"/>
      <c r="AUV21" s="2854"/>
      <c r="AUW21" s="2854"/>
      <c r="AUX21" s="2854"/>
      <c r="AUY21" s="2854"/>
      <c r="AUZ21" s="2854"/>
      <c r="AVA21" s="2854"/>
      <c r="AVB21" s="2854"/>
      <c r="AVC21" s="2854"/>
      <c r="AVD21" s="2854"/>
      <c r="AVE21" s="2854"/>
      <c r="AVF21" s="2854"/>
      <c r="AVG21" s="2854"/>
      <c r="AVH21" s="2854"/>
      <c r="AVI21" s="2854"/>
      <c r="AVJ21" s="2854"/>
      <c r="AVK21" s="2854"/>
      <c r="AVL21" s="2854"/>
      <c r="AVM21" s="2854"/>
      <c r="AVN21" s="2854"/>
      <c r="AVO21" s="2854"/>
      <c r="AVP21" s="2854"/>
      <c r="AVQ21" s="2854"/>
      <c r="AVR21" s="2854"/>
      <c r="AVS21" s="2854"/>
      <c r="AVT21" s="2854"/>
      <c r="AVU21" s="2854"/>
      <c r="AVV21" s="2854"/>
      <c r="AVW21" s="2854"/>
      <c r="AVX21" s="2854"/>
      <c r="AVY21" s="2854"/>
      <c r="AVZ21" s="2854"/>
      <c r="AWA21" s="2854"/>
      <c r="AWB21" s="2854"/>
      <c r="AWC21" s="2854"/>
      <c r="AWD21" s="2854"/>
      <c r="AWE21" s="2854"/>
      <c r="AWF21" s="2854"/>
      <c r="AWG21" s="2854"/>
      <c r="AWH21" s="2854"/>
      <c r="AWI21" s="2854"/>
      <c r="AWJ21" s="2854"/>
      <c r="AWK21" s="2854"/>
      <c r="AWL21" s="2854"/>
      <c r="AWM21" s="2854"/>
      <c r="AWN21" s="2854"/>
      <c r="AWO21" s="2854"/>
      <c r="AWP21" s="2854"/>
      <c r="AWQ21" s="2854"/>
      <c r="AWR21" s="2854"/>
      <c r="AWS21" s="2854"/>
      <c r="AWT21" s="2854"/>
      <c r="AWU21" s="2854"/>
      <c r="AWV21" s="2854"/>
      <c r="AWW21" s="2854"/>
      <c r="AWX21" s="2854"/>
      <c r="AWY21" s="2854"/>
      <c r="AWZ21" s="2854"/>
      <c r="AXA21" s="2854"/>
      <c r="AXB21" s="2854"/>
      <c r="AXC21" s="2854"/>
      <c r="AXD21" s="2854"/>
      <c r="AXE21" s="2854"/>
      <c r="AXF21" s="2854"/>
      <c r="AXG21" s="2854"/>
      <c r="AXH21" s="2854"/>
      <c r="AXI21" s="2854"/>
      <c r="AXJ21" s="2854"/>
      <c r="AXK21" s="2854"/>
      <c r="AXL21" s="2854"/>
      <c r="AXM21" s="2854"/>
      <c r="AXN21" s="2854"/>
      <c r="AXO21" s="2854"/>
      <c r="AXP21" s="2854"/>
      <c r="AXQ21" s="2854"/>
      <c r="AXR21" s="2854"/>
      <c r="AXS21" s="2854"/>
      <c r="AXT21" s="2854"/>
      <c r="AXU21" s="2854"/>
      <c r="AXV21" s="2854"/>
      <c r="AXW21" s="2854"/>
      <c r="AXX21" s="2854"/>
      <c r="AXY21" s="2854"/>
      <c r="AXZ21" s="2854"/>
      <c r="AYA21" s="2854"/>
      <c r="AYB21" s="2854"/>
      <c r="AYC21" s="2854"/>
      <c r="AYD21" s="2854"/>
      <c r="AYE21" s="2854"/>
      <c r="AYF21" s="2854"/>
      <c r="AYG21" s="2854"/>
      <c r="AYH21" s="2854"/>
      <c r="AYI21" s="2854"/>
      <c r="AYJ21" s="2854"/>
      <c r="AYK21" s="2854"/>
      <c r="AYL21" s="2854"/>
      <c r="AYM21" s="2854"/>
      <c r="AYN21" s="2854"/>
      <c r="AYO21" s="2854"/>
      <c r="AYP21" s="2854"/>
      <c r="AYQ21" s="2854"/>
      <c r="AYR21" s="2854"/>
      <c r="AYS21" s="2854"/>
      <c r="AYT21" s="2854"/>
      <c r="AYU21" s="2854"/>
      <c r="AYV21" s="2854"/>
      <c r="AYW21" s="2854"/>
      <c r="AYX21" s="2854"/>
      <c r="AYY21" s="2854"/>
      <c r="AYZ21" s="2854"/>
      <c r="AZA21" s="2854"/>
      <c r="AZB21" s="2854"/>
      <c r="AZC21" s="2854"/>
      <c r="AZD21" s="2854"/>
      <c r="AZE21" s="2854"/>
      <c r="AZF21" s="2854"/>
      <c r="AZG21" s="2854"/>
      <c r="AZH21" s="2854"/>
      <c r="AZI21" s="2854"/>
      <c r="AZJ21" s="2854"/>
      <c r="AZK21" s="2854"/>
      <c r="AZL21" s="2854"/>
      <c r="AZM21" s="2854"/>
      <c r="AZN21" s="2854"/>
      <c r="AZO21" s="2854"/>
      <c r="AZP21" s="2854"/>
      <c r="AZQ21" s="2854"/>
      <c r="AZR21" s="2854"/>
      <c r="AZS21" s="2854"/>
      <c r="AZT21" s="2854"/>
      <c r="AZU21" s="2854"/>
      <c r="AZV21" s="2854"/>
      <c r="AZW21" s="2854"/>
      <c r="AZX21" s="2854"/>
      <c r="AZY21" s="2854"/>
      <c r="AZZ21" s="2854"/>
      <c r="BAA21" s="2854"/>
      <c r="BAB21" s="2854"/>
      <c r="BAC21" s="2854"/>
      <c r="BAD21" s="2854"/>
      <c r="BAE21" s="2854"/>
      <c r="BAF21" s="2854"/>
      <c r="BAG21" s="2854"/>
      <c r="BAH21" s="2854"/>
      <c r="BAI21" s="2854"/>
      <c r="BAJ21" s="2854"/>
      <c r="BAK21" s="2854"/>
      <c r="BAL21" s="2854"/>
      <c r="BAM21" s="2854"/>
      <c r="BAN21" s="2854"/>
      <c r="BAO21" s="2854"/>
      <c r="BAP21" s="2854"/>
      <c r="BAQ21" s="2854"/>
      <c r="BAR21" s="2854"/>
      <c r="BAS21" s="2854"/>
      <c r="BAT21" s="2854"/>
      <c r="BAU21" s="2854"/>
      <c r="BAV21" s="2854"/>
      <c r="BAW21" s="2854"/>
      <c r="BAX21" s="2854"/>
      <c r="BAY21" s="2854"/>
      <c r="BAZ21" s="2854"/>
      <c r="BBA21" s="2854"/>
      <c r="BBB21" s="2854"/>
      <c r="BBC21" s="2854"/>
      <c r="BBD21" s="2854"/>
      <c r="BBE21" s="2854"/>
      <c r="BBF21" s="2854"/>
      <c r="BBG21" s="2854"/>
      <c r="BBH21" s="2854"/>
      <c r="BBI21" s="2854"/>
      <c r="BBJ21" s="2854"/>
      <c r="BBK21" s="2854"/>
      <c r="BBL21" s="2854"/>
      <c r="BBM21" s="2854"/>
      <c r="BBN21" s="2854"/>
      <c r="BBO21" s="2854"/>
      <c r="BBP21" s="2854"/>
      <c r="BBQ21" s="2854"/>
      <c r="BBR21" s="2854"/>
      <c r="BBS21" s="2854"/>
      <c r="BBT21" s="2854"/>
      <c r="BBU21" s="2854"/>
      <c r="BBV21" s="2854"/>
      <c r="BBW21" s="2854"/>
      <c r="BBX21" s="2854"/>
      <c r="BBY21" s="2854"/>
      <c r="BBZ21" s="2854"/>
      <c r="BCA21" s="2854"/>
      <c r="BCB21" s="2854"/>
      <c r="BCC21" s="2854"/>
      <c r="BCD21" s="2854"/>
      <c r="BCE21" s="2854"/>
      <c r="BCF21" s="2854"/>
      <c r="BCG21" s="2854"/>
      <c r="BCH21" s="2854"/>
      <c r="BCI21" s="2854"/>
      <c r="BCJ21" s="2854"/>
      <c r="BCK21" s="2854"/>
      <c r="BCL21" s="2854"/>
      <c r="BCM21" s="2854"/>
      <c r="BCN21" s="2854"/>
      <c r="BCO21" s="2854"/>
      <c r="BCP21" s="2854"/>
      <c r="BCQ21" s="2854"/>
      <c r="BCR21" s="2854"/>
      <c r="BCS21" s="2854"/>
      <c r="BCT21" s="2854"/>
      <c r="BCU21" s="2854"/>
      <c r="BCV21" s="2854"/>
      <c r="BCW21" s="2854"/>
      <c r="BCX21" s="2854"/>
      <c r="BCY21" s="2854"/>
      <c r="BCZ21" s="2854"/>
      <c r="BDA21" s="2854"/>
      <c r="BDB21" s="2854"/>
      <c r="BDC21" s="2854"/>
      <c r="BDD21" s="2854"/>
      <c r="BDE21" s="2854"/>
      <c r="BDF21" s="2854"/>
      <c r="BDG21" s="2854"/>
      <c r="BDH21" s="2854"/>
      <c r="BDI21" s="2854"/>
      <c r="BDJ21" s="2854"/>
      <c r="BDK21" s="2854"/>
      <c r="BDL21" s="2854"/>
      <c r="BDM21" s="2854"/>
      <c r="BDN21" s="2854"/>
      <c r="BDO21" s="2854"/>
      <c r="BDP21" s="2854"/>
      <c r="BDQ21" s="2854"/>
      <c r="BDR21" s="2854"/>
      <c r="BDS21" s="2854"/>
      <c r="BDT21" s="2854"/>
      <c r="BDU21" s="2854"/>
      <c r="BDV21" s="2854"/>
      <c r="BDW21" s="2854"/>
      <c r="BDX21" s="2854"/>
      <c r="BDY21" s="2854"/>
      <c r="BDZ21" s="2854"/>
      <c r="BEA21" s="2854"/>
      <c r="BEB21" s="2854"/>
      <c r="BEC21" s="2854"/>
      <c r="BED21" s="2854"/>
      <c r="BEE21" s="2854"/>
      <c r="BEF21" s="2854"/>
      <c r="BEG21" s="2854"/>
      <c r="BEH21" s="2854"/>
      <c r="BEI21" s="2854"/>
      <c r="BEJ21" s="2854"/>
      <c r="BEK21" s="2854"/>
      <c r="BEL21" s="2854"/>
      <c r="BEM21" s="2854"/>
      <c r="BEN21" s="2854"/>
      <c r="BEO21" s="2854"/>
      <c r="BEP21" s="2854"/>
      <c r="BEQ21" s="2854"/>
      <c r="BER21" s="2854"/>
      <c r="BES21" s="2854"/>
      <c r="BET21" s="2854"/>
      <c r="BEU21" s="2854"/>
      <c r="BEV21" s="2854"/>
      <c r="BEW21" s="2854"/>
      <c r="BEX21" s="2854"/>
      <c r="BEY21" s="2854"/>
      <c r="BEZ21" s="2854"/>
      <c r="BFA21" s="2854"/>
      <c r="BFB21" s="2854"/>
      <c r="BFC21" s="2854"/>
      <c r="BFD21" s="2854"/>
      <c r="BFE21" s="2854"/>
      <c r="BFF21" s="2854"/>
      <c r="BFG21" s="2854"/>
      <c r="BFH21" s="2854"/>
      <c r="BFI21" s="2854"/>
      <c r="BFJ21" s="2854"/>
      <c r="BFK21" s="2854"/>
      <c r="BFL21" s="2854"/>
      <c r="BFM21" s="2854"/>
      <c r="BFN21" s="2854"/>
      <c r="BFO21" s="2854"/>
      <c r="BFP21" s="2854"/>
      <c r="BFQ21" s="2854"/>
      <c r="BFR21" s="2854"/>
      <c r="BFS21" s="2854"/>
      <c r="BFT21" s="2854"/>
      <c r="BFU21" s="2854"/>
      <c r="BFV21" s="2854"/>
      <c r="BFW21" s="2854"/>
      <c r="BFX21" s="2854"/>
      <c r="BFY21" s="2854"/>
      <c r="BFZ21" s="2854"/>
      <c r="BGA21" s="2854"/>
      <c r="BGB21" s="2854"/>
      <c r="BGC21" s="2854"/>
      <c r="BGD21" s="2854"/>
      <c r="BGE21" s="2854"/>
      <c r="BGF21" s="2854"/>
      <c r="BGG21" s="2854"/>
      <c r="BGH21" s="2854"/>
      <c r="BGI21" s="2854"/>
      <c r="BGJ21" s="2854"/>
      <c r="BGK21" s="2854"/>
      <c r="BGL21" s="2854"/>
      <c r="BGM21" s="2854"/>
      <c r="BGN21" s="2854"/>
      <c r="BGO21" s="2854"/>
      <c r="BGP21" s="2854"/>
      <c r="BGQ21" s="2854"/>
      <c r="BGR21" s="2854"/>
      <c r="BGS21" s="2854"/>
      <c r="BGT21" s="2854"/>
      <c r="BGU21" s="2854"/>
      <c r="BGV21" s="2854"/>
      <c r="BGW21" s="2854"/>
      <c r="BGX21" s="2854"/>
      <c r="BGY21" s="2854"/>
      <c r="BGZ21" s="2854"/>
      <c r="BHA21" s="2854"/>
      <c r="BHB21" s="2854"/>
      <c r="BHC21" s="2854"/>
      <c r="BHD21" s="2854"/>
      <c r="BHE21" s="2854"/>
      <c r="BHF21" s="2854"/>
      <c r="BHG21" s="2854"/>
      <c r="BHH21" s="2854"/>
      <c r="BHI21" s="2854"/>
      <c r="BHJ21" s="2854"/>
      <c r="BHK21" s="2854"/>
      <c r="BHL21" s="2854"/>
      <c r="BHM21" s="2854"/>
      <c r="BHN21" s="2854"/>
      <c r="BHO21" s="2854"/>
      <c r="BHP21" s="2854"/>
      <c r="BHQ21" s="2854"/>
      <c r="BHR21" s="2854"/>
      <c r="BHS21" s="2854"/>
      <c r="BHT21" s="2854"/>
      <c r="BHU21" s="2854"/>
      <c r="BHV21" s="2854"/>
      <c r="BHW21" s="2854"/>
      <c r="BHX21" s="2854"/>
      <c r="BHY21" s="2854"/>
      <c r="BHZ21" s="2854"/>
      <c r="BIA21" s="2854"/>
      <c r="BIB21" s="2854"/>
      <c r="BIC21" s="2854"/>
      <c r="BID21" s="2854"/>
      <c r="BIE21" s="2854"/>
      <c r="BIF21" s="2854"/>
      <c r="BIG21" s="2854"/>
      <c r="BIH21" s="2854"/>
      <c r="BII21" s="2854"/>
      <c r="BIJ21" s="2854"/>
      <c r="BIK21" s="2854"/>
      <c r="BIL21" s="2854"/>
      <c r="BIM21" s="2854"/>
      <c r="BIN21" s="2854"/>
      <c r="BIO21" s="2854"/>
      <c r="BIP21" s="2854"/>
      <c r="BIQ21" s="2854"/>
      <c r="BIR21" s="2854"/>
      <c r="BIS21" s="2854"/>
      <c r="BIT21" s="2854"/>
      <c r="BIU21" s="2854"/>
      <c r="BIV21" s="2854"/>
      <c r="BIW21" s="2854"/>
      <c r="BIX21" s="2854"/>
      <c r="BIY21" s="2854"/>
      <c r="BIZ21" s="2854"/>
      <c r="BJA21" s="2854"/>
      <c r="BJB21" s="2854"/>
      <c r="BJC21" s="2854"/>
      <c r="BJD21" s="2854"/>
      <c r="BJE21" s="2854"/>
      <c r="BJF21" s="2854"/>
      <c r="BJG21" s="2854"/>
      <c r="BJH21" s="2854"/>
      <c r="BJI21" s="2854"/>
      <c r="BJJ21" s="2854"/>
      <c r="BJK21" s="2854"/>
      <c r="BJL21" s="2854"/>
      <c r="BJM21" s="2854"/>
      <c r="BJN21" s="2854"/>
      <c r="BJO21" s="2854"/>
      <c r="BJP21" s="2854"/>
      <c r="BJQ21" s="2854"/>
      <c r="BJR21" s="2854"/>
      <c r="BJS21" s="2854"/>
      <c r="BJT21" s="2854"/>
      <c r="BJU21" s="2854"/>
      <c r="BJV21" s="2854"/>
      <c r="BJW21" s="2854"/>
      <c r="BJX21" s="2854"/>
      <c r="BJY21" s="2854"/>
      <c r="BJZ21" s="2854"/>
      <c r="BKA21" s="2854"/>
      <c r="BKB21" s="2854"/>
      <c r="BKC21" s="2854"/>
      <c r="BKD21" s="2854"/>
      <c r="BKE21" s="2854"/>
      <c r="BKF21" s="2854"/>
      <c r="BKG21" s="2854"/>
      <c r="BKH21" s="2854"/>
      <c r="BKI21" s="2854"/>
      <c r="BKJ21" s="2854"/>
      <c r="BKK21" s="2854"/>
      <c r="BKL21" s="2854"/>
      <c r="BKM21" s="2854"/>
      <c r="BKN21" s="2854"/>
      <c r="BKO21" s="2854"/>
      <c r="BKP21" s="2854"/>
      <c r="BKQ21" s="2854"/>
      <c r="BKR21" s="2854"/>
      <c r="BKS21" s="2854"/>
      <c r="BKT21" s="2854"/>
      <c r="BKU21" s="2854"/>
      <c r="BKV21" s="2854"/>
      <c r="BKW21" s="2854"/>
      <c r="BKX21" s="2854"/>
      <c r="BKY21" s="2854"/>
      <c r="BKZ21" s="2854"/>
      <c r="BLA21" s="2854"/>
      <c r="BLB21" s="2854"/>
      <c r="BLC21" s="2854"/>
      <c r="BLD21" s="2854"/>
      <c r="BLE21" s="2854"/>
      <c r="BLF21" s="2854"/>
      <c r="BLG21" s="2854"/>
      <c r="BLH21" s="2854"/>
      <c r="BLI21" s="2854"/>
      <c r="BLJ21" s="2854"/>
      <c r="BLK21" s="2854"/>
      <c r="BLL21" s="2854"/>
      <c r="BLM21" s="2854"/>
      <c r="BLN21" s="2854"/>
      <c r="BLO21" s="2854"/>
      <c r="BLP21" s="2854"/>
      <c r="BLQ21" s="2854"/>
      <c r="BLR21" s="2854"/>
      <c r="BLS21" s="2854"/>
      <c r="BLT21" s="2854"/>
      <c r="BLU21" s="2854"/>
      <c r="BLV21" s="2854"/>
      <c r="BLW21" s="2854"/>
      <c r="BLX21" s="2854"/>
      <c r="BLY21" s="2854"/>
      <c r="BLZ21" s="2854"/>
      <c r="BMA21" s="2854"/>
      <c r="BMB21" s="2854"/>
      <c r="BMC21" s="2854"/>
      <c r="BMD21" s="2854"/>
      <c r="BME21" s="2854"/>
      <c r="BMF21" s="2854"/>
      <c r="BMG21" s="2854"/>
      <c r="BMH21" s="2854"/>
      <c r="BMI21" s="2854"/>
      <c r="BMJ21" s="2854"/>
      <c r="BMK21" s="2854"/>
      <c r="BML21" s="2854"/>
      <c r="BMM21" s="2854"/>
      <c r="BMN21" s="2854"/>
      <c r="BMO21" s="2854"/>
      <c r="BMP21" s="2854"/>
      <c r="BMQ21" s="2854"/>
      <c r="BMR21" s="2854"/>
      <c r="BMS21" s="2854"/>
      <c r="BMT21" s="2854"/>
      <c r="BMU21" s="2854"/>
      <c r="BMV21" s="2854"/>
      <c r="BMW21" s="2854"/>
      <c r="BMX21" s="2854"/>
      <c r="BMY21" s="2854"/>
      <c r="BMZ21" s="2854"/>
      <c r="BNA21" s="2854"/>
      <c r="BNB21" s="2854"/>
      <c r="BNC21" s="2854"/>
      <c r="BND21" s="2854"/>
      <c r="BNE21" s="2854"/>
      <c r="BNF21" s="2854"/>
      <c r="BNG21" s="2854"/>
      <c r="BNH21" s="2854"/>
      <c r="BNI21" s="2854"/>
      <c r="BNJ21" s="2854"/>
      <c r="BNK21" s="2854"/>
      <c r="BNL21" s="2854"/>
      <c r="BNM21" s="2854"/>
      <c r="BNN21" s="2854"/>
      <c r="BNO21" s="2854"/>
      <c r="BNP21" s="2854"/>
      <c r="BNQ21" s="2854"/>
      <c r="BNR21" s="2854"/>
      <c r="BNS21" s="2854"/>
      <c r="BNT21" s="2854"/>
      <c r="BNU21" s="2854"/>
      <c r="BNV21" s="2854"/>
      <c r="BNW21" s="2854"/>
      <c r="BNX21" s="2854"/>
      <c r="BNY21" s="2854"/>
      <c r="BNZ21" s="2854"/>
      <c r="BOA21" s="2854"/>
      <c r="BOB21" s="2854"/>
      <c r="BOC21" s="2854"/>
      <c r="BOD21" s="2854"/>
      <c r="BOE21" s="2854"/>
      <c r="BOF21" s="2854"/>
      <c r="BOG21" s="2854"/>
      <c r="BOH21" s="2854"/>
      <c r="BOI21" s="2854"/>
      <c r="BOJ21" s="2854"/>
      <c r="BOK21" s="2854"/>
      <c r="BOL21" s="2854"/>
      <c r="BOM21" s="2854"/>
      <c r="BON21" s="2854"/>
      <c r="BOO21" s="2854"/>
      <c r="BOP21" s="2854"/>
      <c r="BOQ21" s="2854"/>
      <c r="BOR21" s="2854"/>
      <c r="BOS21" s="2854"/>
      <c r="BOT21" s="2854"/>
      <c r="BOU21" s="2854"/>
      <c r="BOV21" s="2854"/>
      <c r="BOW21" s="2854"/>
      <c r="BOX21" s="2854"/>
      <c r="BOY21" s="2854"/>
      <c r="BOZ21" s="2854"/>
      <c r="BPA21" s="2854"/>
      <c r="BPB21" s="2854"/>
      <c r="BPC21" s="2854"/>
      <c r="BPD21" s="2854"/>
      <c r="BPE21" s="2854"/>
      <c r="BPF21" s="2854"/>
      <c r="BPG21" s="2854"/>
      <c r="BPH21" s="2854"/>
      <c r="BPI21" s="2854"/>
      <c r="BPJ21" s="2854"/>
      <c r="BPK21" s="2854"/>
      <c r="BPL21" s="2854"/>
      <c r="BPM21" s="2854"/>
      <c r="BPN21" s="2854"/>
      <c r="BPO21" s="2854"/>
      <c r="BPP21" s="2854"/>
      <c r="BPQ21" s="2854"/>
      <c r="BPR21" s="2854"/>
      <c r="BPS21" s="2854"/>
      <c r="BPT21" s="2854"/>
      <c r="BPU21" s="2854"/>
      <c r="BPV21" s="2854"/>
      <c r="BPW21" s="2854"/>
      <c r="BPX21" s="2854"/>
      <c r="BPY21" s="2854"/>
      <c r="BPZ21" s="2854"/>
      <c r="BQA21" s="2854"/>
      <c r="BQB21" s="2854"/>
      <c r="BQC21" s="2854"/>
      <c r="BQD21" s="2854"/>
      <c r="BQE21" s="2854"/>
      <c r="BQF21" s="2854"/>
      <c r="BQG21" s="2854"/>
      <c r="BQH21" s="2854"/>
      <c r="BQI21" s="2854"/>
      <c r="BQJ21" s="2854"/>
      <c r="BQK21" s="2854"/>
      <c r="BQL21" s="2854"/>
      <c r="BQM21" s="2854"/>
      <c r="BQN21" s="2854"/>
      <c r="BQO21" s="2854"/>
      <c r="BQP21" s="2854"/>
      <c r="BQQ21" s="2854"/>
      <c r="BQR21" s="2854"/>
      <c r="BQS21" s="2854"/>
      <c r="BQT21" s="2854"/>
      <c r="BQU21" s="2854"/>
      <c r="BQV21" s="2854"/>
      <c r="BQW21" s="2854"/>
      <c r="BQX21" s="2854"/>
      <c r="BQY21" s="2854"/>
      <c r="BQZ21" s="2854"/>
      <c r="BRA21" s="2854"/>
      <c r="BRB21" s="2854"/>
      <c r="BRC21" s="2854"/>
      <c r="BRD21" s="2854"/>
      <c r="BRE21" s="2854"/>
      <c r="BRF21" s="2854"/>
      <c r="BRG21" s="2854"/>
      <c r="BRH21" s="2854"/>
      <c r="BRI21" s="2854"/>
      <c r="BRJ21" s="2854"/>
      <c r="BRK21" s="2854"/>
      <c r="BRL21" s="2854"/>
      <c r="BRM21" s="2854"/>
      <c r="BRN21" s="2854"/>
      <c r="BRO21" s="2854"/>
      <c r="BRP21" s="2854"/>
      <c r="BRQ21" s="2854"/>
      <c r="BRR21" s="2854"/>
      <c r="BRS21" s="2854"/>
      <c r="BRT21" s="2854"/>
      <c r="BRU21" s="2854"/>
      <c r="BRV21" s="2854"/>
      <c r="BRW21" s="2854"/>
      <c r="BRX21" s="2854"/>
      <c r="BRY21" s="2854"/>
      <c r="BRZ21" s="2854"/>
      <c r="BSA21" s="2854"/>
      <c r="BSB21" s="2854"/>
      <c r="BSC21" s="2854"/>
      <c r="BSD21" s="2854"/>
      <c r="BSE21" s="2854"/>
      <c r="BSF21" s="2854"/>
      <c r="BSG21" s="2854"/>
      <c r="BSH21" s="2854"/>
      <c r="BSI21" s="2854"/>
      <c r="BSJ21" s="2854"/>
      <c r="BSK21" s="2854"/>
      <c r="BSL21" s="2854"/>
      <c r="BSM21" s="2854"/>
      <c r="BSN21" s="2854"/>
      <c r="BSO21" s="2854"/>
      <c r="BSP21" s="2854"/>
      <c r="BSQ21" s="2854"/>
      <c r="BSR21" s="2854"/>
      <c r="BSS21" s="2854"/>
      <c r="BST21" s="2854"/>
      <c r="BSU21" s="2854"/>
      <c r="BSV21" s="2854"/>
      <c r="BSW21" s="2854"/>
      <c r="BSX21" s="2854"/>
      <c r="BSY21" s="2854"/>
      <c r="BSZ21" s="2854"/>
      <c r="BTA21" s="2854"/>
      <c r="BTB21" s="2854"/>
      <c r="BTC21" s="2854"/>
      <c r="BTD21" s="2854"/>
      <c r="BTE21" s="2854"/>
      <c r="BTF21" s="2854"/>
      <c r="BTG21" s="2854"/>
      <c r="BTH21" s="2854"/>
      <c r="BTI21" s="2854"/>
      <c r="BTJ21" s="2854"/>
      <c r="BTK21" s="2854"/>
      <c r="BTL21" s="2854"/>
      <c r="BTM21" s="2854"/>
      <c r="BTN21" s="2854"/>
      <c r="BTO21" s="2854"/>
      <c r="BTP21" s="2854"/>
      <c r="BTQ21" s="2854"/>
      <c r="BTR21" s="2854"/>
      <c r="BTS21" s="2854"/>
      <c r="BTT21" s="2854"/>
      <c r="BTU21" s="2854"/>
      <c r="BTV21" s="2854"/>
      <c r="BTW21" s="2854"/>
      <c r="BTX21" s="2854"/>
      <c r="BTY21" s="2854"/>
      <c r="BTZ21" s="2854"/>
      <c r="BUA21" s="2854"/>
      <c r="BUB21" s="2854"/>
      <c r="BUC21" s="2854"/>
      <c r="BUD21" s="2854"/>
      <c r="BUE21" s="2854"/>
      <c r="BUF21" s="2854"/>
      <c r="BUG21" s="2854"/>
      <c r="BUH21" s="2854"/>
      <c r="BUI21" s="2854"/>
      <c r="BUJ21" s="2854"/>
      <c r="BUK21" s="2854"/>
      <c r="BUL21" s="2854"/>
      <c r="BUM21" s="2854"/>
      <c r="BUN21" s="2854"/>
      <c r="BUO21" s="2854"/>
      <c r="BUP21" s="2854"/>
      <c r="BUQ21" s="2854"/>
      <c r="BUR21" s="2854"/>
      <c r="BUS21" s="2854"/>
      <c r="BUT21" s="2854"/>
      <c r="BUU21" s="2854"/>
      <c r="BUV21" s="2854"/>
      <c r="BUW21" s="2854"/>
      <c r="BUX21" s="2854"/>
      <c r="BUY21" s="2854"/>
      <c r="BUZ21" s="2854"/>
      <c r="BVA21" s="2854"/>
      <c r="BVB21" s="2854"/>
      <c r="BVC21" s="2854"/>
      <c r="BVD21" s="2854"/>
      <c r="BVE21" s="2854"/>
      <c r="BVF21" s="2854"/>
      <c r="BVG21" s="2854"/>
      <c r="BVH21" s="2854"/>
      <c r="BVI21" s="2854"/>
      <c r="BVJ21" s="2854"/>
      <c r="BVK21" s="2854"/>
      <c r="BVL21" s="2854"/>
      <c r="BVM21" s="2854"/>
      <c r="BVN21" s="2854"/>
      <c r="BVO21" s="2854"/>
      <c r="BVP21" s="2854"/>
      <c r="BVQ21" s="2854"/>
      <c r="BVR21" s="2854"/>
      <c r="BVS21" s="2854"/>
      <c r="BVT21" s="2854"/>
      <c r="BVU21" s="2854"/>
      <c r="BVV21" s="2854"/>
      <c r="BVW21" s="2854"/>
      <c r="BVX21" s="2854"/>
      <c r="BVY21" s="2854"/>
      <c r="BVZ21" s="2854"/>
      <c r="BWA21" s="2854"/>
      <c r="BWB21" s="2854"/>
      <c r="BWC21" s="2854"/>
      <c r="BWD21" s="2854"/>
      <c r="BWE21" s="2854"/>
      <c r="BWF21" s="2854"/>
      <c r="BWG21" s="2854"/>
      <c r="BWH21" s="2854"/>
      <c r="BWI21" s="2854"/>
      <c r="BWJ21" s="2854"/>
      <c r="BWK21" s="2854"/>
      <c r="BWL21" s="2854"/>
      <c r="BWM21" s="2854"/>
      <c r="BWN21" s="2854"/>
      <c r="BWO21" s="2854"/>
      <c r="BWP21" s="2854"/>
      <c r="BWQ21" s="2854"/>
      <c r="BWR21" s="2854"/>
      <c r="BWS21" s="2854"/>
      <c r="BWT21" s="2854"/>
      <c r="BWU21" s="2854"/>
      <c r="BWV21" s="2854"/>
      <c r="BWW21" s="2854"/>
      <c r="BWX21" s="2854"/>
      <c r="BWY21" s="2854"/>
      <c r="BWZ21" s="2854"/>
      <c r="BXA21" s="2854"/>
      <c r="BXB21" s="2854"/>
      <c r="BXC21" s="2854"/>
      <c r="BXD21" s="2854"/>
      <c r="BXE21" s="2854"/>
      <c r="BXF21" s="2854"/>
      <c r="BXG21" s="2854"/>
      <c r="BXH21" s="2854"/>
      <c r="BXI21" s="2854"/>
      <c r="BXJ21" s="2854"/>
      <c r="BXK21" s="2854"/>
      <c r="BXL21" s="2854"/>
      <c r="BXM21" s="2854"/>
      <c r="BXN21" s="2854"/>
      <c r="BXO21" s="2854"/>
      <c r="BXP21" s="2854"/>
      <c r="BXQ21" s="2854"/>
      <c r="BXR21" s="2854"/>
      <c r="BXS21" s="2854"/>
      <c r="BXT21" s="2854"/>
      <c r="BXU21" s="2854"/>
      <c r="BXV21" s="2854"/>
      <c r="BXW21" s="2854"/>
      <c r="BXX21" s="2854"/>
      <c r="BXY21" s="2854"/>
      <c r="BXZ21" s="2854"/>
      <c r="BYA21" s="2854"/>
      <c r="BYB21" s="2854"/>
      <c r="BYC21" s="2854"/>
      <c r="BYD21" s="2854"/>
      <c r="BYE21" s="2854"/>
      <c r="BYF21" s="2854"/>
      <c r="BYG21" s="2854"/>
      <c r="BYH21" s="2854"/>
      <c r="BYI21" s="2854"/>
      <c r="BYJ21" s="2854"/>
      <c r="BYK21" s="2854"/>
      <c r="BYL21" s="2854"/>
      <c r="BYM21" s="2854"/>
      <c r="BYN21" s="2854"/>
      <c r="BYO21" s="2854"/>
      <c r="BYP21" s="2854"/>
      <c r="BYQ21" s="2854"/>
      <c r="BYR21" s="2854"/>
      <c r="BYS21" s="2854"/>
      <c r="BYT21" s="2854"/>
      <c r="BYU21" s="2854"/>
      <c r="BYV21" s="2854"/>
      <c r="BYW21" s="2854"/>
      <c r="BYX21" s="2854"/>
      <c r="BYY21" s="2854"/>
      <c r="BYZ21" s="2854"/>
      <c r="BZA21" s="2854"/>
      <c r="BZB21" s="2854"/>
      <c r="BZC21" s="2854"/>
      <c r="BZD21" s="2854"/>
      <c r="BZE21" s="2854"/>
      <c r="BZF21" s="2854"/>
      <c r="BZG21" s="2854"/>
      <c r="BZH21" s="2854"/>
      <c r="BZI21" s="2854"/>
      <c r="BZJ21" s="2854"/>
      <c r="BZK21" s="2854"/>
      <c r="BZL21" s="2854"/>
      <c r="BZM21" s="2854"/>
      <c r="BZN21" s="2854"/>
      <c r="BZO21" s="2854"/>
      <c r="BZP21" s="2854"/>
      <c r="BZQ21" s="2854"/>
      <c r="BZR21" s="2854"/>
      <c r="BZS21" s="2854"/>
      <c r="BZT21" s="2854"/>
      <c r="BZU21" s="2854"/>
      <c r="BZV21" s="2854"/>
      <c r="BZW21" s="2854"/>
      <c r="BZX21" s="2854"/>
      <c r="BZY21" s="2854"/>
      <c r="BZZ21" s="2854"/>
      <c r="CAA21" s="2854"/>
      <c r="CAB21" s="2854"/>
      <c r="CAC21" s="2854"/>
      <c r="CAD21" s="2854"/>
      <c r="CAE21" s="2854"/>
      <c r="CAF21" s="2854"/>
      <c r="CAG21" s="2854"/>
      <c r="CAH21" s="2854"/>
      <c r="CAI21" s="2854"/>
      <c r="CAJ21" s="2854"/>
      <c r="CAK21" s="2854"/>
      <c r="CAL21" s="2854"/>
      <c r="CAM21" s="2854"/>
      <c r="CAN21" s="2854"/>
      <c r="CAO21" s="2854"/>
      <c r="CAP21" s="2854"/>
      <c r="CAQ21" s="2854"/>
      <c r="CAR21" s="2854"/>
      <c r="CAS21" s="2854"/>
      <c r="CAT21" s="2854"/>
      <c r="CAU21" s="2854"/>
      <c r="CAV21" s="2854"/>
      <c r="CAW21" s="2854"/>
      <c r="CAX21" s="2854"/>
      <c r="CAY21" s="2854"/>
      <c r="CAZ21" s="2854"/>
      <c r="CBA21" s="2854"/>
      <c r="CBB21" s="2854"/>
      <c r="CBC21" s="2854"/>
      <c r="CBD21" s="2854"/>
      <c r="CBE21" s="2854"/>
      <c r="CBF21" s="2854"/>
      <c r="CBG21" s="2854"/>
      <c r="CBH21" s="2854"/>
      <c r="CBI21" s="2854"/>
      <c r="CBJ21" s="2854"/>
      <c r="CBK21" s="2854"/>
      <c r="CBL21" s="2854"/>
      <c r="CBM21" s="2854"/>
      <c r="CBN21" s="2854"/>
      <c r="CBO21" s="2854"/>
      <c r="CBP21" s="2854"/>
      <c r="CBQ21" s="2854"/>
      <c r="CBR21" s="2854"/>
      <c r="CBS21" s="2854"/>
      <c r="CBT21" s="2854"/>
      <c r="CBU21" s="2854"/>
      <c r="CBV21" s="2854"/>
      <c r="CBW21" s="2854"/>
      <c r="CBX21" s="2854"/>
      <c r="CBY21" s="2854"/>
      <c r="CBZ21" s="2854"/>
      <c r="CCA21" s="2854"/>
      <c r="CCB21" s="2854"/>
      <c r="CCC21" s="2854"/>
      <c r="CCD21" s="2854"/>
      <c r="CCE21" s="2854"/>
      <c r="CCF21" s="2854"/>
      <c r="CCG21" s="2854"/>
      <c r="CCH21" s="2854"/>
      <c r="CCI21" s="2854"/>
      <c r="CCJ21" s="2854"/>
      <c r="CCK21" s="2854"/>
      <c r="CCL21" s="2854"/>
      <c r="CCM21" s="2854"/>
      <c r="CCN21" s="2854"/>
      <c r="CCO21" s="2854"/>
      <c r="CCP21" s="2854"/>
      <c r="CCQ21" s="2854"/>
      <c r="CCR21" s="2854"/>
      <c r="CCS21" s="2854"/>
      <c r="CCT21" s="2854"/>
      <c r="CCU21" s="2854"/>
      <c r="CCV21" s="2854"/>
      <c r="CCW21" s="2854"/>
      <c r="CCX21" s="2854"/>
      <c r="CCY21" s="2854"/>
      <c r="CCZ21" s="2854"/>
      <c r="CDA21" s="2854"/>
      <c r="CDB21" s="2854"/>
      <c r="CDC21" s="2854"/>
      <c r="CDD21" s="2854"/>
      <c r="CDE21" s="2854"/>
      <c r="CDF21" s="2854"/>
      <c r="CDG21" s="2854"/>
      <c r="CDH21" s="2854"/>
      <c r="CDI21" s="2854"/>
      <c r="CDJ21" s="2854"/>
      <c r="CDK21" s="2854"/>
      <c r="CDL21" s="2854"/>
      <c r="CDM21" s="2854"/>
      <c r="CDN21" s="2854"/>
      <c r="CDO21" s="2854"/>
      <c r="CDP21" s="2854"/>
      <c r="CDQ21" s="2854"/>
      <c r="CDR21" s="2854"/>
      <c r="CDS21" s="2854"/>
      <c r="CDT21" s="2854"/>
      <c r="CDU21" s="2854"/>
      <c r="CDV21" s="2854"/>
      <c r="CDW21" s="2854"/>
      <c r="CDX21" s="2854"/>
      <c r="CDY21" s="2854"/>
      <c r="CDZ21" s="2854"/>
      <c r="CEA21" s="2854"/>
      <c r="CEB21" s="2854"/>
      <c r="CEC21" s="2854"/>
      <c r="CED21" s="2854"/>
      <c r="CEE21" s="2854"/>
      <c r="CEF21" s="2854"/>
      <c r="CEG21" s="2854"/>
      <c r="CEH21" s="2854"/>
      <c r="CEI21" s="2854"/>
      <c r="CEJ21" s="2854"/>
      <c r="CEK21" s="2854"/>
      <c r="CEL21" s="2854"/>
      <c r="CEM21" s="2854"/>
      <c r="CEN21" s="2854"/>
      <c r="CEO21" s="2854"/>
      <c r="CEP21" s="2854"/>
      <c r="CEQ21" s="2854"/>
      <c r="CER21" s="2854"/>
      <c r="CES21" s="2854"/>
      <c r="CET21" s="2854"/>
      <c r="CEU21" s="2854"/>
      <c r="CEV21" s="2854"/>
      <c r="CEW21" s="2854"/>
      <c r="CEX21" s="2854"/>
      <c r="CEY21" s="2854"/>
      <c r="CEZ21" s="2854"/>
      <c r="CFA21" s="2854"/>
      <c r="CFB21" s="2854"/>
      <c r="CFC21" s="2854"/>
      <c r="CFD21" s="2854"/>
      <c r="CFE21" s="2854"/>
      <c r="CFF21" s="2854"/>
      <c r="CFG21" s="2854"/>
      <c r="CFH21" s="2854"/>
      <c r="CFI21" s="2854"/>
      <c r="CFJ21" s="2854"/>
      <c r="CFK21" s="2854"/>
      <c r="CFL21" s="2854"/>
      <c r="CFM21" s="2854"/>
      <c r="CFN21" s="2854"/>
      <c r="CFO21" s="2854"/>
      <c r="CFP21" s="2854"/>
      <c r="CFQ21" s="2854"/>
      <c r="CFR21" s="2854"/>
      <c r="CFS21" s="2854"/>
      <c r="CFT21" s="2854"/>
      <c r="CFU21" s="2854"/>
      <c r="CFV21" s="2854"/>
      <c r="CFW21" s="2854"/>
      <c r="CFX21" s="2854"/>
      <c r="CFY21" s="2854"/>
      <c r="CFZ21" s="2854"/>
      <c r="CGA21" s="2854"/>
      <c r="CGB21" s="2854"/>
      <c r="CGC21" s="2854"/>
      <c r="CGD21" s="2854"/>
      <c r="CGE21" s="2854"/>
      <c r="CGF21" s="2854"/>
      <c r="CGG21" s="2854"/>
      <c r="CGH21" s="2854"/>
      <c r="CGI21" s="2854"/>
      <c r="CGJ21" s="2854"/>
      <c r="CGK21" s="2854"/>
      <c r="CGL21" s="2854"/>
      <c r="CGM21" s="2854"/>
      <c r="CGN21" s="2854"/>
      <c r="CGO21" s="2854"/>
      <c r="CGP21" s="2854"/>
      <c r="CGQ21" s="2854"/>
      <c r="CGR21" s="2854"/>
      <c r="CGS21" s="2854"/>
      <c r="CGT21" s="2854"/>
      <c r="CGU21" s="2854"/>
      <c r="CGV21" s="2854"/>
      <c r="CGW21" s="2854"/>
      <c r="CGX21" s="2854"/>
      <c r="CGY21" s="2854"/>
      <c r="CGZ21" s="2854"/>
      <c r="CHA21" s="2854"/>
      <c r="CHB21" s="2854"/>
      <c r="CHC21" s="2854"/>
      <c r="CHD21" s="2854"/>
      <c r="CHE21" s="2854"/>
      <c r="CHF21" s="2854"/>
      <c r="CHG21" s="2854"/>
      <c r="CHH21" s="2854"/>
      <c r="CHI21" s="2854"/>
      <c r="CHJ21" s="2854"/>
      <c r="CHK21" s="2854"/>
      <c r="CHL21" s="2854"/>
      <c r="CHM21" s="2854"/>
      <c r="CHN21" s="2854"/>
      <c r="CHO21" s="2854"/>
      <c r="CHP21" s="2854"/>
      <c r="CHQ21" s="2854"/>
      <c r="CHR21" s="2854"/>
      <c r="CHS21" s="2854"/>
      <c r="CHT21" s="2854"/>
      <c r="CHU21" s="2854"/>
      <c r="CHV21" s="2854"/>
      <c r="CHW21" s="2854"/>
      <c r="CHX21" s="2854"/>
      <c r="CHY21" s="2854"/>
      <c r="CHZ21" s="2854"/>
      <c r="CIA21" s="2854"/>
      <c r="CIB21" s="2854"/>
      <c r="CIC21" s="2854"/>
      <c r="CID21" s="2854"/>
      <c r="CIE21" s="2854"/>
      <c r="CIF21" s="2854"/>
      <c r="CIG21" s="2854"/>
      <c r="CIH21" s="2854"/>
      <c r="CII21" s="2854"/>
      <c r="CIJ21" s="2854"/>
      <c r="CIK21" s="2854"/>
      <c r="CIL21" s="2854"/>
      <c r="CIM21" s="2854"/>
      <c r="CIN21" s="2854"/>
      <c r="CIO21" s="2854"/>
      <c r="CIP21" s="2854"/>
      <c r="CIQ21" s="2854"/>
      <c r="CIR21" s="2854"/>
      <c r="CIS21" s="2854"/>
      <c r="CIT21" s="2854"/>
      <c r="CIU21" s="2854"/>
      <c r="CIV21" s="2854"/>
      <c r="CIW21" s="2854"/>
      <c r="CIX21" s="2854"/>
      <c r="CIY21" s="2854"/>
      <c r="CIZ21" s="2854"/>
      <c r="CJA21" s="2854"/>
      <c r="CJB21" s="2854"/>
      <c r="CJC21" s="2854"/>
      <c r="CJD21" s="2854"/>
      <c r="CJE21" s="2854"/>
      <c r="CJF21" s="2854"/>
      <c r="CJG21" s="2854"/>
      <c r="CJH21" s="2854"/>
      <c r="CJI21" s="2854"/>
      <c r="CJJ21" s="2854"/>
      <c r="CJK21" s="2854"/>
      <c r="CJL21" s="2854"/>
      <c r="CJM21" s="2854"/>
      <c r="CJN21" s="2854"/>
      <c r="CJO21" s="2854"/>
      <c r="CJP21" s="2854"/>
      <c r="CJQ21" s="2854"/>
      <c r="CJR21" s="2854"/>
      <c r="CJS21" s="2854"/>
      <c r="CJT21" s="2854"/>
      <c r="CJU21" s="2854"/>
      <c r="CJV21" s="2854"/>
      <c r="CJW21" s="2854"/>
      <c r="CJX21" s="2854"/>
      <c r="CJY21" s="2854"/>
      <c r="CJZ21" s="2854"/>
      <c r="CKA21" s="2854"/>
      <c r="CKB21" s="2854"/>
      <c r="CKC21" s="2854"/>
      <c r="CKD21" s="2854"/>
      <c r="CKE21" s="2854"/>
      <c r="CKF21" s="2854"/>
      <c r="CKG21" s="2854"/>
      <c r="CKH21" s="2854"/>
      <c r="CKI21" s="2854"/>
      <c r="CKJ21" s="2854"/>
      <c r="CKK21" s="2854"/>
      <c r="CKL21" s="2854"/>
      <c r="CKM21" s="2854"/>
      <c r="CKN21" s="2854"/>
      <c r="CKO21" s="2854"/>
      <c r="CKP21" s="2854"/>
      <c r="CKQ21" s="2854"/>
      <c r="CKR21" s="2854"/>
      <c r="CKS21" s="2854"/>
      <c r="CKT21" s="2854"/>
      <c r="CKU21" s="2854"/>
      <c r="CKV21" s="2854"/>
      <c r="CKW21" s="2854"/>
      <c r="CKX21" s="2854"/>
      <c r="CKY21" s="2854"/>
      <c r="CKZ21" s="2854"/>
      <c r="CLA21" s="2854"/>
      <c r="CLB21" s="2854"/>
      <c r="CLC21" s="2854"/>
      <c r="CLD21" s="2854"/>
      <c r="CLE21" s="2854"/>
      <c r="CLF21" s="2854"/>
      <c r="CLG21" s="2854"/>
      <c r="CLH21" s="2854"/>
      <c r="CLI21" s="2854"/>
      <c r="CLJ21" s="2854"/>
      <c r="CLK21" s="2854"/>
      <c r="CLL21" s="2854"/>
      <c r="CLM21" s="2854"/>
      <c r="CLN21" s="2854"/>
      <c r="CLO21" s="2854"/>
      <c r="CLP21" s="2854"/>
      <c r="CLQ21" s="2854"/>
      <c r="CLR21" s="2854"/>
      <c r="CLS21" s="2854"/>
      <c r="CLT21" s="2854"/>
      <c r="CLU21" s="2854"/>
      <c r="CLV21" s="2854"/>
      <c r="CLW21" s="2854"/>
    </row>
    <row r="22" spans="1:2363" ht="15" customHeight="1" x14ac:dyDescent="0.25">
      <c r="A22" s="3868"/>
      <c r="B22" s="3881"/>
      <c r="C22" s="3261">
        <v>4</v>
      </c>
      <c r="D22" s="3262"/>
      <c r="E22" s="2723"/>
      <c r="F22" s="1799"/>
      <c r="G22" s="1800"/>
      <c r="H22" s="3263"/>
      <c r="I22" s="2008"/>
      <c r="J22" s="1805"/>
      <c r="K22" s="3263"/>
      <c r="L22" s="3264"/>
      <c r="M22" s="1799"/>
      <c r="N22" s="3195">
        <f>+F22+I22+L22</f>
        <v>0</v>
      </c>
      <c r="O22" s="2000">
        <f>+I22+F22</f>
        <v>0</v>
      </c>
      <c r="P22" s="1819">
        <f>3339384/5027.05*O22</f>
        <v>0</v>
      </c>
      <c r="Q22" s="1815">
        <f>1301262/5027.05*O22</f>
        <v>0</v>
      </c>
      <c r="R22" s="3265">
        <f>32889115.33/5027.05*O22</f>
        <v>0</v>
      </c>
      <c r="S22" s="3265">
        <f>337500/5027.05*O22</f>
        <v>0</v>
      </c>
      <c r="T22" s="2905"/>
      <c r="U22" s="1842">
        <f>4063593.14/5027.05*O22</f>
        <v>0</v>
      </c>
      <c r="V22" s="2367">
        <f>U22+R22+Q22+P22+S22+T22</f>
        <v>0</v>
      </c>
      <c r="W22" s="3266"/>
      <c r="X22" s="3267"/>
      <c r="Y22" s="2924"/>
      <c r="Z22" s="3204"/>
      <c r="AA22" s="1851"/>
      <c r="AB22" s="1894"/>
      <c r="AC22" s="1854"/>
      <c r="AD22" s="1897"/>
      <c r="AE22" s="1897"/>
      <c r="AF22" s="1893"/>
      <c r="AG22" s="2866"/>
      <c r="AH22" s="1993">
        <v>0</v>
      </c>
      <c r="AI22" s="3412"/>
      <c r="AJ22" s="1851"/>
      <c r="AK22" s="2451">
        <f>AI22+AJ22</f>
        <v>0</v>
      </c>
      <c r="AL22" s="2675">
        <v>0</v>
      </c>
      <c r="AM22" s="3207">
        <v>0</v>
      </c>
      <c r="AN22" s="2104">
        <f t="shared" si="22"/>
        <v>0</v>
      </c>
      <c r="AO22" s="3268"/>
      <c r="AP22" s="2681"/>
      <c r="AQ22" s="2681"/>
      <c r="AR22" s="2681"/>
      <c r="AS22" s="2164">
        <f t="shared" si="27"/>
        <v>0</v>
      </c>
      <c r="AT22" s="1836"/>
      <c r="AU22" s="1835"/>
      <c r="AV22" s="1846"/>
      <c r="AW22" s="2493">
        <f t="shared" ref="AW22:AW24" si="30">AU22+AV22</f>
        <v>0</v>
      </c>
      <c r="AX22" s="3289"/>
      <c r="AY22" s="3292"/>
      <c r="AZ22" s="2104">
        <f t="shared" ref="AZ22:AZ24" si="31">AX22+AY22</f>
        <v>0</v>
      </c>
      <c r="BA22" s="3270">
        <v>0</v>
      </c>
      <c r="BB22" s="3067">
        <v>0</v>
      </c>
      <c r="BC22" s="3067">
        <v>0</v>
      </c>
      <c r="BD22" s="3067">
        <v>0</v>
      </c>
      <c r="BE22" s="3075">
        <f t="shared" si="25"/>
        <v>0</v>
      </c>
      <c r="BF22" s="1836"/>
      <c r="BG22" s="1836">
        <v>0</v>
      </c>
      <c r="BH22" s="1846">
        <v>0</v>
      </c>
      <c r="BI22" s="3210">
        <f t="shared" ref="BI22" si="32">BG22+BH22</f>
        <v>0</v>
      </c>
      <c r="BJ22" s="3416">
        <f t="shared" si="28"/>
        <v>0</v>
      </c>
      <c r="BK22" s="1851">
        <v>0</v>
      </c>
      <c r="BL22" s="3400">
        <f t="shared" ref="BL22:BL23" si="33">BJ22-BK22</f>
        <v>0</v>
      </c>
      <c r="BM22" s="3431">
        <f>AD22+AO22</f>
        <v>0</v>
      </c>
      <c r="BN22" s="3441">
        <f t="shared" si="23"/>
        <v>0</v>
      </c>
      <c r="BO22" s="3442">
        <f t="shared" si="23"/>
        <v>0</v>
      </c>
      <c r="BP22" s="3303">
        <f t="shared" si="23"/>
        <v>0</v>
      </c>
      <c r="BQ22" s="3468">
        <f t="shared" si="29"/>
        <v>0</v>
      </c>
      <c r="BR22" s="3446">
        <f t="shared" si="24"/>
        <v>0</v>
      </c>
      <c r="BS22" s="1858">
        <f t="shared" si="24"/>
        <v>0</v>
      </c>
      <c r="BT22" s="3449">
        <f t="shared" si="26"/>
        <v>0</v>
      </c>
      <c r="BU22" s="3144"/>
      <c r="BV22" s="3058"/>
      <c r="BW22" s="3058"/>
      <c r="BX22" s="3058"/>
      <c r="BY22" s="3144"/>
      <c r="BZ22" s="3144"/>
      <c r="CA22" s="3148"/>
      <c r="CB22" s="3148"/>
      <c r="CC22" s="3148"/>
      <c r="CD22" s="3148"/>
      <c r="CE22" s="3148"/>
      <c r="CF22" s="3148"/>
      <c r="CG22" s="3148"/>
      <c r="CH22" s="1050"/>
      <c r="CI22" s="2854"/>
      <c r="CJ22" s="175"/>
      <c r="CK22" s="2854"/>
      <c r="CL22" s="175"/>
      <c r="CM22" s="2854"/>
      <c r="CN22" s="175"/>
      <c r="CO22" s="2854"/>
      <c r="CP22" s="175"/>
      <c r="CQ22" s="2854"/>
      <c r="CR22" s="2854"/>
      <c r="CS22" s="2854"/>
      <c r="CT22" s="2854"/>
      <c r="CU22" s="175"/>
      <c r="CV22" s="2854"/>
      <c r="CW22" s="2854"/>
      <c r="CX22" s="2854"/>
      <c r="CY22" s="2854"/>
      <c r="CZ22" s="2854"/>
      <c r="DA22" s="2854"/>
      <c r="DB22" s="2854"/>
      <c r="DC22" s="2854"/>
      <c r="DD22" s="2854"/>
      <c r="DE22" s="2854"/>
      <c r="DF22" s="2854"/>
      <c r="DG22" s="2854"/>
      <c r="DH22" s="2854"/>
      <c r="DI22" s="2854"/>
      <c r="DJ22" s="2854"/>
      <c r="DK22" s="2854"/>
      <c r="DL22" s="2854"/>
      <c r="DM22" s="2854"/>
      <c r="DN22" s="2854"/>
      <c r="DO22" s="2854"/>
      <c r="DP22" s="2854"/>
      <c r="DQ22" s="2854"/>
      <c r="DR22" s="2854"/>
      <c r="DS22" s="2854"/>
      <c r="DT22" s="2854"/>
      <c r="DU22" s="2854"/>
      <c r="DV22" s="2854"/>
      <c r="DW22" s="2854"/>
      <c r="DX22" s="2854"/>
      <c r="DY22" s="2854"/>
      <c r="DZ22" s="2854"/>
      <c r="EA22" s="2854"/>
      <c r="EB22" s="2854"/>
      <c r="EC22" s="2854"/>
      <c r="ED22" s="2854"/>
      <c r="EE22" s="2854"/>
      <c r="EF22" s="2854"/>
      <c r="EG22" s="2854"/>
      <c r="EH22" s="2854"/>
      <c r="EI22" s="2854"/>
      <c r="EJ22" s="2854"/>
      <c r="EK22" s="2854"/>
      <c r="EL22" s="2854"/>
      <c r="EM22" s="2854"/>
      <c r="EN22" s="2854"/>
      <c r="EO22" s="2854"/>
      <c r="EP22" s="2854"/>
      <c r="EQ22" s="2854"/>
      <c r="ER22" s="2854"/>
      <c r="ES22" s="2854"/>
      <c r="ET22" s="2854"/>
      <c r="EU22" s="2854"/>
      <c r="EV22" s="2854"/>
      <c r="EW22" s="2854"/>
      <c r="EX22" s="2854"/>
      <c r="EY22" s="2854"/>
      <c r="EZ22" s="2854"/>
      <c r="FA22" s="2854"/>
      <c r="FB22" s="2854"/>
      <c r="FC22" s="2854"/>
      <c r="FD22" s="2854"/>
      <c r="FE22" s="2854"/>
      <c r="FF22" s="2854"/>
      <c r="FG22" s="2854"/>
      <c r="FH22" s="2854"/>
      <c r="FI22" s="2854"/>
      <c r="FJ22" s="2854"/>
      <c r="FK22" s="2854"/>
      <c r="FL22" s="2854"/>
      <c r="FM22" s="2854"/>
      <c r="FN22" s="2854"/>
      <c r="FO22" s="2854"/>
      <c r="FP22" s="2854"/>
      <c r="FQ22" s="2854"/>
      <c r="FR22" s="2854"/>
      <c r="FS22" s="2854"/>
      <c r="FT22" s="2854"/>
      <c r="FU22" s="2854"/>
      <c r="FV22" s="2854"/>
      <c r="FW22" s="2854"/>
      <c r="FX22" s="2854"/>
      <c r="FY22" s="2854"/>
      <c r="FZ22" s="2854"/>
      <c r="GA22" s="2854"/>
      <c r="GB22" s="2854"/>
      <c r="GC22" s="2854"/>
      <c r="GD22" s="2854"/>
      <c r="GE22" s="2854"/>
      <c r="GF22" s="2854"/>
      <c r="GG22" s="2854"/>
      <c r="GH22" s="2854"/>
      <c r="GI22" s="2854"/>
      <c r="GJ22" s="2854"/>
      <c r="GK22" s="2854"/>
      <c r="GL22" s="2854"/>
      <c r="GM22" s="2854"/>
      <c r="GN22" s="2854"/>
      <c r="GO22" s="2854"/>
      <c r="GP22" s="2854"/>
      <c r="GQ22" s="2854"/>
      <c r="GR22" s="2854"/>
      <c r="GS22" s="2854"/>
      <c r="GT22" s="2854"/>
      <c r="GU22" s="2854"/>
      <c r="GV22" s="2854"/>
      <c r="GW22" s="2854"/>
      <c r="GX22" s="2854"/>
      <c r="GY22" s="2854"/>
      <c r="GZ22" s="2854"/>
      <c r="HA22" s="2854"/>
      <c r="HB22" s="2854"/>
      <c r="HC22" s="2854"/>
      <c r="HD22" s="2854"/>
      <c r="HE22" s="2854"/>
      <c r="HF22" s="2854"/>
      <c r="HG22" s="2854"/>
      <c r="HH22" s="2854"/>
      <c r="HI22" s="2854"/>
      <c r="HJ22" s="2854"/>
      <c r="HK22" s="2854"/>
      <c r="HL22" s="2854"/>
      <c r="HM22" s="2854"/>
      <c r="HN22" s="2854"/>
      <c r="HO22" s="2854"/>
      <c r="HP22" s="2854"/>
      <c r="HQ22" s="2854"/>
      <c r="HR22" s="2854"/>
      <c r="HS22" s="2854"/>
      <c r="HT22" s="2854"/>
      <c r="HU22" s="2854"/>
      <c r="HV22" s="2854"/>
      <c r="HW22" s="2854"/>
      <c r="HX22" s="2854"/>
      <c r="HY22" s="2854"/>
      <c r="HZ22" s="2854"/>
      <c r="IA22" s="2854"/>
      <c r="IB22" s="2854"/>
      <c r="IC22" s="2854"/>
      <c r="ID22" s="2854"/>
      <c r="IE22" s="2854"/>
      <c r="IF22" s="2854"/>
      <c r="IG22" s="2854"/>
      <c r="IH22" s="2854"/>
      <c r="II22" s="2854"/>
      <c r="IJ22" s="2854"/>
      <c r="IK22" s="2854"/>
      <c r="IL22" s="2854"/>
      <c r="IM22" s="2854"/>
      <c r="IN22" s="2854"/>
      <c r="IO22" s="2854"/>
      <c r="IP22" s="2854"/>
      <c r="IQ22" s="2854"/>
      <c r="IR22" s="2854"/>
      <c r="IS22" s="2854"/>
      <c r="IT22" s="2854"/>
      <c r="IU22" s="2854"/>
      <c r="IV22" s="2854"/>
      <c r="IW22" s="2854"/>
      <c r="IX22" s="2854"/>
      <c r="IY22" s="2854"/>
      <c r="IZ22" s="2854"/>
      <c r="JA22" s="2854"/>
      <c r="JB22" s="2854"/>
      <c r="JC22" s="2854"/>
      <c r="JD22" s="2854"/>
      <c r="JE22" s="2854"/>
      <c r="JF22" s="2854"/>
      <c r="JG22" s="2854"/>
      <c r="JH22" s="2854"/>
      <c r="JI22" s="2854"/>
      <c r="JJ22" s="2854"/>
      <c r="JK22" s="2854"/>
      <c r="JL22" s="2854"/>
      <c r="JM22" s="2854"/>
      <c r="JN22" s="2854"/>
      <c r="JO22" s="2854"/>
      <c r="JP22" s="2854"/>
      <c r="JQ22" s="2854"/>
      <c r="JR22" s="2854"/>
      <c r="JS22" s="2854"/>
      <c r="JT22" s="2854"/>
      <c r="JU22" s="2854"/>
      <c r="JV22" s="2854"/>
      <c r="JW22" s="2854"/>
      <c r="JX22" s="2854"/>
      <c r="JY22" s="2854"/>
      <c r="JZ22" s="2854"/>
      <c r="KA22" s="2854"/>
      <c r="KB22" s="2854"/>
      <c r="KC22" s="2854"/>
      <c r="KD22" s="2854"/>
      <c r="KE22" s="2854"/>
      <c r="KF22" s="2854"/>
      <c r="KG22" s="2854"/>
      <c r="KH22" s="2854"/>
      <c r="KI22" s="2854"/>
      <c r="KJ22" s="2854"/>
      <c r="KK22" s="2854"/>
      <c r="KL22" s="2854"/>
      <c r="KM22" s="2854"/>
      <c r="KN22" s="2854"/>
      <c r="KO22" s="2854"/>
      <c r="KP22" s="2854"/>
      <c r="KQ22" s="2854"/>
      <c r="KR22" s="2854"/>
      <c r="KS22" s="2854"/>
      <c r="KT22" s="2854"/>
      <c r="KU22" s="2854"/>
      <c r="KV22" s="2854"/>
      <c r="KW22" s="2854"/>
      <c r="KX22" s="2854"/>
      <c r="KY22" s="2854"/>
      <c r="KZ22" s="2854"/>
      <c r="LA22" s="2854"/>
      <c r="LB22" s="2854"/>
      <c r="LC22" s="2854"/>
      <c r="LD22" s="2854"/>
      <c r="LE22" s="2854"/>
      <c r="LF22" s="2854"/>
      <c r="LG22" s="2854"/>
      <c r="LH22" s="2854"/>
      <c r="LI22" s="2854"/>
      <c r="LJ22" s="2854"/>
      <c r="LK22" s="2854"/>
      <c r="LL22" s="2854"/>
      <c r="LM22" s="2854"/>
      <c r="LN22" s="2854"/>
      <c r="LO22" s="2854"/>
      <c r="LP22" s="2854"/>
      <c r="LQ22" s="2854"/>
      <c r="LR22" s="2854"/>
      <c r="LS22" s="2854"/>
      <c r="LT22" s="2854"/>
      <c r="LU22" s="2854"/>
      <c r="LV22" s="2854"/>
      <c r="LW22" s="2854"/>
      <c r="LX22" s="2854"/>
      <c r="LY22" s="2854"/>
      <c r="LZ22" s="2854"/>
      <c r="MA22" s="2854"/>
      <c r="MB22" s="2854"/>
      <c r="MC22" s="2854"/>
      <c r="MD22" s="2854"/>
      <c r="ME22" s="2854"/>
      <c r="MF22" s="2854"/>
      <c r="MG22" s="2854"/>
      <c r="MH22" s="2854"/>
      <c r="MI22" s="2854"/>
      <c r="MJ22" s="2854"/>
      <c r="MK22" s="2854"/>
      <c r="ML22" s="2854"/>
      <c r="MM22" s="2854"/>
      <c r="MN22" s="2854"/>
      <c r="MO22" s="2854"/>
      <c r="MP22" s="2854"/>
      <c r="MQ22" s="2854"/>
      <c r="MR22" s="2854"/>
      <c r="MS22" s="2854"/>
      <c r="MT22" s="2854"/>
      <c r="MU22" s="2854"/>
      <c r="MV22" s="2854"/>
      <c r="MW22" s="2854"/>
      <c r="MX22" s="2854"/>
      <c r="MY22" s="2854"/>
      <c r="MZ22" s="2854"/>
      <c r="NA22" s="2854"/>
      <c r="NB22" s="2854"/>
      <c r="NC22" s="2854"/>
      <c r="ND22" s="2854"/>
      <c r="NE22" s="2854"/>
      <c r="NF22" s="2854"/>
      <c r="NG22" s="2854"/>
      <c r="NH22" s="2854"/>
      <c r="NI22" s="2854"/>
      <c r="NJ22" s="2854"/>
      <c r="NK22" s="2854"/>
      <c r="NL22" s="2854"/>
      <c r="NM22" s="2854"/>
      <c r="NN22" s="2854"/>
      <c r="NO22" s="2854"/>
      <c r="NP22" s="2854"/>
      <c r="NQ22" s="2854"/>
      <c r="NR22" s="2854"/>
      <c r="NS22" s="2854"/>
      <c r="NT22" s="2854"/>
      <c r="NU22" s="2854"/>
      <c r="NV22" s="2854"/>
      <c r="NW22" s="2854"/>
      <c r="NX22" s="2854"/>
      <c r="NY22" s="2854"/>
      <c r="NZ22" s="2854"/>
      <c r="OA22" s="2854"/>
      <c r="OB22" s="2854"/>
      <c r="OC22" s="2854"/>
      <c r="OD22" s="2854"/>
      <c r="OE22" s="2854"/>
      <c r="OF22" s="2854"/>
      <c r="OG22" s="2854"/>
      <c r="OH22" s="2854"/>
      <c r="OI22" s="2854"/>
      <c r="OJ22" s="2854"/>
      <c r="OK22" s="2854"/>
      <c r="OL22" s="2854"/>
      <c r="OM22" s="2854"/>
      <c r="ON22" s="2854"/>
      <c r="OO22" s="2854"/>
      <c r="OP22" s="2854"/>
      <c r="OQ22" s="2854"/>
      <c r="OR22" s="2854"/>
      <c r="OS22" s="2854"/>
      <c r="OT22" s="2854"/>
      <c r="OU22" s="2854"/>
      <c r="OV22" s="2854"/>
      <c r="OW22" s="2854"/>
      <c r="OX22" s="2854"/>
      <c r="OY22" s="2854"/>
      <c r="OZ22" s="2854"/>
      <c r="PA22" s="2854"/>
      <c r="PB22" s="2854"/>
      <c r="PC22" s="2854"/>
      <c r="PD22" s="2854"/>
      <c r="PE22" s="2854"/>
      <c r="PF22" s="2854"/>
      <c r="PG22" s="2854"/>
      <c r="PH22" s="2854"/>
      <c r="PI22" s="2854"/>
      <c r="PJ22" s="2854"/>
      <c r="PK22" s="2854"/>
      <c r="PL22" s="2854"/>
      <c r="PM22" s="2854"/>
      <c r="PN22" s="2854"/>
      <c r="PO22" s="2854"/>
      <c r="PP22" s="2854"/>
      <c r="PQ22" s="2854"/>
      <c r="PR22" s="2854"/>
      <c r="PS22" s="2854"/>
      <c r="PT22" s="2854"/>
      <c r="PU22" s="2854"/>
      <c r="PV22" s="2854"/>
      <c r="PW22" s="2854"/>
      <c r="PX22" s="2854"/>
      <c r="PY22" s="2854"/>
      <c r="PZ22" s="2854"/>
      <c r="QA22" s="2854"/>
      <c r="QB22" s="2854"/>
      <c r="QC22" s="2854"/>
      <c r="QD22" s="2854"/>
      <c r="QE22" s="2854"/>
      <c r="QF22" s="2854"/>
      <c r="QG22" s="2854"/>
      <c r="QH22" s="2854"/>
      <c r="QI22" s="2854"/>
      <c r="QJ22" s="2854"/>
      <c r="QK22" s="2854"/>
      <c r="QL22" s="2854"/>
      <c r="QM22" s="2854"/>
      <c r="QN22" s="2854"/>
      <c r="QO22" s="2854"/>
      <c r="QP22" s="2854"/>
      <c r="QQ22" s="2854"/>
      <c r="QR22" s="2854"/>
      <c r="QS22" s="2854"/>
      <c r="QT22" s="2854"/>
      <c r="QU22" s="2854"/>
      <c r="QV22" s="2854"/>
      <c r="QW22" s="2854"/>
      <c r="QX22" s="2854"/>
      <c r="QY22" s="2854"/>
      <c r="QZ22" s="2854"/>
      <c r="RA22" s="2854"/>
      <c r="RB22" s="2854"/>
      <c r="RC22" s="2854"/>
      <c r="RD22" s="2854"/>
      <c r="RE22" s="2854"/>
      <c r="RF22" s="2854"/>
      <c r="RG22" s="2854"/>
      <c r="RH22" s="2854"/>
      <c r="RI22" s="2854"/>
      <c r="RJ22" s="2854"/>
      <c r="RK22" s="2854"/>
      <c r="RL22" s="2854"/>
      <c r="RM22" s="2854"/>
      <c r="RN22" s="2854"/>
      <c r="RO22" s="2854"/>
      <c r="RP22" s="2854"/>
      <c r="RQ22" s="2854"/>
      <c r="RR22" s="2854"/>
      <c r="RS22" s="2854"/>
      <c r="RT22" s="2854"/>
      <c r="RU22" s="2854"/>
      <c r="RV22" s="2854"/>
      <c r="RW22" s="2854"/>
      <c r="RX22" s="2854"/>
      <c r="RY22" s="2854"/>
      <c r="RZ22" s="2854"/>
      <c r="SA22" s="2854"/>
      <c r="SB22" s="2854"/>
      <c r="SC22" s="2854"/>
      <c r="SD22" s="2854"/>
      <c r="SE22" s="2854"/>
      <c r="SF22" s="2854"/>
      <c r="SG22" s="2854"/>
      <c r="SH22" s="2854"/>
      <c r="SI22" s="2854"/>
      <c r="SJ22" s="2854"/>
      <c r="SK22" s="2854"/>
      <c r="SL22" s="2854"/>
      <c r="SM22" s="2854"/>
      <c r="SN22" s="2854"/>
      <c r="SO22" s="2854"/>
      <c r="SP22" s="2854"/>
      <c r="SQ22" s="2854"/>
      <c r="SR22" s="2854"/>
      <c r="SS22" s="2854"/>
      <c r="ST22" s="2854"/>
      <c r="SU22" s="2854"/>
      <c r="SV22" s="2854"/>
      <c r="SW22" s="2854"/>
      <c r="SX22" s="2854"/>
      <c r="SY22" s="2854"/>
      <c r="SZ22" s="2854"/>
      <c r="TA22" s="2854"/>
      <c r="TB22" s="2854"/>
      <c r="TC22" s="2854"/>
      <c r="TD22" s="2854"/>
      <c r="TE22" s="2854"/>
      <c r="TF22" s="2854"/>
      <c r="TG22" s="2854"/>
      <c r="TH22" s="2854"/>
      <c r="TI22" s="2854"/>
      <c r="TJ22" s="2854"/>
      <c r="TK22" s="2854"/>
      <c r="TL22" s="2854"/>
      <c r="TM22" s="2854"/>
      <c r="TN22" s="2854"/>
      <c r="TO22" s="2854"/>
      <c r="TP22" s="2854"/>
      <c r="TQ22" s="2854"/>
      <c r="TR22" s="2854"/>
      <c r="TS22" s="2854"/>
      <c r="TT22" s="2854"/>
      <c r="TU22" s="3783"/>
      <c r="TV22" s="3783"/>
      <c r="TW22" s="3783"/>
      <c r="TX22" s="3783"/>
      <c r="TY22" s="3783"/>
      <c r="TZ22" s="3783"/>
      <c r="UA22" s="3783"/>
      <c r="UB22" s="3783"/>
      <c r="UC22" s="3783"/>
      <c r="UD22" s="3783"/>
      <c r="UE22" s="3783"/>
      <c r="UF22" s="3783"/>
      <c r="UG22" s="3783"/>
      <c r="UH22" s="3783"/>
      <c r="UI22" s="3783"/>
      <c r="UJ22" s="3783"/>
      <c r="UK22" s="3783"/>
      <c r="UL22" s="3783"/>
      <c r="UM22" s="3783"/>
      <c r="UN22" s="3783"/>
      <c r="UO22" s="3783"/>
      <c r="UP22" s="2854"/>
      <c r="UQ22" s="2854"/>
      <c r="UR22" s="2854"/>
      <c r="US22" s="2854"/>
      <c r="UT22" s="2854"/>
      <c r="UU22" s="2854"/>
      <c r="UV22" s="2854"/>
      <c r="UW22" s="2854"/>
      <c r="UX22" s="2854"/>
      <c r="UY22" s="2854"/>
      <c r="UZ22" s="2854"/>
      <c r="VA22" s="2854"/>
      <c r="VB22" s="2854"/>
      <c r="VC22" s="2854"/>
      <c r="VD22" s="2854"/>
      <c r="VE22" s="2854"/>
      <c r="VF22" s="2854"/>
      <c r="VG22" s="2854"/>
      <c r="VH22" s="2854"/>
      <c r="VI22" s="2854"/>
      <c r="VJ22" s="2854"/>
      <c r="VK22" s="2854"/>
      <c r="VL22" s="2854"/>
      <c r="VM22" s="2854"/>
      <c r="VN22" s="2854"/>
      <c r="VO22" s="2854"/>
      <c r="VP22" s="2854"/>
      <c r="VQ22" s="2854"/>
      <c r="VR22" s="2854"/>
      <c r="VS22" s="2854"/>
      <c r="VT22" s="2854"/>
      <c r="VU22" s="2854"/>
      <c r="VV22" s="2854"/>
      <c r="VW22" s="2854"/>
      <c r="VX22" s="2854"/>
      <c r="VY22" s="2854"/>
      <c r="VZ22" s="2854"/>
      <c r="WA22" s="2854"/>
      <c r="WB22" s="2854"/>
      <c r="WC22" s="2854"/>
      <c r="WD22" s="2854"/>
      <c r="WE22" s="2854"/>
      <c r="WF22" s="2854"/>
      <c r="WG22" s="2854"/>
      <c r="WH22" s="2854"/>
      <c r="WI22" s="2854"/>
      <c r="WJ22" s="2854"/>
      <c r="WK22" s="2854"/>
      <c r="WL22" s="2854"/>
      <c r="WM22" s="2854"/>
      <c r="WN22" s="2854"/>
      <c r="WO22" s="2854"/>
      <c r="WP22" s="2854"/>
      <c r="WQ22" s="2854"/>
      <c r="WR22" s="2854"/>
      <c r="WS22" s="2854"/>
      <c r="WT22" s="2854"/>
      <c r="WU22" s="2854"/>
      <c r="WV22" s="2854"/>
      <c r="WW22" s="2854"/>
      <c r="WX22" s="2854"/>
      <c r="WY22" s="2854"/>
      <c r="WZ22" s="2854"/>
      <c r="XA22" s="2854"/>
      <c r="XB22" s="2854"/>
      <c r="XC22" s="2854"/>
      <c r="XD22" s="2854"/>
      <c r="XE22" s="2854"/>
      <c r="XF22" s="2854"/>
      <c r="XG22" s="2854"/>
      <c r="XH22" s="2854"/>
      <c r="XI22" s="2854"/>
      <c r="XJ22" s="2854"/>
      <c r="XK22" s="2854"/>
      <c r="XL22" s="2854"/>
      <c r="XM22" s="2854"/>
      <c r="XN22" s="2854"/>
      <c r="XO22" s="2854"/>
      <c r="XP22" s="2854"/>
      <c r="XQ22" s="2854"/>
      <c r="XR22" s="2854"/>
      <c r="XS22" s="2854"/>
      <c r="XT22" s="2854"/>
      <c r="XU22" s="2854"/>
      <c r="XV22" s="2854"/>
      <c r="XW22" s="2854"/>
      <c r="XX22" s="2854"/>
      <c r="XY22" s="2854"/>
      <c r="XZ22" s="2854"/>
      <c r="YA22" s="2854"/>
      <c r="YB22" s="2854"/>
      <c r="YC22" s="2854"/>
      <c r="YD22" s="2854"/>
      <c r="YE22" s="2854"/>
      <c r="YF22" s="2854"/>
      <c r="YG22" s="2854"/>
      <c r="YH22" s="2854"/>
      <c r="YI22" s="2854"/>
      <c r="YJ22" s="2854"/>
      <c r="YK22" s="2854"/>
      <c r="YL22" s="2854"/>
      <c r="YM22" s="2854"/>
      <c r="YN22" s="2854"/>
      <c r="YO22" s="2854"/>
      <c r="YP22" s="2854"/>
      <c r="YQ22" s="2854"/>
      <c r="YR22" s="2854"/>
      <c r="YS22" s="2854"/>
      <c r="YT22" s="2854"/>
      <c r="YU22" s="2854"/>
      <c r="YV22" s="2854"/>
      <c r="YW22" s="2854"/>
      <c r="YX22" s="2854"/>
      <c r="YY22" s="2854"/>
      <c r="YZ22" s="2854"/>
      <c r="ZA22" s="2854"/>
      <c r="ZB22" s="2854"/>
      <c r="ZC22" s="2854"/>
      <c r="ZD22" s="2854"/>
      <c r="ZE22" s="2854"/>
      <c r="ZF22" s="2854"/>
      <c r="ZG22" s="2854"/>
      <c r="ZH22" s="2854"/>
      <c r="ZI22" s="2854"/>
      <c r="ZJ22" s="2854"/>
      <c r="ZK22" s="2854"/>
      <c r="ZL22" s="2854"/>
      <c r="ZM22" s="2854"/>
      <c r="ZN22" s="2854"/>
      <c r="ZO22" s="2854"/>
      <c r="ZP22" s="2854"/>
      <c r="ZQ22" s="2854"/>
      <c r="ZR22" s="2854"/>
      <c r="ZS22" s="2854"/>
      <c r="ZT22" s="2854"/>
      <c r="ZU22" s="2854"/>
      <c r="ZV22" s="2854"/>
      <c r="ZW22" s="2854"/>
      <c r="ZX22" s="2854"/>
      <c r="ZY22" s="2854"/>
      <c r="ZZ22" s="2854"/>
      <c r="AAA22" s="2854"/>
      <c r="AAB22" s="2854"/>
      <c r="AAC22" s="2854"/>
      <c r="AAD22" s="2854"/>
      <c r="AAE22" s="2854"/>
      <c r="AAF22" s="2854"/>
      <c r="AAG22" s="2854"/>
      <c r="AAH22" s="2854"/>
      <c r="AAI22" s="2854"/>
      <c r="AAJ22" s="2854"/>
      <c r="AAK22" s="2854"/>
      <c r="AAL22" s="2854"/>
      <c r="AAM22" s="2854"/>
      <c r="AAN22" s="2854"/>
      <c r="AAO22" s="2854"/>
      <c r="AAP22" s="2854"/>
      <c r="AAQ22" s="2854"/>
      <c r="AAR22" s="2854"/>
      <c r="AAS22" s="2854"/>
      <c r="AAT22" s="2854"/>
      <c r="AAU22" s="2854"/>
      <c r="AAV22" s="2854"/>
      <c r="AAW22" s="2854"/>
      <c r="AAX22" s="2854"/>
      <c r="AAY22" s="2854"/>
      <c r="AAZ22" s="2854"/>
      <c r="ABA22" s="2854"/>
      <c r="ABB22" s="2854"/>
      <c r="ABC22" s="2854"/>
      <c r="ABD22" s="2854"/>
      <c r="ABE22" s="2854"/>
      <c r="ABF22" s="2854"/>
      <c r="ABG22" s="2854"/>
      <c r="ABH22" s="2854"/>
      <c r="ABI22" s="2854"/>
      <c r="ABJ22" s="2854"/>
      <c r="ABK22" s="2854"/>
      <c r="ABL22" s="2854"/>
      <c r="ABM22" s="2854"/>
      <c r="ABN22" s="2854"/>
      <c r="ABO22" s="2854"/>
      <c r="ABP22" s="2854"/>
      <c r="ABQ22" s="2854"/>
      <c r="ABR22" s="2854"/>
      <c r="ABS22" s="2854"/>
      <c r="ABT22" s="2854"/>
      <c r="ABU22" s="2854"/>
      <c r="ABV22" s="2854"/>
      <c r="ABW22" s="2854"/>
      <c r="ABX22" s="2854"/>
      <c r="ABY22" s="2854"/>
      <c r="ABZ22" s="2854"/>
      <c r="ACA22" s="2854"/>
      <c r="ACB22" s="2854"/>
      <c r="ACC22" s="2854"/>
      <c r="ACD22" s="2854"/>
      <c r="ACE22" s="2854"/>
      <c r="ACF22" s="2854"/>
      <c r="ACG22" s="2854"/>
      <c r="ACH22" s="2854"/>
      <c r="ACI22" s="2854"/>
      <c r="ACJ22" s="2854"/>
      <c r="ACK22" s="2854"/>
      <c r="ACL22" s="2854"/>
      <c r="ACM22" s="2854"/>
      <c r="ACN22" s="2854"/>
      <c r="ACO22" s="2854"/>
      <c r="ACP22" s="2854"/>
      <c r="ACQ22" s="2854"/>
      <c r="ACR22" s="2854"/>
      <c r="ACS22" s="2854"/>
      <c r="ACT22" s="2854"/>
      <c r="ACU22" s="2854"/>
      <c r="ACV22" s="2854"/>
      <c r="ACW22" s="2854"/>
      <c r="ACX22" s="2854"/>
      <c r="ACY22" s="2854"/>
      <c r="ACZ22" s="2854"/>
      <c r="ADA22" s="2854"/>
      <c r="ADB22" s="2854"/>
      <c r="ADC22" s="2854"/>
      <c r="ADD22" s="2854"/>
      <c r="ADE22" s="2854"/>
      <c r="ADF22" s="2854"/>
      <c r="ADG22" s="2854"/>
      <c r="ADH22" s="2854"/>
      <c r="ADI22" s="2854"/>
      <c r="ADJ22" s="2854"/>
      <c r="ADK22" s="2854"/>
      <c r="ADL22" s="2854"/>
      <c r="ADM22" s="2854"/>
      <c r="ADN22" s="2854"/>
      <c r="ADO22" s="2854"/>
      <c r="ADP22" s="2854"/>
      <c r="ADQ22" s="2854"/>
      <c r="ADR22" s="2854"/>
      <c r="ADS22" s="2854"/>
      <c r="ADT22" s="2854"/>
      <c r="ADU22" s="2854"/>
      <c r="ADV22" s="2854"/>
      <c r="ADW22" s="2854"/>
      <c r="ADX22" s="2854"/>
      <c r="ADY22" s="2854"/>
      <c r="ADZ22" s="2854"/>
      <c r="AEA22" s="2854"/>
      <c r="AEB22" s="2854"/>
      <c r="AEC22" s="2854"/>
      <c r="AED22" s="2854"/>
      <c r="AEE22" s="2854"/>
      <c r="AEF22" s="2854"/>
      <c r="AEG22" s="2854"/>
      <c r="AEH22" s="2854"/>
      <c r="AEI22" s="2854"/>
      <c r="AEJ22" s="2854"/>
      <c r="AEK22" s="2854"/>
      <c r="AEL22" s="2854"/>
      <c r="AEM22" s="2854"/>
      <c r="AEN22" s="2854"/>
      <c r="AEO22" s="2854"/>
      <c r="AEP22" s="2854"/>
      <c r="AEQ22" s="2854"/>
      <c r="AER22" s="2854"/>
      <c r="AES22" s="2854"/>
      <c r="AET22" s="2854"/>
      <c r="AEU22" s="2854"/>
      <c r="AEV22" s="2854"/>
      <c r="AEW22" s="2854"/>
      <c r="AEX22" s="2854"/>
      <c r="AEY22" s="2854"/>
      <c r="AEZ22" s="2854"/>
      <c r="AFA22" s="2854"/>
      <c r="AFB22" s="2854"/>
      <c r="AFC22" s="2854"/>
      <c r="AFD22" s="2854"/>
      <c r="AFE22" s="2854"/>
      <c r="AFF22" s="2854"/>
      <c r="AFG22" s="2854"/>
      <c r="AFH22" s="2854"/>
      <c r="AFI22" s="2854"/>
      <c r="AFJ22" s="2854"/>
      <c r="AFK22" s="2854"/>
      <c r="AFL22" s="2854"/>
      <c r="AFM22" s="2854"/>
      <c r="AFN22" s="2854"/>
      <c r="AFO22" s="2854"/>
      <c r="AFP22" s="2854"/>
      <c r="AFQ22" s="2854"/>
      <c r="AFR22" s="2854"/>
      <c r="AFS22" s="2854"/>
      <c r="AFT22" s="2854"/>
      <c r="AFU22" s="2854"/>
      <c r="AFV22" s="2854"/>
      <c r="AFW22" s="2854"/>
      <c r="AFX22" s="2854"/>
      <c r="AFY22" s="2854"/>
      <c r="AFZ22" s="2854"/>
      <c r="AGA22" s="2854"/>
      <c r="AGB22" s="2854"/>
      <c r="AGC22" s="2854"/>
      <c r="AGD22" s="2854"/>
      <c r="AGE22" s="2854"/>
      <c r="AGF22" s="2854"/>
      <c r="AGG22" s="2854"/>
      <c r="AGH22" s="2854"/>
      <c r="AGI22" s="2854"/>
      <c r="AGJ22" s="2854"/>
      <c r="AGK22" s="2854"/>
      <c r="AGL22" s="2854"/>
      <c r="AGM22" s="2854"/>
      <c r="AGN22" s="2854"/>
      <c r="AGO22" s="2854"/>
      <c r="AGP22" s="2854"/>
      <c r="AGQ22" s="2854"/>
      <c r="AGR22" s="2854"/>
      <c r="AGS22" s="2854"/>
      <c r="AGT22" s="2854"/>
      <c r="AGU22" s="2854"/>
      <c r="AGV22" s="2854"/>
      <c r="AGW22" s="2854"/>
      <c r="AGX22" s="2854"/>
      <c r="AGY22" s="2854"/>
      <c r="AGZ22" s="2854"/>
      <c r="AHA22" s="2854"/>
      <c r="AHB22" s="2854"/>
      <c r="AHC22" s="2854"/>
      <c r="AHD22" s="2854"/>
      <c r="AHE22" s="2854"/>
      <c r="AHF22" s="2854"/>
      <c r="AHG22" s="2854"/>
      <c r="AHH22" s="2854"/>
      <c r="AHI22" s="2854"/>
      <c r="AHJ22" s="2854"/>
      <c r="AHK22" s="2854"/>
      <c r="AHL22" s="2854"/>
      <c r="AHM22" s="2854"/>
      <c r="AHN22" s="2854"/>
      <c r="AHO22" s="2854"/>
      <c r="AHP22" s="2854"/>
      <c r="AHQ22" s="2854"/>
      <c r="AHR22" s="2854"/>
      <c r="AHS22" s="2854"/>
      <c r="AHT22" s="2854"/>
      <c r="AHU22" s="2854"/>
      <c r="AHV22" s="2854"/>
      <c r="AHW22" s="2854"/>
      <c r="AHX22" s="2854"/>
      <c r="AHY22" s="2854"/>
      <c r="AHZ22" s="2854"/>
      <c r="AIA22" s="2854"/>
      <c r="AIB22" s="2854"/>
      <c r="AIC22" s="2854"/>
      <c r="AID22" s="2854"/>
      <c r="AIE22" s="2854"/>
      <c r="AIF22" s="2854"/>
      <c r="AIG22" s="2854"/>
      <c r="AIH22" s="2854"/>
      <c r="AII22" s="2854"/>
      <c r="AIJ22" s="2854"/>
      <c r="AIK22" s="2854"/>
      <c r="AIL22" s="2854"/>
      <c r="AIM22" s="2854"/>
      <c r="AIN22" s="2854"/>
      <c r="AIO22" s="2854"/>
      <c r="AIP22" s="2854"/>
      <c r="AIQ22" s="2854"/>
      <c r="AIR22" s="2854"/>
      <c r="AIS22" s="2854"/>
      <c r="AIT22" s="2854"/>
      <c r="AIU22" s="2854"/>
      <c r="AIV22" s="2854"/>
      <c r="AIW22" s="2854"/>
      <c r="AIX22" s="2854"/>
      <c r="AIY22" s="2854"/>
      <c r="AIZ22" s="2854"/>
      <c r="AJA22" s="2854"/>
      <c r="AJB22" s="2854"/>
      <c r="AJC22" s="2854"/>
      <c r="AJD22" s="2854"/>
      <c r="AJE22" s="2854"/>
      <c r="AJF22" s="2854"/>
      <c r="AJG22" s="2854"/>
      <c r="AJH22" s="2854"/>
      <c r="AJI22" s="2854"/>
      <c r="AJJ22" s="2854"/>
      <c r="AJK22" s="2854"/>
      <c r="AJL22" s="2854"/>
      <c r="AJM22" s="2854"/>
      <c r="AJN22" s="2854"/>
      <c r="AJO22" s="2854"/>
      <c r="AJP22" s="2854"/>
      <c r="AJQ22" s="2854"/>
      <c r="AJR22" s="2854"/>
      <c r="AJS22" s="2854"/>
      <c r="AJT22" s="2854"/>
      <c r="AJU22" s="2854"/>
      <c r="AJV22" s="2854"/>
      <c r="AJW22" s="2854"/>
      <c r="AJX22" s="2854"/>
      <c r="AJY22" s="2854"/>
      <c r="AJZ22" s="2854"/>
      <c r="AKA22" s="2854"/>
      <c r="AKB22" s="2854"/>
      <c r="AKC22" s="2854"/>
      <c r="AKD22" s="2854"/>
      <c r="AKE22" s="2854"/>
      <c r="AKF22" s="2854"/>
      <c r="AKG22" s="2854"/>
      <c r="AKH22" s="2854"/>
      <c r="AKI22" s="2854"/>
      <c r="AKJ22" s="2854"/>
      <c r="AKK22" s="2854"/>
      <c r="AKL22" s="2854"/>
      <c r="AKM22" s="2854"/>
      <c r="AKN22" s="2854"/>
      <c r="AKO22" s="2854"/>
      <c r="AKP22" s="2854"/>
      <c r="AKQ22" s="2854"/>
      <c r="AKR22" s="2854"/>
      <c r="AKS22" s="2854"/>
      <c r="AKT22" s="2854"/>
      <c r="AKU22" s="2854"/>
      <c r="AKV22" s="2854"/>
      <c r="AKW22" s="2854"/>
      <c r="AKX22" s="2854"/>
      <c r="AKY22" s="2854"/>
      <c r="AKZ22" s="2854"/>
      <c r="ALA22" s="2854"/>
      <c r="ALB22" s="2854"/>
      <c r="ALC22" s="2854"/>
      <c r="ALD22" s="2854"/>
      <c r="ALE22" s="2854"/>
      <c r="ALF22" s="2854"/>
      <c r="ALG22" s="2854"/>
      <c r="ALH22" s="2854"/>
      <c r="ALI22" s="2854"/>
      <c r="ALJ22" s="2854"/>
      <c r="ALK22" s="2854"/>
      <c r="ALL22" s="2854"/>
      <c r="ALM22" s="2854"/>
      <c r="ALN22" s="2854"/>
      <c r="ALO22" s="2854"/>
      <c r="ALP22" s="2854"/>
      <c r="ALQ22" s="2854"/>
      <c r="ALR22" s="2854"/>
      <c r="ALS22" s="2854"/>
      <c r="ALT22" s="2854"/>
      <c r="ALU22" s="2854"/>
      <c r="ALV22" s="2854"/>
      <c r="ALW22" s="2854"/>
      <c r="ALX22" s="2854"/>
      <c r="ALY22" s="2854"/>
      <c r="ALZ22" s="2854"/>
      <c r="AMA22" s="2854"/>
      <c r="AMB22" s="2854"/>
      <c r="AMC22" s="2854"/>
      <c r="AMD22" s="2854"/>
      <c r="AME22" s="2854"/>
      <c r="AMF22" s="2854"/>
      <c r="AMG22" s="2854"/>
      <c r="AMH22" s="2854"/>
      <c r="AMI22" s="2854"/>
      <c r="AMJ22" s="2854"/>
      <c r="AMK22" s="2854"/>
      <c r="AML22" s="2854"/>
      <c r="AMM22" s="2854"/>
      <c r="AMN22" s="2854"/>
      <c r="AMO22" s="2854"/>
      <c r="AMP22" s="2854"/>
      <c r="AMQ22" s="2854"/>
      <c r="AMR22" s="2854"/>
      <c r="AMS22" s="2854"/>
      <c r="AMT22" s="2854"/>
      <c r="AMU22" s="2854"/>
      <c r="AMV22" s="2854"/>
      <c r="AMW22" s="2854"/>
      <c r="AMX22" s="2854"/>
      <c r="AMY22" s="2854"/>
      <c r="AMZ22" s="2854"/>
      <c r="ANA22" s="2854"/>
      <c r="ANB22" s="2854"/>
      <c r="ANC22" s="2854"/>
      <c r="AND22" s="2854"/>
      <c r="ANE22" s="2854"/>
      <c r="ANF22" s="2854"/>
      <c r="ANG22" s="2854"/>
      <c r="ANH22" s="2854"/>
      <c r="ANI22" s="2854"/>
      <c r="ANJ22" s="2854"/>
      <c r="ANK22" s="2854"/>
      <c r="ANL22" s="2854"/>
      <c r="ANM22" s="2854"/>
      <c r="ANN22" s="2854"/>
      <c r="ANO22" s="2854"/>
      <c r="ANP22" s="2854"/>
      <c r="ANQ22" s="2854"/>
      <c r="ANR22" s="2854"/>
      <c r="ANS22" s="2854"/>
      <c r="ANT22" s="2854"/>
      <c r="ANU22" s="2854"/>
      <c r="ANV22" s="2854"/>
      <c r="ANW22" s="2854"/>
      <c r="ANX22" s="2854"/>
      <c r="ANY22" s="2854"/>
      <c r="ANZ22" s="2854"/>
      <c r="AOA22" s="2854"/>
      <c r="AOB22" s="2854"/>
      <c r="AOC22" s="2854"/>
      <c r="AOD22" s="2854"/>
      <c r="AOE22" s="2854"/>
      <c r="AOF22" s="2854"/>
      <c r="AOG22" s="2854"/>
      <c r="AOH22" s="2854"/>
      <c r="AOI22" s="2854"/>
      <c r="AOJ22" s="2854"/>
      <c r="AOK22" s="2854"/>
      <c r="AOL22" s="2854"/>
      <c r="AOM22" s="2854"/>
      <c r="AON22" s="2854"/>
      <c r="AOO22" s="2854"/>
      <c r="AOP22" s="2854"/>
      <c r="AOQ22" s="2854"/>
      <c r="AOR22" s="2854"/>
      <c r="AOS22" s="2854"/>
      <c r="AOT22" s="2854"/>
      <c r="AOU22" s="2854"/>
      <c r="AOV22" s="2854"/>
      <c r="AOW22" s="2854"/>
      <c r="AOX22" s="2854"/>
      <c r="AOY22" s="2854"/>
      <c r="AOZ22" s="2854"/>
      <c r="APA22" s="2854"/>
      <c r="APB22" s="2854"/>
      <c r="APC22" s="2854"/>
      <c r="APD22" s="2854"/>
      <c r="APE22" s="2854"/>
      <c r="APF22" s="2854"/>
      <c r="APG22" s="2854"/>
      <c r="APH22" s="2854"/>
      <c r="API22" s="2854"/>
      <c r="APJ22" s="2854"/>
      <c r="APK22" s="2854"/>
      <c r="APL22" s="2854"/>
      <c r="APM22" s="2854"/>
      <c r="APN22" s="2854"/>
      <c r="APO22" s="2854"/>
      <c r="APP22" s="2854"/>
      <c r="APQ22" s="2854"/>
      <c r="APR22" s="2854"/>
      <c r="APS22" s="2854"/>
      <c r="APT22" s="2854"/>
      <c r="APU22" s="2854"/>
      <c r="APV22" s="2854"/>
      <c r="APW22" s="2854"/>
      <c r="APX22" s="2854"/>
      <c r="APY22" s="2854"/>
      <c r="APZ22" s="2854"/>
      <c r="AQA22" s="2854"/>
      <c r="AQB22" s="2854"/>
      <c r="AQC22" s="2854"/>
      <c r="AQD22" s="2854"/>
      <c r="AQE22" s="2854"/>
      <c r="AQF22" s="2854"/>
      <c r="AQG22" s="2854"/>
      <c r="AQH22" s="2854"/>
      <c r="AQI22" s="2854"/>
      <c r="AQJ22" s="2854"/>
      <c r="AQK22" s="2854"/>
      <c r="AQL22" s="2854"/>
      <c r="AQM22" s="2854"/>
      <c r="AQN22" s="2854"/>
      <c r="AQO22" s="2854"/>
      <c r="AQP22" s="2854"/>
      <c r="AQQ22" s="2854"/>
      <c r="AQR22" s="2854"/>
      <c r="AQS22" s="2854"/>
      <c r="AQT22" s="2854"/>
      <c r="AQU22" s="2854"/>
      <c r="AQV22" s="2854"/>
      <c r="AQW22" s="2854"/>
      <c r="AQX22" s="2854"/>
      <c r="AQY22" s="2854"/>
      <c r="AQZ22" s="2854"/>
      <c r="ARA22" s="2854"/>
      <c r="ARB22" s="2854"/>
      <c r="ARC22" s="2854"/>
      <c r="ARD22" s="2854"/>
      <c r="ARE22" s="2854"/>
      <c r="ARF22" s="2854"/>
      <c r="ARG22" s="2854"/>
      <c r="ARH22" s="2854"/>
      <c r="ARI22" s="2854"/>
      <c r="ARJ22" s="2854"/>
      <c r="ARK22" s="2854"/>
      <c r="ARL22" s="2854"/>
      <c r="ARM22" s="2854"/>
      <c r="ARN22" s="2854"/>
      <c r="ARO22" s="2854"/>
      <c r="ARP22" s="2854"/>
      <c r="ARQ22" s="2854"/>
      <c r="ARR22" s="2854"/>
      <c r="ARS22" s="2854"/>
      <c r="ART22" s="2854"/>
      <c r="ARU22" s="2854"/>
      <c r="ARV22" s="2854"/>
      <c r="ARW22" s="2854"/>
      <c r="ARX22" s="2854"/>
      <c r="ARY22" s="2854"/>
      <c r="ARZ22" s="2854"/>
      <c r="ASA22" s="2854"/>
      <c r="ASB22" s="2854"/>
      <c r="ASC22" s="2854"/>
      <c r="ASD22" s="2854"/>
      <c r="ASE22" s="2854"/>
      <c r="ASF22" s="2854"/>
      <c r="ASG22" s="2854"/>
      <c r="ASH22" s="2854"/>
      <c r="ASI22" s="2854"/>
      <c r="ASJ22" s="2854"/>
      <c r="ASK22" s="2854"/>
      <c r="ASL22" s="2854"/>
      <c r="ASM22" s="2854"/>
      <c r="ASN22" s="2854"/>
      <c r="ASO22" s="2854"/>
      <c r="ASP22" s="2854"/>
      <c r="ASQ22" s="2854"/>
      <c r="ASR22" s="2854"/>
      <c r="ASS22" s="2854"/>
      <c r="AST22" s="2854"/>
      <c r="ASU22" s="2854"/>
      <c r="ASV22" s="2854"/>
      <c r="ASW22" s="2854"/>
      <c r="ASX22" s="2854"/>
      <c r="ASY22" s="2854"/>
      <c r="ASZ22" s="2854"/>
      <c r="ATA22" s="2854"/>
      <c r="ATB22" s="2854"/>
      <c r="ATC22" s="2854"/>
      <c r="ATD22" s="2854"/>
      <c r="ATE22" s="2854"/>
      <c r="ATF22" s="2854"/>
      <c r="ATG22" s="2854"/>
      <c r="ATH22" s="2854"/>
      <c r="ATI22" s="2854"/>
      <c r="ATJ22" s="2854"/>
      <c r="ATK22" s="2854"/>
      <c r="ATL22" s="2854"/>
      <c r="ATM22" s="2854"/>
      <c r="ATN22" s="2854"/>
      <c r="ATO22" s="2854"/>
      <c r="ATP22" s="2854"/>
      <c r="ATQ22" s="2854"/>
      <c r="ATR22" s="2854"/>
      <c r="ATS22" s="2854"/>
      <c r="ATT22" s="2854"/>
      <c r="ATU22" s="2854"/>
      <c r="ATV22" s="2854"/>
      <c r="ATW22" s="2854"/>
      <c r="ATX22" s="2854"/>
      <c r="ATY22" s="2854"/>
      <c r="ATZ22" s="2854"/>
      <c r="AUA22" s="2854"/>
      <c r="AUB22" s="2854"/>
      <c r="AUC22" s="2854"/>
      <c r="AUD22" s="2854"/>
      <c r="AUE22" s="2854"/>
      <c r="AUF22" s="2854"/>
      <c r="AUG22" s="2854"/>
      <c r="AUH22" s="2854"/>
      <c r="AUI22" s="2854"/>
      <c r="AUJ22" s="2854"/>
      <c r="AUK22" s="2854"/>
      <c r="AUL22" s="2854"/>
      <c r="AUM22" s="2854"/>
      <c r="AUN22" s="2854"/>
      <c r="AUO22" s="2854"/>
      <c r="AUP22" s="2854"/>
      <c r="AUQ22" s="2854"/>
      <c r="AUR22" s="2854"/>
      <c r="AUS22" s="2854"/>
      <c r="AUT22" s="2854"/>
      <c r="AUU22" s="2854"/>
      <c r="AUV22" s="2854"/>
      <c r="AUW22" s="2854"/>
      <c r="AUX22" s="2854"/>
      <c r="AUY22" s="2854"/>
      <c r="AUZ22" s="2854"/>
      <c r="AVA22" s="2854"/>
      <c r="AVB22" s="2854"/>
      <c r="AVC22" s="2854"/>
      <c r="AVD22" s="2854"/>
      <c r="AVE22" s="2854"/>
      <c r="AVF22" s="2854"/>
      <c r="AVG22" s="2854"/>
      <c r="AVH22" s="2854"/>
      <c r="AVI22" s="2854"/>
      <c r="AVJ22" s="2854"/>
      <c r="AVK22" s="2854"/>
      <c r="AVL22" s="2854"/>
      <c r="AVM22" s="2854"/>
      <c r="AVN22" s="2854"/>
      <c r="AVO22" s="2854"/>
      <c r="AVP22" s="2854"/>
      <c r="AVQ22" s="2854"/>
      <c r="AVR22" s="2854"/>
      <c r="AVS22" s="2854"/>
      <c r="AVT22" s="2854"/>
      <c r="AVU22" s="2854"/>
      <c r="AVV22" s="2854"/>
      <c r="AVW22" s="2854"/>
      <c r="AVX22" s="2854"/>
      <c r="AVY22" s="2854"/>
      <c r="AVZ22" s="2854"/>
      <c r="AWA22" s="2854"/>
      <c r="AWB22" s="2854"/>
      <c r="AWC22" s="2854"/>
      <c r="AWD22" s="2854"/>
      <c r="AWE22" s="2854"/>
      <c r="AWF22" s="2854"/>
      <c r="AWG22" s="2854"/>
      <c r="AWH22" s="2854"/>
      <c r="AWI22" s="2854"/>
      <c r="AWJ22" s="2854"/>
      <c r="AWK22" s="2854"/>
      <c r="AWL22" s="2854"/>
      <c r="AWM22" s="2854"/>
      <c r="AWN22" s="2854"/>
      <c r="AWO22" s="2854"/>
      <c r="AWP22" s="2854"/>
      <c r="AWQ22" s="2854"/>
      <c r="AWR22" s="2854"/>
      <c r="AWS22" s="2854"/>
      <c r="AWT22" s="2854"/>
      <c r="AWU22" s="2854"/>
      <c r="AWV22" s="2854"/>
      <c r="AWW22" s="2854"/>
      <c r="AWX22" s="2854"/>
      <c r="AWY22" s="2854"/>
      <c r="AWZ22" s="2854"/>
      <c r="AXA22" s="2854"/>
      <c r="AXB22" s="2854"/>
      <c r="AXC22" s="2854"/>
      <c r="AXD22" s="2854"/>
      <c r="AXE22" s="2854"/>
      <c r="AXF22" s="2854"/>
      <c r="AXG22" s="2854"/>
      <c r="AXH22" s="2854"/>
      <c r="AXI22" s="2854"/>
      <c r="AXJ22" s="2854"/>
      <c r="AXK22" s="2854"/>
      <c r="AXL22" s="2854"/>
      <c r="AXM22" s="2854"/>
      <c r="AXN22" s="2854"/>
      <c r="AXO22" s="2854"/>
      <c r="AXP22" s="2854"/>
      <c r="AXQ22" s="2854"/>
      <c r="AXR22" s="2854"/>
      <c r="AXS22" s="2854"/>
      <c r="AXT22" s="2854"/>
      <c r="AXU22" s="2854"/>
      <c r="AXV22" s="2854"/>
      <c r="AXW22" s="2854"/>
      <c r="AXX22" s="2854"/>
      <c r="AXY22" s="2854"/>
      <c r="AXZ22" s="2854"/>
      <c r="AYA22" s="2854"/>
      <c r="AYB22" s="2854"/>
      <c r="AYC22" s="2854"/>
      <c r="AYD22" s="2854"/>
      <c r="AYE22" s="2854"/>
      <c r="AYF22" s="2854"/>
      <c r="AYG22" s="2854"/>
      <c r="AYH22" s="2854"/>
      <c r="AYI22" s="2854"/>
      <c r="AYJ22" s="2854"/>
      <c r="AYK22" s="2854"/>
      <c r="AYL22" s="2854"/>
      <c r="AYM22" s="2854"/>
      <c r="AYN22" s="2854"/>
      <c r="AYO22" s="2854"/>
      <c r="AYP22" s="2854"/>
      <c r="AYQ22" s="2854"/>
      <c r="AYR22" s="2854"/>
      <c r="AYS22" s="2854"/>
      <c r="AYT22" s="2854"/>
      <c r="AYU22" s="2854"/>
      <c r="AYV22" s="2854"/>
      <c r="AYW22" s="2854"/>
      <c r="AYX22" s="2854"/>
      <c r="AYY22" s="2854"/>
      <c r="AYZ22" s="2854"/>
      <c r="AZA22" s="2854"/>
      <c r="AZB22" s="2854"/>
      <c r="AZC22" s="2854"/>
      <c r="AZD22" s="2854"/>
      <c r="AZE22" s="2854"/>
      <c r="AZF22" s="2854"/>
      <c r="AZG22" s="2854"/>
      <c r="AZH22" s="2854"/>
      <c r="AZI22" s="2854"/>
      <c r="AZJ22" s="2854"/>
      <c r="AZK22" s="2854"/>
      <c r="AZL22" s="2854"/>
      <c r="AZM22" s="2854"/>
      <c r="AZN22" s="2854"/>
      <c r="AZO22" s="2854"/>
      <c r="AZP22" s="2854"/>
      <c r="AZQ22" s="2854"/>
      <c r="AZR22" s="2854"/>
      <c r="AZS22" s="2854"/>
      <c r="AZT22" s="2854"/>
      <c r="AZU22" s="2854"/>
      <c r="AZV22" s="2854"/>
      <c r="AZW22" s="2854"/>
      <c r="AZX22" s="2854"/>
      <c r="AZY22" s="2854"/>
      <c r="AZZ22" s="2854"/>
      <c r="BAA22" s="2854"/>
      <c r="BAB22" s="2854"/>
      <c r="BAC22" s="2854"/>
      <c r="BAD22" s="2854"/>
      <c r="BAE22" s="2854"/>
      <c r="BAF22" s="2854"/>
      <c r="BAG22" s="2854"/>
      <c r="BAH22" s="2854"/>
      <c r="BAI22" s="2854"/>
      <c r="BAJ22" s="2854"/>
      <c r="BAK22" s="2854"/>
      <c r="BAL22" s="2854"/>
      <c r="BAM22" s="2854"/>
      <c r="BAN22" s="2854"/>
      <c r="BAO22" s="2854"/>
      <c r="BAP22" s="2854"/>
      <c r="BAQ22" s="2854"/>
      <c r="BAR22" s="2854"/>
      <c r="BAS22" s="2854"/>
      <c r="BAT22" s="2854"/>
      <c r="BAU22" s="2854"/>
      <c r="BAV22" s="2854"/>
      <c r="BAW22" s="2854"/>
      <c r="BAX22" s="2854"/>
      <c r="BAY22" s="2854"/>
      <c r="BAZ22" s="2854"/>
      <c r="BBA22" s="2854"/>
      <c r="BBB22" s="2854"/>
      <c r="BBC22" s="2854"/>
      <c r="BBD22" s="2854"/>
      <c r="BBE22" s="2854"/>
      <c r="BBF22" s="2854"/>
      <c r="BBG22" s="2854"/>
      <c r="BBH22" s="2854"/>
      <c r="BBI22" s="2854"/>
      <c r="BBJ22" s="2854"/>
      <c r="BBK22" s="2854"/>
      <c r="BBL22" s="2854"/>
      <c r="BBM22" s="2854"/>
      <c r="BBN22" s="2854"/>
      <c r="BBO22" s="2854"/>
      <c r="BBP22" s="2854"/>
      <c r="BBQ22" s="2854"/>
      <c r="BBR22" s="2854"/>
      <c r="BBS22" s="2854"/>
      <c r="BBT22" s="2854"/>
      <c r="BBU22" s="2854"/>
      <c r="BBV22" s="2854"/>
      <c r="BBW22" s="2854"/>
      <c r="BBX22" s="2854"/>
      <c r="BBY22" s="2854"/>
      <c r="BBZ22" s="2854"/>
      <c r="BCA22" s="2854"/>
      <c r="BCB22" s="2854"/>
      <c r="BCC22" s="2854"/>
      <c r="BCD22" s="2854"/>
      <c r="BCE22" s="2854"/>
      <c r="BCF22" s="2854"/>
      <c r="BCG22" s="2854"/>
      <c r="BCH22" s="2854"/>
      <c r="BCI22" s="2854"/>
      <c r="BCJ22" s="2854"/>
      <c r="BCK22" s="2854"/>
      <c r="BCL22" s="2854"/>
      <c r="BCM22" s="2854"/>
      <c r="BCN22" s="2854"/>
      <c r="BCO22" s="2854"/>
      <c r="BCP22" s="2854"/>
      <c r="BCQ22" s="2854"/>
      <c r="BCR22" s="2854"/>
      <c r="BCS22" s="2854"/>
      <c r="BCT22" s="2854"/>
      <c r="BCU22" s="2854"/>
      <c r="BCV22" s="2854"/>
      <c r="BCW22" s="2854"/>
      <c r="BCX22" s="2854"/>
      <c r="BCY22" s="2854"/>
      <c r="BCZ22" s="2854"/>
      <c r="BDA22" s="2854"/>
      <c r="BDB22" s="2854"/>
      <c r="BDC22" s="2854"/>
      <c r="BDD22" s="2854"/>
      <c r="BDE22" s="2854"/>
      <c r="BDF22" s="2854"/>
      <c r="BDG22" s="2854"/>
      <c r="BDH22" s="2854"/>
      <c r="BDI22" s="2854"/>
      <c r="BDJ22" s="2854"/>
      <c r="BDK22" s="2854"/>
      <c r="BDL22" s="2854"/>
      <c r="BDM22" s="2854"/>
      <c r="BDN22" s="2854"/>
      <c r="BDO22" s="2854"/>
      <c r="BDP22" s="2854"/>
      <c r="BDQ22" s="2854"/>
      <c r="BDR22" s="2854"/>
      <c r="BDS22" s="2854"/>
      <c r="BDT22" s="2854"/>
      <c r="BDU22" s="2854"/>
      <c r="BDV22" s="2854"/>
      <c r="BDW22" s="2854"/>
      <c r="BDX22" s="2854"/>
      <c r="BDY22" s="2854"/>
      <c r="BDZ22" s="2854"/>
      <c r="BEA22" s="2854"/>
      <c r="BEB22" s="2854"/>
      <c r="BEC22" s="2854"/>
      <c r="BED22" s="2854"/>
      <c r="BEE22" s="2854"/>
      <c r="BEF22" s="2854"/>
      <c r="BEG22" s="2854"/>
      <c r="BEH22" s="2854"/>
      <c r="BEI22" s="2854"/>
      <c r="BEJ22" s="2854"/>
      <c r="BEK22" s="2854"/>
      <c r="BEL22" s="2854"/>
      <c r="BEM22" s="2854"/>
      <c r="BEN22" s="2854"/>
      <c r="BEO22" s="2854"/>
      <c r="BEP22" s="2854"/>
      <c r="BEQ22" s="2854"/>
      <c r="BER22" s="2854"/>
      <c r="BES22" s="2854"/>
      <c r="BET22" s="2854"/>
      <c r="BEU22" s="2854"/>
      <c r="BEV22" s="2854"/>
      <c r="BEW22" s="2854"/>
      <c r="BEX22" s="2854"/>
      <c r="BEY22" s="2854"/>
      <c r="BEZ22" s="2854"/>
      <c r="BFA22" s="2854"/>
      <c r="BFB22" s="2854"/>
      <c r="BFC22" s="2854"/>
      <c r="BFD22" s="2854"/>
      <c r="BFE22" s="2854"/>
      <c r="BFF22" s="2854"/>
      <c r="BFG22" s="2854"/>
      <c r="BFH22" s="2854"/>
      <c r="BFI22" s="2854"/>
      <c r="BFJ22" s="2854"/>
      <c r="BFK22" s="2854"/>
      <c r="BFL22" s="2854"/>
      <c r="BFM22" s="2854"/>
      <c r="BFN22" s="2854"/>
      <c r="BFO22" s="2854"/>
      <c r="BFP22" s="2854"/>
      <c r="BFQ22" s="2854"/>
      <c r="BFR22" s="2854"/>
      <c r="BFS22" s="2854"/>
      <c r="BFT22" s="2854"/>
      <c r="BFU22" s="2854"/>
      <c r="BFV22" s="2854"/>
      <c r="BFW22" s="2854"/>
      <c r="BFX22" s="2854"/>
      <c r="BFY22" s="2854"/>
      <c r="BFZ22" s="2854"/>
      <c r="BGA22" s="2854"/>
      <c r="BGB22" s="2854"/>
      <c r="BGC22" s="2854"/>
      <c r="BGD22" s="2854"/>
      <c r="BGE22" s="2854"/>
      <c r="BGF22" s="2854"/>
      <c r="BGG22" s="2854"/>
      <c r="BGH22" s="2854"/>
      <c r="BGI22" s="2854"/>
      <c r="BGJ22" s="2854"/>
      <c r="BGK22" s="2854"/>
      <c r="BGL22" s="2854"/>
      <c r="BGM22" s="2854"/>
      <c r="BGN22" s="2854"/>
      <c r="BGO22" s="2854"/>
      <c r="BGP22" s="2854"/>
      <c r="BGQ22" s="2854"/>
      <c r="BGR22" s="2854"/>
      <c r="BGS22" s="2854"/>
      <c r="BGT22" s="2854"/>
      <c r="BGU22" s="2854"/>
      <c r="BGV22" s="2854"/>
      <c r="BGW22" s="2854"/>
      <c r="BGX22" s="2854"/>
      <c r="BGY22" s="2854"/>
      <c r="BGZ22" s="2854"/>
      <c r="BHA22" s="2854"/>
      <c r="BHB22" s="2854"/>
      <c r="BHC22" s="2854"/>
      <c r="BHD22" s="2854"/>
      <c r="BHE22" s="2854"/>
      <c r="BHF22" s="2854"/>
      <c r="BHG22" s="2854"/>
      <c r="BHH22" s="2854"/>
      <c r="BHI22" s="2854"/>
      <c r="BHJ22" s="2854"/>
      <c r="BHK22" s="2854"/>
      <c r="BHL22" s="2854"/>
      <c r="BHM22" s="2854"/>
      <c r="BHN22" s="2854"/>
      <c r="BHO22" s="2854"/>
      <c r="BHP22" s="2854"/>
      <c r="BHQ22" s="2854"/>
      <c r="BHR22" s="2854"/>
      <c r="BHS22" s="2854"/>
      <c r="BHT22" s="2854"/>
      <c r="BHU22" s="2854"/>
      <c r="BHV22" s="2854"/>
      <c r="BHW22" s="2854"/>
      <c r="BHX22" s="2854"/>
      <c r="BHY22" s="2854"/>
      <c r="BHZ22" s="2854"/>
      <c r="BIA22" s="2854"/>
      <c r="BIB22" s="2854"/>
      <c r="BIC22" s="2854"/>
      <c r="BID22" s="2854"/>
      <c r="BIE22" s="2854"/>
      <c r="BIF22" s="2854"/>
      <c r="BIG22" s="2854"/>
      <c r="BIH22" s="2854"/>
      <c r="BII22" s="2854"/>
      <c r="BIJ22" s="2854"/>
      <c r="BIK22" s="2854"/>
      <c r="BIL22" s="2854"/>
      <c r="BIM22" s="2854"/>
      <c r="BIN22" s="2854"/>
      <c r="BIO22" s="2854"/>
      <c r="BIP22" s="2854"/>
      <c r="BIQ22" s="2854"/>
      <c r="BIR22" s="2854"/>
      <c r="BIS22" s="2854"/>
      <c r="BIT22" s="2854"/>
      <c r="BIU22" s="2854"/>
      <c r="BIV22" s="2854"/>
      <c r="BIW22" s="2854"/>
      <c r="BIX22" s="2854"/>
      <c r="BIY22" s="2854"/>
      <c r="BIZ22" s="2854"/>
      <c r="BJA22" s="2854"/>
      <c r="BJB22" s="2854"/>
      <c r="BJC22" s="2854"/>
      <c r="BJD22" s="2854"/>
      <c r="BJE22" s="2854"/>
      <c r="BJF22" s="2854"/>
      <c r="BJG22" s="2854"/>
      <c r="BJH22" s="2854"/>
      <c r="BJI22" s="2854"/>
      <c r="BJJ22" s="2854"/>
      <c r="BJK22" s="2854"/>
      <c r="BJL22" s="2854"/>
      <c r="BJM22" s="2854"/>
      <c r="BJN22" s="2854"/>
      <c r="BJO22" s="2854"/>
      <c r="BJP22" s="2854"/>
      <c r="BJQ22" s="2854"/>
      <c r="BJR22" s="2854"/>
      <c r="BJS22" s="2854"/>
      <c r="BJT22" s="2854"/>
      <c r="BJU22" s="2854"/>
      <c r="BJV22" s="2854"/>
      <c r="BJW22" s="2854"/>
      <c r="BJX22" s="2854"/>
      <c r="BJY22" s="2854"/>
      <c r="BJZ22" s="2854"/>
      <c r="BKA22" s="2854"/>
      <c r="BKB22" s="2854"/>
      <c r="BKC22" s="2854"/>
      <c r="BKD22" s="2854"/>
      <c r="BKE22" s="2854"/>
      <c r="BKF22" s="2854"/>
      <c r="BKG22" s="2854"/>
      <c r="BKH22" s="2854"/>
      <c r="BKI22" s="2854"/>
      <c r="BKJ22" s="2854"/>
      <c r="BKK22" s="2854"/>
      <c r="BKL22" s="2854"/>
      <c r="BKM22" s="2854"/>
      <c r="BKN22" s="2854"/>
      <c r="BKO22" s="2854"/>
      <c r="BKP22" s="2854"/>
      <c r="BKQ22" s="2854"/>
      <c r="BKR22" s="2854"/>
      <c r="BKS22" s="2854"/>
      <c r="BKT22" s="2854"/>
      <c r="BKU22" s="2854"/>
      <c r="BKV22" s="2854"/>
      <c r="BKW22" s="2854"/>
      <c r="BKX22" s="2854"/>
      <c r="BKY22" s="2854"/>
      <c r="BKZ22" s="2854"/>
      <c r="BLA22" s="2854"/>
      <c r="BLB22" s="2854"/>
      <c r="BLC22" s="2854"/>
      <c r="BLD22" s="2854"/>
      <c r="BLE22" s="2854"/>
      <c r="BLF22" s="2854"/>
      <c r="BLG22" s="2854"/>
      <c r="BLH22" s="2854"/>
      <c r="BLI22" s="2854"/>
      <c r="BLJ22" s="2854"/>
      <c r="BLK22" s="2854"/>
      <c r="BLL22" s="2854"/>
      <c r="BLM22" s="2854"/>
      <c r="BLN22" s="2854"/>
      <c r="BLO22" s="2854"/>
      <c r="BLP22" s="2854"/>
      <c r="BLQ22" s="2854"/>
      <c r="BLR22" s="2854"/>
      <c r="BLS22" s="2854"/>
      <c r="BLT22" s="2854"/>
      <c r="BLU22" s="2854"/>
      <c r="BLV22" s="2854"/>
      <c r="BLW22" s="2854"/>
      <c r="BLX22" s="2854"/>
      <c r="BLY22" s="2854"/>
      <c r="BLZ22" s="2854"/>
      <c r="BMA22" s="2854"/>
      <c r="BMB22" s="2854"/>
      <c r="BMC22" s="2854"/>
      <c r="BMD22" s="2854"/>
      <c r="BME22" s="2854"/>
      <c r="BMF22" s="2854"/>
      <c r="BMG22" s="2854"/>
      <c r="BMH22" s="2854"/>
      <c r="BMI22" s="2854"/>
      <c r="BMJ22" s="2854"/>
      <c r="BMK22" s="2854"/>
      <c r="BML22" s="2854"/>
      <c r="BMM22" s="2854"/>
      <c r="BMN22" s="2854"/>
      <c r="BMO22" s="2854"/>
      <c r="BMP22" s="2854"/>
      <c r="BMQ22" s="2854"/>
      <c r="BMR22" s="2854"/>
      <c r="BMS22" s="2854"/>
      <c r="BMT22" s="2854"/>
      <c r="BMU22" s="2854"/>
      <c r="BMV22" s="2854"/>
      <c r="BMW22" s="2854"/>
      <c r="BMX22" s="2854"/>
      <c r="BMY22" s="2854"/>
      <c r="BMZ22" s="2854"/>
      <c r="BNA22" s="2854"/>
      <c r="BNB22" s="2854"/>
      <c r="BNC22" s="2854"/>
      <c r="BND22" s="2854"/>
      <c r="BNE22" s="2854"/>
      <c r="BNF22" s="2854"/>
      <c r="BNG22" s="2854"/>
      <c r="BNH22" s="2854"/>
      <c r="BNI22" s="2854"/>
      <c r="BNJ22" s="2854"/>
      <c r="BNK22" s="2854"/>
      <c r="BNL22" s="2854"/>
      <c r="BNM22" s="2854"/>
      <c r="BNN22" s="2854"/>
      <c r="BNO22" s="2854"/>
      <c r="BNP22" s="2854"/>
      <c r="BNQ22" s="2854"/>
      <c r="BNR22" s="2854"/>
      <c r="BNS22" s="2854"/>
      <c r="BNT22" s="2854"/>
      <c r="BNU22" s="2854"/>
      <c r="BNV22" s="2854"/>
      <c r="BNW22" s="2854"/>
      <c r="BNX22" s="2854"/>
      <c r="BNY22" s="2854"/>
      <c r="BNZ22" s="2854"/>
      <c r="BOA22" s="2854"/>
      <c r="BOB22" s="2854"/>
      <c r="BOC22" s="2854"/>
      <c r="BOD22" s="2854"/>
      <c r="BOE22" s="2854"/>
      <c r="BOF22" s="2854"/>
      <c r="BOG22" s="2854"/>
      <c r="BOH22" s="2854"/>
      <c r="BOI22" s="2854"/>
      <c r="BOJ22" s="2854"/>
      <c r="BOK22" s="2854"/>
      <c r="BOL22" s="2854"/>
      <c r="BOM22" s="2854"/>
      <c r="BON22" s="2854"/>
      <c r="BOO22" s="2854"/>
      <c r="BOP22" s="2854"/>
      <c r="BOQ22" s="2854"/>
      <c r="BOR22" s="2854"/>
      <c r="BOS22" s="2854"/>
      <c r="BOT22" s="2854"/>
      <c r="BOU22" s="2854"/>
      <c r="BOV22" s="2854"/>
      <c r="BOW22" s="2854"/>
      <c r="BOX22" s="2854"/>
      <c r="BOY22" s="2854"/>
      <c r="BOZ22" s="2854"/>
      <c r="BPA22" s="2854"/>
      <c r="BPB22" s="2854"/>
      <c r="BPC22" s="2854"/>
      <c r="BPD22" s="2854"/>
      <c r="BPE22" s="2854"/>
      <c r="BPF22" s="2854"/>
      <c r="BPG22" s="2854"/>
      <c r="BPH22" s="2854"/>
      <c r="BPI22" s="2854"/>
      <c r="BPJ22" s="2854"/>
      <c r="BPK22" s="2854"/>
      <c r="BPL22" s="2854"/>
      <c r="BPM22" s="2854"/>
      <c r="BPN22" s="2854"/>
      <c r="BPO22" s="2854"/>
      <c r="BPP22" s="2854"/>
      <c r="BPQ22" s="2854"/>
      <c r="BPR22" s="2854"/>
      <c r="BPS22" s="2854"/>
      <c r="BPT22" s="2854"/>
      <c r="BPU22" s="2854"/>
      <c r="BPV22" s="2854"/>
      <c r="BPW22" s="2854"/>
      <c r="BPX22" s="2854"/>
      <c r="BPY22" s="2854"/>
      <c r="BPZ22" s="2854"/>
      <c r="BQA22" s="2854"/>
      <c r="BQB22" s="2854"/>
      <c r="BQC22" s="2854"/>
      <c r="BQD22" s="2854"/>
      <c r="BQE22" s="2854"/>
      <c r="BQF22" s="2854"/>
      <c r="BQG22" s="2854"/>
      <c r="BQH22" s="2854"/>
      <c r="BQI22" s="2854"/>
      <c r="BQJ22" s="2854"/>
      <c r="BQK22" s="2854"/>
      <c r="BQL22" s="2854"/>
      <c r="BQM22" s="2854"/>
      <c r="BQN22" s="2854"/>
      <c r="BQO22" s="2854"/>
      <c r="BQP22" s="2854"/>
      <c r="BQQ22" s="2854"/>
      <c r="BQR22" s="2854"/>
      <c r="BQS22" s="2854"/>
      <c r="BQT22" s="2854"/>
      <c r="BQU22" s="2854"/>
      <c r="BQV22" s="2854"/>
      <c r="BQW22" s="2854"/>
      <c r="BQX22" s="2854"/>
      <c r="BQY22" s="2854"/>
      <c r="BQZ22" s="2854"/>
      <c r="BRA22" s="2854"/>
      <c r="BRB22" s="2854"/>
      <c r="BRC22" s="2854"/>
      <c r="BRD22" s="2854"/>
      <c r="BRE22" s="2854"/>
      <c r="BRF22" s="2854"/>
      <c r="BRG22" s="2854"/>
      <c r="BRH22" s="2854"/>
      <c r="BRI22" s="2854"/>
      <c r="BRJ22" s="2854"/>
      <c r="BRK22" s="2854"/>
      <c r="BRL22" s="2854"/>
      <c r="BRM22" s="2854"/>
      <c r="BRN22" s="2854"/>
      <c r="BRO22" s="2854"/>
      <c r="BRP22" s="2854"/>
      <c r="BRQ22" s="2854"/>
      <c r="BRR22" s="2854"/>
      <c r="BRS22" s="2854"/>
      <c r="BRT22" s="2854"/>
      <c r="BRU22" s="2854"/>
      <c r="BRV22" s="2854"/>
      <c r="BRW22" s="2854"/>
      <c r="BRX22" s="2854"/>
      <c r="BRY22" s="2854"/>
      <c r="BRZ22" s="2854"/>
      <c r="BSA22" s="2854"/>
      <c r="BSB22" s="2854"/>
      <c r="BSC22" s="2854"/>
      <c r="BSD22" s="2854"/>
      <c r="BSE22" s="2854"/>
      <c r="BSF22" s="2854"/>
      <c r="BSG22" s="2854"/>
      <c r="BSH22" s="2854"/>
      <c r="BSI22" s="2854"/>
      <c r="BSJ22" s="2854"/>
      <c r="BSK22" s="2854"/>
      <c r="BSL22" s="2854"/>
      <c r="BSM22" s="2854"/>
      <c r="BSN22" s="2854"/>
      <c r="BSO22" s="2854"/>
      <c r="BSP22" s="2854"/>
      <c r="BSQ22" s="2854"/>
      <c r="BSR22" s="2854"/>
      <c r="BSS22" s="2854"/>
      <c r="BST22" s="2854"/>
      <c r="BSU22" s="2854"/>
      <c r="BSV22" s="2854"/>
      <c r="BSW22" s="2854"/>
      <c r="BSX22" s="2854"/>
      <c r="BSY22" s="2854"/>
      <c r="BSZ22" s="2854"/>
      <c r="BTA22" s="2854"/>
      <c r="BTB22" s="2854"/>
      <c r="BTC22" s="2854"/>
      <c r="BTD22" s="2854"/>
      <c r="BTE22" s="2854"/>
      <c r="BTF22" s="2854"/>
      <c r="BTG22" s="2854"/>
      <c r="BTH22" s="2854"/>
      <c r="BTI22" s="2854"/>
      <c r="BTJ22" s="2854"/>
      <c r="BTK22" s="2854"/>
      <c r="BTL22" s="2854"/>
      <c r="BTM22" s="2854"/>
      <c r="BTN22" s="2854"/>
      <c r="BTO22" s="2854"/>
      <c r="BTP22" s="2854"/>
      <c r="BTQ22" s="2854"/>
      <c r="BTR22" s="2854"/>
      <c r="BTS22" s="2854"/>
      <c r="BTT22" s="2854"/>
      <c r="BTU22" s="2854"/>
      <c r="BTV22" s="2854"/>
      <c r="BTW22" s="2854"/>
      <c r="BTX22" s="2854"/>
      <c r="BTY22" s="2854"/>
      <c r="BTZ22" s="2854"/>
      <c r="BUA22" s="2854"/>
      <c r="BUB22" s="2854"/>
      <c r="BUC22" s="2854"/>
      <c r="BUD22" s="2854"/>
      <c r="BUE22" s="2854"/>
      <c r="BUF22" s="2854"/>
      <c r="BUG22" s="2854"/>
      <c r="BUH22" s="2854"/>
      <c r="BUI22" s="2854"/>
      <c r="BUJ22" s="2854"/>
      <c r="BUK22" s="2854"/>
      <c r="BUL22" s="2854"/>
      <c r="BUM22" s="2854"/>
      <c r="BUN22" s="2854"/>
      <c r="BUO22" s="2854"/>
      <c r="BUP22" s="2854"/>
      <c r="BUQ22" s="2854"/>
      <c r="BUR22" s="2854"/>
      <c r="BUS22" s="2854"/>
      <c r="BUT22" s="2854"/>
      <c r="BUU22" s="2854"/>
      <c r="BUV22" s="2854"/>
      <c r="BUW22" s="2854"/>
      <c r="BUX22" s="2854"/>
      <c r="BUY22" s="2854"/>
      <c r="BUZ22" s="2854"/>
      <c r="BVA22" s="2854"/>
      <c r="BVB22" s="2854"/>
      <c r="BVC22" s="2854"/>
      <c r="BVD22" s="2854"/>
      <c r="BVE22" s="2854"/>
      <c r="BVF22" s="2854"/>
      <c r="BVG22" s="2854"/>
      <c r="BVH22" s="2854"/>
      <c r="BVI22" s="2854"/>
      <c r="BVJ22" s="2854"/>
      <c r="BVK22" s="2854"/>
      <c r="BVL22" s="2854"/>
      <c r="BVM22" s="2854"/>
      <c r="BVN22" s="2854"/>
      <c r="BVO22" s="2854"/>
      <c r="BVP22" s="2854"/>
      <c r="BVQ22" s="2854"/>
      <c r="BVR22" s="2854"/>
      <c r="BVS22" s="2854"/>
      <c r="BVT22" s="2854"/>
      <c r="BVU22" s="2854"/>
      <c r="BVV22" s="2854"/>
      <c r="BVW22" s="2854"/>
      <c r="BVX22" s="2854"/>
      <c r="BVY22" s="2854"/>
      <c r="BVZ22" s="2854"/>
      <c r="BWA22" s="2854"/>
      <c r="BWB22" s="2854"/>
      <c r="BWC22" s="2854"/>
      <c r="BWD22" s="2854"/>
      <c r="BWE22" s="2854"/>
      <c r="BWF22" s="2854"/>
      <c r="BWG22" s="2854"/>
      <c r="BWH22" s="2854"/>
      <c r="BWI22" s="2854"/>
      <c r="BWJ22" s="2854"/>
      <c r="BWK22" s="2854"/>
      <c r="BWL22" s="2854"/>
      <c r="BWM22" s="2854"/>
      <c r="BWN22" s="2854"/>
      <c r="BWO22" s="2854"/>
      <c r="BWP22" s="2854"/>
      <c r="BWQ22" s="2854"/>
      <c r="BWR22" s="2854"/>
      <c r="BWS22" s="2854"/>
      <c r="BWT22" s="2854"/>
      <c r="BWU22" s="2854"/>
      <c r="BWV22" s="2854"/>
      <c r="BWW22" s="2854"/>
      <c r="BWX22" s="2854"/>
      <c r="BWY22" s="2854"/>
      <c r="BWZ22" s="2854"/>
      <c r="BXA22" s="2854"/>
      <c r="BXB22" s="2854"/>
      <c r="BXC22" s="2854"/>
      <c r="BXD22" s="2854"/>
      <c r="BXE22" s="2854"/>
      <c r="BXF22" s="2854"/>
      <c r="BXG22" s="2854"/>
      <c r="BXH22" s="2854"/>
      <c r="BXI22" s="2854"/>
      <c r="BXJ22" s="2854"/>
      <c r="BXK22" s="2854"/>
      <c r="BXL22" s="2854"/>
      <c r="BXM22" s="2854"/>
      <c r="BXN22" s="2854"/>
      <c r="BXO22" s="2854"/>
      <c r="BXP22" s="2854"/>
      <c r="BXQ22" s="2854"/>
      <c r="BXR22" s="2854"/>
      <c r="BXS22" s="2854"/>
      <c r="BXT22" s="2854"/>
      <c r="BXU22" s="2854"/>
      <c r="BXV22" s="2854"/>
      <c r="BXW22" s="2854"/>
      <c r="BXX22" s="2854"/>
      <c r="BXY22" s="2854"/>
      <c r="BXZ22" s="2854"/>
      <c r="BYA22" s="2854"/>
      <c r="BYB22" s="2854"/>
      <c r="BYC22" s="2854"/>
      <c r="BYD22" s="2854"/>
      <c r="BYE22" s="2854"/>
      <c r="BYF22" s="2854"/>
      <c r="BYG22" s="2854"/>
      <c r="BYH22" s="2854"/>
      <c r="BYI22" s="2854"/>
      <c r="BYJ22" s="2854"/>
      <c r="BYK22" s="2854"/>
      <c r="BYL22" s="2854"/>
      <c r="BYM22" s="2854"/>
      <c r="BYN22" s="2854"/>
      <c r="BYO22" s="2854"/>
      <c r="BYP22" s="2854"/>
      <c r="BYQ22" s="2854"/>
      <c r="BYR22" s="2854"/>
      <c r="BYS22" s="2854"/>
      <c r="BYT22" s="2854"/>
      <c r="BYU22" s="2854"/>
      <c r="BYV22" s="2854"/>
      <c r="BYW22" s="2854"/>
      <c r="BYX22" s="2854"/>
      <c r="BYY22" s="2854"/>
      <c r="BYZ22" s="2854"/>
      <c r="BZA22" s="2854"/>
      <c r="BZB22" s="2854"/>
      <c r="BZC22" s="2854"/>
      <c r="BZD22" s="2854"/>
      <c r="BZE22" s="2854"/>
      <c r="BZF22" s="2854"/>
      <c r="BZG22" s="2854"/>
      <c r="BZH22" s="2854"/>
      <c r="BZI22" s="2854"/>
      <c r="BZJ22" s="2854"/>
      <c r="BZK22" s="2854"/>
      <c r="BZL22" s="2854"/>
      <c r="BZM22" s="2854"/>
      <c r="BZN22" s="2854"/>
      <c r="BZO22" s="2854"/>
      <c r="BZP22" s="2854"/>
      <c r="BZQ22" s="2854"/>
      <c r="BZR22" s="2854"/>
      <c r="BZS22" s="2854"/>
      <c r="BZT22" s="2854"/>
      <c r="BZU22" s="2854"/>
      <c r="BZV22" s="2854"/>
      <c r="BZW22" s="2854"/>
      <c r="BZX22" s="2854"/>
      <c r="BZY22" s="2854"/>
      <c r="BZZ22" s="2854"/>
      <c r="CAA22" s="2854"/>
      <c r="CAB22" s="2854"/>
      <c r="CAC22" s="2854"/>
      <c r="CAD22" s="2854"/>
      <c r="CAE22" s="2854"/>
      <c r="CAF22" s="2854"/>
      <c r="CAG22" s="2854"/>
      <c r="CAH22" s="2854"/>
      <c r="CAI22" s="2854"/>
      <c r="CAJ22" s="2854"/>
      <c r="CAK22" s="2854"/>
      <c r="CAL22" s="2854"/>
      <c r="CAM22" s="2854"/>
      <c r="CAN22" s="2854"/>
      <c r="CAO22" s="2854"/>
      <c r="CAP22" s="2854"/>
      <c r="CAQ22" s="2854"/>
      <c r="CAR22" s="2854"/>
      <c r="CAS22" s="2854"/>
      <c r="CAT22" s="2854"/>
      <c r="CAU22" s="2854"/>
      <c r="CAV22" s="2854"/>
      <c r="CAW22" s="2854"/>
      <c r="CAX22" s="2854"/>
      <c r="CAY22" s="2854"/>
      <c r="CAZ22" s="2854"/>
      <c r="CBA22" s="2854"/>
      <c r="CBB22" s="2854"/>
      <c r="CBC22" s="2854"/>
      <c r="CBD22" s="2854"/>
      <c r="CBE22" s="2854"/>
      <c r="CBF22" s="2854"/>
      <c r="CBG22" s="2854"/>
      <c r="CBH22" s="2854"/>
      <c r="CBI22" s="2854"/>
      <c r="CBJ22" s="2854"/>
      <c r="CBK22" s="2854"/>
      <c r="CBL22" s="2854"/>
      <c r="CBM22" s="2854"/>
      <c r="CBN22" s="2854"/>
      <c r="CBO22" s="2854"/>
      <c r="CBP22" s="2854"/>
      <c r="CBQ22" s="2854"/>
      <c r="CBR22" s="2854"/>
      <c r="CBS22" s="2854"/>
      <c r="CBT22" s="2854"/>
      <c r="CBU22" s="2854"/>
      <c r="CBV22" s="2854"/>
      <c r="CBW22" s="2854"/>
      <c r="CBX22" s="2854"/>
      <c r="CBY22" s="2854"/>
      <c r="CBZ22" s="2854"/>
      <c r="CCA22" s="2854"/>
      <c r="CCB22" s="2854"/>
      <c r="CCC22" s="2854"/>
      <c r="CCD22" s="2854"/>
      <c r="CCE22" s="2854"/>
      <c r="CCF22" s="2854"/>
      <c r="CCG22" s="2854"/>
      <c r="CCH22" s="2854"/>
      <c r="CCI22" s="2854"/>
      <c r="CCJ22" s="2854"/>
      <c r="CCK22" s="2854"/>
      <c r="CCL22" s="2854"/>
      <c r="CCM22" s="2854"/>
      <c r="CCN22" s="2854"/>
      <c r="CCO22" s="2854"/>
      <c r="CCP22" s="2854"/>
      <c r="CCQ22" s="2854"/>
      <c r="CCR22" s="2854"/>
      <c r="CCS22" s="2854"/>
      <c r="CCT22" s="2854"/>
      <c r="CCU22" s="2854"/>
      <c r="CCV22" s="2854"/>
      <c r="CCW22" s="2854"/>
      <c r="CCX22" s="2854"/>
      <c r="CCY22" s="2854"/>
      <c r="CCZ22" s="2854"/>
      <c r="CDA22" s="2854"/>
      <c r="CDB22" s="2854"/>
      <c r="CDC22" s="2854"/>
      <c r="CDD22" s="2854"/>
      <c r="CDE22" s="2854"/>
      <c r="CDF22" s="2854"/>
      <c r="CDG22" s="2854"/>
      <c r="CDH22" s="2854"/>
      <c r="CDI22" s="2854"/>
      <c r="CDJ22" s="2854"/>
      <c r="CDK22" s="2854"/>
      <c r="CDL22" s="2854"/>
      <c r="CDM22" s="2854"/>
      <c r="CDN22" s="2854"/>
      <c r="CDO22" s="2854"/>
      <c r="CDP22" s="2854"/>
      <c r="CDQ22" s="2854"/>
      <c r="CDR22" s="2854"/>
      <c r="CDS22" s="2854"/>
      <c r="CDT22" s="2854"/>
      <c r="CDU22" s="2854"/>
      <c r="CDV22" s="2854"/>
      <c r="CDW22" s="2854"/>
      <c r="CDX22" s="2854"/>
      <c r="CDY22" s="2854"/>
      <c r="CDZ22" s="2854"/>
      <c r="CEA22" s="2854"/>
      <c r="CEB22" s="2854"/>
      <c r="CEC22" s="2854"/>
      <c r="CED22" s="2854"/>
      <c r="CEE22" s="2854"/>
      <c r="CEF22" s="2854"/>
      <c r="CEG22" s="2854"/>
      <c r="CEH22" s="2854"/>
      <c r="CEI22" s="2854"/>
      <c r="CEJ22" s="2854"/>
      <c r="CEK22" s="2854"/>
      <c r="CEL22" s="2854"/>
      <c r="CEM22" s="2854"/>
      <c r="CEN22" s="2854"/>
      <c r="CEO22" s="2854"/>
      <c r="CEP22" s="2854"/>
      <c r="CEQ22" s="2854"/>
      <c r="CER22" s="2854"/>
      <c r="CES22" s="2854"/>
      <c r="CET22" s="2854"/>
      <c r="CEU22" s="2854"/>
      <c r="CEV22" s="2854"/>
      <c r="CEW22" s="2854"/>
      <c r="CEX22" s="2854"/>
      <c r="CEY22" s="2854"/>
      <c r="CEZ22" s="2854"/>
      <c r="CFA22" s="2854"/>
      <c r="CFB22" s="2854"/>
      <c r="CFC22" s="2854"/>
      <c r="CFD22" s="2854"/>
      <c r="CFE22" s="2854"/>
      <c r="CFF22" s="2854"/>
      <c r="CFG22" s="2854"/>
      <c r="CFH22" s="2854"/>
      <c r="CFI22" s="2854"/>
      <c r="CFJ22" s="2854"/>
      <c r="CFK22" s="2854"/>
      <c r="CFL22" s="2854"/>
      <c r="CFM22" s="2854"/>
      <c r="CFN22" s="2854"/>
      <c r="CFO22" s="2854"/>
      <c r="CFP22" s="2854"/>
      <c r="CFQ22" s="2854"/>
      <c r="CFR22" s="2854"/>
      <c r="CFS22" s="2854"/>
      <c r="CFT22" s="2854"/>
      <c r="CFU22" s="2854"/>
      <c r="CFV22" s="2854"/>
      <c r="CFW22" s="2854"/>
      <c r="CFX22" s="2854"/>
      <c r="CFY22" s="2854"/>
      <c r="CFZ22" s="2854"/>
      <c r="CGA22" s="2854"/>
      <c r="CGB22" s="2854"/>
      <c r="CGC22" s="2854"/>
      <c r="CGD22" s="2854"/>
      <c r="CGE22" s="2854"/>
      <c r="CGF22" s="2854"/>
      <c r="CGG22" s="2854"/>
      <c r="CGH22" s="2854"/>
      <c r="CGI22" s="2854"/>
      <c r="CGJ22" s="2854"/>
      <c r="CGK22" s="2854"/>
      <c r="CGL22" s="2854"/>
      <c r="CGM22" s="2854"/>
      <c r="CGN22" s="2854"/>
      <c r="CGO22" s="2854"/>
      <c r="CGP22" s="2854"/>
      <c r="CGQ22" s="2854"/>
      <c r="CGR22" s="2854"/>
      <c r="CGS22" s="2854"/>
      <c r="CGT22" s="2854"/>
      <c r="CGU22" s="2854"/>
      <c r="CGV22" s="2854"/>
      <c r="CGW22" s="2854"/>
      <c r="CGX22" s="2854"/>
      <c r="CGY22" s="2854"/>
      <c r="CGZ22" s="2854"/>
      <c r="CHA22" s="2854"/>
      <c r="CHB22" s="2854"/>
      <c r="CHC22" s="2854"/>
      <c r="CHD22" s="2854"/>
      <c r="CHE22" s="2854"/>
      <c r="CHF22" s="2854"/>
      <c r="CHG22" s="2854"/>
      <c r="CHH22" s="2854"/>
      <c r="CHI22" s="2854"/>
      <c r="CHJ22" s="2854"/>
      <c r="CHK22" s="2854"/>
      <c r="CHL22" s="2854"/>
      <c r="CHM22" s="2854"/>
      <c r="CHN22" s="2854"/>
      <c r="CHO22" s="2854"/>
      <c r="CHP22" s="2854"/>
      <c r="CHQ22" s="2854"/>
      <c r="CHR22" s="2854"/>
      <c r="CHS22" s="2854"/>
      <c r="CHT22" s="2854"/>
      <c r="CHU22" s="2854"/>
      <c r="CHV22" s="2854"/>
      <c r="CHW22" s="2854"/>
      <c r="CHX22" s="2854"/>
      <c r="CHY22" s="2854"/>
      <c r="CHZ22" s="2854"/>
      <c r="CIA22" s="2854"/>
      <c r="CIB22" s="2854"/>
      <c r="CIC22" s="2854"/>
      <c r="CID22" s="2854"/>
      <c r="CIE22" s="2854"/>
      <c r="CIF22" s="2854"/>
      <c r="CIG22" s="2854"/>
      <c r="CIH22" s="2854"/>
      <c r="CII22" s="2854"/>
      <c r="CIJ22" s="2854"/>
      <c r="CIK22" s="2854"/>
      <c r="CIL22" s="2854"/>
      <c r="CIM22" s="2854"/>
      <c r="CIN22" s="2854"/>
      <c r="CIO22" s="2854"/>
      <c r="CIP22" s="2854"/>
      <c r="CIQ22" s="2854"/>
      <c r="CIR22" s="2854"/>
      <c r="CIS22" s="2854"/>
      <c r="CIT22" s="2854"/>
      <c r="CIU22" s="2854"/>
      <c r="CIV22" s="2854"/>
      <c r="CIW22" s="2854"/>
      <c r="CIX22" s="2854"/>
      <c r="CIY22" s="2854"/>
      <c r="CIZ22" s="2854"/>
      <c r="CJA22" s="2854"/>
      <c r="CJB22" s="2854"/>
      <c r="CJC22" s="2854"/>
      <c r="CJD22" s="2854"/>
      <c r="CJE22" s="2854"/>
      <c r="CJF22" s="2854"/>
      <c r="CJG22" s="2854"/>
      <c r="CJH22" s="2854"/>
      <c r="CJI22" s="2854"/>
      <c r="CJJ22" s="2854"/>
      <c r="CJK22" s="2854"/>
      <c r="CJL22" s="2854"/>
      <c r="CJM22" s="2854"/>
      <c r="CJN22" s="2854"/>
      <c r="CJO22" s="2854"/>
      <c r="CJP22" s="2854"/>
      <c r="CJQ22" s="2854"/>
      <c r="CJR22" s="2854"/>
      <c r="CJS22" s="2854"/>
      <c r="CJT22" s="2854"/>
      <c r="CJU22" s="2854"/>
      <c r="CJV22" s="2854"/>
      <c r="CJW22" s="2854"/>
      <c r="CJX22" s="2854"/>
      <c r="CJY22" s="2854"/>
      <c r="CJZ22" s="2854"/>
      <c r="CKA22" s="2854"/>
      <c r="CKB22" s="2854"/>
      <c r="CKC22" s="2854"/>
      <c r="CKD22" s="2854"/>
      <c r="CKE22" s="2854"/>
      <c r="CKF22" s="2854"/>
      <c r="CKG22" s="2854"/>
      <c r="CKH22" s="2854"/>
      <c r="CKI22" s="2854"/>
      <c r="CKJ22" s="2854"/>
      <c r="CKK22" s="2854"/>
      <c r="CKL22" s="2854"/>
      <c r="CKM22" s="2854"/>
      <c r="CKN22" s="2854"/>
      <c r="CKO22" s="2854"/>
      <c r="CKP22" s="2854"/>
      <c r="CKQ22" s="2854"/>
      <c r="CKR22" s="2854"/>
      <c r="CKS22" s="2854"/>
      <c r="CKT22" s="2854"/>
      <c r="CKU22" s="2854"/>
      <c r="CKV22" s="2854"/>
      <c r="CKW22" s="2854"/>
      <c r="CKX22" s="2854"/>
      <c r="CKY22" s="2854"/>
      <c r="CKZ22" s="2854"/>
      <c r="CLA22" s="2854"/>
      <c r="CLB22" s="2854"/>
      <c r="CLC22" s="2854"/>
      <c r="CLD22" s="2854"/>
      <c r="CLE22" s="2854"/>
      <c r="CLF22" s="2854"/>
      <c r="CLG22" s="2854"/>
      <c r="CLH22" s="2854"/>
      <c r="CLI22" s="2854"/>
      <c r="CLJ22" s="2854"/>
      <c r="CLK22" s="2854"/>
      <c r="CLL22" s="2854"/>
      <c r="CLM22" s="2854"/>
      <c r="CLN22" s="2854"/>
      <c r="CLO22" s="2854"/>
      <c r="CLP22" s="2854"/>
      <c r="CLQ22" s="2854"/>
      <c r="CLR22" s="2854"/>
      <c r="CLS22" s="2854"/>
      <c r="CLT22" s="2854"/>
      <c r="CLU22" s="2854"/>
      <c r="CLV22" s="2854"/>
      <c r="CLW22" s="2854"/>
    </row>
    <row r="23" spans="1:2363" ht="15" customHeight="1" x14ac:dyDescent="0.25">
      <c r="A23" s="3868"/>
      <c r="B23" s="3881"/>
      <c r="C23" s="3211">
        <v>5</v>
      </c>
      <c r="D23" s="3216"/>
      <c r="E23" s="2723"/>
      <c r="F23" s="1799"/>
      <c r="G23" s="1800"/>
      <c r="H23" s="3205"/>
      <c r="I23" s="2008"/>
      <c r="J23" s="1805"/>
      <c r="K23" s="2974"/>
      <c r="L23" s="2975"/>
      <c r="M23" s="1817"/>
      <c r="N23" s="3218"/>
      <c r="O23" s="2000"/>
      <c r="P23" s="1819"/>
      <c r="Q23" s="2953"/>
      <c r="R23" s="2954"/>
      <c r="S23" s="2954"/>
      <c r="T23" s="2905"/>
      <c r="U23" s="2110"/>
      <c r="V23" s="2955"/>
      <c r="W23" s="2956"/>
      <c r="X23" s="2957"/>
      <c r="Y23" s="2924"/>
      <c r="Z23" s="3204"/>
      <c r="AA23" s="1851"/>
      <c r="AB23" s="1894"/>
      <c r="AC23" s="1966"/>
      <c r="AD23" s="1897"/>
      <c r="AE23" s="1897"/>
      <c r="AF23" s="1893"/>
      <c r="AG23" s="2870"/>
      <c r="AH23" s="2112"/>
      <c r="AI23" s="3412"/>
      <c r="AJ23" s="1970"/>
      <c r="AK23" s="2454"/>
      <c r="AL23" s="3206">
        <v>0</v>
      </c>
      <c r="AM23" s="3208">
        <v>0</v>
      </c>
      <c r="AN23" s="2130">
        <f t="shared" si="22"/>
        <v>0</v>
      </c>
      <c r="AO23" s="2162"/>
      <c r="AP23" s="2181"/>
      <c r="AQ23" s="2181"/>
      <c r="AR23" s="3286"/>
      <c r="AS23" s="2164">
        <f t="shared" si="27"/>
        <v>0</v>
      </c>
      <c r="AT23" s="2504"/>
      <c r="AU23" s="1846"/>
      <c r="AV23" s="1846"/>
      <c r="AW23" s="2493"/>
      <c r="AX23" s="3289"/>
      <c r="AY23" s="3292"/>
      <c r="AZ23" s="2130">
        <f t="shared" si="31"/>
        <v>0</v>
      </c>
      <c r="BA23" s="3085"/>
      <c r="BB23" s="3086"/>
      <c r="BC23" s="3086"/>
      <c r="BD23" s="3086"/>
      <c r="BE23" s="3075">
        <f t="shared" si="25"/>
        <v>0</v>
      </c>
      <c r="BF23" s="2122"/>
      <c r="BG23" s="2504"/>
      <c r="BH23" s="1846"/>
      <c r="BI23" s="3210"/>
      <c r="BJ23" s="3416">
        <f t="shared" si="28"/>
        <v>0</v>
      </c>
      <c r="BK23" s="1970">
        <v>0</v>
      </c>
      <c r="BL23" s="3400">
        <f t="shared" si="33"/>
        <v>0</v>
      </c>
      <c r="BM23" s="3431">
        <f>AD23+AO23</f>
        <v>0</v>
      </c>
      <c r="BN23" s="3441">
        <f t="shared" si="23"/>
        <v>0</v>
      </c>
      <c r="BO23" s="3442">
        <f t="shared" si="23"/>
        <v>0</v>
      </c>
      <c r="BP23" s="3303">
        <f t="shared" si="23"/>
        <v>0</v>
      </c>
      <c r="BQ23" s="3468">
        <f t="shared" si="29"/>
        <v>0</v>
      </c>
      <c r="BR23" s="3446">
        <f t="shared" si="24"/>
        <v>0</v>
      </c>
      <c r="BS23" s="1858">
        <f t="shared" si="24"/>
        <v>0</v>
      </c>
      <c r="BT23" s="3449">
        <f t="shared" si="26"/>
        <v>0</v>
      </c>
      <c r="BU23" s="3144"/>
      <c r="BV23" s="3058"/>
      <c r="BW23" s="3058"/>
      <c r="BX23" s="3058"/>
      <c r="BY23" s="3144"/>
      <c r="BZ23" s="3144"/>
      <c r="CA23" s="3147"/>
      <c r="CB23" s="3148"/>
      <c r="CC23" s="3147"/>
      <c r="CD23" s="3147"/>
      <c r="CE23" s="3147"/>
      <c r="CF23" s="3147"/>
      <c r="CG23" s="3147"/>
      <c r="CH23" s="1050"/>
      <c r="CI23" s="2854"/>
      <c r="CJ23" s="175"/>
      <c r="CK23" s="2854"/>
      <c r="CL23" s="175"/>
      <c r="CM23" s="2854"/>
      <c r="CN23" s="175"/>
      <c r="CO23" s="2854"/>
      <c r="CP23" s="175"/>
      <c r="CQ23" s="2854"/>
      <c r="CR23" s="2854"/>
      <c r="CS23" s="2854"/>
      <c r="CT23" s="2854"/>
      <c r="CU23" s="175"/>
      <c r="CV23" s="2854"/>
      <c r="CW23" s="2854"/>
      <c r="CX23" s="2854"/>
      <c r="CY23" s="2854"/>
      <c r="CZ23" s="2854"/>
      <c r="DA23" s="2854"/>
      <c r="DB23" s="2854"/>
      <c r="DC23" s="2854"/>
      <c r="DD23" s="2854"/>
      <c r="DE23" s="2854"/>
      <c r="DF23" s="2854"/>
      <c r="DG23" s="2854"/>
      <c r="DH23" s="2854"/>
      <c r="DI23" s="2854"/>
      <c r="DJ23" s="2854"/>
      <c r="DK23" s="2854"/>
      <c r="DL23" s="2854"/>
      <c r="DM23" s="2854"/>
      <c r="DN23" s="2854"/>
      <c r="DO23" s="2854"/>
      <c r="DP23" s="2854"/>
      <c r="DQ23" s="2854"/>
      <c r="DR23" s="2854"/>
      <c r="DS23" s="2854"/>
      <c r="DT23" s="2854"/>
      <c r="DU23" s="2854"/>
      <c r="DV23" s="2854"/>
      <c r="DW23" s="2854"/>
      <c r="DX23" s="2854"/>
      <c r="DY23" s="2854"/>
      <c r="DZ23" s="2854"/>
      <c r="EA23" s="2854"/>
      <c r="EB23" s="2854"/>
      <c r="EC23" s="2854"/>
      <c r="ED23" s="2854"/>
      <c r="EE23" s="2854"/>
      <c r="EF23" s="2854"/>
      <c r="EG23" s="2854"/>
      <c r="EH23" s="2854"/>
      <c r="EI23" s="2854"/>
      <c r="EJ23" s="2854"/>
      <c r="EK23" s="2854"/>
      <c r="EL23" s="2854"/>
      <c r="EM23" s="2854"/>
      <c r="EN23" s="2854"/>
      <c r="EO23" s="2854"/>
      <c r="EP23" s="2854"/>
      <c r="EQ23" s="2854"/>
      <c r="ER23" s="2854"/>
      <c r="ES23" s="2854"/>
      <c r="ET23" s="2854"/>
      <c r="EU23" s="2854"/>
      <c r="EV23" s="2854"/>
      <c r="EW23" s="2854"/>
      <c r="EX23" s="2854"/>
      <c r="EY23" s="2854"/>
      <c r="EZ23" s="2854"/>
      <c r="FA23" s="2854"/>
      <c r="FB23" s="2854"/>
      <c r="FC23" s="2854"/>
      <c r="FD23" s="2854"/>
      <c r="FE23" s="2854"/>
      <c r="FF23" s="2854"/>
      <c r="FG23" s="2854"/>
      <c r="FH23" s="2854"/>
      <c r="FI23" s="2854"/>
      <c r="FJ23" s="2854"/>
      <c r="FK23" s="2854"/>
      <c r="FL23" s="2854"/>
      <c r="FM23" s="2854"/>
      <c r="FN23" s="2854"/>
      <c r="FO23" s="2854"/>
      <c r="FP23" s="2854"/>
      <c r="FQ23" s="2854"/>
      <c r="FR23" s="2854"/>
      <c r="FS23" s="2854"/>
      <c r="FT23" s="2854"/>
      <c r="FU23" s="2854"/>
      <c r="FV23" s="2854"/>
      <c r="FW23" s="2854"/>
      <c r="FX23" s="2854"/>
      <c r="FY23" s="2854"/>
      <c r="FZ23" s="2854"/>
      <c r="GA23" s="2854"/>
      <c r="GB23" s="2854"/>
      <c r="GC23" s="2854"/>
      <c r="GD23" s="2854"/>
      <c r="GE23" s="2854"/>
      <c r="GF23" s="2854"/>
      <c r="GG23" s="2854"/>
      <c r="GH23" s="2854"/>
      <c r="GI23" s="2854"/>
      <c r="GJ23" s="2854"/>
      <c r="GK23" s="2854"/>
      <c r="GL23" s="2854"/>
      <c r="GM23" s="2854"/>
      <c r="GN23" s="2854"/>
      <c r="GO23" s="2854"/>
      <c r="GP23" s="2854"/>
      <c r="GQ23" s="2854"/>
      <c r="GR23" s="2854"/>
      <c r="GS23" s="2854"/>
      <c r="GT23" s="2854"/>
      <c r="GU23" s="2854"/>
      <c r="GV23" s="2854"/>
      <c r="GW23" s="2854"/>
      <c r="GX23" s="2854"/>
      <c r="GY23" s="2854"/>
      <c r="GZ23" s="2854"/>
      <c r="HA23" s="2854"/>
      <c r="HB23" s="2854"/>
      <c r="HC23" s="2854"/>
      <c r="HD23" s="2854"/>
      <c r="HE23" s="2854"/>
      <c r="HF23" s="2854"/>
      <c r="HG23" s="2854"/>
      <c r="HH23" s="2854"/>
      <c r="HI23" s="2854"/>
      <c r="HJ23" s="2854"/>
      <c r="HK23" s="2854"/>
      <c r="HL23" s="2854"/>
      <c r="HM23" s="2854"/>
      <c r="HN23" s="2854"/>
      <c r="HO23" s="2854"/>
      <c r="HP23" s="2854"/>
      <c r="HQ23" s="2854"/>
      <c r="HR23" s="2854"/>
      <c r="HS23" s="2854"/>
      <c r="HT23" s="2854"/>
      <c r="HU23" s="2854"/>
      <c r="HV23" s="2854"/>
      <c r="HW23" s="2854"/>
      <c r="HX23" s="2854"/>
      <c r="HY23" s="2854"/>
      <c r="HZ23" s="2854"/>
      <c r="IA23" s="2854"/>
      <c r="IB23" s="2854"/>
      <c r="IC23" s="2854"/>
      <c r="ID23" s="2854"/>
      <c r="IE23" s="2854"/>
      <c r="IF23" s="2854"/>
      <c r="IG23" s="2854"/>
      <c r="IH23" s="2854"/>
      <c r="II23" s="2854"/>
      <c r="IJ23" s="2854"/>
      <c r="IK23" s="2854"/>
      <c r="IL23" s="2854"/>
      <c r="IM23" s="2854"/>
      <c r="IN23" s="2854"/>
      <c r="IO23" s="2854"/>
      <c r="IP23" s="2854"/>
      <c r="IQ23" s="2854"/>
      <c r="IR23" s="2854"/>
      <c r="IS23" s="2854"/>
      <c r="IT23" s="2854"/>
      <c r="IU23" s="2854"/>
      <c r="IV23" s="2854"/>
      <c r="IW23" s="2854"/>
      <c r="IX23" s="2854"/>
      <c r="IY23" s="2854"/>
      <c r="IZ23" s="2854"/>
      <c r="JA23" s="2854"/>
      <c r="JB23" s="2854"/>
      <c r="JC23" s="2854"/>
      <c r="JD23" s="2854"/>
      <c r="JE23" s="2854"/>
      <c r="JF23" s="2854"/>
      <c r="JG23" s="2854"/>
      <c r="JH23" s="2854"/>
      <c r="JI23" s="2854"/>
      <c r="JJ23" s="2854"/>
      <c r="JK23" s="2854"/>
      <c r="JL23" s="2854"/>
      <c r="JM23" s="2854"/>
      <c r="JN23" s="2854"/>
      <c r="JO23" s="2854"/>
      <c r="JP23" s="2854"/>
      <c r="JQ23" s="2854"/>
      <c r="JR23" s="2854"/>
      <c r="JS23" s="2854"/>
      <c r="JT23" s="2854"/>
      <c r="JU23" s="2854"/>
      <c r="JV23" s="2854"/>
      <c r="JW23" s="2854"/>
      <c r="JX23" s="2854"/>
      <c r="JY23" s="2854"/>
      <c r="JZ23" s="2854"/>
      <c r="KA23" s="2854"/>
      <c r="KB23" s="2854"/>
      <c r="KC23" s="2854"/>
      <c r="KD23" s="2854"/>
      <c r="KE23" s="2854"/>
      <c r="KF23" s="2854"/>
      <c r="KG23" s="2854"/>
      <c r="KH23" s="2854"/>
      <c r="KI23" s="2854"/>
      <c r="KJ23" s="2854"/>
      <c r="KK23" s="2854"/>
      <c r="KL23" s="2854"/>
      <c r="KM23" s="2854"/>
      <c r="KN23" s="2854"/>
      <c r="KO23" s="2854"/>
      <c r="KP23" s="2854"/>
      <c r="KQ23" s="2854"/>
      <c r="KR23" s="2854"/>
      <c r="KS23" s="2854"/>
      <c r="KT23" s="2854"/>
      <c r="KU23" s="2854"/>
      <c r="KV23" s="2854"/>
      <c r="KW23" s="2854"/>
      <c r="KX23" s="2854"/>
      <c r="KY23" s="2854"/>
      <c r="KZ23" s="2854"/>
      <c r="LA23" s="2854"/>
      <c r="LB23" s="2854"/>
      <c r="LC23" s="2854"/>
      <c r="LD23" s="2854"/>
      <c r="LE23" s="2854"/>
      <c r="LF23" s="2854"/>
      <c r="LG23" s="2854"/>
      <c r="LH23" s="2854"/>
      <c r="LI23" s="2854"/>
      <c r="LJ23" s="2854"/>
      <c r="LK23" s="2854"/>
      <c r="LL23" s="2854"/>
      <c r="LM23" s="2854"/>
      <c r="LN23" s="2854"/>
      <c r="LO23" s="2854"/>
      <c r="LP23" s="2854"/>
      <c r="LQ23" s="2854"/>
      <c r="LR23" s="2854"/>
      <c r="LS23" s="2854"/>
      <c r="LT23" s="2854"/>
      <c r="LU23" s="2854"/>
      <c r="LV23" s="2854"/>
      <c r="LW23" s="2854"/>
      <c r="LX23" s="2854"/>
      <c r="LY23" s="2854"/>
      <c r="LZ23" s="2854"/>
      <c r="MA23" s="2854"/>
      <c r="MB23" s="2854"/>
      <c r="MC23" s="2854"/>
      <c r="MD23" s="2854"/>
      <c r="ME23" s="2854"/>
      <c r="MF23" s="2854"/>
      <c r="MG23" s="2854"/>
      <c r="MH23" s="2854"/>
      <c r="MI23" s="2854"/>
      <c r="MJ23" s="2854"/>
      <c r="MK23" s="2854"/>
      <c r="ML23" s="2854"/>
      <c r="MM23" s="2854"/>
      <c r="MN23" s="2854"/>
      <c r="MO23" s="2854"/>
      <c r="MP23" s="2854"/>
      <c r="MQ23" s="2854"/>
      <c r="MR23" s="2854"/>
      <c r="MS23" s="2854"/>
      <c r="MT23" s="2854"/>
      <c r="MU23" s="2854"/>
      <c r="MV23" s="2854"/>
      <c r="MW23" s="2854"/>
      <c r="MX23" s="2854"/>
      <c r="MY23" s="2854"/>
      <c r="MZ23" s="2854"/>
      <c r="NA23" s="2854"/>
      <c r="NB23" s="2854"/>
      <c r="NC23" s="2854"/>
      <c r="ND23" s="2854"/>
      <c r="NE23" s="2854"/>
      <c r="NF23" s="2854"/>
      <c r="NG23" s="2854"/>
      <c r="NH23" s="2854"/>
      <c r="NI23" s="2854"/>
      <c r="NJ23" s="2854"/>
      <c r="NK23" s="2854"/>
      <c r="NL23" s="2854"/>
      <c r="NM23" s="2854"/>
      <c r="NN23" s="2854"/>
      <c r="NO23" s="2854"/>
      <c r="NP23" s="2854"/>
      <c r="NQ23" s="2854"/>
      <c r="NR23" s="2854"/>
      <c r="NS23" s="2854"/>
      <c r="NT23" s="2854"/>
      <c r="NU23" s="2854"/>
      <c r="NV23" s="2854"/>
      <c r="NW23" s="2854"/>
      <c r="NX23" s="2854"/>
      <c r="NY23" s="2854"/>
      <c r="NZ23" s="2854"/>
      <c r="OA23" s="2854"/>
      <c r="OB23" s="2854"/>
      <c r="OC23" s="2854"/>
      <c r="OD23" s="2854"/>
      <c r="OE23" s="2854"/>
      <c r="OF23" s="2854"/>
      <c r="OG23" s="2854"/>
      <c r="OH23" s="2854"/>
      <c r="OI23" s="2854"/>
      <c r="OJ23" s="2854"/>
      <c r="OK23" s="2854"/>
      <c r="OL23" s="2854"/>
      <c r="OM23" s="2854"/>
      <c r="ON23" s="2854"/>
      <c r="OO23" s="2854"/>
      <c r="OP23" s="2854"/>
      <c r="OQ23" s="2854"/>
      <c r="OR23" s="2854"/>
      <c r="OS23" s="2854"/>
      <c r="OT23" s="2854"/>
      <c r="OU23" s="2854"/>
      <c r="OV23" s="2854"/>
      <c r="OW23" s="2854"/>
      <c r="OX23" s="2854"/>
      <c r="OY23" s="2854"/>
      <c r="OZ23" s="2854"/>
      <c r="PA23" s="2854"/>
      <c r="PB23" s="2854"/>
      <c r="PC23" s="2854"/>
      <c r="PD23" s="2854"/>
      <c r="PE23" s="2854"/>
      <c r="PF23" s="2854"/>
      <c r="PG23" s="2854"/>
      <c r="PH23" s="2854"/>
      <c r="PI23" s="2854"/>
      <c r="PJ23" s="2854"/>
      <c r="PK23" s="2854"/>
      <c r="PL23" s="2854"/>
      <c r="PM23" s="2854"/>
      <c r="PN23" s="2854"/>
      <c r="PO23" s="2854"/>
      <c r="PP23" s="2854"/>
      <c r="PQ23" s="2854"/>
      <c r="PR23" s="2854"/>
      <c r="PS23" s="2854"/>
      <c r="PT23" s="2854"/>
      <c r="PU23" s="2854"/>
      <c r="PV23" s="2854"/>
      <c r="PW23" s="2854"/>
      <c r="PX23" s="2854"/>
      <c r="PY23" s="2854"/>
      <c r="PZ23" s="2854"/>
      <c r="QA23" s="2854"/>
      <c r="QB23" s="2854"/>
      <c r="QC23" s="2854"/>
      <c r="QD23" s="2854"/>
      <c r="QE23" s="2854"/>
      <c r="QF23" s="2854"/>
      <c r="QG23" s="2854"/>
      <c r="QH23" s="2854"/>
      <c r="QI23" s="2854"/>
      <c r="QJ23" s="2854"/>
      <c r="QK23" s="2854"/>
      <c r="QL23" s="2854"/>
      <c r="QM23" s="2854"/>
      <c r="QN23" s="2854"/>
      <c r="QO23" s="2854"/>
      <c r="QP23" s="2854"/>
      <c r="QQ23" s="2854"/>
      <c r="QR23" s="2854"/>
      <c r="QS23" s="2854"/>
      <c r="QT23" s="2854"/>
      <c r="QU23" s="2854"/>
      <c r="QV23" s="2854"/>
      <c r="QW23" s="2854"/>
      <c r="QX23" s="2854"/>
      <c r="QY23" s="2854"/>
      <c r="QZ23" s="2854"/>
      <c r="RA23" s="2854"/>
      <c r="RB23" s="2854"/>
      <c r="RC23" s="2854"/>
      <c r="RD23" s="2854"/>
      <c r="RE23" s="2854"/>
      <c r="RF23" s="2854"/>
      <c r="RG23" s="2854"/>
      <c r="RH23" s="2854"/>
      <c r="RI23" s="2854"/>
      <c r="RJ23" s="2854"/>
      <c r="RK23" s="2854"/>
      <c r="RL23" s="2854"/>
      <c r="RM23" s="2854"/>
      <c r="RN23" s="2854"/>
      <c r="RO23" s="2854"/>
      <c r="RP23" s="2854"/>
      <c r="RQ23" s="2854"/>
      <c r="RR23" s="2854"/>
      <c r="RS23" s="2854"/>
      <c r="RT23" s="2854"/>
      <c r="RU23" s="2854"/>
      <c r="RV23" s="2854"/>
      <c r="RW23" s="2854"/>
      <c r="RX23" s="2854"/>
      <c r="RY23" s="2854"/>
      <c r="RZ23" s="2854"/>
      <c r="SA23" s="2854"/>
      <c r="SB23" s="2854"/>
      <c r="SC23" s="2854"/>
      <c r="SD23" s="2854"/>
      <c r="SE23" s="2854"/>
      <c r="SF23" s="2854"/>
      <c r="SG23" s="2854"/>
      <c r="SH23" s="2854"/>
      <c r="SI23" s="2854"/>
      <c r="SJ23" s="2854"/>
      <c r="SK23" s="2854"/>
      <c r="SL23" s="2854"/>
      <c r="SM23" s="2854"/>
      <c r="SN23" s="2854"/>
      <c r="SO23" s="2854"/>
      <c r="SP23" s="2854"/>
      <c r="SQ23" s="2854"/>
      <c r="SR23" s="2854"/>
      <c r="SS23" s="2854"/>
      <c r="ST23" s="2854"/>
      <c r="SU23" s="2854"/>
      <c r="SV23" s="2854"/>
      <c r="SW23" s="2854"/>
      <c r="SX23" s="2854"/>
      <c r="SY23" s="2854"/>
      <c r="SZ23" s="2854"/>
      <c r="TA23" s="2854"/>
      <c r="TB23" s="2854"/>
      <c r="TC23" s="2854"/>
      <c r="TD23" s="2854"/>
      <c r="TE23" s="2854"/>
      <c r="TF23" s="2854"/>
      <c r="TG23" s="2854"/>
      <c r="TH23" s="2854"/>
      <c r="TI23" s="2854"/>
      <c r="TJ23" s="2854"/>
      <c r="TK23" s="2854"/>
      <c r="TL23" s="2854"/>
      <c r="TM23" s="2854"/>
      <c r="TN23" s="2854"/>
      <c r="TO23" s="2854"/>
      <c r="TP23" s="2854"/>
      <c r="TQ23" s="2854"/>
      <c r="TR23" s="2854"/>
      <c r="TS23" s="2854"/>
      <c r="TT23" s="2854"/>
      <c r="TU23" s="3783"/>
      <c r="TV23" s="3783"/>
      <c r="TW23" s="3783"/>
      <c r="TX23" s="3783"/>
      <c r="TY23" s="3783"/>
      <c r="TZ23" s="3783"/>
      <c r="UA23" s="3783"/>
      <c r="UB23" s="3783"/>
      <c r="UC23" s="3783"/>
      <c r="UD23" s="3783"/>
      <c r="UE23" s="3783"/>
      <c r="UF23" s="3783"/>
      <c r="UG23" s="3783"/>
      <c r="UH23" s="3783"/>
      <c r="UI23" s="3783"/>
      <c r="UJ23" s="3783"/>
      <c r="UK23" s="3783"/>
      <c r="UL23" s="3783"/>
      <c r="UM23" s="3783"/>
      <c r="UN23" s="3783"/>
      <c r="UO23" s="3783"/>
      <c r="UP23" s="2854"/>
      <c r="UQ23" s="2854"/>
      <c r="UR23" s="2854"/>
      <c r="US23" s="2854"/>
      <c r="UT23" s="2854"/>
      <c r="UU23" s="2854"/>
      <c r="UV23" s="2854"/>
      <c r="UW23" s="2854"/>
      <c r="UX23" s="2854"/>
      <c r="UY23" s="2854"/>
      <c r="UZ23" s="2854"/>
      <c r="VA23" s="2854"/>
      <c r="VB23" s="2854"/>
      <c r="VC23" s="2854"/>
      <c r="VD23" s="2854"/>
      <c r="VE23" s="2854"/>
      <c r="VF23" s="2854"/>
      <c r="VG23" s="2854"/>
      <c r="VH23" s="2854"/>
      <c r="VI23" s="2854"/>
      <c r="VJ23" s="2854"/>
      <c r="VK23" s="2854"/>
      <c r="VL23" s="2854"/>
      <c r="VM23" s="2854"/>
      <c r="VN23" s="2854"/>
      <c r="VO23" s="2854"/>
      <c r="VP23" s="2854"/>
      <c r="VQ23" s="2854"/>
      <c r="VR23" s="2854"/>
      <c r="VS23" s="2854"/>
      <c r="VT23" s="2854"/>
      <c r="VU23" s="2854"/>
      <c r="VV23" s="2854"/>
      <c r="VW23" s="2854"/>
      <c r="VX23" s="2854"/>
      <c r="VY23" s="2854"/>
      <c r="VZ23" s="2854"/>
      <c r="WA23" s="2854"/>
      <c r="WB23" s="2854"/>
      <c r="WC23" s="2854"/>
      <c r="WD23" s="2854"/>
      <c r="WE23" s="2854"/>
      <c r="WF23" s="2854"/>
      <c r="WG23" s="2854"/>
      <c r="WH23" s="2854"/>
      <c r="WI23" s="2854"/>
      <c r="WJ23" s="2854"/>
      <c r="WK23" s="2854"/>
      <c r="WL23" s="2854"/>
      <c r="WM23" s="2854"/>
      <c r="WN23" s="2854"/>
      <c r="WO23" s="2854"/>
      <c r="WP23" s="2854"/>
      <c r="WQ23" s="2854"/>
      <c r="WR23" s="2854"/>
      <c r="WS23" s="2854"/>
      <c r="WT23" s="2854"/>
      <c r="WU23" s="2854"/>
      <c r="WV23" s="2854"/>
      <c r="WW23" s="2854"/>
      <c r="WX23" s="2854"/>
      <c r="WY23" s="2854"/>
      <c r="WZ23" s="2854"/>
      <c r="XA23" s="2854"/>
      <c r="XB23" s="2854"/>
      <c r="XC23" s="2854"/>
      <c r="XD23" s="2854"/>
      <c r="XE23" s="2854"/>
      <c r="XF23" s="2854"/>
      <c r="XG23" s="2854"/>
      <c r="XH23" s="2854"/>
      <c r="XI23" s="2854"/>
      <c r="XJ23" s="2854"/>
      <c r="XK23" s="2854"/>
      <c r="XL23" s="2854"/>
      <c r="XM23" s="2854"/>
      <c r="XN23" s="2854"/>
      <c r="XO23" s="2854"/>
      <c r="XP23" s="2854"/>
      <c r="XQ23" s="2854"/>
      <c r="XR23" s="2854"/>
      <c r="XS23" s="2854"/>
      <c r="XT23" s="2854"/>
      <c r="XU23" s="2854"/>
      <c r="XV23" s="2854"/>
      <c r="XW23" s="2854"/>
      <c r="XX23" s="2854"/>
      <c r="XY23" s="2854"/>
      <c r="XZ23" s="2854"/>
      <c r="YA23" s="2854"/>
      <c r="YB23" s="2854"/>
      <c r="YC23" s="2854"/>
      <c r="YD23" s="2854"/>
      <c r="YE23" s="2854"/>
      <c r="YF23" s="2854"/>
      <c r="YG23" s="2854"/>
      <c r="YH23" s="2854"/>
      <c r="YI23" s="2854"/>
      <c r="YJ23" s="2854"/>
      <c r="YK23" s="2854"/>
      <c r="YL23" s="2854"/>
      <c r="YM23" s="2854"/>
      <c r="YN23" s="2854"/>
      <c r="YO23" s="2854"/>
      <c r="YP23" s="2854"/>
      <c r="YQ23" s="2854"/>
      <c r="YR23" s="2854"/>
      <c r="YS23" s="2854"/>
      <c r="YT23" s="2854"/>
      <c r="YU23" s="2854"/>
      <c r="YV23" s="2854"/>
      <c r="YW23" s="2854"/>
      <c r="YX23" s="2854"/>
      <c r="YY23" s="2854"/>
      <c r="YZ23" s="2854"/>
      <c r="ZA23" s="2854"/>
      <c r="ZB23" s="2854"/>
      <c r="ZC23" s="2854"/>
      <c r="ZD23" s="2854"/>
      <c r="ZE23" s="2854"/>
      <c r="ZF23" s="2854"/>
      <c r="ZG23" s="2854"/>
      <c r="ZH23" s="2854"/>
      <c r="ZI23" s="2854"/>
      <c r="ZJ23" s="2854"/>
      <c r="ZK23" s="2854"/>
      <c r="ZL23" s="2854"/>
      <c r="ZM23" s="2854"/>
      <c r="ZN23" s="2854"/>
      <c r="ZO23" s="2854"/>
      <c r="ZP23" s="2854"/>
      <c r="ZQ23" s="2854"/>
      <c r="ZR23" s="2854"/>
      <c r="ZS23" s="2854"/>
      <c r="ZT23" s="2854"/>
      <c r="ZU23" s="2854"/>
      <c r="ZV23" s="2854"/>
      <c r="ZW23" s="2854"/>
      <c r="ZX23" s="2854"/>
      <c r="ZY23" s="2854"/>
      <c r="ZZ23" s="2854"/>
      <c r="AAA23" s="2854"/>
      <c r="AAB23" s="2854"/>
      <c r="AAC23" s="2854"/>
      <c r="AAD23" s="2854"/>
      <c r="AAE23" s="2854"/>
      <c r="AAF23" s="2854"/>
      <c r="AAG23" s="2854"/>
      <c r="AAH23" s="2854"/>
      <c r="AAI23" s="2854"/>
      <c r="AAJ23" s="2854"/>
      <c r="AAK23" s="2854"/>
      <c r="AAL23" s="2854"/>
      <c r="AAM23" s="2854"/>
      <c r="AAN23" s="2854"/>
      <c r="AAO23" s="2854"/>
      <c r="AAP23" s="2854"/>
      <c r="AAQ23" s="2854"/>
      <c r="AAR23" s="2854"/>
      <c r="AAS23" s="2854"/>
      <c r="AAT23" s="2854"/>
      <c r="AAU23" s="2854"/>
      <c r="AAV23" s="2854"/>
      <c r="AAW23" s="2854"/>
      <c r="AAX23" s="2854"/>
      <c r="AAY23" s="2854"/>
      <c r="AAZ23" s="2854"/>
      <c r="ABA23" s="2854"/>
      <c r="ABB23" s="2854"/>
      <c r="ABC23" s="2854"/>
      <c r="ABD23" s="2854"/>
      <c r="ABE23" s="2854"/>
      <c r="ABF23" s="2854"/>
      <c r="ABG23" s="2854"/>
      <c r="ABH23" s="2854"/>
      <c r="ABI23" s="2854"/>
      <c r="ABJ23" s="2854"/>
      <c r="ABK23" s="2854"/>
      <c r="ABL23" s="2854"/>
      <c r="ABM23" s="2854"/>
      <c r="ABN23" s="2854"/>
      <c r="ABO23" s="2854"/>
      <c r="ABP23" s="2854"/>
      <c r="ABQ23" s="2854"/>
      <c r="ABR23" s="2854"/>
      <c r="ABS23" s="2854"/>
      <c r="ABT23" s="2854"/>
      <c r="ABU23" s="2854"/>
      <c r="ABV23" s="2854"/>
      <c r="ABW23" s="2854"/>
      <c r="ABX23" s="2854"/>
      <c r="ABY23" s="2854"/>
      <c r="ABZ23" s="2854"/>
      <c r="ACA23" s="2854"/>
      <c r="ACB23" s="2854"/>
      <c r="ACC23" s="2854"/>
      <c r="ACD23" s="2854"/>
      <c r="ACE23" s="2854"/>
      <c r="ACF23" s="2854"/>
      <c r="ACG23" s="2854"/>
      <c r="ACH23" s="2854"/>
      <c r="ACI23" s="2854"/>
      <c r="ACJ23" s="2854"/>
      <c r="ACK23" s="2854"/>
      <c r="ACL23" s="2854"/>
      <c r="ACM23" s="2854"/>
      <c r="ACN23" s="2854"/>
      <c r="ACO23" s="2854"/>
      <c r="ACP23" s="2854"/>
      <c r="ACQ23" s="2854"/>
      <c r="ACR23" s="2854"/>
      <c r="ACS23" s="2854"/>
      <c r="ACT23" s="2854"/>
      <c r="ACU23" s="2854"/>
      <c r="ACV23" s="2854"/>
      <c r="ACW23" s="2854"/>
      <c r="ACX23" s="2854"/>
      <c r="ACY23" s="2854"/>
      <c r="ACZ23" s="2854"/>
      <c r="ADA23" s="2854"/>
      <c r="ADB23" s="2854"/>
      <c r="ADC23" s="2854"/>
      <c r="ADD23" s="2854"/>
      <c r="ADE23" s="2854"/>
      <c r="ADF23" s="2854"/>
      <c r="ADG23" s="2854"/>
      <c r="ADH23" s="2854"/>
      <c r="ADI23" s="2854"/>
      <c r="ADJ23" s="2854"/>
      <c r="ADK23" s="2854"/>
      <c r="ADL23" s="2854"/>
      <c r="ADM23" s="2854"/>
      <c r="ADN23" s="2854"/>
      <c r="ADO23" s="2854"/>
      <c r="ADP23" s="2854"/>
      <c r="ADQ23" s="2854"/>
      <c r="ADR23" s="2854"/>
      <c r="ADS23" s="2854"/>
      <c r="ADT23" s="2854"/>
      <c r="ADU23" s="2854"/>
      <c r="ADV23" s="2854"/>
      <c r="ADW23" s="2854"/>
      <c r="ADX23" s="2854"/>
      <c r="ADY23" s="2854"/>
      <c r="ADZ23" s="2854"/>
      <c r="AEA23" s="2854"/>
      <c r="AEB23" s="2854"/>
      <c r="AEC23" s="2854"/>
      <c r="AED23" s="2854"/>
      <c r="AEE23" s="2854"/>
      <c r="AEF23" s="2854"/>
      <c r="AEG23" s="2854"/>
      <c r="AEH23" s="2854"/>
      <c r="AEI23" s="2854"/>
      <c r="AEJ23" s="2854"/>
      <c r="AEK23" s="2854"/>
      <c r="AEL23" s="2854"/>
      <c r="AEM23" s="2854"/>
      <c r="AEN23" s="2854"/>
      <c r="AEO23" s="2854"/>
      <c r="AEP23" s="2854"/>
      <c r="AEQ23" s="2854"/>
      <c r="AER23" s="2854"/>
      <c r="AES23" s="2854"/>
      <c r="AET23" s="2854"/>
      <c r="AEU23" s="2854"/>
      <c r="AEV23" s="2854"/>
      <c r="AEW23" s="2854"/>
      <c r="AEX23" s="2854"/>
      <c r="AEY23" s="2854"/>
      <c r="AEZ23" s="2854"/>
      <c r="AFA23" s="2854"/>
      <c r="AFB23" s="2854"/>
      <c r="AFC23" s="2854"/>
      <c r="AFD23" s="2854"/>
      <c r="AFE23" s="2854"/>
      <c r="AFF23" s="2854"/>
      <c r="AFG23" s="2854"/>
      <c r="AFH23" s="2854"/>
      <c r="AFI23" s="2854"/>
      <c r="AFJ23" s="2854"/>
      <c r="AFK23" s="2854"/>
      <c r="AFL23" s="2854"/>
      <c r="AFM23" s="2854"/>
      <c r="AFN23" s="2854"/>
      <c r="AFO23" s="2854"/>
      <c r="AFP23" s="2854"/>
      <c r="AFQ23" s="2854"/>
      <c r="AFR23" s="2854"/>
      <c r="AFS23" s="2854"/>
      <c r="AFT23" s="2854"/>
      <c r="AFU23" s="2854"/>
      <c r="AFV23" s="2854"/>
      <c r="AFW23" s="2854"/>
      <c r="AFX23" s="2854"/>
      <c r="AFY23" s="2854"/>
      <c r="AFZ23" s="2854"/>
      <c r="AGA23" s="2854"/>
      <c r="AGB23" s="2854"/>
      <c r="AGC23" s="2854"/>
      <c r="AGD23" s="2854"/>
      <c r="AGE23" s="2854"/>
      <c r="AGF23" s="2854"/>
      <c r="AGG23" s="2854"/>
      <c r="AGH23" s="2854"/>
      <c r="AGI23" s="2854"/>
      <c r="AGJ23" s="2854"/>
      <c r="AGK23" s="2854"/>
      <c r="AGL23" s="2854"/>
      <c r="AGM23" s="2854"/>
      <c r="AGN23" s="2854"/>
      <c r="AGO23" s="2854"/>
      <c r="AGP23" s="2854"/>
      <c r="AGQ23" s="2854"/>
      <c r="AGR23" s="2854"/>
      <c r="AGS23" s="2854"/>
      <c r="AGT23" s="2854"/>
      <c r="AGU23" s="2854"/>
      <c r="AGV23" s="2854"/>
      <c r="AGW23" s="2854"/>
      <c r="AGX23" s="2854"/>
      <c r="AGY23" s="2854"/>
      <c r="AGZ23" s="2854"/>
      <c r="AHA23" s="2854"/>
      <c r="AHB23" s="2854"/>
      <c r="AHC23" s="2854"/>
      <c r="AHD23" s="2854"/>
      <c r="AHE23" s="2854"/>
      <c r="AHF23" s="2854"/>
      <c r="AHG23" s="2854"/>
      <c r="AHH23" s="2854"/>
      <c r="AHI23" s="2854"/>
      <c r="AHJ23" s="2854"/>
      <c r="AHK23" s="2854"/>
      <c r="AHL23" s="2854"/>
      <c r="AHM23" s="2854"/>
      <c r="AHN23" s="2854"/>
      <c r="AHO23" s="2854"/>
      <c r="AHP23" s="2854"/>
      <c r="AHQ23" s="2854"/>
      <c r="AHR23" s="2854"/>
      <c r="AHS23" s="2854"/>
      <c r="AHT23" s="2854"/>
      <c r="AHU23" s="2854"/>
      <c r="AHV23" s="2854"/>
      <c r="AHW23" s="2854"/>
      <c r="AHX23" s="2854"/>
      <c r="AHY23" s="2854"/>
      <c r="AHZ23" s="2854"/>
      <c r="AIA23" s="2854"/>
      <c r="AIB23" s="2854"/>
      <c r="AIC23" s="2854"/>
      <c r="AID23" s="2854"/>
      <c r="AIE23" s="2854"/>
      <c r="AIF23" s="2854"/>
      <c r="AIG23" s="2854"/>
      <c r="AIH23" s="2854"/>
      <c r="AII23" s="2854"/>
      <c r="AIJ23" s="2854"/>
      <c r="AIK23" s="2854"/>
      <c r="AIL23" s="2854"/>
      <c r="AIM23" s="2854"/>
      <c r="AIN23" s="2854"/>
      <c r="AIO23" s="2854"/>
      <c r="AIP23" s="2854"/>
      <c r="AIQ23" s="2854"/>
      <c r="AIR23" s="2854"/>
      <c r="AIS23" s="2854"/>
      <c r="AIT23" s="2854"/>
      <c r="AIU23" s="2854"/>
      <c r="AIV23" s="2854"/>
      <c r="AIW23" s="2854"/>
      <c r="AIX23" s="2854"/>
      <c r="AIY23" s="2854"/>
      <c r="AIZ23" s="2854"/>
      <c r="AJA23" s="2854"/>
      <c r="AJB23" s="2854"/>
      <c r="AJC23" s="2854"/>
      <c r="AJD23" s="2854"/>
      <c r="AJE23" s="2854"/>
      <c r="AJF23" s="2854"/>
      <c r="AJG23" s="2854"/>
      <c r="AJH23" s="2854"/>
      <c r="AJI23" s="2854"/>
      <c r="AJJ23" s="2854"/>
      <c r="AJK23" s="2854"/>
      <c r="AJL23" s="2854"/>
      <c r="AJM23" s="2854"/>
      <c r="AJN23" s="2854"/>
      <c r="AJO23" s="2854"/>
      <c r="AJP23" s="2854"/>
      <c r="AJQ23" s="2854"/>
      <c r="AJR23" s="2854"/>
      <c r="AJS23" s="2854"/>
      <c r="AJT23" s="2854"/>
      <c r="AJU23" s="2854"/>
      <c r="AJV23" s="2854"/>
      <c r="AJW23" s="2854"/>
      <c r="AJX23" s="2854"/>
      <c r="AJY23" s="2854"/>
      <c r="AJZ23" s="2854"/>
      <c r="AKA23" s="2854"/>
      <c r="AKB23" s="2854"/>
      <c r="AKC23" s="2854"/>
      <c r="AKD23" s="2854"/>
      <c r="AKE23" s="2854"/>
      <c r="AKF23" s="2854"/>
      <c r="AKG23" s="2854"/>
      <c r="AKH23" s="2854"/>
      <c r="AKI23" s="2854"/>
      <c r="AKJ23" s="2854"/>
      <c r="AKK23" s="2854"/>
      <c r="AKL23" s="2854"/>
      <c r="AKM23" s="2854"/>
      <c r="AKN23" s="2854"/>
      <c r="AKO23" s="2854"/>
      <c r="AKP23" s="2854"/>
      <c r="AKQ23" s="2854"/>
      <c r="AKR23" s="2854"/>
      <c r="AKS23" s="2854"/>
      <c r="AKT23" s="2854"/>
      <c r="AKU23" s="2854"/>
      <c r="AKV23" s="2854"/>
      <c r="AKW23" s="2854"/>
      <c r="AKX23" s="2854"/>
      <c r="AKY23" s="2854"/>
      <c r="AKZ23" s="2854"/>
      <c r="ALA23" s="2854"/>
      <c r="ALB23" s="2854"/>
      <c r="ALC23" s="2854"/>
      <c r="ALD23" s="2854"/>
      <c r="ALE23" s="2854"/>
      <c r="ALF23" s="2854"/>
      <c r="ALG23" s="2854"/>
      <c r="ALH23" s="2854"/>
      <c r="ALI23" s="2854"/>
      <c r="ALJ23" s="2854"/>
      <c r="ALK23" s="2854"/>
      <c r="ALL23" s="2854"/>
      <c r="ALM23" s="2854"/>
      <c r="ALN23" s="2854"/>
      <c r="ALO23" s="2854"/>
      <c r="ALP23" s="2854"/>
      <c r="ALQ23" s="2854"/>
      <c r="ALR23" s="2854"/>
      <c r="ALS23" s="2854"/>
      <c r="ALT23" s="2854"/>
      <c r="ALU23" s="2854"/>
      <c r="ALV23" s="2854"/>
      <c r="ALW23" s="2854"/>
      <c r="ALX23" s="2854"/>
      <c r="ALY23" s="2854"/>
      <c r="ALZ23" s="2854"/>
      <c r="AMA23" s="2854"/>
      <c r="AMB23" s="2854"/>
      <c r="AMC23" s="2854"/>
      <c r="AMD23" s="2854"/>
      <c r="AME23" s="2854"/>
      <c r="AMF23" s="2854"/>
      <c r="AMG23" s="2854"/>
      <c r="AMH23" s="2854"/>
      <c r="AMI23" s="2854"/>
      <c r="AMJ23" s="2854"/>
      <c r="AMK23" s="2854"/>
      <c r="AML23" s="2854"/>
      <c r="AMM23" s="2854"/>
      <c r="AMN23" s="2854"/>
      <c r="AMO23" s="2854"/>
      <c r="AMP23" s="2854"/>
      <c r="AMQ23" s="2854"/>
      <c r="AMR23" s="2854"/>
      <c r="AMS23" s="2854"/>
      <c r="AMT23" s="2854"/>
      <c r="AMU23" s="2854"/>
      <c r="AMV23" s="2854"/>
      <c r="AMW23" s="2854"/>
      <c r="AMX23" s="2854"/>
      <c r="AMY23" s="2854"/>
      <c r="AMZ23" s="2854"/>
      <c r="ANA23" s="2854"/>
      <c r="ANB23" s="2854"/>
      <c r="ANC23" s="2854"/>
      <c r="AND23" s="2854"/>
      <c r="ANE23" s="2854"/>
      <c r="ANF23" s="2854"/>
      <c r="ANG23" s="2854"/>
      <c r="ANH23" s="2854"/>
      <c r="ANI23" s="2854"/>
      <c r="ANJ23" s="2854"/>
      <c r="ANK23" s="2854"/>
      <c r="ANL23" s="2854"/>
      <c r="ANM23" s="2854"/>
      <c r="ANN23" s="2854"/>
      <c r="ANO23" s="2854"/>
      <c r="ANP23" s="2854"/>
      <c r="ANQ23" s="2854"/>
      <c r="ANR23" s="2854"/>
      <c r="ANS23" s="2854"/>
      <c r="ANT23" s="2854"/>
      <c r="ANU23" s="2854"/>
      <c r="ANV23" s="2854"/>
      <c r="ANW23" s="2854"/>
      <c r="ANX23" s="2854"/>
      <c r="ANY23" s="2854"/>
      <c r="ANZ23" s="2854"/>
      <c r="AOA23" s="2854"/>
      <c r="AOB23" s="2854"/>
      <c r="AOC23" s="2854"/>
      <c r="AOD23" s="2854"/>
      <c r="AOE23" s="2854"/>
      <c r="AOF23" s="2854"/>
      <c r="AOG23" s="2854"/>
      <c r="AOH23" s="2854"/>
      <c r="AOI23" s="2854"/>
      <c r="AOJ23" s="2854"/>
      <c r="AOK23" s="2854"/>
      <c r="AOL23" s="2854"/>
      <c r="AOM23" s="2854"/>
      <c r="AON23" s="2854"/>
      <c r="AOO23" s="2854"/>
      <c r="AOP23" s="2854"/>
      <c r="AOQ23" s="2854"/>
      <c r="AOR23" s="2854"/>
      <c r="AOS23" s="2854"/>
      <c r="AOT23" s="2854"/>
      <c r="AOU23" s="2854"/>
      <c r="AOV23" s="2854"/>
      <c r="AOW23" s="2854"/>
      <c r="AOX23" s="2854"/>
      <c r="AOY23" s="2854"/>
      <c r="AOZ23" s="2854"/>
      <c r="APA23" s="2854"/>
      <c r="APB23" s="2854"/>
      <c r="APC23" s="2854"/>
      <c r="APD23" s="2854"/>
      <c r="APE23" s="2854"/>
      <c r="APF23" s="2854"/>
      <c r="APG23" s="2854"/>
      <c r="APH23" s="2854"/>
      <c r="API23" s="2854"/>
      <c r="APJ23" s="2854"/>
      <c r="APK23" s="2854"/>
      <c r="APL23" s="2854"/>
      <c r="APM23" s="2854"/>
      <c r="APN23" s="2854"/>
      <c r="APO23" s="2854"/>
      <c r="APP23" s="2854"/>
      <c r="APQ23" s="2854"/>
      <c r="APR23" s="2854"/>
      <c r="APS23" s="2854"/>
      <c r="APT23" s="2854"/>
      <c r="APU23" s="2854"/>
      <c r="APV23" s="2854"/>
      <c r="APW23" s="2854"/>
      <c r="APX23" s="2854"/>
      <c r="APY23" s="2854"/>
      <c r="APZ23" s="2854"/>
      <c r="AQA23" s="2854"/>
      <c r="AQB23" s="2854"/>
      <c r="AQC23" s="2854"/>
      <c r="AQD23" s="2854"/>
      <c r="AQE23" s="2854"/>
      <c r="AQF23" s="2854"/>
      <c r="AQG23" s="2854"/>
      <c r="AQH23" s="2854"/>
      <c r="AQI23" s="2854"/>
      <c r="AQJ23" s="2854"/>
      <c r="AQK23" s="2854"/>
      <c r="AQL23" s="2854"/>
      <c r="AQM23" s="2854"/>
      <c r="AQN23" s="2854"/>
      <c r="AQO23" s="2854"/>
      <c r="AQP23" s="2854"/>
      <c r="AQQ23" s="2854"/>
      <c r="AQR23" s="2854"/>
      <c r="AQS23" s="2854"/>
      <c r="AQT23" s="2854"/>
      <c r="AQU23" s="2854"/>
      <c r="AQV23" s="2854"/>
      <c r="AQW23" s="2854"/>
      <c r="AQX23" s="2854"/>
      <c r="AQY23" s="2854"/>
      <c r="AQZ23" s="2854"/>
      <c r="ARA23" s="2854"/>
      <c r="ARB23" s="2854"/>
      <c r="ARC23" s="2854"/>
      <c r="ARD23" s="2854"/>
      <c r="ARE23" s="2854"/>
      <c r="ARF23" s="2854"/>
      <c r="ARG23" s="2854"/>
      <c r="ARH23" s="2854"/>
      <c r="ARI23" s="2854"/>
      <c r="ARJ23" s="2854"/>
      <c r="ARK23" s="2854"/>
      <c r="ARL23" s="2854"/>
      <c r="ARM23" s="2854"/>
      <c r="ARN23" s="2854"/>
      <c r="ARO23" s="2854"/>
      <c r="ARP23" s="2854"/>
      <c r="ARQ23" s="2854"/>
      <c r="ARR23" s="2854"/>
      <c r="ARS23" s="2854"/>
      <c r="ART23" s="2854"/>
      <c r="ARU23" s="2854"/>
      <c r="ARV23" s="2854"/>
      <c r="ARW23" s="2854"/>
      <c r="ARX23" s="2854"/>
      <c r="ARY23" s="2854"/>
      <c r="ARZ23" s="2854"/>
      <c r="ASA23" s="2854"/>
      <c r="ASB23" s="2854"/>
      <c r="ASC23" s="2854"/>
      <c r="ASD23" s="2854"/>
      <c r="ASE23" s="2854"/>
      <c r="ASF23" s="2854"/>
      <c r="ASG23" s="2854"/>
      <c r="ASH23" s="2854"/>
      <c r="ASI23" s="2854"/>
      <c r="ASJ23" s="2854"/>
      <c r="ASK23" s="2854"/>
      <c r="ASL23" s="2854"/>
      <c r="ASM23" s="2854"/>
      <c r="ASN23" s="2854"/>
      <c r="ASO23" s="2854"/>
      <c r="ASP23" s="2854"/>
      <c r="ASQ23" s="2854"/>
      <c r="ASR23" s="2854"/>
      <c r="ASS23" s="2854"/>
      <c r="AST23" s="2854"/>
      <c r="ASU23" s="2854"/>
      <c r="ASV23" s="2854"/>
      <c r="ASW23" s="2854"/>
      <c r="ASX23" s="2854"/>
      <c r="ASY23" s="2854"/>
      <c r="ASZ23" s="2854"/>
      <c r="ATA23" s="2854"/>
      <c r="ATB23" s="2854"/>
      <c r="ATC23" s="2854"/>
      <c r="ATD23" s="2854"/>
      <c r="ATE23" s="2854"/>
      <c r="ATF23" s="2854"/>
      <c r="ATG23" s="2854"/>
      <c r="ATH23" s="2854"/>
      <c r="ATI23" s="2854"/>
      <c r="ATJ23" s="2854"/>
      <c r="ATK23" s="2854"/>
      <c r="ATL23" s="2854"/>
      <c r="ATM23" s="2854"/>
      <c r="ATN23" s="2854"/>
      <c r="ATO23" s="2854"/>
      <c r="ATP23" s="2854"/>
      <c r="ATQ23" s="2854"/>
      <c r="ATR23" s="2854"/>
      <c r="ATS23" s="2854"/>
      <c r="ATT23" s="2854"/>
      <c r="ATU23" s="2854"/>
      <c r="ATV23" s="2854"/>
      <c r="ATW23" s="2854"/>
      <c r="ATX23" s="2854"/>
      <c r="ATY23" s="2854"/>
      <c r="ATZ23" s="2854"/>
      <c r="AUA23" s="2854"/>
      <c r="AUB23" s="2854"/>
      <c r="AUC23" s="2854"/>
      <c r="AUD23" s="2854"/>
      <c r="AUE23" s="2854"/>
      <c r="AUF23" s="2854"/>
      <c r="AUG23" s="2854"/>
      <c r="AUH23" s="2854"/>
      <c r="AUI23" s="2854"/>
      <c r="AUJ23" s="2854"/>
      <c r="AUK23" s="2854"/>
      <c r="AUL23" s="2854"/>
      <c r="AUM23" s="2854"/>
      <c r="AUN23" s="2854"/>
      <c r="AUO23" s="2854"/>
      <c r="AUP23" s="2854"/>
      <c r="AUQ23" s="2854"/>
      <c r="AUR23" s="2854"/>
      <c r="AUS23" s="2854"/>
      <c r="AUT23" s="2854"/>
      <c r="AUU23" s="2854"/>
      <c r="AUV23" s="2854"/>
      <c r="AUW23" s="2854"/>
      <c r="AUX23" s="2854"/>
      <c r="AUY23" s="2854"/>
      <c r="AUZ23" s="2854"/>
      <c r="AVA23" s="2854"/>
      <c r="AVB23" s="2854"/>
      <c r="AVC23" s="2854"/>
      <c r="AVD23" s="2854"/>
      <c r="AVE23" s="2854"/>
      <c r="AVF23" s="2854"/>
      <c r="AVG23" s="2854"/>
      <c r="AVH23" s="2854"/>
      <c r="AVI23" s="2854"/>
      <c r="AVJ23" s="2854"/>
      <c r="AVK23" s="2854"/>
      <c r="AVL23" s="2854"/>
      <c r="AVM23" s="2854"/>
      <c r="AVN23" s="2854"/>
      <c r="AVO23" s="2854"/>
      <c r="AVP23" s="2854"/>
      <c r="AVQ23" s="2854"/>
      <c r="AVR23" s="2854"/>
      <c r="AVS23" s="2854"/>
      <c r="AVT23" s="2854"/>
      <c r="AVU23" s="2854"/>
      <c r="AVV23" s="2854"/>
      <c r="AVW23" s="2854"/>
      <c r="AVX23" s="2854"/>
      <c r="AVY23" s="2854"/>
      <c r="AVZ23" s="2854"/>
      <c r="AWA23" s="2854"/>
      <c r="AWB23" s="2854"/>
      <c r="AWC23" s="2854"/>
      <c r="AWD23" s="2854"/>
      <c r="AWE23" s="2854"/>
      <c r="AWF23" s="2854"/>
      <c r="AWG23" s="2854"/>
      <c r="AWH23" s="2854"/>
      <c r="AWI23" s="2854"/>
      <c r="AWJ23" s="2854"/>
      <c r="AWK23" s="2854"/>
      <c r="AWL23" s="2854"/>
      <c r="AWM23" s="2854"/>
      <c r="AWN23" s="2854"/>
      <c r="AWO23" s="2854"/>
      <c r="AWP23" s="2854"/>
      <c r="AWQ23" s="2854"/>
      <c r="AWR23" s="2854"/>
      <c r="AWS23" s="2854"/>
      <c r="AWT23" s="2854"/>
      <c r="AWU23" s="2854"/>
      <c r="AWV23" s="2854"/>
      <c r="AWW23" s="2854"/>
      <c r="AWX23" s="2854"/>
      <c r="AWY23" s="2854"/>
      <c r="AWZ23" s="2854"/>
      <c r="AXA23" s="2854"/>
      <c r="AXB23" s="2854"/>
      <c r="AXC23" s="2854"/>
      <c r="AXD23" s="2854"/>
      <c r="AXE23" s="2854"/>
      <c r="AXF23" s="2854"/>
      <c r="AXG23" s="2854"/>
      <c r="AXH23" s="2854"/>
      <c r="AXI23" s="2854"/>
      <c r="AXJ23" s="2854"/>
      <c r="AXK23" s="2854"/>
      <c r="AXL23" s="2854"/>
      <c r="AXM23" s="2854"/>
      <c r="AXN23" s="2854"/>
      <c r="AXO23" s="2854"/>
      <c r="AXP23" s="2854"/>
      <c r="AXQ23" s="2854"/>
      <c r="AXR23" s="2854"/>
      <c r="AXS23" s="2854"/>
      <c r="AXT23" s="2854"/>
      <c r="AXU23" s="2854"/>
      <c r="AXV23" s="2854"/>
      <c r="AXW23" s="2854"/>
      <c r="AXX23" s="2854"/>
      <c r="AXY23" s="2854"/>
      <c r="AXZ23" s="2854"/>
      <c r="AYA23" s="2854"/>
      <c r="AYB23" s="2854"/>
      <c r="AYC23" s="2854"/>
      <c r="AYD23" s="2854"/>
      <c r="AYE23" s="2854"/>
      <c r="AYF23" s="2854"/>
      <c r="AYG23" s="2854"/>
      <c r="AYH23" s="2854"/>
      <c r="AYI23" s="2854"/>
      <c r="AYJ23" s="2854"/>
      <c r="AYK23" s="2854"/>
      <c r="AYL23" s="2854"/>
      <c r="AYM23" s="2854"/>
      <c r="AYN23" s="2854"/>
      <c r="AYO23" s="2854"/>
      <c r="AYP23" s="2854"/>
      <c r="AYQ23" s="2854"/>
      <c r="AYR23" s="2854"/>
      <c r="AYS23" s="2854"/>
      <c r="AYT23" s="2854"/>
      <c r="AYU23" s="2854"/>
      <c r="AYV23" s="2854"/>
      <c r="AYW23" s="2854"/>
      <c r="AYX23" s="2854"/>
      <c r="AYY23" s="2854"/>
      <c r="AYZ23" s="2854"/>
      <c r="AZA23" s="2854"/>
      <c r="AZB23" s="2854"/>
      <c r="AZC23" s="2854"/>
      <c r="AZD23" s="2854"/>
      <c r="AZE23" s="2854"/>
      <c r="AZF23" s="2854"/>
      <c r="AZG23" s="2854"/>
      <c r="AZH23" s="2854"/>
      <c r="AZI23" s="2854"/>
      <c r="AZJ23" s="2854"/>
      <c r="AZK23" s="2854"/>
      <c r="AZL23" s="2854"/>
      <c r="AZM23" s="2854"/>
      <c r="AZN23" s="2854"/>
      <c r="AZO23" s="2854"/>
      <c r="AZP23" s="2854"/>
      <c r="AZQ23" s="2854"/>
      <c r="AZR23" s="2854"/>
      <c r="AZS23" s="2854"/>
      <c r="AZT23" s="2854"/>
      <c r="AZU23" s="2854"/>
      <c r="AZV23" s="2854"/>
      <c r="AZW23" s="2854"/>
      <c r="AZX23" s="2854"/>
      <c r="AZY23" s="2854"/>
      <c r="AZZ23" s="2854"/>
      <c r="BAA23" s="2854"/>
      <c r="BAB23" s="2854"/>
      <c r="BAC23" s="2854"/>
      <c r="BAD23" s="2854"/>
      <c r="BAE23" s="2854"/>
      <c r="BAF23" s="2854"/>
      <c r="BAG23" s="2854"/>
      <c r="BAH23" s="2854"/>
      <c r="BAI23" s="2854"/>
      <c r="BAJ23" s="2854"/>
      <c r="BAK23" s="2854"/>
      <c r="BAL23" s="2854"/>
      <c r="BAM23" s="2854"/>
      <c r="BAN23" s="2854"/>
      <c r="BAO23" s="2854"/>
      <c r="BAP23" s="2854"/>
      <c r="BAQ23" s="2854"/>
      <c r="BAR23" s="2854"/>
      <c r="BAS23" s="2854"/>
      <c r="BAT23" s="2854"/>
      <c r="BAU23" s="2854"/>
      <c r="BAV23" s="2854"/>
      <c r="BAW23" s="2854"/>
      <c r="BAX23" s="2854"/>
      <c r="BAY23" s="2854"/>
      <c r="BAZ23" s="2854"/>
      <c r="BBA23" s="2854"/>
      <c r="BBB23" s="2854"/>
      <c r="BBC23" s="2854"/>
      <c r="BBD23" s="2854"/>
      <c r="BBE23" s="2854"/>
      <c r="BBF23" s="2854"/>
      <c r="BBG23" s="2854"/>
      <c r="BBH23" s="2854"/>
      <c r="BBI23" s="2854"/>
      <c r="BBJ23" s="2854"/>
      <c r="BBK23" s="2854"/>
      <c r="BBL23" s="2854"/>
      <c r="BBM23" s="2854"/>
      <c r="BBN23" s="2854"/>
      <c r="BBO23" s="2854"/>
      <c r="BBP23" s="2854"/>
      <c r="BBQ23" s="2854"/>
      <c r="BBR23" s="2854"/>
      <c r="BBS23" s="2854"/>
      <c r="BBT23" s="2854"/>
      <c r="BBU23" s="2854"/>
      <c r="BBV23" s="2854"/>
      <c r="BBW23" s="2854"/>
      <c r="BBX23" s="2854"/>
      <c r="BBY23" s="2854"/>
      <c r="BBZ23" s="2854"/>
      <c r="BCA23" s="2854"/>
      <c r="BCB23" s="2854"/>
      <c r="BCC23" s="2854"/>
      <c r="BCD23" s="2854"/>
      <c r="BCE23" s="2854"/>
      <c r="BCF23" s="2854"/>
      <c r="BCG23" s="2854"/>
      <c r="BCH23" s="2854"/>
      <c r="BCI23" s="2854"/>
      <c r="BCJ23" s="2854"/>
      <c r="BCK23" s="2854"/>
      <c r="BCL23" s="2854"/>
      <c r="BCM23" s="2854"/>
      <c r="BCN23" s="2854"/>
      <c r="BCO23" s="2854"/>
      <c r="BCP23" s="2854"/>
      <c r="BCQ23" s="2854"/>
      <c r="BCR23" s="2854"/>
      <c r="BCS23" s="2854"/>
      <c r="BCT23" s="2854"/>
      <c r="BCU23" s="2854"/>
      <c r="BCV23" s="2854"/>
      <c r="BCW23" s="2854"/>
      <c r="BCX23" s="2854"/>
      <c r="BCY23" s="2854"/>
      <c r="BCZ23" s="2854"/>
      <c r="BDA23" s="2854"/>
      <c r="BDB23" s="2854"/>
      <c r="BDC23" s="2854"/>
      <c r="BDD23" s="2854"/>
      <c r="BDE23" s="2854"/>
      <c r="BDF23" s="2854"/>
      <c r="BDG23" s="2854"/>
      <c r="BDH23" s="2854"/>
      <c r="BDI23" s="2854"/>
      <c r="BDJ23" s="2854"/>
      <c r="BDK23" s="2854"/>
      <c r="BDL23" s="2854"/>
      <c r="BDM23" s="2854"/>
      <c r="BDN23" s="2854"/>
      <c r="BDO23" s="2854"/>
      <c r="BDP23" s="2854"/>
      <c r="BDQ23" s="2854"/>
      <c r="BDR23" s="2854"/>
      <c r="BDS23" s="2854"/>
      <c r="BDT23" s="2854"/>
      <c r="BDU23" s="2854"/>
      <c r="BDV23" s="2854"/>
      <c r="BDW23" s="2854"/>
      <c r="BDX23" s="2854"/>
      <c r="BDY23" s="2854"/>
      <c r="BDZ23" s="2854"/>
      <c r="BEA23" s="2854"/>
      <c r="BEB23" s="2854"/>
      <c r="BEC23" s="2854"/>
      <c r="BED23" s="2854"/>
      <c r="BEE23" s="2854"/>
      <c r="BEF23" s="2854"/>
      <c r="BEG23" s="2854"/>
      <c r="BEH23" s="2854"/>
      <c r="BEI23" s="2854"/>
      <c r="BEJ23" s="2854"/>
      <c r="BEK23" s="2854"/>
      <c r="BEL23" s="2854"/>
      <c r="BEM23" s="2854"/>
      <c r="BEN23" s="2854"/>
      <c r="BEO23" s="2854"/>
      <c r="BEP23" s="2854"/>
      <c r="BEQ23" s="2854"/>
      <c r="BER23" s="2854"/>
      <c r="BES23" s="2854"/>
      <c r="BET23" s="2854"/>
      <c r="BEU23" s="2854"/>
      <c r="BEV23" s="2854"/>
      <c r="BEW23" s="2854"/>
      <c r="BEX23" s="2854"/>
      <c r="BEY23" s="2854"/>
      <c r="BEZ23" s="2854"/>
      <c r="BFA23" s="2854"/>
      <c r="BFB23" s="2854"/>
      <c r="BFC23" s="2854"/>
      <c r="BFD23" s="2854"/>
      <c r="BFE23" s="2854"/>
      <c r="BFF23" s="2854"/>
      <c r="BFG23" s="2854"/>
      <c r="BFH23" s="2854"/>
      <c r="BFI23" s="2854"/>
      <c r="BFJ23" s="2854"/>
      <c r="BFK23" s="2854"/>
      <c r="BFL23" s="2854"/>
      <c r="BFM23" s="2854"/>
      <c r="BFN23" s="2854"/>
      <c r="BFO23" s="2854"/>
      <c r="BFP23" s="2854"/>
      <c r="BFQ23" s="2854"/>
      <c r="BFR23" s="2854"/>
      <c r="BFS23" s="2854"/>
      <c r="BFT23" s="2854"/>
      <c r="BFU23" s="2854"/>
      <c r="BFV23" s="2854"/>
      <c r="BFW23" s="2854"/>
      <c r="BFX23" s="2854"/>
      <c r="BFY23" s="2854"/>
      <c r="BFZ23" s="2854"/>
      <c r="BGA23" s="2854"/>
      <c r="BGB23" s="2854"/>
      <c r="BGC23" s="2854"/>
      <c r="BGD23" s="2854"/>
      <c r="BGE23" s="2854"/>
      <c r="BGF23" s="2854"/>
      <c r="BGG23" s="2854"/>
      <c r="BGH23" s="2854"/>
      <c r="BGI23" s="2854"/>
      <c r="BGJ23" s="2854"/>
      <c r="BGK23" s="2854"/>
      <c r="BGL23" s="2854"/>
      <c r="BGM23" s="2854"/>
      <c r="BGN23" s="2854"/>
      <c r="BGO23" s="2854"/>
      <c r="BGP23" s="2854"/>
      <c r="BGQ23" s="2854"/>
      <c r="BGR23" s="2854"/>
      <c r="BGS23" s="2854"/>
      <c r="BGT23" s="2854"/>
      <c r="BGU23" s="2854"/>
      <c r="BGV23" s="2854"/>
      <c r="BGW23" s="2854"/>
      <c r="BGX23" s="2854"/>
      <c r="BGY23" s="2854"/>
      <c r="BGZ23" s="2854"/>
      <c r="BHA23" s="2854"/>
      <c r="BHB23" s="2854"/>
      <c r="BHC23" s="2854"/>
      <c r="BHD23" s="2854"/>
      <c r="BHE23" s="2854"/>
      <c r="BHF23" s="2854"/>
      <c r="BHG23" s="2854"/>
      <c r="BHH23" s="2854"/>
      <c r="BHI23" s="2854"/>
      <c r="BHJ23" s="2854"/>
      <c r="BHK23" s="2854"/>
      <c r="BHL23" s="2854"/>
      <c r="BHM23" s="2854"/>
      <c r="BHN23" s="2854"/>
      <c r="BHO23" s="2854"/>
      <c r="BHP23" s="2854"/>
      <c r="BHQ23" s="2854"/>
      <c r="BHR23" s="2854"/>
      <c r="BHS23" s="2854"/>
      <c r="BHT23" s="2854"/>
      <c r="BHU23" s="2854"/>
      <c r="BHV23" s="2854"/>
      <c r="BHW23" s="2854"/>
      <c r="BHX23" s="2854"/>
      <c r="BHY23" s="2854"/>
      <c r="BHZ23" s="2854"/>
      <c r="BIA23" s="2854"/>
      <c r="BIB23" s="2854"/>
      <c r="BIC23" s="2854"/>
      <c r="BID23" s="2854"/>
      <c r="BIE23" s="2854"/>
      <c r="BIF23" s="2854"/>
      <c r="BIG23" s="2854"/>
      <c r="BIH23" s="2854"/>
      <c r="BII23" s="2854"/>
      <c r="BIJ23" s="2854"/>
      <c r="BIK23" s="2854"/>
      <c r="BIL23" s="2854"/>
      <c r="BIM23" s="2854"/>
      <c r="BIN23" s="2854"/>
      <c r="BIO23" s="2854"/>
      <c r="BIP23" s="2854"/>
      <c r="BIQ23" s="2854"/>
      <c r="BIR23" s="2854"/>
      <c r="BIS23" s="2854"/>
      <c r="BIT23" s="2854"/>
      <c r="BIU23" s="2854"/>
      <c r="BIV23" s="2854"/>
      <c r="BIW23" s="2854"/>
      <c r="BIX23" s="2854"/>
      <c r="BIY23" s="2854"/>
      <c r="BIZ23" s="2854"/>
      <c r="BJA23" s="2854"/>
      <c r="BJB23" s="2854"/>
      <c r="BJC23" s="2854"/>
      <c r="BJD23" s="2854"/>
      <c r="BJE23" s="2854"/>
      <c r="BJF23" s="2854"/>
      <c r="BJG23" s="2854"/>
      <c r="BJH23" s="2854"/>
      <c r="BJI23" s="2854"/>
      <c r="BJJ23" s="2854"/>
      <c r="BJK23" s="2854"/>
      <c r="BJL23" s="2854"/>
      <c r="BJM23" s="2854"/>
      <c r="BJN23" s="2854"/>
      <c r="BJO23" s="2854"/>
      <c r="BJP23" s="2854"/>
      <c r="BJQ23" s="2854"/>
      <c r="BJR23" s="2854"/>
      <c r="BJS23" s="2854"/>
      <c r="BJT23" s="2854"/>
      <c r="BJU23" s="2854"/>
      <c r="BJV23" s="2854"/>
      <c r="BJW23" s="2854"/>
      <c r="BJX23" s="2854"/>
      <c r="BJY23" s="2854"/>
      <c r="BJZ23" s="2854"/>
      <c r="BKA23" s="2854"/>
      <c r="BKB23" s="2854"/>
      <c r="BKC23" s="2854"/>
      <c r="BKD23" s="2854"/>
      <c r="BKE23" s="2854"/>
      <c r="BKF23" s="2854"/>
      <c r="BKG23" s="2854"/>
      <c r="BKH23" s="2854"/>
      <c r="BKI23" s="2854"/>
      <c r="BKJ23" s="2854"/>
      <c r="BKK23" s="2854"/>
      <c r="BKL23" s="2854"/>
      <c r="BKM23" s="2854"/>
      <c r="BKN23" s="2854"/>
      <c r="BKO23" s="2854"/>
      <c r="BKP23" s="2854"/>
      <c r="BKQ23" s="2854"/>
      <c r="BKR23" s="2854"/>
      <c r="BKS23" s="2854"/>
      <c r="BKT23" s="2854"/>
      <c r="BKU23" s="2854"/>
      <c r="BKV23" s="2854"/>
      <c r="BKW23" s="2854"/>
      <c r="BKX23" s="2854"/>
      <c r="BKY23" s="2854"/>
      <c r="BKZ23" s="2854"/>
      <c r="BLA23" s="2854"/>
      <c r="BLB23" s="2854"/>
      <c r="BLC23" s="2854"/>
      <c r="BLD23" s="2854"/>
      <c r="BLE23" s="2854"/>
      <c r="BLF23" s="2854"/>
      <c r="BLG23" s="2854"/>
      <c r="BLH23" s="2854"/>
      <c r="BLI23" s="2854"/>
      <c r="BLJ23" s="2854"/>
      <c r="BLK23" s="2854"/>
      <c r="BLL23" s="2854"/>
      <c r="BLM23" s="2854"/>
      <c r="BLN23" s="2854"/>
      <c r="BLO23" s="2854"/>
      <c r="BLP23" s="2854"/>
      <c r="BLQ23" s="2854"/>
      <c r="BLR23" s="2854"/>
      <c r="BLS23" s="2854"/>
      <c r="BLT23" s="2854"/>
      <c r="BLU23" s="2854"/>
      <c r="BLV23" s="2854"/>
      <c r="BLW23" s="2854"/>
      <c r="BLX23" s="2854"/>
      <c r="BLY23" s="2854"/>
      <c r="BLZ23" s="2854"/>
      <c r="BMA23" s="2854"/>
      <c r="BMB23" s="2854"/>
      <c r="BMC23" s="2854"/>
      <c r="BMD23" s="2854"/>
      <c r="BME23" s="2854"/>
      <c r="BMF23" s="2854"/>
      <c r="BMG23" s="2854"/>
      <c r="BMH23" s="2854"/>
      <c r="BMI23" s="2854"/>
      <c r="BMJ23" s="2854"/>
      <c r="BMK23" s="2854"/>
      <c r="BML23" s="2854"/>
      <c r="BMM23" s="2854"/>
      <c r="BMN23" s="2854"/>
      <c r="BMO23" s="2854"/>
      <c r="BMP23" s="2854"/>
      <c r="BMQ23" s="2854"/>
      <c r="BMR23" s="2854"/>
      <c r="BMS23" s="2854"/>
      <c r="BMT23" s="2854"/>
      <c r="BMU23" s="2854"/>
      <c r="BMV23" s="2854"/>
      <c r="BMW23" s="2854"/>
      <c r="BMX23" s="2854"/>
      <c r="BMY23" s="2854"/>
      <c r="BMZ23" s="2854"/>
      <c r="BNA23" s="2854"/>
      <c r="BNB23" s="2854"/>
      <c r="BNC23" s="2854"/>
      <c r="BND23" s="2854"/>
      <c r="BNE23" s="2854"/>
      <c r="BNF23" s="2854"/>
      <c r="BNG23" s="2854"/>
      <c r="BNH23" s="2854"/>
      <c r="BNI23" s="2854"/>
      <c r="BNJ23" s="2854"/>
      <c r="BNK23" s="2854"/>
      <c r="BNL23" s="2854"/>
      <c r="BNM23" s="2854"/>
      <c r="BNN23" s="2854"/>
      <c r="BNO23" s="2854"/>
      <c r="BNP23" s="2854"/>
      <c r="BNQ23" s="2854"/>
      <c r="BNR23" s="2854"/>
      <c r="BNS23" s="2854"/>
      <c r="BNT23" s="2854"/>
      <c r="BNU23" s="2854"/>
      <c r="BNV23" s="2854"/>
      <c r="BNW23" s="2854"/>
      <c r="BNX23" s="2854"/>
      <c r="BNY23" s="2854"/>
      <c r="BNZ23" s="2854"/>
      <c r="BOA23" s="2854"/>
      <c r="BOB23" s="2854"/>
      <c r="BOC23" s="2854"/>
      <c r="BOD23" s="2854"/>
      <c r="BOE23" s="2854"/>
      <c r="BOF23" s="2854"/>
      <c r="BOG23" s="2854"/>
      <c r="BOH23" s="2854"/>
      <c r="BOI23" s="2854"/>
      <c r="BOJ23" s="2854"/>
      <c r="BOK23" s="2854"/>
      <c r="BOL23" s="2854"/>
      <c r="BOM23" s="2854"/>
      <c r="BON23" s="2854"/>
      <c r="BOO23" s="2854"/>
      <c r="BOP23" s="2854"/>
      <c r="BOQ23" s="2854"/>
      <c r="BOR23" s="2854"/>
      <c r="BOS23" s="2854"/>
      <c r="BOT23" s="2854"/>
      <c r="BOU23" s="2854"/>
      <c r="BOV23" s="2854"/>
      <c r="BOW23" s="2854"/>
      <c r="BOX23" s="2854"/>
      <c r="BOY23" s="2854"/>
      <c r="BOZ23" s="2854"/>
      <c r="BPA23" s="2854"/>
      <c r="BPB23" s="2854"/>
      <c r="BPC23" s="2854"/>
      <c r="BPD23" s="2854"/>
      <c r="BPE23" s="2854"/>
      <c r="BPF23" s="2854"/>
      <c r="BPG23" s="2854"/>
      <c r="BPH23" s="2854"/>
      <c r="BPI23" s="2854"/>
      <c r="BPJ23" s="2854"/>
      <c r="BPK23" s="2854"/>
      <c r="BPL23" s="2854"/>
      <c r="BPM23" s="2854"/>
      <c r="BPN23" s="2854"/>
      <c r="BPO23" s="2854"/>
      <c r="BPP23" s="2854"/>
      <c r="BPQ23" s="2854"/>
      <c r="BPR23" s="2854"/>
      <c r="BPS23" s="2854"/>
      <c r="BPT23" s="2854"/>
      <c r="BPU23" s="2854"/>
      <c r="BPV23" s="2854"/>
      <c r="BPW23" s="2854"/>
      <c r="BPX23" s="2854"/>
      <c r="BPY23" s="2854"/>
      <c r="BPZ23" s="2854"/>
      <c r="BQA23" s="2854"/>
      <c r="BQB23" s="2854"/>
      <c r="BQC23" s="2854"/>
      <c r="BQD23" s="2854"/>
      <c r="BQE23" s="2854"/>
      <c r="BQF23" s="2854"/>
      <c r="BQG23" s="2854"/>
      <c r="BQH23" s="2854"/>
      <c r="BQI23" s="2854"/>
      <c r="BQJ23" s="2854"/>
      <c r="BQK23" s="2854"/>
      <c r="BQL23" s="2854"/>
      <c r="BQM23" s="2854"/>
      <c r="BQN23" s="2854"/>
      <c r="BQO23" s="2854"/>
      <c r="BQP23" s="2854"/>
      <c r="BQQ23" s="2854"/>
      <c r="BQR23" s="2854"/>
      <c r="BQS23" s="2854"/>
      <c r="BQT23" s="2854"/>
      <c r="BQU23" s="2854"/>
      <c r="BQV23" s="2854"/>
      <c r="BQW23" s="2854"/>
      <c r="BQX23" s="2854"/>
      <c r="BQY23" s="2854"/>
      <c r="BQZ23" s="2854"/>
      <c r="BRA23" s="2854"/>
      <c r="BRB23" s="2854"/>
      <c r="BRC23" s="2854"/>
      <c r="BRD23" s="2854"/>
      <c r="BRE23" s="2854"/>
      <c r="BRF23" s="2854"/>
      <c r="BRG23" s="2854"/>
      <c r="BRH23" s="2854"/>
      <c r="BRI23" s="2854"/>
      <c r="BRJ23" s="2854"/>
      <c r="BRK23" s="2854"/>
      <c r="BRL23" s="2854"/>
      <c r="BRM23" s="2854"/>
      <c r="BRN23" s="2854"/>
      <c r="BRO23" s="2854"/>
      <c r="BRP23" s="2854"/>
      <c r="BRQ23" s="2854"/>
      <c r="BRR23" s="2854"/>
      <c r="BRS23" s="2854"/>
      <c r="BRT23" s="2854"/>
      <c r="BRU23" s="2854"/>
      <c r="BRV23" s="2854"/>
      <c r="BRW23" s="2854"/>
      <c r="BRX23" s="2854"/>
      <c r="BRY23" s="2854"/>
      <c r="BRZ23" s="2854"/>
      <c r="BSA23" s="2854"/>
      <c r="BSB23" s="2854"/>
      <c r="BSC23" s="2854"/>
      <c r="BSD23" s="2854"/>
      <c r="BSE23" s="2854"/>
      <c r="BSF23" s="2854"/>
      <c r="BSG23" s="2854"/>
      <c r="BSH23" s="2854"/>
      <c r="BSI23" s="2854"/>
      <c r="BSJ23" s="2854"/>
      <c r="BSK23" s="2854"/>
      <c r="BSL23" s="2854"/>
      <c r="BSM23" s="2854"/>
      <c r="BSN23" s="2854"/>
      <c r="BSO23" s="2854"/>
      <c r="BSP23" s="2854"/>
      <c r="BSQ23" s="2854"/>
      <c r="BSR23" s="2854"/>
      <c r="BSS23" s="2854"/>
      <c r="BST23" s="2854"/>
      <c r="BSU23" s="2854"/>
      <c r="BSV23" s="2854"/>
      <c r="BSW23" s="2854"/>
      <c r="BSX23" s="2854"/>
      <c r="BSY23" s="2854"/>
      <c r="BSZ23" s="2854"/>
      <c r="BTA23" s="2854"/>
      <c r="BTB23" s="2854"/>
      <c r="BTC23" s="2854"/>
      <c r="BTD23" s="2854"/>
      <c r="BTE23" s="2854"/>
      <c r="BTF23" s="2854"/>
      <c r="BTG23" s="2854"/>
      <c r="BTH23" s="2854"/>
      <c r="BTI23" s="2854"/>
      <c r="BTJ23" s="2854"/>
      <c r="BTK23" s="2854"/>
      <c r="BTL23" s="2854"/>
      <c r="BTM23" s="2854"/>
      <c r="BTN23" s="2854"/>
      <c r="BTO23" s="2854"/>
      <c r="BTP23" s="2854"/>
      <c r="BTQ23" s="2854"/>
      <c r="BTR23" s="2854"/>
      <c r="BTS23" s="2854"/>
      <c r="BTT23" s="2854"/>
      <c r="BTU23" s="2854"/>
      <c r="BTV23" s="2854"/>
      <c r="BTW23" s="2854"/>
      <c r="BTX23" s="2854"/>
      <c r="BTY23" s="2854"/>
      <c r="BTZ23" s="2854"/>
      <c r="BUA23" s="2854"/>
      <c r="BUB23" s="2854"/>
      <c r="BUC23" s="2854"/>
      <c r="BUD23" s="2854"/>
      <c r="BUE23" s="2854"/>
      <c r="BUF23" s="2854"/>
      <c r="BUG23" s="2854"/>
      <c r="BUH23" s="2854"/>
      <c r="BUI23" s="2854"/>
      <c r="BUJ23" s="2854"/>
      <c r="BUK23" s="2854"/>
      <c r="BUL23" s="2854"/>
      <c r="BUM23" s="2854"/>
      <c r="BUN23" s="2854"/>
      <c r="BUO23" s="2854"/>
      <c r="BUP23" s="2854"/>
      <c r="BUQ23" s="2854"/>
      <c r="BUR23" s="2854"/>
      <c r="BUS23" s="2854"/>
      <c r="BUT23" s="2854"/>
      <c r="BUU23" s="2854"/>
      <c r="BUV23" s="2854"/>
      <c r="BUW23" s="2854"/>
      <c r="BUX23" s="2854"/>
      <c r="BUY23" s="2854"/>
      <c r="BUZ23" s="2854"/>
      <c r="BVA23" s="2854"/>
      <c r="BVB23" s="2854"/>
      <c r="BVC23" s="2854"/>
      <c r="BVD23" s="2854"/>
      <c r="BVE23" s="2854"/>
      <c r="BVF23" s="2854"/>
      <c r="BVG23" s="2854"/>
      <c r="BVH23" s="2854"/>
      <c r="BVI23" s="2854"/>
      <c r="BVJ23" s="2854"/>
      <c r="BVK23" s="2854"/>
      <c r="BVL23" s="2854"/>
      <c r="BVM23" s="2854"/>
      <c r="BVN23" s="2854"/>
      <c r="BVO23" s="2854"/>
      <c r="BVP23" s="2854"/>
      <c r="BVQ23" s="2854"/>
      <c r="BVR23" s="2854"/>
      <c r="BVS23" s="2854"/>
      <c r="BVT23" s="2854"/>
      <c r="BVU23" s="2854"/>
      <c r="BVV23" s="2854"/>
      <c r="BVW23" s="2854"/>
      <c r="BVX23" s="2854"/>
      <c r="BVY23" s="2854"/>
      <c r="BVZ23" s="2854"/>
      <c r="BWA23" s="2854"/>
      <c r="BWB23" s="2854"/>
      <c r="BWC23" s="2854"/>
      <c r="BWD23" s="2854"/>
      <c r="BWE23" s="2854"/>
      <c r="BWF23" s="2854"/>
      <c r="BWG23" s="2854"/>
      <c r="BWH23" s="2854"/>
      <c r="BWI23" s="2854"/>
      <c r="BWJ23" s="2854"/>
      <c r="BWK23" s="2854"/>
      <c r="BWL23" s="2854"/>
      <c r="BWM23" s="2854"/>
      <c r="BWN23" s="2854"/>
      <c r="BWO23" s="2854"/>
      <c r="BWP23" s="2854"/>
      <c r="BWQ23" s="2854"/>
      <c r="BWR23" s="2854"/>
      <c r="BWS23" s="2854"/>
      <c r="BWT23" s="2854"/>
      <c r="BWU23" s="2854"/>
      <c r="BWV23" s="2854"/>
      <c r="BWW23" s="2854"/>
      <c r="BWX23" s="2854"/>
      <c r="BWY23" s="2854"/>
      <c r="BWZ23" s="2854"/>
      <c r="BXA23" s="2854"/>
      <c r="BXB23" s="2854"/>
      <c r="BXC23" s="2854"/>
      <c r="BXD23" s="2854"/>
      <c r="BXE23" s="2854"/>
      <c r="BXF23" s="2854"/>
      <c r="BXG23" s="2854"/>
      <c r="BXH23" s="2854"/>
      <c r="BXI23" s="2854"/>
      <c r="BXJ23" s="2854"/>
      <c r="BXK23" s="2854"/>
      <c r="BXL23" s="2854"/>
      <c r="BXM23" s="2854"/>
      <c r="BXN23" s="2854"/>
      <c r="BXO23" s="2854"/>
      <c r="BXP23" s="2854"/>
      <c r="BXQ23" s="2854"/>
      <c r="BXR23" s="2854"/>
      <c r="BXS23" s="2854"/>
      <c r="BXT23" s="2854"/>
      <c r="BXU23" s="2854"/>
      <c r="BXV23" s="2854"/>
      <c r="BXW23" s="2854"/>
      <c r="BXX23" s="2854"/>
      <c r="BXY23" s="2854"/>
      <c r="BXZ23" s="2854"/>
      <c r="BYA23" s="2854"/>
      <c r="BYB23" s="2854"/>
      <c r="BYC23" s="2854"/>
      <c r="BYD23" s="2854"/>
      <c r="BYE23" s="2854"/>
      <c r="BYF23" s="2854"/>
      <c r="BYG23" s="2854"/>
      <c r="BYH23" s="2854"/>
      <c r="BYI23" s="2854"/>
      <c r="BYJ23" s="2854"/>
      <c r="BYK23" s="2854"/>
      <c r="BYL23" s="2854"/>
      <c r="BYM23" s="2854"/>
      <c r="BYN23" s="2854"/>
      <c r="BYO23" s="2854"/>
      <c r="BYP23" s="2854"/>
      <c r="BYQ23" s="2854"/>
      <c r="BYR23" s="2854"/>
      <c r="BYS23" s="2854"/>
      <c r="BYT23" s="2854"/>
      <c r="BYU23" s="2854"/>
      <c r="BYV23" s="2854"/>
      <c r="BYW23" s="2854"/>
      <c r="BYX23" s="2854"/>
      <c r="BYY23" s="2854"/>
      <c r="BYZ23" s="2854"/>
      <c r="BZA23" s="2854"/>
      <c r="BZB23" s="2854"/>
      <c r="BZC23" s="2854"/>
      <c r="BZD23" s="2854"/>
      <c r="BZE23" s="2854"/>
      <c r="BZF23" s="2854"/>
      <c r="BZG23" s="2854"/>
      <c r="BZH23" s="2854"/>
      <c r="BZI23" s="2854"/>
      <c r="BZJ23" s="2854"/>
      <c r="BZK23" s="2854"/>
      <c r="BZL23" s="2854"/>
      <c r="BZM23" s="2854"/>
      <c r="BZN23" s="2854"/>
      <c r="BZO23" s="2854"/>
      <c r="BZP23" s="2854"/>
      <c r="BZQ23" s="2854"/>
      <c r="BZR23" s="2854"/>
      <c r="BZS23" s="2854"/>
      <c r="BZT23" s="2854"/>
      <c r="BZU23" s="2854"/>
      <c r="BZV23" s="2854"/>
      <c r="BZW23" s="2854"/>
      <c r="BZX23" s="2854"/>
      <c r="BZY23" s="2854"/>
      <c r="BZZ23" s="2854"/>
      <c r="CAA23" s="2854"/>
      <c r="CAB23" s="2854"/>
      <c r="CAC23" s="2854"/>
      <c r="CAD23" s="2854"/>
      <c r="CAE23" s="2854"/>
      <c r="CAF23" s="2854"/>
      <c r="CAG23" s="2854"/>
      <c r="CAH23" s="2854"/>
      <c r="CAI23" s="2854"/>
      <c r="CAJ23" s="2854"/>
      <c r="CAK23" s="2854"/>
      <c r="CAL23" s="2854"/>
      <c r="CAM23" s="2854"/>
      <c r="CAN23" s="2854"/>
      <c r="CAO23" s="2854"/>
      <c r="CAP23" s="2854"/>
      <c r="CAQ23" s="2854"/>
      <c r="CAR23" s="2854"/>
      <c r="CAS23" s="2854"/>
      <c r="CAT23" s="2854"/>
      <c r="CAU23" s="2854"/>
      <c r="CAV23" s="2854"/>
      <c r="CAW23" s="2854"/>
      <c r="CAX23" s="2854"/>
      <c r="CAY23" s="2854"/>
      <c r="CAZ23" s="2854"/>
      <c r="CBA23" s="2854"/>
      <c r="CBB23" s="2854"/>
      <c r="CBC23" s="2854"/>
      <c r="CBD23" s="2854"/>
      <c r="CBE23" s="2854"/>
      <c r="CBF23" s="2854"/>
      <c r="CBG23" s="2854"/>
      <c r="CBH23" s="2854"/>
      <c r="CBI23" s="2854"/>
      <c r="CBJ23" s="2854"/>
      <c r="CBK23" s="2854"/>
      <c r="CBL23" s="2854"/>
      <c r="CBM23" s="2854"/>
      <c r="CBN23" s="2854"/>
      <c r="CBO23" s="2854"/>
      <c r="CBP23" s="2854"/>
      <c r="CBQ23" s="2854"/>
      <c r="CBR23" s="2854"/>
      <c r="CBS23" s="2854"/>
      <c r="CBT23" s="2854"/>
      <c r="CBU23" s="2854"/>
      <c r="CBV23" s="2854"/>
      <c r="CBW23" s="2854"/>
      <c r="CBX23" s="2854"/>
      <c r="CBY23" s="2854"/>
      <c r="CBZ23" s="2854"/>
      <c r="CCA23" s="2854"/>
      <c r="CCB23" s="2854"/>
      <c r="CCC23" s="2854"/>
      <c r="CCD23" s="2854"/>
      <c r="CCE23" s="2854"/>
      <c r="CCF23" s="2854"/>
      <c r="CCG23" s="2854"/>
      <c r="CCH23" s="2854"/>
      <c r="CCI23" s="2854"/>
      <c r="CCJ23" s="2854"/>
      <c r="CCK23" s="2854"/>
      <c r="CCL23" s="2854"/>
      <c r="CCM23" s="2854"/>
      <c r="CCN23" s="2854"/>
      <c r="CCO23" s="2854"/>
      <c r="CCP23" s="2854"/>
      <c r="CCQ23" s="2854"/>
      <c r="CCR23" s="2854"/>
      <c r="CCS23" s="2854"/>
      <c r="CCT23" s="2854"/>
      <c r="CCU23" s="2854"/>
      <c r="CCV23" s="2854"/>
      <c r="CCW23" s="2854"/>
      <c r="CCX23" s="2854"/>
      <c r="CCY23" s="2854"/>
      <c r="CCZ23" s="2854"/>
      <c r="CDA23" s="2854"/>
      <c r="CDB23" s="2854"/>
      <c r="CDC23" s="2854"/>
      <c r="CDD23" s="2854"/>
      <c r="CDE23" s="2854"/>
      <c r="CDF23" s="2854"/>
      <c r="CDG23" s="2854"/>
      <c r="CDH23" s="2854"/>
      <c r="CDI23" s="2854"/>
      <c r="CDJ23" s="2854"/>
      <c r="CDK23" s="2854"/>
      <c r="CDL23" s="2854"/>
      <c r="CDM23" s="2854"/>
      <c r="CDN23" s="2854"/>
      <c r="CDO23" s="2854"/>
      <c r="CDP23" s="2854"/>
      <c r="CDQ23" s="2854"/>
      <c r="CDR23" s="2854"/>
      <c r="CDS23" s="2854"/>
      <c r="CDT23" s="2854"/>
      <c r="CDU23" s="2854"/>
      <c r="CDV23" s="2854"/>
      <c r="CDW23" s="2854"/>
      <c r="CDX23" s="2854"/>
      <c r="CDY23" s="2854"/>
      <c r="CDZ23" s="2854"/>
      <c r="CEA23" s="2854"/>
      <c r="CEB23" s="2854"/>
      <c r="CEC23" s="2854"/>
      <c r="CED23" s="2854"/>
      <c r="CEE23" s="2854"/>
      <c r="CEF23" s="2854"/>
      <c r="CEG23" s="2854"/>
      <c r="CEH23" s="2854"/>
      <c r="CEI23" s="2854"/>
      <c r="CEJ23" s="2854"/>
      <c r="CEK23" s="2854"/>
      <c r="CEL23" s="2854"/>
      <c r="CEM23" s="2854"/>
      <c r="CEN23" s="2854"/>
      <c r="CEO23" s="2854"/>
      <c r="CEP23" s="2854"/>
      <c r="CEQ23" s="2854"/>
      <c r="CER23" s="2854"/>
      <c r="CES23" s="2854"/>
      <c r="CET23" s="2854"/>
      <c r="CEU23" s="2854"/>
      <c r="CEV23" s="2854"/>
      <c r="CEW23" s="2854"/>
      <c r="CEX23" s="2854"/>
      <c r="CEY23" s="2854"/>
      <c r="CEZ23" s="2854"/>
      <c r="CFA23" s="2854"/>
      <c r="CFB23" s="2854"/>
      <c r="CFC23" s="2854"/>
      <c r="CFD23" s="2854"/>
      <c r="CFE23" s="2854"/>
      <c r="CFF23" s="2854"/>
      <c r="CFG23" s="2854"/>
      <c r="CFH23" s="2854"/>
      <c r="CFI23" s="2854"/>
      <c r="CFJ23" s="2854"/>
      <c r="CFK23" s="2854"/>
      <c r="CFL23" s="2854"/>
      <c r="CFM23" s="2854"/>
      <c r="CFN23" s="2854"/>
      <c r="CFO23" s="2854"/>
      <c r="CFP23" s="2854"/>
      <c r="CFQ23" s="2854"/>
      <c r="CFR23" s="2854"/>
      <c r="CFS23" s="2854"/>
      <c r="CFT23" s="2854"/>
      <c r="CFU23" s="2854"/>
      <c r="CFV23" s="2854"/>
      <c r="CFW23" s="2854"/>
      <c r="CFX23" s="2854"/>
      <c r="CFY23" s="2854"/>
      <c r="CFZ23" s="2854"/>
      <c r="CGA23" s="2854"/>
      <c r="CGB23" s="2854"/>
      <c r="CGC23" s="2854"/>
      <c r="CGD23" s="2854"/>
      <c r="CGE23" s="2854"/>
      <c r="CGF23" s="2854"/>
      <c r="CGG23" s="2854"/>
      <c r="CGH23" s="2854"/>
      <c r="CGI23" s="2854"/>
      <c r="CGJ23" s="2854"/>
      <c r="CGK23" s="2854"/>
      <c r="CGL23" s="2854"/>
      <c r="CGM23" s="2854"/>
      <c r="CGN23" s="2854"/>
      <c r="CGO23" s="2854"/>
      <c r="CGP23" s="2854"/>
      <c r="CGQ23" s="2854"/>
      <c r="CGR23" s="2854"/>
      <c r="CGS23" s="2854"/>
      <c r="CGT23" s="2854"/>
      <c r="CGU23" s="2854"/>
      <c r="CGV23" s="2854"/>
      <c r="CGW23" s="2854"/>
      <c r="CGX23" s="2854"/>
      <c r="CGY23" s="2854"/>
      <c r="CGZ23" s="2854"/>
      <c r="CHA23" s="2854"/>
      <c r="CHB23" s="2854"/>
      <c r="CHC23" s="2854"/>
      <c r="CHD23" s="2854"/>
      <c r="CHE23" s="2854"/>
      <c r="CHF23" s="2854"/>
      <c r="CHG23" s="2854"/>
      <c r="CHH23" s="2854"/>
      <c r="CHI23" s="2854"/>
      <c r="CHJ23" s="2854"/>
      <c r="CHK23" s="2854"/>
      <c r="CHL23" s="2854"/>
      <c r="CHM23" s="2854"/>
      <c r="CHN23" s="2854"/>
      <c r="CHO23" s="2854"/>
      <c r="CHP23" s="2854"/>
      <c r="CHQ23" s="2854"/>
      <c r="CHR23" s="2854"/>
      <c r="CHS23" s="2854"/>
      <c r="CHT23" s="2854"/>
      <c r="CHU23" s="2854"/>
      <c r="CHV23" s="2854"/>
      <c r="CHW23" s="2854"/>
      <c r="CHX23" s="2854"/>
      <c r="CHY23" s="2854"/>
      <c r="CHZ23" s="2854"/>
      <c r="CIA23" s="2854"/>
      <c r="CIB23" s="2854"/>
      <c r="CIC23" s="2854"/>
      <c r="CID23" s="2854"/>
      <c r="CIE23" s="2854"/>
      <c r="CIF23" s="2854"/>
      <c r="CIG23" s="2854"/>
      <c r="CIH23" s="2854"/>
      <c r="CII23" s="2854"/>
      <c r="CIJ23" s="2854"/>
      <c r="CIK23" s="2854"/>
      <c r="CIL23" s="2854"/>
      <c r="CIM23" s="2854"/>
      <c r="CIN23" s="2854"/>
      <c r="CIO23" s="2854"/>
      <c r="CIP23" s="2854"/>
      <c r="CIQ23" s="2854"/>
      <c r="CIR23" s="2854"/>
      <c r="CIS23" s="2854"/>
      <c r="CIT23" s="2854"/>
      <c r="CIU23" s="2854"/>
      <c r="CIV23" s="2854"/>
      <c r="CIW23" s="2854"/>
      <c r="CIX23" s="2854"/>
      <c r="CIY23" s="2854"/>
      <c r="CIZ23" s="2854"/>
      <c r="CJA23" s="2854"/>
      <c r="CJB23" s="2854"/>
      <c r="CJC23" s="2854"/>
      <c r="CJD23" s="2854"/>
      <c r="CJE23" s="2854"/>
      <c r="CJF23" s="2854"/>
      <c r="CJG23" s="2854"/>
      <c r="CJH23" s="2854"/>
      <c r="CJI23" s="2854"/>
      <c r="CJJ23" s="2854"/>
      <c r="CJK23" s="2854"/>
      <c r="CJL23" s="2854"/>
      <c r="CJM23" s="2854"/>
      <c r="CJN23" s="2854"/>
      <c r="CJO23" s="2854"/>
      <c r="CJP23" s="2854"/>
      <c r="CJQ23" s="2854"/>
      <c r="CJR23" s="2854"/>
      <c r="CJS23" s="2854"/>
      <c r="CJT23" s="2854"/>
      <c r="CJU23" s="2854"/>
      <c r="CJV23" s="2854"/>
      <c r="CJW23" s="2854"/>
      <c r="CJX23" s="2854"/>
      <c r="CJY23" s="2854"/>
      <c r="CJZ23" s="2854"/>
      <c r="CKA23" s="2854"/>
      <c r="CKB23" s="2854"/>
      <c r="CKC23" s="2854"/>
      <c r="CKD23" s="2854"/>
      <c r="CKE23" s="2854"/>
      <c r="CKF23" s="2854"/>
      <c r="CKG23" s="2854"/>
      <c r="CKH23" s="2854"/>
      <c r="CKI23" s="2854"/>
      <c r="CKJ23" s="2854"/>
      <c r="CKK23" s="2854"/>
      <c r="CKL23" s="2854"/>
      <c r="CKM23" s="2854"/>
      <c r="CKN23" s="2854"/>
      <c r="CKO23" s="2854"/>
      <c r="CKP23" s="2854"/>
      <c r="CKQ23" s="2854"/>
      <c r="CKR23" s="2854"/>
      <c r="CKS23" s="2854"/>
      <c r="CKT23" s="2854"/>
      <c r="CKU23" s="2854"/>
      <c r="CKV23" s="2854"/>
      <c r="CKW23" s="2854"/>
      <c r="CKX23" s="2854"/>
      <c r="CKY23" s="2854"/>
      <c r="CKZ23" s="2854"/>
      <c r="CLA23" s="2854"/>
      <c r="CLB23" s="2854"/>
      <c r="CLC23" s="2854"/>
      <c r="CLD23" s="2854"/>
      <c r="CLE23" s="2854"/>
      <c r="CLF23" s="2854"/>
      <c r="CLG23" s="2854"/>
      <c r="CLH23" s="2854"/>
      <c r="CLI23" s="2854"/>
      <c r="CLJ23" s="2854"/>
      <c r="CLK23" s="2854"/>
      <c r="CLL23" s="2854"/>
      <c r="CLM23" s="2854"/>
      <c r="CLN23" s="2854"/>
      <c r="CLO23" s="2854"/>
      <c r="CLP23" s="2854"/>
      <c r="CLQ23" s="2854"/>
      <c r="CLR23" s="2854"/>
      <c r="CLS23" s="2854"/>
      <c r="CLT23" s="2854"/>
      <c r="CLU23" s="2854"/>
      <c r="CLV23" s="2854"/>
      <c r="CLW23" s="2854"/>
    </row>
    <row r="24" spans="1:2363" ht="15" customHeight="1" x14ac:dyDescent="0.25">
      <c r="A24" s="3868"/>
      <c r="B24" s="3881"/>
      <c r="C24" s="3212">
        <v>6</v>
      </c>
      <c r="D24" s="3217"/>
      <c r="E24" s="2723"/>
      <c r="F24" s="1799"/>
      <c r="G24" s="1800"/>
      <c r="H24" s="3205"/>
      <c r="I24" s="2008"/>
      <c r="J24" s="1805"/>
      <c r="K24" s="2974"/>
      <c r="L24" s="2975"/>
      <c r="M24" s="1817"/>
      <c r="N24" s="3308">
        <f>+F24+I24+L24</f>
        <v>0</v>
      </c>
      <c r="O24" s="2000">
        <f>+I24+F24</f>
        <v>0</v>
      </c>
      <c r="P24" s="1819"/>
      <c r="Q24" s="2953">
        <f>1450264.58*O24/6629.56</f>
        <v>0</v>
      </c>
      <c r="R24" s="2954"/>
      <c r="S24" s="2954"/>
      <c r="T24" s="2905"/>
      <c r="U24" s="2110"/>
      <c r="V24" s="2367">
        <f>U24+R24+Q24+P24+S24+T24</f>
        <v>0</v>
      </c>
      <c r="W24" s="2956"/>
      <c r="X24" s="2957"/>
      <c r="Y24" s="2924"/>
      <c r="Z24" s="3204"/>
      <c r="AA24" s="1851"/>
      <c r="AB24" s="1894"/>
      <c r="AC24" s="1966"/>
      <c r="AD24" s="1897"/>
      <c r="AE24" s="1897"/>
      <c r="AF24" s="1893"/>
      <c r="AG24" s="2870"/>
      <c r="AH24" s="1993">
        <f>+AD24+AF24</f>
        <v>0</v>
      </c>
      <c r="AI24" s="3412"/>
      <c r="AJ24" s="1970"/>
      <c r="AK24" s="2451">
        <f>AI24+AJ24</f>
        <v>0</v>
      </c>
      <c r="AL24" s="3206">
        <v>0</v>
      </c>
      <c r="AM24" s="3208">
        <v>0</v>
      </c>
      <c r="AN24" s="2130">
        <f t="shared" si="22"/>
        <v>0</v>
      </c>
      <c r="AO24" s="2162"/>
      <c r="AP24" s="2181"/>
      <c r="AQ24" s="2181"/>
      <c r="AR24" s="3286"/>
      <c r="AS24" s="2164">
        <f t="shared" si="27"/>
        <v>0</v>
      </c>
      <c r="AT24" s="2504"/>
      <c r="AU24" s="1846"/>
      <c r="AV24" s="1846"/>
      <c r="AW24" s="2493">
        <f t="shared" si="30"/>
        <v>0</v>
      </c>
      <c r="AX24" s="3290"/>
      <c r="AY24" s="3294"/>
      <c r="AZ24" s="2130">
        <f t="shared" si="31"/>
        <v>0</v>
      </c>
      <c r="BA24" s="3085">
        <v>0</v>
      </c>
      <c r="BB24" s="3086">
        <v>0</v>
      </c>
      <c r="BC24" s="3086">
        <v>0</v>
      </c>
      <c r="BD24" s="3086">
        <v>0</v>
      </c>
      <c r="BE24" s="3075">
        <f t="shared" si="25"/>
        <v>0</v>
      </c>
      <c r="BF24" s="3228">
        <v>0</v>
      </c>
      <c r="BG24" s="2504">
        <v>0</v>
      </c>
      <c r="BH24" s="1846">
        <v>0</v>
      </c>
      <c r="BI24" s="3210">
        <v>0</v>
      </c>
      <c r="BJ24" s="3415">
        <f t="shared" si="28"/>
        <v>0</v>
      </c>
      <c r="BK24" s="1970">
        <v>0</v>
      </c>
      <c r="BL24" s="3401">
        <f>+BJ24+BK24</f>
        <v>0</v>
      </c>
      <c r="BM24" s="3431">
        <f t="shared" ref="BM24:BM26" si="34">AD24+AO24</f>
        <v>0</v>
      </c>
      <c r="BN24" s="3441">
        <f t="shared" si="23"/>
        <v>0</v>
      </c>
      <c r="BO24" s="3442">
        <f t="shared" si="23"/>
        <v>0</v>
      </c>
      <c r="BP24" s="3303">
        <f t="shared" si="23"/>
        <v>0</v>
      </c>
      <c r="BQ24" s="3468">
        <f t="shared" si="29"/>
        <v>0</v>
      </c>
      <c r="BR24" s="3446">
        <f t="shared" si="24"/>
        <v>0</v>
      </c>
      <c r="BS24" s="1858">
        <f t="shared" si="24"/>
        <v>0</v>
      </c>
      <c r="BT24" s="3449">
        <f t="shared" si="26"/>
        <v>0</v>
      </c>
      <c r="BU24" s="3144"/>
      <c r="BV24" s="3058"/>
      <c r="BW24" s="3058"/>
      <c r="BX24" s="3058"/>
      <c r="BY24" s="3144"/>
      <c r="BZ24" s="3144"/>
      <c r="CA24" s="3147"/>
      <c r="CB24" s="3148"/>
      <c r="CC24" s="3147"/>
      <c r="CD24" s="3147"/>
      <c r="CE24" s="3147"/>
      <c r="CF24" s="3147"/>
      <c r="CG24" s="3147"/>
      <c r="CH24" s="1050"/>
      <c r="CI24" s="2854"/>
      <c r="CJ24" s="175"/>
      <c r="CK24" s="2854"/>
      <c r="CL24" s="175"/>
      <c r="CM24" s="2854"/>
      <c r="CN24" s="175"/>
      <c r="CO24" s="2854"/>
      <c r="CP24" s="175"/>
      <c r="CQ24" s="2854"/>
      <c r="CR24" s="2854"/>
      <c r="CS24" s="2854"/>
      <c r="CT24" s="2854"/>
      <c r="CU24" s="175"/>
      <c r="CV24" s="2854"/>
      <c r="CW24" s="2854"/>
      <c r="CX24" s="2854"/>
      <c r="CY24" s="2854"/>
      <c r="CZ24" s="2854"/>
      <c r="DA24" s="2854"/>
      <c r="DB24" s="2854"/>
      <c r="DC24" s="2854"/>
      <c r="DD24" s="2854"/>
      <c r="DE24" s="2854"/>
      <c r="DF24" s="2854"/>
      <c r="DG24" s="2854"/>
      <c r="DH24" s="2854"/>
      <c r="DI24" s="2854"/>
      <c r="DJ24" s="2854"/>
      <c r="DK24" s="2854"/>
      <c r="DL24" s="2854"/>
      <c r="DM24" s="2854"/>
      <c r="DN24" s="2854"/>
      <c r="DO24" s="2854"/>
      <c r="DP24" s="2854"/>
      <c r="DQ24" s="2854"/>
      <c r="DR24" s="2854"/>
      <c r="DS24" s="2854"/>
      <c r="DT24" s="2854"/>
      <c r="DU24" s="2854"/>
      <c r="DV24" s="2854"/>
      <c r="DW24" s="2854"/>
      <c r="DX24" s="2854"/>
      <c r="DY24" s="2854"/>
      <c r="DZ24" s="2854"/>
      <c r="EA24" s="2854"/>
      <c r="EB24" s="2854"/>
      <c r="EC24" s="2854"/>
      <c r="ED24" s="2854"/>
      <c r="EE24" s="2854"/>
      <c r="EF24" s="2854"/>
      <c r="EG24" s="2854"/>
      <c r="EH24" s="2854"/>
      <c r="EI24" s="2854"/>
      <c r="EJ24" s="2854"/>
      <c r="EK24" s="2854"/>
      <c r="EL24" s="2854"/>
      <c r="EM24" s="2854"/>
      <c r="EN24" s="2854"/>
      <c r="EO24" s="2854"/>
      <c r="EP24" s="2854"/>
      <c r="EQ24" s="2854"/>
      <c r="ER24" s="2854"/>
      <c r="ES24" s="2854"/>
      <c r="ET24" s="2854"/>
      <c r="EU24" s="2854"/>
      <c r="EV24" s="2854"/>
      <c r="EW24" s="2854"/>
      <c r="EX24" s="2854"/>
      <c r="EY24" s="2854"/>
      <c r="EZ24" s="2854"/>
      <c r="FA24" s="2854"/>
      <c r="FB24" s="2854"/>
      <c r="FC24" s="2854"/>
      <c r="FD24" s="2854"/>
      <c r="FE24" s="2854"/>
      <c r="FF24" s="2854"/>
      <c r="FG24" s="2854"/>
      <c r="FH24" s="2854"/>
      <c r="FI24" s="2854"/>
      <c r="FJ24" s="2854"/>
      <c r="FK24" s="2854"/>
      <c r="FL24" s="2854"/>
      <c r="FM24" s="2854"/>
      <c r="FN24" s="2854"/>
      <c r="FO24" s="2854"/>
      <c r="FP24" s="2854"/>
      <c r="FQ24" s="2854"/>
      <c r="FR24" s="2854"/>
      <c r="FS24" s="2854"/>
      <c r="FT24" s="2854"/>
      <c r="FU24" s="2854"/>
      <c r="FV24" s="2854"/>
      <c r="FW24" s="2854"/>
      <c r="FX24" s="2854"/>
      <c r="FY24" s="2854"/>
      <c r="FZ24" s="2854"/>
      <c r="GA24" s="2854"/>
      <c r="GB24" s="2854"/>
      <c r="GC24" s="2854"/>
      <c r="GD24" s="2854"/>
      <c r="GE24" s="2854"/>
      <c r="GF24" s="2854"/>
      <c r="GG24" s="2854"/>
      <c r="GH24" s="2854"/>
      <c r="GI24" s="2854"/>
      <c r="GJ24" s="2854"/>
      <c r="GK24" s="2854"/>
      <c r="GL24" s="2854"/>
      <c r="GM24" s="2854"/>
      <c r="GN24" s="2854"/>
      <c r="GO24" s="2854"/>
      <c r="GP24" s="2854"/>
      <c r="GQ24" s="2854"/>
      <c r="GR24" s="2854"/>
      <c r="GS24" s="2854"/>
      <c r="GT24" s="2854"/>
      <c r="GU24" s="2854"/>
      <c r="GV24" s="2854"/>
      <c r="GW24" s="2854"/>
      <c r="GX24" s="2854"/>
      <c r="GY24" s="2854"/>
      <c r="GZ24" s="2854"/>
      <c r="HA24" s="2854"/>
      <c r="HB24" s="2854"/>
      <c r="HC24" s="2854"/>
      <c r="HD24" s="2854"/>
      <c r="HE24" s="2854"/>
      <c r="HF24" s="2854"/>
      <c r="HG24" s="2854"/>
      <c r="HH24" s="2854"/>
      <c r="HI24" s="2854"/>
      <c r="HJ24" s="2854"/>
      <c r="HK24" s="2854"/>
      <c r="HL24" s="2854"/>
      <c r="HM24" s="2854"/>
      <c r="HN24" s="2854"/>
      <c r="HO24" s="2854"/>
      <c r="HP24" s="2854"/>
      <c r="HQ24" s="2854"/>
      <c r="HR24" s="2854"/>
      <c r="HS24" s="2854"/>
      <c r="HT24" s="2854"/>
      <c r="HU24" s="2854"/>
      <c r="HV24" s="2854"/>
      <c r="HW24" s="2854"/>
      <c r="HX24" s="2854"/>
      <c r="HY24" s="2854"/>
      <c r="HZ24" s="2854"/>
      <c r="IA24" s="2854"/>
      <c r="IB24" s="2854"/>
      <c r="IC24" s="2854"/>
      <c r="ID24" s="2854"/>
      <c r="IE24" s="2854"/>
      <c r="IF24" s="2854"/>
      <c r="IG24" s="2854"/>
      <c r="IH24" s="2854"/>
      <c r="II24" s="2854"/>
      <c r="IJ24" s="2854"/>
      <c r="IK24" s="2854"/>
      <c r="IL24" s="2854"/>
      <c r="IM24" s="2854"/>
      <c r="IN24" s="2854"/>
      <c r="IO24" s="2854"/>
      <c r="IP24" s="2854"/>
      <c r="IQ24" s="2854"/>
      <c r="IR24" s="2854"/>
      <c r="IS24" s="2854"/>
      <c r="IT24" s="2854"/>
      <c r="IU24" s="2854"/>
      <c r="IV24" s="2854"/>
      <c r="IW24" s="2854"/>
      <c r="IX24" s="2854"/>
      <c r="IY24" s="2854"/>
      <c r="IZ24" s="2854"/>
      <c r="JA24" s="2854"/>
      <c r="JB24" s="2854"/>
      <c r="JC24" s="2854"/>
      <c r="JD24" s="2854"/>
      <c r="JE24" s="2854"/>
      <c r="JF24" s="2854"/>
      <c r="JG24" s="2854"/>
      <c r="JH24" s="2854"/>
      <c r="JI24" s="2854"/>
      <c r="JJ24" s="2854"/>
      <c r="JK24" s="2854"/>
      <c r="JL24" s="2854"/>
      <c r="JM24" s="2854"/>
      <c r="JN24" s="2854"/>
      <c r="JO24" s="2854"/>
      <c r="JP24" s="2854"/>
      <c r="JQ24" s="2854"/>
      <c r="JR24" s="2854"/>
      <c r="JS24" s="2854"/>
      <c r="JT24" s="2854"/>
      <c r="JU24" s="2854"/>
      <c r="JV24" s="2854"/>
      <c r="JW24" s="2854"/>
      <c r="JX24" s="2854"/>
      <c r="JY24" s="2854"/>
      <c r="JZ24" s="2854"/>
      <c r="KA24" s="2854"/>
      <c r="KB24" s="2854"/>
      <c r="KC24" s="2854"/>
      <c r="KD24" s="2854"/>
      <c r="KE24" s="2854"/>
      <c r="KF24" s="2854"/>
      <c r="KG24" s="2854"/>
      <c r="KH24" s="2854"/>
      <c r="KI24" s="2854"/>
      <c r="KJ24" s="2854"/>
      <c r="KK24" s="2854"/>
      <c r="KL24" s="2854"/>
      <c r="KM24" s="2854"/>
      <c r="KN24" s="2854"/>
      <c r="KO24" s="2854"/>
      <c r="KP24" s="2854"/>
      <c r="KQ24" s="2854"/>
      <c r="KR24" s="2854"/>
      <c r="KS24" s="2854"/>
      <c r="KT24" s="2854"/>
      <c r="KU24" s="2854"/>
      <c r="KV24" s="2854"/>
      <c r="KW24" s="2854"/>
      <c r="KX24" s="2854"/>
      <c r="KY24" s="2854"/>
      <c r="KZ24" s="2854"/>
      <c r="LA24" s="2854"/>
      <c r="LB24" s="2854"/>
      <c r="LC24" s="2854"/>
      <c r="LD24" s="2854"/>
      <c r="LE24" s="2854"/>
      <c r="LF24" s="2854"/>
      <c r="LG24" s="2854"/>
      <c r="LH24" s="2854"/>
      <c r="LI24" s="2854"/>
      <c r="LJ24" s="2854"/>
      <c r="LK24" s="2854"/>
      <c r="LL24" s="2854"/>
      <c r="LM24" s="2854"/>
      <c r="LN24" s="2854"/>
      <c r="LO24" s="2854"/>
      <c r="LP24" s="2854"/>
      <c r="LQ24" s="2854"/>
      <c r="LR24" s="2854"/>
      <c r="LS24" s="2854"/>
      <c r="LT24" s="2854"/>
      <c r="LU24" s="2854"/>
      <c r="LV24" s="2854"/>
      <c r="LW24" s="2854"/>
      <c r="LX24" s="2854"/>
      <c r="LY24" s="2854"/>
      <c r="LZ24" s="2854"/>
      <c r="MA24" s="2854"/>
      <c r="MB24" s="2854"/>
      <c r="MC24" s="2854"/>
      <c r="MD24" s="2854"/>
      <c r="ME24" s="2854"/>
      <c r="MF24" s="2854"/>
      <c r="MG24" s="2854"/>
      <c r="MH24" s="2854"/>
      <c r="MI24" s="2854"/>
      <c r="MJ24" s="2854"/>
      <c r="MK24" s="2854"/>
      <c r="ML24" s="2854"/>
      <c r="MM24" s="2854"/>
      <c r="MN24" s="2854"/>
      <c r="MO24" s="2854"/>
      <c r="MP24" s="2854"/>
      <c r="MQ24" s="2854"/>
      <c r="MR24" s="2854"/>
      <c r="MS24" s="2854"/>
      <c r="MT24" s="2854"/>
      <c r="MU24" s="2854"/>
      <c r="MV24" s="2854"/>
      <c r="MW24" s="2854"/>
      <c r="MX24" s="2854"/>
      <c r="MY24" s="2854"/>
      <c r="MZ24" s="2854"/>
      <c r="NA24" s="2854"/>
      <c r="NB24" s="2854"/>
      <c r="NC24" s="2854"/>
      <c r="ND24" s="2854"/>
      <c r="NE24" s="2854"/>
      <c r="NF24" s="2854"/>
      <c r="NG24" s="2854"/>
      <c r="NH24" s="2854"/>
      <c r="NI24" s="2854"/>
      <c r="NJ24" s="2854"/>
      <c r="NK24" s="2854"/>
      <c r="NL24" s="2854"/>
      <c r="NM24" s="2854"/>
      <c r="NN24" s="2854"/>
      <c r="NO24" s="2854"/>
      <c r="NP24" s="2854"/>
      <c r="NQ24" s="2854"/>
      <c r="NR24" s="2854"/>
      <c r="NS24" s="2854"/>
      <c r="NT24" s="2854"/>
      <c r="NU24" s="2854"/>
      <c r="NV24" s="2854"/>
      <c r="NW24" s="2854"/>
      <c r="NX24" s="2854"/>
      <c r="NY24" s="2854"/>
      <c r="NZ24" s="2854"/>
      <c r="OA24" s="2854"/>
      <c r="OB24" s="2854"/>
      <c r="OC24" s="2854"/>
      <c r="OD24" s="2854"/>
      <c r="OE24" s="2854"/>
      <c r="OF24" s="2854"/>
      <c r="OG24" s="2854"/>
      <c r="OH24" s="2854"/>
      <c r="OI24" s="2854"/>
      <c r="OJ24" s="2854"/>
      <c r="OK24" s="2854"/>
      <c r="OL24" s="2854"/>
      <c r="OM24" s="2854"/>
      <c r="ON24" s="2854"/>
      <c r="OO24" s="2854"/>
      <c r="OP24" s="2854"/>
      <c r="OQ24" s="2854"/>
      <c r="OR24" s="2854"/>
      <c r="OS24" s="2854"/>
      <c r="OT24" s="2854"/>
      <c r="OU24" s="2854"/>
      <c r="OV24" s="2854"/>
      <c r="OW24" s="2854"/>
      <c r="OX24" s="2854"/>
      <c r="OY24" s="2854"/>
      <c r="OZ24" s="2854"/>
      <c r="PA24" s="2854"/>
      <c r="PB24" s="2854"/>
      <c r="PC24" s="2854"/>
      <c r="PD24" s="2854"/>
      <c r="PE24" s="2854"/>
      <c r="PF24" s="2854"/>
      <c r="PG24" s="2854"/>
      <c r="PH24" s="2854"/>
      <c r="PI24" s="2854"/>
      <c r="PJ24" s="2854"/>
      <c r="PK24" s="2854"/>
      <c r="PL24" s="2854"/>
      <c r="PM24" s="2854"/>
      <c r="PN24" s="2854"/>
      <c r="PO24" s="2854"/>
      <c r="PP24" s="2854"/>
      <c r="PQ24" s="2854"/>
      <c r="PR24" s="2854"/>
      <c r="PS24" s="2854"/>
      <c r="PT24" s="2854"/>
      <c r="PU24" s="2854"/>
      <c r="PV24" s="2854"/>
      <c r="PW24" s="2854"/>
      <c r="PX24" s="2854"/>
      <c r="PY24" s="2854"/>
      <c r="PZ24" s="2854"/>
      <c r="QA24" s="2854"/>
      <c r="QB24" s="2854"/>
      <c r="QC24" s="2854"/>
      <c r="QD24" s="2854"/>
      <c r="QE24" s="2854"/>
      <c r="QF24" s="2854"/>
      <c r="QG24" s="2854"/>
      <c r="QH24" s="2854"/>
      <c r="QI24" s="2854"/>
      <c r="QJ24" s="2854"/>
      <c r="QK24" s="2854"/>
      <c r="QL24" s="2854"/>
      <c r="QM24" s="2854"/>
      <c r="QN24" s="2854"/>
      <c r="QO24" s="2854"/>
      <c r="QP24" s="2854"/>
      <c r="QQ24" s="2854"/>
      <c r="QR24" s="2854"/>
      <c r="QS24" s="2854"/>
      <c r="QT24" s="2854"/>
      <c r="QU24" s="2854"/>
      <c r="QV24" s="2854"/>
      <c r="QW24" s="2854"/>
      <c r="QX24" s="2854"/>
      <c r="QY24" s="2854"/>
      <c r="QZ24" s="2854"/>
      <c r="RA24" s="2854"/>
      <c r="RB24" s="2854"/>
      <c r="RC24" s="2854"/>
      <c r="RD24" s="2854"/>
      <c r="RE24" s="2854"/>
      <c r="RF24" s="2854"/>
      <c r="RG24" s="2854"/>
      <c r="RH24" s="2854"/>
      <c r="RI24" s="2854"/>
      <c r="RJ24" s="2854"/>
      <c r="RK24" s="2854"/>
      <c r="RL24" s="2854"/>
      <c r="RM24" s="2854"/>
      <c r="RN24" s="2854"/>
      <c r="RO24" s="2854"/>
      <c r="RP24" s="2854"/>
      <c r="RQ24" s="2854"/>
      <c r="RR24" s="2854"/>
      <c r="RS24" s="2854"/>
      <c r="RT24" s="2854"/>
      <c r="RU24" s="2854"/>
      <c r="RV24" s="2854"/>
      <c r="RW24" s="2854"/>
      <c r="RX24" s="2854"/>
      <c r="RY24" s="2854"/>
      <c r="RZ24" s="2854"/>
      <c r="SA24" s="2854"/>
      <c r="SB24" s="2854"/>
      <c r="SC24" s="2854"/>
      <c r="SD24" s="2854"/>
      <c r="SE24" s="2854"/>
      <c r="SF24" s="2854"/>
      <c r="SG24" s="2854"/>
      <c r="SH24" s="2854"/>
      <c r="SI24" s="2854"/>
      <c r="SJ24" s="2854"/>
      <c r="SK24" s="2854"/>
      <c r="SL24" s="2854"/>
      <c r="SM24" s="2854"/>
      <c r="SN24" s="2854"/>
      <c r="SO24" s="2854"/>
      <c r="SP24" s="2854"/>
      <c r="SQ24" s="2854"/>
      <c r="SR24" s="2854"/>
      <c r="SS24" s="2854"/>
      <c r="ST24" s="2854"/>
      <c r="SU24" s="2854"/>
      <c r="SV24" s="2854"/>
      <c r="SW24" s="2854"/>
      <c r="SX24" s="2854"/>
      <c r="SY24" s="2854"/>
      <c r="SZ24" s="2854"/>
      <c r="TA24" s="2854"/>
      <c r="TB24" s="2854"/>
      <c r="TC24" s="2854"/>
      <c r="TD24" s="2854"/>
      <c r="TE24" s="2854"/>
      <c r="TF24" s="2854"/>
      <c r="TG24" s="2854"/>
      <c r="TH24" s="2854"/>
      <c r="TI24" s="2854"/>
      <c r="TJ24" s="2854"/>
      <c r="TK24" s="2854"/>
      <c r="TL24" s="2854"/>
      <c r="TM24" s="2854"/>
      <c r="TN24" s="2854"/>
      <c r="TO24" s="2854"/>
      <c r="TP24" s="2854"/>
      <c r="TQ24" s="2854"/>
      <c r="TR24" s="2854"/>
      <c r="TS24" s="2854"/>
      <c r="TT24" s="2854"/>
      <c r="TU24" s="3783"/>
      <c r="TV24" s="3783"/>
      <c r="TW24" s="3783"/>
      <c r="TX24" s="3783"/>
      <c r="TY24" s="3783"/>
      <c r="TZ24" s="3783"/>
      <c r="UA24" s="3783"/>
      <c r="UB24" s="3783"/>
      <c r="UC24" s="3783"/>
      <c r="UD24" s="3783"/>
      <c r="UE24" s="3783"/>
      <c r="UF24" s="3783"/>
      <c r="UG24" s="3783"/>
      <c r="UH24" s="3783"/>
      <c r="UI24" s="3783"/>
      <c r="UJ24" s="3783"/>
      <c r="UK24" s="3783"/>
      <c r="UL24" s="3783"/>
      <c r="UM24" s="3783"/>
      <c r="UN24" s="3783"/>
      <c r="UO24" s="3783"/>
      <c r="UP24" s="2854"/>
      <c r="UQ24" s="2854"/>
      <c r="UR24" s="2854"/>
      <c r="US24" s="2854"/>
      <c r="UT24" s="2854"/>
      <c r="UU24" s="2854"/>
      <c r="UV24" s="2854"/>
      <c r="UW24" s="2854"/>
      <c r="UX24" s="2854"/>
      <c r="UY24" s="2854"/>
      <c r="UZ24" s="2854"/>
      <c r="VA24" s="2854"/>
      <c r="VB24" s="2854"/>
      <c r="VC24" s="2854"/>
      <c r="VD24" s="2854"/>
      <c r="VE24" s="2854"/>
      <c r="VF24" s="2854"/>
      <c r="VG24" s="2854"/>
      <c r="VH24" s="2854"/>
      <c r="VI24" s="2854"/>
      <c r="VJ24" s="2854"/>
      <c r="VK24" s="2854"/>
      <c r="VL24" s="2854"/>
      <c r="VM24" s="2854"/>
      <c r="VN24" s="2854"/>
      <c r="VO24" s="2854"/>
      <c r="VP24" s="2854"/>
      <c r="VQ24" s="2854"/>
      <c r="VR24" s="2854"/>
      <c r="VS24" s="2854"/>
      <c r="VT24" s="2854"/>
      <c r="VU24" s="2854"/>
      <c r="VV24" s="2854"/>
      <c r="VW24" s="2854"/>
      <c r="VX24" s="2854"/>
      <c r="VY24" s="2854"/>
      <c r="VZ24" s="2854"/>
      <c r="WA24" s="2854"/>
      <c r="WB24" s="2854"/>
      <c r="WC24" s="2854"/>
      <c r="WD24" s="2854"/>
      <c r="WE24" s="2854"/>
      <c r="WF24" s="2854"/>
      <c r="WG24" s="2854"/>
      <c r="WH24" s="2854"/>
      <c r="WI24" s="2854"/>
      <c r="WJ24" s="2854"/>
      <c r="WK24" s="2854"/>
      <c r="WL24" s="2854"/>
      <c r="WM24" s="2854"/>
      <c r="WN24" s="2854"/>
      <c r="WO24" s="2854"/>
      <c r="WP24" s="2854"/>
      <c r="WQ24" s="2854"/>
      <c r="WR24" s="2854"/>
      <c r="WS24" s="2854"/>
      <c r="WT24" s="2854"/>
      <c r="WU24" s="2854"/>
      <c r="WV24" s="2854"/>
      <c r="WW24" s="2854"/>
      <c r="WX24" s="2854"/>
      <c r="WY24" s="2854"/>
      <c r="WZ24" s="2854"/>
      <c r="XA24" s="2854"/>
      <c r="XB24" s="2854"/>
      <c r="XC24" s="2854"/>
      <c r="XD24" s="2854"/>
      <c r="XE24" s="2854"/>
      <c r="XF24" s="2854"/>
      <c r="XG24" s="2854"/>
      <c r="XH24" s="2854"/>
      <c r="XI24" s="2854"/>
      <c r="XJ24" s="2854"/>
      <c r="XK24" s="2854"/>
      <c r="XL24" s="2854"/>
      <c r="XM24" s="2854"/>
      <c r="XN24" s="2854"/>
      <c r="XO24" s="2854"/>
      <c r="XP24" s="2854"/>
      <c r="XQ24" s="2854"/>
      <c r="XR24" s="2854"/>
      <c r="XS24" s="2854"/>
      <c r="XT24" s="2854"/>
      <c r="XU24" s="2854"/>
      <c r="XV24" s="2854"/>
      <c r="XW24" s="2854"/>
      <c r="XX24" s="2854"/>
      <c r="XY24" s="2854"/>
      <c r="XZ24" s="2854"/>
      <c r="YA24" s="2854"/>
      <c r="YB24" s="2854"/>
      <c r="YC24" s="2854"/>
      <c r="YD24" s="2854"/>
      <c r="YE24" s="2854"/>
      <c r="YF24" s="2854"/>
      <c r="YG24" s="2854"/>
      <c r="YH24" s="2854"/>
      <c r="YI24" s="2854"/>
      <c r="YJ24" s="2854"/>
      <c r="YK24" s="2854"/>
      <c r="YL24" s="2854"/>
      <c r="YM24" s="2854"/>
      <c r="YN24" s="2854"/>
      <c r="YO24" s="2854"/>
      <c r="YP24" s="2854"/>
      <c r="YQ24" s="2854"/>
      <c r="YR24" s="2854"/>
      <c r="YS24" s="2854"/>
      <c r="YT24" s="2854"/>
      <c r="YU24" s="2854"/>
      <c r="YV24" s="2854"/>
      <c r="YW24" s="2854"/>
      <c r="YX24" s="2854"/>
      <c r="YY24" s="2854"/>
      <c r="YZ24" s="2854"/>
      <c r="ZA24" s="2854"/>
      <c r="ZB24" s="2854"/>
      <c r="ZC24" s="2854"/>
      <c r="ZD24" s="2854"/>
      <c r="ZE24" s="2854"/>
      <c r="ZF24" s="2854"/>
      <c r="ZG24" s="2854"/>
      <c r="ZH24" s="2854"/>
      <c r="ZI24" s="2854"/>
      <c r="ZJ24" s="2854"/>
      <c r="ZK24" s="2854"/>
      <c r="ZL24" s="2854"/>
      <c r="ZM24" s="2854"/>
      <c r="ZN24" s="2854"/>
      <c r="ZO24" s="2854"/>
      <c r="ZP24" s="2854"/>
      <c r="ZQ24" s="2854"/>
      <c r="ZR24" s="2854"/>
      <c r="ZS24" s="2854"/>
      <c r="ZT24" s="2854"/>
      <c r="ZU24" s="2854"/>
      <c r="ZV24" s="2854"/>
      <c r="ZW24" s="2854"/>
      <c r="ZX24" s="2854"/>
      <c r="ZY24" s="2854"/>
      <c r="ZZ24" s="2854"/>
      <c r="AAA24" s="2854"/>
      <c r="AAB24" s="2854"/>
      <c r="AAC24" s="2854"/>
      <c r="AAD24" s="2854"/>
      <c r="AAE24" s="2854"/>
      <c r="AAF24" s="2854"/>
      <c r="AAG24" s="2854"/>
      <c r="AAH24" s="2854"/>
      <c r="AAI24" s="2854"/>
      <c r="AAJ24" s="2854"/>
      <c r="AAK24" s="2854"/>
      <c r="AAL24" s="2854"/>
      <c r="AAM24" s="2854"/>
      <c r="AAN24" s="2854"/>
      <c r="AAO24" s="2854"/>
      <c r="AAP24" s="2854"/>
      <c r="AAQ24" s="2854"/>
      <c r="AAR24" s="2854"/>
      <c r="AAS24" s="2854"/>
      <c r="AAT24" s="2854"/>
      <c r="AAU24" s="2854"/>
      <c r="AAV24" s="2854"/>
      <c r="AAW24" s="2854"/>
      <c r="AAX24" s="2854"/>
      <c r="AAY24" s="2854"/>
      <c r="AAZ24" s="2854"/>
      <c r="ABA24" s="2854"/>
      <c r="ABB24" s="2854"/>
      <c r="ABC24" s="2854"/>
      <c r="ABD24" s="2854"/>
      <c r="ABE24" s="2854"/>
      <c r="ABF24" s="2854"/>
      <c r="ABG24" s="2854"/>
      <c r="ABH24" s="2854"/>
      <c r="ABI24" s="2854"/>
      <c r="ABJ24" s="2854"/>
      <c r="ABK24" s="2854"/>
      <c r="ABL24" s="2854"/>
      <c r="ABM24" s="2854"/>
      <c r="ABN24" s="2854"/>
      <c r="ABO24" s="2854"/>
      <c r="ABP24" s="2854"/>
      <c r="ABQ24" s="2854"/>
      <c r="ABR24" s="2854"/>
      <c r="ABS24" s="2854"/>
      <c r="ABT24" s="2854"/>
      <c r="ABU24" s="2854"/>
      <c r="ABV24" s="2854"/>
      <c r="ABW24" s="2854"/>
      <c r="ABX24" s="2854"/>
      <c r="ABY24" s="2854"/>
      <c r="ABZ24" s="2854"/>
      <c r="ACA24" s="2854"/>
      <c r="ACB24" s="2854"/>
      <c r="ACC24" s="2854"/>
      <c r="ACD24" s="2854"/>
      <c r="ACE24" s="2854"/>
      <c r="ACF24" s="2854"/>
      <c r="ACG24" s="2854"/>
      <c r="ACH24" s="2854"/>
      <c r="ACI24" s="2854"/>
      <c r="ACJ24" s="2854"/>
      <c r="ACK24" s="2854"/>
      <c r="ACL24" s="2854"/>
      <c r="ACM24" s="2854"/>
      <c r="ACN24" s="2854"/>
      <c r="ACO24" s="2854"/>
      <c r="ACP24" s="2854"/>
      <c r="ACQ24" s="2854"/>
      <c r="ACR24" s="2854"/>
      <c r="ACS24" s="2854"/>
      <c r="ACT24" s="2854"/>
      <c r="ACU24" s="2854"/>
      <c r="ACV24" s="2854"/>
      <c r="ACW24" s="2854"/>
      <c r="ACX24" s="2854"/>
      <c r="ACY24" s="2854"/>
      <c r="ACZ24" s="2854"/>
      <c r="ADA24" s="2854"/>
      <c r="ADB24" s="2854"/>
      <c r="ADC24" s="2854"/>
      <c r="ADD24" s="2854"/>
      <c r="ADE24" s="2854"/>
      <c r="ADF24" s="2854"/>
      <c r="ADG24" s="2854"/>
      <c r="ADH24" s="2854"/>
      <c r="ADI24" s="2854"/>
      <c r="ADJ24" s="2854"/>
      <c r="ADK24" s="2854"/>
      <c r="ADL24" s="2854"/>
      <c r="ADM24" s="2854"/>
      <c r="ADN24" s="2854"/>
      <c r="ADO24" s="2854"/>
      <c r="ADP24" s="2854"/>
      <c r="ADQ24" s="2854"/>
      <c r="ADR24" s="2854"/>
      <c r="ADS24" s="2854"/>
      <c r="ADT24" s="2854"/>
      <c r="ADU24" s="2854"/>
      <c r="ADV24" s="2854"/>
      <c r="ADW24" s="2854"/>
      <c r="ADX24" s="2854"/>
      <c r="ADY24" s="2854"/>
      <c r="ADZ24" s="2854"/>
      <c r="AEA24" s="2854"/>
      <c r="AEB24" s="2854"/>
      <c r="AEC24" s="2854"/>
      <c r="AED24" s="2854"/>
      <c r="AEE24" s="2854"/>
      <c r="AEF24" s="2854"/>
      <c r="AEG24" s="2854"/>
      <c r="AEH24" s="2854"/>
      <c r="AEI24" s="2854"/>
      <c r="AEJ24" s="2854"/>
      <c r="AEK24" s="2854"/>
      <c r="AEL24" s="2854"/>
      <c r="AEM24" s="2854"/>
      <c r="AEN24" s="2854"/>
      <c r="AEO24" s="2854"/>
      <c r="AEP24" s="2854"/>
      <c r="AEQ24" s="2854"/>
      <c r="AER24" s="2854"/>
      <c r="AES24" s="2854"/>
      <c r="AET24" s="2854"/>
      <c r="AEU24" s="2854"/>
      <c r="AEV24" s="2854"/>
      <c r="AEW24" s="2854"/>
      <c r="AEX24" s="2854"/>
      <c r="AEY24" s="2854"/>
      <c r="AEZ24" s="2854"/>
      <c r="AFA24" s="2854"/>
      <c r="AFB24" s="2854"/>
      <c r="AFC24" s="2854"/>
      <c r="AFD24" s="2854"/>
      <c r="AFE24" s="2854"/>
      <c r="AFF24" s="2854"/>
      <c r="AFG24" s="2854"/>
      <c r="AFH24" s="2854"/>
      <c r="AFI24" s="2854"/>
      <c r="AFJ24" s="2854"/>
      <c r="AFK24" s="2854"/>
      <c r="AFL24" s="2854"/>
      <c r="AFM24" s="2854"/>
      <c r="AFN24" s="2854"/>
      <c r="AFO24" s="2854"/>
      <c r="AFP24" s="2854"/>
      <c r="AFQ24" s="2854"/>
      <c r="AFR24" s="2854"/>
      <c r="AFS24" s="2854"/>
      <c r="AFT24" s="2854"/>
      <c r="AFU24" s="2854"/>
      <c r="AFV24" s="2854"/>
      <c r="AFW24" s="2854"/>
      <c r="AFX24" s="2854"/>
      <c r="AFY24" s="2854"/>
      <c r="AFZ24" s="2854"/>
      <c r="AGA24" s="2854"/>
      <c r="AGB24" s="2854"/>
      <c r="AGC24" s="2854"/>
      <c r="AGD24" s="2854"/>
      <c r="AGE24" s="2854"/>
      <c r="AGF24" s="2854"/>
      <c r="AGG24" s="2854"/>
      <c r="AGH24" s="2854"/>
      <c r="AGI24" s="2854"/>
      <c r="AGJ24" s="2854"/>
      <c r="AGK24" s="2854"/>
      <c r="AGL24" s="2854"/>
      <c r="AGM24" s="2854"/>
      <c r="AGN24" s="2854"/>
      <c r="AGO24" s="2854"/>
      <c r="AGP24" s="2854"/>
      <c r="AGQ24" s="2854"/>
      <c r="AGR24" s="2854"/>
      <c r="AGS24" s="2854"/>
      <c r="AGT24" s="2854"/>
      <c r="AGU24" s="2854"/>
      <c r="AGV24" s="2854"/>
      <c r="AGW24" s="2854"/>
      <c r="AGX24" s="2854"/>
      <c r="AGY24" s="2854"/>
      <c r="AGZ24" s="2854"/>
      <c r="AHA24" s="2854"/>
      <c r="AHB24" s="2854"/>
      <c r="AHC24" s="2854"/>
      <c r="AHD24" s="2854"/>
      <c r="AHE24" s="2854"/>
      <c r="AHF24" s="2854"/>
      <c r="AHG24" s="2854"/>
      <c r="AHH24" s="2854"/>
      <c r="AHI24" s="2854"/>
      <c r="AHJ24" s="2854"/>
      <c r="AHK24" s="2854"/>
      <c r="AHL24" s="2854"/>
      <c r="AHM24" s="2854"/>
      <c r="AHN24" s="2854"/>
      <c r="AHO24" s="2854"/>
      <c r="AHP24" s="2854"/>
      <c r="AHQ24" s="2854"/>
      <c r="AHR24" s="2854"/>
      <c r="AHS24" s="2854"/>
      <c r="AHT24" s="2854"/>
      <c r="AHU24" s="2854"/>
      <c r="AHV24" s="2854"/>
      <c r="AHW24" s="2854"/>
      <c r="AHX24" s="2854"/>
      <c r="AHY24" s="2854"/>
      <c r="AHZ24" s="2854"/>
      <c r="AIA24" s="2854"/>
      <c r="AIB24" s="2854"/>
      <c r="AIC24" s="2854"/>
      <c r="AID24" s="2854"/>
      <c r="AIE24" s="2854"/>
      <c r="AIF24" s="2854"/>
      <c r="AIG24" s="2854"/>
      <c r="AIH24" s="2854"/>
      <c r="AII24" s="2854"/>
      <c r="AIJ24" s="2854"/>
      <c r="AIK24" s="2854"/>
      <c r="AIL24" s="2854"/>
      <c r="AIM24" s="2854"/>
      <c r="AIN24" s="2854"/>
      <c r="AIO24" s="2854"/>
      <c r="AIP24" s="2854"/>
      <c r="AIQ24" s="2854"/>
      <c r="AIR24" s="2854"/>
      <c r="AIS24" s="2854"/>
      <c r="AIT24" s="2854"/>
      <c r="AIU24" s="2854"/>
      <c r="AIV24" s="2854"/>
      <c r="AIW24" s="2854"/>
      <c r="AIX24" s="2854"/>
      <c r="AIY24" s="2854"/>
      <c r="AIZ24" s="2854"/>
      <c r="AJA24" s="2854"/>
      <c r="AJB24" s="2854"/>
      <c r="AJC24" s="2854"/>
      <c r="AJD24" s="2854"/>
      <c r="AJE24" s="2854"/>
      <c r="AJF24" s="2854"/>
      <c r="AJG24" s="2854"/>
      <c r="AJH24" s="2854"/>
      <c r="AJI24" s="2854"/>
      <c r="AJJ24" s="2854"/>
      <c r="AJK24" s="2854"/>
      <c r="AJL24" s="2854"/>
      <c r="AJM24" s="2854"/>
      <c r="AJN24" s="2854"/>
      <c r="AJO24" s="2854"/>
      <c r="AJP24" s="2854"/>
      <c r="AJQ24" s="2854"/>
      <c r="AJR24" s="2854"/>
      <c r="AJS24" s="2854"/>
      <c r="AJT24" s="2854"/>
      <c r="AJU24" s="2854"/>
      <c r="AJV24" s="2854"/>
      <c r="AJW24" s="2854"/>
      <c r="AJX24" s="2854"/>
      <c r="AJY24" s="2854"/>
      <c r="AJZ24" s="2854"/>
      <c r="AKA24" s="2854"/>
      <c r="AKB24" s="2854"/>
      <c r="AKC24" s="2854"/>
      <c r="AKD24" s="2854"/>
      <c r="AKE24" s="2854"/>
      <c r="AKF24" s="2854"/>
      <c r="AKG24" s="2854"/>
      <c r="AKH24" s="2854"/>
      <c r="AKI24" s="2854"/>
      <c r="AKJ24" s="2854"/>
      <c r="AKK24" s="2854"/>
      <c r="AKL24" s="2854"/>
      <c r="AKM24" s="2854"/>
      <c r="AKN24" s="2854"/>
      <c r="AKO24" s="2854"/>
      <c r="AKP24" s="2854"/>
      <c r="AKQ24" s="2854"/>
      <c r="AKR24" s="2854"/>
      <c r="AKS24" s="2854"/>
      <c r="AKT24" s="2854"/>
      <c r="AKU24" s="2854"/>
      <c r="AKV24" s="2854"/>
      <c r="AKW24" s="2854"/>
      <c r="AKX24" s="2854"/>
      <c r="AKY24" s="2854"/>
      <c r="AKZ24" s="2854"/>
      <c r="ALA24" s="2854"/>
      <c r="ALB24" s="2854"/>
      <c r="ALC24" s="2854"/>
      <c r="ALD24" s="2854"/>
      <c r="ALE24" s="2854"/>
      <c r="ALF24" s="2854"/>
      <c r="ALG24" s="2854"/>
      <c r="ALH24" s="2854"/>
      <c r="ALI24" s="2854"/>
      <c r="ALJ24" s="2854"/>
      <c r="ALK24" s="2854"/>
      <c r="ALL24" s="2854"/>
      <c r="ALM24" s="2854"/>
      <c r="ALN24" s="2854"/>
      <c r="ALO24" s="2854"/>
      <c r="ALP24" s="2854"/>
      <c r="ALQ24" s="2854"/>
      <c r="ALR24" s="2854"/>
      <c r="ALS24" s="2854"/>
      <c r="ALT24" s="2854"/>
      <c r="ALU24" s="2854"/>
      <c r="ALV24" s="2854"/>
      <c r="ALW24" s="2854"/>
      <c r="ALX24" s="2854"/>
      <c r="ALY24" s="2854"/>
      <c r="ALZ24" s="2854"/>
      <c r="AMA24" s="2854"/>
      <c r="AMB24" s="2854"/>
      <c r="AMC24" s="2854"/>
      <c r="AMD24" s="2854"/>
      <c r="AME24" s="2854"/>
      <c r="AMF24" s="2854"/>
      <c r="AMG24" s="2854"/>
      <c r="AMH24" s="2854"/>
      <c r="AMI24" s="2854"/>
      <c r="AMJ24" s="2854"/>
      <c r="AMK24" s="2854"/>
      <c r="AML24" s="2854"/>
      <c r="AMM24" s="2854"/>
      <c r="AMN24" s="2854"/>
      <c r="AMO24" s="2854"/>
      <c r="AMP24" s="2854"/>
      <c r="AMQ24" s="2854"/>
      <c r="AMR24" s="2854"/>
      <c r="AMS24" s="2854"/>
      <c r="AMT24" s="2854"/>
      <c r="AMU24" s="2854"/>
      <c r="AMV24" s="2854"/>
      <c r="AMW24" s="2854"/>
      <c r="AMX24" s="2854"/>
      <c r="AMY24" s="2854"/>
      <c r="AMZ24" s="2854"/>
      <c r="ANA24" s="2854"/>
      <c r="ANB24" s="2854"/>
      <c r="ANC24" s="2854"/>
      <c r="AND24" s="2854"/>
      <c r="ANE24" s="2854"/>
      <c r="ANF24" s="2854"/>
      <c r="ANG24" s="2854"/>
      <c r="ANH24" s="2854"/>
      <c r="ANI24" s="2854"/>
      <c r="ANJ24" s="2854"/>
      <c r="ANK24" s="2854"/>
      <c r="ANL24" s="2854"/>
      <c r="ANM24" s="2854"/>
      <c r="ANN24" s="2854"/>
      <c r="ANO24" s="2854"/>
      <c r="ANP24" s="2854"/>
      <c r="ANQ24" s="2854"/>
      <c r="ANR24" s="2854"/>
      <c r="ANS24" s="2854"/>
      <c r="ANT24" s="2854"/>
      <c r="ANU24" s="2854"/>
      <c r="ANV24" s="2854"/>
      <c r="ANW24" s="2854"/>
      <c r="ANX24" s="2854"/>
      <c r="ANY24" s="2854"/>
      <c r="ANZ24" s="2854"/>
      <c r="AOA24" s="2854"/>
      <c r="AOB24" s="2854"/>
      <c r="AOC24" s="2854"/>
      <c r="AOD24" s="2854"/>
      <c r="AOE24" s="2854"/>
      <c r="AOF24" s="2854"/>
      <c r="AOG24" s="2854"/>
      <c r="AOH24" s="2854"/>
      <c r="AOI24" s="2854"/>
      <c r="AOJ24" s="2854"/>
      <c r="AOK24" s="2854"/>
      <c r="AOL24" s="2854"/>
      <c r="AOM24" s="2854"/>
      <c r="AON24" s="2854"/>
      <c r="AOO24" s="2854"/>
      <c r="AOP24" s="2854"/>
      <c r="AOQ24" s="2854"/>
      <c r="AOR24" s="2854"/>
      <c r="AOS24" s="2854"/>
      <c r="AOT24" s="2854"/>
      <c r="AOU24" s="2854"/>
      <c r="AOV24" s="2854"/>
      <c r="AOW24" s="2854"/>
      <c r="AOX24" s="2854"/>
      <c r="AOY24" s="2854"/>
      <c r="AOZ24" s="2854"/>
      <c r="APA24" s="2854"/>
      <c r="APB24" s="2854"/>
      <c r="APC24" s="2854"/>
      <c r="APD24" s="2854"/>
      <c r="APE24" s="2854"/>
      <c r="APF24" s="2854"/>
      <c r="APG24" s="2854"/>
      <c r="APH24" s="2854"/>
      <c r="API24" s="2854"/>
      <c r="APJ24" s="2854"/>
      <c r="APK24" s="2854"/>
      <c r="APL24" s="2854"/>
      <c r="APM24" s="2854"/>
      <c r="APN24" s="2854"/>
      <c r="APO24" s="2854"/>
      <c r="APP24" s="2854"/>
      <c r="APQ24" s="2854"/>
      <c r="APR24" s="2854"/>
      <c r="APS24" s="2854"/>
      <c r="APT24" s="2854"/>
      <c r="APU24" s="2854"/>
      <c r="APV24" s="2854"/>
      <c r="APW24" s="2854"/>
      <c r="APX24" s="2854"/>
      <c r="APY24" s="2854"/>
      <c r="APZ24" s="2854"/>
      <c r="AQA24" s="2854"/>
      <c r="AQB24" s="2854"/>
      <c r="AQC24" s="2854"/>
      <c r="AQD24" s="2854"/>
      <c r="AQE24" s="2854"/>
      <c r="AQF24" s="2854"/>
      <c r="AQG24" s="2854"/>
      <c r="AQH24" s="2854"/>
      <c r="AQI24" s="2854"/>
      <c r="AQJ24" s="2854"/>
      <c r="AQK24" s="2854"/>
      <c r="AQL24" s="2854"/>
      <c r="AQM24" s="2854"/>
      <c r="AQN24" s="2854"/>
      <c r="AQO24" s="2854"/>
      <c r="AQP24" s="2854"/>
      <c r="AQQ24" s="2854"/>
      <c r="AQR24" s="2854"/>
      <c r="AQS24" s="2854"/>
      <c r="AQT24" s="2854"/>
      <c r="AQU24" s="2854"/>
      <c r="AQV24" s="2854"/>
      <c r="AQW24" s="2854"/>
      <c r="AQX24" s="2854"/>
      <c r="AQY24" s="2854"/>
      <c r="AQZ24" s="2854"/>
      <c r="ARA24" s="2854"/>
      <c r="ARB24" s="2854"/>
      <c r="ARC24" s="2854"/>
      <c r="ARD24" s="2854"/>
      <c r="ARE24" s="2854"/>
      <c r="ARF24" s="2854"/>
      <c r="ARG24" s="2854"/>
      <c r="ARH24" s="2854"/>
      <c r="ARI24" s="2854"/>
      <c r="ARJ24" s="2854"/>
      <c r="ARK24" s="2854"/>
      <c r="ARL24" s="2854"/>
      <c r="ARM24" s="2854"/>
      <c r="ARN24" s="2854"/>
      <c r="ARO24" s="2854"/>
      <c r="ARP24" s="2854"/>
      <c r="ARQ24" s="2854"/>
      <c r="ARR24" s="2854"/>
      <c r="ARS24" s="2854"/>
      <c r="ART24" s="2854"/>
      <c r="ARU24" s="2854"/>
      <c r="ARV24" s="2854"/>
      <c r="ARW24" s="2854"/>
      <c r="ARX24" s="2854"/>
      <c r="ARY24" s="2854"/>
      <c r="ARZ24" s="2854"/>
      <c r="ASA24" s="2854"/>
      <c r="ASB24" s="2854"/>
      <c r="ASC24" s="2854"/>
      <c r="ASD24" s="2854"/>
      <c r="ASE24" s="2854"/>
      <c r="ASF24" s="2854"/>
      <c r="ASG24" s="2854"/>
      <c r="ASH24" s="2854"/>
      <c r="ASI24" s="2854"/>
      <c r="ASJ24" s="2854"/>
      <c r="ASK24" s="2854"/>
      <c r="ASL24" s="2854"/>
      <c r="ASM24" s="2854"/>
      <c r="ASN24" s="2854"/>
      <c r="ASO24" s="2854"/>
      <c r="ASP24" s="2854"/>
      <c r="ASQ24" s="2854"/>
      <c r="ASR24" s="2854"/>
      <c r="ASS24" s="2854"/>
      <c r="AST24" s="2854"/>
      <c r="ASU24" s="2854"/>
      <c r="ASV24" s="2854"/>
      <c r="ASW24" s="2854"/>
      <c r="ASX24" s="2854"/>
      <c r="ASY24" s="2854"/>
      <c r="ASZ24" s="2854"/>
      <c r="ATA24" s="2854"/>
      <c r="ATB24" s="2854"/>
      <c r="ATC24" s="2854"/>
      <c r="ATD24" s="2854"/>
      <c r="ATE24" s="2854"/>
      <c r="ATF24" s="2854"/>
      <c r="ATG24" s="2854"/>
      <c r="ATH24" s="2854"/>
      <c r="ATI24" s="2854"/>
      <c r="ATJ24" s="2854"/>
      <c r="ATK24" s="2854"/>
      <c r="ATL24" s="2854"/>
      <c r="ATM24" s="2854"/>
      <c r="ATN24" s="2854"/>
      <c r="ATO24" s="2854"/>
      <c r="ATP24" s="2854"/>
      <c r="ATQ24" s="2854"/>
      <c r="ATR24" s="2854"/>
      <c r="ATS24" s="2854"/>
      <c r="ATT24" s="2854"/>
      <c r="ATU24" s="2854"/>
      <c r="ATV24" s="2854"/>
      <c r="ATW24" s="2854"/>
      <c r="ATX24" s="2854"/>
      <c r="ATY24" s="2854"/>
      <c r="ATZ24" s="2854"/>
      <c r="AUA24" s="2854"/>
      <c r="AUB24" s="2854"/>
      <c r="AUC24" s="2854"/>
      <c r="AUD24" s="2854"/>
      <c r="AUE24" s="2854"/>
      <c r="AUF24" s="2854"/>
      <c r="AUG24" s="2854"/>
      <c r="AUH24" s="2854"/>
      <c r="AUI24" s="2854"/>
      <c r="AUJ24" s="2854"/>
      <c r="AUK24" s="2854"/>
      <c r="AUL24" s="2854"/>
      <c r="AUM24" s="2854"/>
      <c r="AUN24" s="2854"/>
      <c r="AUO24" s="2854"/>
      <c r="AUP24" s="2854"/>
      <c r="AUQ24" s="2854"/>
      <c r="AUR24" s="2854"/>
      <c r="AUS24" s="2854"/>
      <c r="AUT24" s="2854"/>
      <c r="AUU24" s="2854"/>
      <c r="AUV24" s="2854"/>
      <c r="AUW24" s="2854"/>
      <c r="AUX24" s="2854"/>
      <c r="AUY24" s="2854"/>
      <c r="AUZ24" s="2854"/>
      <c r="AVA24" s="2854"/>
      <c r="AVB24" s="2854"/>
      <c r="AVC24" s="2854"/>
      <c r="AVD24" s="2854"/>
      <c r="AVE24" s="2854"/>
      <c r="AVF24" s="2854"/>
      <c r="AVG24" s="2854"/>
      <c r="AVH24" s="2854"/>
      <c r="AVI24" s="2854"/>
      <c r="AVJ24" s="2854"/>
      <c r="AVK24" s="2854"/>
      <c r="AVL24" s="2854"/>
      <c r="AVM24" s="2854"/>
      <c r="AVN24" s="2854"/>
      <c r="AVO24" s="2854"/>
      <c r="AVP24" s="2854"/>
      <c r="AVQ24" s="2854"/>
      <c r="AVR24" s="2854"/>
      <c r="AVS24" s="2854"/>
      <c r="AVT24" s="2854"/>
      <c r="AVU24" s="2854"/>
      <c r="AVV24" s="2854"/>
      <c r="AVW24" s="2854"/>
      <c r="AVX24" s="2854"/>
      <c r="AVY24" s="2854"/>
      <c r="AVZ24" s="2854"/>
      <c r="AWA24" s="2854"/>
      <c r="AWB24" s="2854"/>
      <c r="AWC24" s="2854"/>
      <c r="AWD24" s="2854"/>
      <c r="AWE24" s="2854"/>
      <c r="AWF24" s="2854"/>
      <c r="AWG24" s="2854"/>
      <c r="AWH24" s="2854"/>
      <c r="AWI24" s="2854"/>
      <c r="AWJ24" s="2854"/>
      <c r="AWK24" s="2854"/>
      <c r="AWL24" s="2854"/>
      <c r="AWM24" s="2854"/>
      <c r="AWN24" s="2854"/>
      <c r="AWO24" s="2854"/>
      <c r="AWP24" s="2854"/>
      <c r="AWQ24" s="2854"/>
      <c r="AWR24" s="2854"/>
      <c r="AWS24" s="2854"/>
      <c r="AWT24" s="2854"/>
      <c r="AWU24" s="2854"/>
      <c r="AWV24" s="2854"/>
      <c r="AWW24" s="2854"/>
      <c r="AWX24" s="2854"/>
      <c r="AWY24" s="2854"/>
      <c r="AWZ24" s="2854"/>
      <c r="AXA24" s="2854"/>
      <c r="AXB24" s="2854"/>
      <c r="AXC24" s="2854"/>
      <c r="AXD24" s="2854"/>
      <c r="AXE24" s="2854"/>
      <c r="AXF24" s="2854"/>
      <c r="AXG24" s="2854"/>
      <c r="AXH24" s="2854"/>
      <c r="AXI24" s="2854"/>
      <c r="AXJ24" s="2854"/>
      <c r="AXK24" s="2854"/>
      <c r="AXL24" s="2854"/>
      <c r="AXM24" s="2854"/>
      <c r="AXN24" s="2854"/>
      <c r="AXO24" s="2854"/>
      <c r="AXP24" s="2854"/>
      <c r="AXQ24" s="2854"/>
      <c r="AXR24" s="2854"/>
      <c r="AXS24" s="2854"/>
      <c r="AXT24" s="2854"/>
      <c r="AXU24" s="2854"/>
      <c r="AXV24" s="2854"/>
      <c r="AXW24" s="2854"/>
      <c r="AXX24" s="2854"/>
      <c r="AXY24" s="2854"/>
      <c r="AXZ24" s="2854"/>
      <c r="AYA24" s="2854"/>
      <c r="AYB24" s="2854"/>
      <c r="AYC24" s="2854"/>
      <c r="AYD24" s="2854"/>
      <c r="AYE24" s="2854"/>
      <c r="AYF24" s="2854"/>
      <c r="AYG24" s="2854"/>
      <c r="AYH24" s="2854"/>
      <c r="AYI24" s="2854"/>
      <c r="AYJ24" s="2854"/>
      <c r="AYK24" s="2854"/>
      <c r="AYL24" s="2854"/>
      <c r="AYM24" s="2854"/>
      <c r="AYN24" s="2854"/>
      <c r="AYO24" s="2854"/>
      <c r="AYP24" s="2854"/>
      <c r="AYQ24" s="2854"/>
      <c r="AYR24" s="2854"/>
      <c r="AYS24" s="2854"/>
      <c r="AYT24" s="2854"/>
      <c r="AYU24" s="2854"/>
      <c r="AYV24" s="2854"/>
      <c r="AYW24" s="2854"/>
      <c r="AYX24" s="2854"/>
      <c r="AYY24" s="2854"/>
      <c r="AYZ24" s="2854"/>
      <c r="AZA24" s="2854"/>
      <c r="AZB24" s="2854"/>
      <c r="AZC24" s="2854"/>
      <c r="AZD24" s="2854"/>
      <c r="AZE24" s="2854"/>
      <c r="AZF24" s="2854"/>
      <c r="AZG24" s="2854"/>
      <c r="AZH24" s="2854"/>
      <c r="AZI24" s="2854"/>
      <c r="AZJ24" s="2854"/>
      <c r="AZK24" s="2854"/>
      <c r="AZL24" s="2854"/>
      <c r="AZM24" s="2854"/>
      <c r="AZN24" s="2854"/>
      <c r="AZO24" s="2854"/>
      <c r="AZP24" s="2854"/>
      <c r="AZQ24" s="2854"/>
      <c r="AZR24" s="2854"/>
      <c r="AZS24" s="2854"/>
      <c r="AZT24" s="2854"/>
      <c r="AZU24" s="2854"/>
      <c r="AZV24" s="2854"/>
      <c r="AZW24" s="2854"/>
      <c r="AZX24" s="2854"/>
      <c r="AZY24" s="2854"/>
      <c r="AZZ24" s="2854"/>
      <c r="BAA24" s="2854"/>
      <c r="BAB24" s="2854"/>
      <c r="BAC24" s="2854"/>
      <c r="BAD24" s="2854"/>
      <c r="BAE24" s="2854"/>
      <c r="BAF24" s="2854"/>
      <c r="BAG24" s="2854"/>
      <c r="BAH24" s="2854"/>
      <c r="BAI24" s="2854"/>
      <c r="BAJ24" s="2854"/>
      <c r="BAK24" s="2854"/>
      <c r="BAL24" s="2854"/>
      <c r="BAM24" s="2854"/>
      <c r="BAN24" s="2854"/>
      <c r="BAO24" s="2854"/>
      <c r="BAP24" s="2854"/>
      <c r="BAQ24" s="2854"/>
      <c r="BAR24" s="2854"/>
      <c r="BAS24" s="2854"/>
      <c r="BAT24" s="2854"/>
      <c r="BAU24" s="2854"/>
      <c r="BAV24" s="2854"/>
      <c r="BAW24" s="2854"/>
      <c r="BAX24" s="2854"/>
      <c r="BAY24" s="2854"/>
      <c r="BAZ24" s="2854"/>
      <c r="BBA24" s="2854"/>
      <c r="BBB24" s="2854"/>
      <c r="BBC24" s="2854"/>
      <c r="BBD24" s="2854"/>
      <c r="BBE24" s="2854"/>
      <c r="BBF24" s="2854"/>
      <c r="BBG24" s="2854"/>
      <c r="BBH24" s="2854"/>
      <c r="BBI24" s="2854"/>
      <c r="BBJ24" s="2854"/>
      <c r="BBK24" s="2854"/>
      <c r="BBL24" s="2854"/>
      <c r="BBM24" s="2854"/>
      <c r="BBN24" s="2854"/>
      <c r="BBO24" s="2854"/>
      <c r="BBP24" s="2854"/>
      <c r="BBQ24" s="2854"/>
      <c r="BBR24" s="2854"/>
      <c r="BBS24" s="2854"/>
      <c r="BBT24" s="2854"/>
      <c r="BBU24" s="2854"/>
      <c r="BBV24" s="2854"/>
      <c r="BBW24" s="2854"/>
      <c r="BBX24" s="2854"/>
      <c r="BBY24" s="2854"/>
      <c r="BBZ24" s="2854"/>
      <c r="BCA24" s="2854"/>
      <c r="BCB24" s="2854"/>
      <c r="BCC24" s="2854"/>
      <c r="BCD24" s="2854"/>
      <c r="BCE24" s="2854"/>
      <c r="BCF24" s="2854"/>
      <c r="BCG24" s="2854"/>
      <c r="BCH24" s="2854"/>
      <c r="BCI24" s="2854"/>
      <c r="BCJ24" s="2854"/>
      <c r="BCK24" s="2854"/>
      <c r="BCL24" s="2854"/>
      <c r="BCM24" s="2854"/>
      <c r="BCN24" s="2854"/>
      <c r="BCO24" s="2854"/>
      <c r="BCP24" s="2854"/>
      <c r="BCQ24" s="2854"/>
      <c r="BCR24" s="2854"/>
      <c r="BCS24" s="2854"/>
      <c r="BCT24" s="2854"/>
      <c r="BCU24" s="2854"/>
      <c r="BCV24" s="2854"/>
      <c r="BCW24" s="2854"/>
      <c r="BCX24" s="2854"/>
      <c r="BCY24" s="2854"/>
      <c r="BCZ24" s="2854"/>
      <c r="BDA24" s="2854"/>
      <c r="BDB24" s="2854"/>
      <c r="BDC24" s="2854"/>
      <c r="BDD24" s="2854"/>
      <c r="BDE24" s="2854"/>
      <c r="BDF24" s="2854"/>
      <c r="BDG24" s="2854"/>
      <c r="BDH24" s="2854"/>
      <c r="BDI24" s="2854"/>
      <c r="BDJ24" s="2854"/>
      <c r="BDK24" s="2854"/>
      <c r="BDL24" s="2854"/>
      <c r="BDM24" s="2854"/>
      <c r="BDN24" s="2854"/>
      <c r="BDO24" s="2854"/>
      <c r="BDP24" s="2854"/>
      <c r="BDQ24" s="2854"/>
      <c r="BDR24" s="2854"/>
      <c r="BDS24" s="2854"/>
      <c r="BDT24" s="2854"/>
      <c r="BDU24" s="2854"/>
      <c r="BDV24" s="2854"/>
      <c r="BDW24" s="2854"/>
      <c r="BDX24" s="2854"/>
      <c r="BDY24" s="2854"/>
      <c r="BDZ24" s="2854"/>
      <c r="BEA24" s="2854"/>
      <c r="BEB24" s="2854"/>
      <c r="BEC24" s="2854"/>
      <c r="BED24" s="2854"/>
      <c r="BEE24" s="2854"/>
      <c r="BEF24" s="2854"/>
      <c r="BEG24" s="2854"/>
      <c r="BEH24" s="2854"/>
      <c r="BEI24" s="2854"/>
      <c r="BEJ24" s="2854"/>
      <c r="BEK24" s="2854"/>
      <c r="BEL24" s="2854"/>
      <c r="BEM24" s="2854"/>
      <c r="BEN24" s="2854"/>
      <c r="BEO24" s="2854"/>
      <c r="BEP24" s="2854"/>
      <c r="BEQ24" s="2854"/>
      <c r="BER24" s="2854"/>
      <c r="BES24" s="2854"/>
      <c r="BET24" s="2854"/>
      <c r="BEU24" s="2854"/>
      <c r="BEV24" s="2854"/>
      <c r="BEW24" s="2854"/>
      <c r="BEX24" s="2854"/>
      <c r="BEY24" s="2854"/>
      <c r="BEZ24" s="2854"/>
      <c r="BFA24" s="2854"/>
      <c r="BFB24" s="2854"/>
      <c r="BFC24" s="2854"/>
      <c r="BFD24" s="2854"/>
      <c r="BFE24" s="2854"/>
      <c r="BFF24" s="2854"/>
      <c r="BFG24" s="2854"/>
      <c r="BFH24" s="2854"/>
      <c r="BFI24" s="2854"/>
      <c r="BFJ24" s="2854"/>
      <c r="BFK24" s="2854"/>
      <c r="BFL24" s="2854"/>
      <c r="BFM24" s="2854"/>
      <c r="BFN24" s="2854"/>
      <c r="BFO24" s="2854"/>
      <c r="BFP24" s="2854"/>
      <c r="BFQ24" s="2854"/>
      <c r="BFR24" s="2854"/>
      <c r="BFS24" s="2854"/>
      <c r="BFT24" s="2854"/>
      <c r="BFU24" s="2854"/>
      <c r="BFV24" s="2854"/>
      <c r="BFW24" s="2854"/>
      <c r="BFX24" s="2854"/>
      <c r="BFY24" s="2854"/>
      <c r="BFZ24" s="2854"/>
      <c r="BGA24" s="2854"/>
      <c r="BGB24" s="2854"/>
      <c r="BGC24" s="2854"/>
      <c r="BGD24" s="2854"/>
      <c r="BGE24" s="2854"/>
      <c r="BGF24" s="2854"/>
      <c r="BGG24" s="2854"/>
      <c r="BGH24" s="2854"/>
      <c r="BGI24" s="2854"/>
      <c r="BGJ24" s="2854"/>
      <c r="BGK24" s="2854"/>
      <c r="BGL24" s="2854"/>
      <c r="BGM24" s="2854"/>
      <c r="BGN24" s="2854"/>
      <c r="BGO24" s="2854"/>
      <c r="BGP24" s="2854"/>
      <c r="BGQ24" s="2854"/>
      <c r="BGR24" s="2854"/>
      <c r="BGS24" s="2854"/>
      <c r="BGT24" s="2854"/>
      <c r="BGU24" s="2854"/>
      <c r="BGV24" s="2854"/>
      <c r="BGW24" s="2854"/>
      <c r="BGX24" s="2854"/>
      <c r="BGY24" s="2854"/>
      <c r="BGZ24" s="2854"/>
      <c r="BHA24" s="2854"/>
      <c r="BHB24" s="2854"/>
      <c r="BHC24" s="2854"/>
      <c r="BHD24" s="2854"/>
      <c r="BHE24" s="2854"/>
      <c r="BHF24" s="2854"/>
      <c r="BHG24" s="2854"/>
      <c r="BHH24" s="2854"/>
      <c r="BHI24" s="2854"/>
      <c r="BHJ24" s="2854"/>
      <c r="BHK24" s="2854"/>
      <c r="BHL24" s="2854"/>
      <c r="BHM24" s="2854"/>
      <c r="BHN24" s="2854"/>
      <c r="BHO24" s="2854"/>
      <c r="BHP24" s="2854"/>
      <c r="BHQ24" s="2854"/>
      <c r="BHR24" s="2854"/>
      <c r="BHS24" s="2854"/>
      <c r="BHT24" s="2854"/>
      <c r="BHU24" s="2854"/>
      <c r="BHV24" s="2854"/>
      <c r="BHW24" s="2854"/>
      <c r="BHX24" s="2854"/>
      <c r="BHY24" s="2854"/>
      <c r="BHZ24" s="2854"/>
      <c r="BIA24" s="2854"/>
      <c r="BIB24" s="2854"/>
      <c r="BIC24" s="2854"/>
      <c r="BID24" s="2854"/>
      <c r="BIE24" s="2854"/>
      <c r="BIF24" s="2854"/>
      <c r="BIG24" s="2854"/>
      <c r="BIH24" s="2854"/>
      <c r="BII24" s="2854"/>
      <c r="BIJ24" s="2854"/>
      <c r="BIK24" s="2854"/>
      <c r="BIL24" s="2854"/>
      <c r="BIM24" s="2854"/>
      <c r="BIN24" s="2854"/>
      <c r="BIO24" s="2854"/>
      <c r="BIP24" s="2854"/>
      <c r="BIQ24" s="2854"/>
      <c r="BIR24" s="2854"/>
      <c r="BIS24" s="2854"/>
      <c r="BIT24" s="2854"/>
      <c r="BIU24" s="2854"/>
      <c r="BIV24" s="2854"/>
      <c r="BIW24" s="2854"/>
      <c r="BIX24" s="2854"/>
      <c r="BIY24" s="2854"/>
      <c r="BIZ24" s="2854"/>
      <c r="BJA24" s="2854"/>
      <c r="BJB24" s="2854"/>
      <c r="BJC24" s="2854"/>
      <c r="BJD24" s="2854"/>
      <c r="BJE24" s="2854"/>
      <c r="BJF24" s="2854"/>
      <c r="BJG24" s="2854"/>
      <c r="BJH24" s="2854"/>
      <c r="BJI24" s="2854"/>
      <c r="BJJ24" s="2854"/>
      <c r="BJK24" s="2854"/>
      <c r="BJL24" s="2854"/>
      <c r="BJM24" s="2854"/>
      <c r="BJN24" s="2854"/>
      <c r="BJO24" s="2854"/>
      <c r="BJP24" s="2854"/>
      <c r="BJQ24" s="2854"/>
      <c r="BJR24" s="2854"/>
      <c r="BJS24" s="2854"/>
      <c r="BJT24" s="2854"/>
      <c r="BJU24" s="2854"/>
      <c r="BJV24" s="2854"/>
      <c r="BJW24" s="2854"/>
      <c r="BJX24" s="2854"/>
      <c r="BJY24" s="2854"/>
      <c r="BJZ24" s="2854"/>
      <c r="BKA24" s="2854"/>
      <c r="BKB24" s="2854"/>
      <c r="BKC24" s="2854"/>
      <c r="BKD24" s="2854"/>
      <c r="BKE24" s="2854"/>
      <c r="BKF24" s="2854"/>
      <c r="BKG24" s="2854"/>
      <c r="BKH24" s="2854"/>
      <c r="BKI24" s="2854"/>
      <c r="BKJ24" s="2854"/>
      <c r="BKK24" s="2854"/>
      <c r="BKL24" s="2854"/>
      <c r="BKM24" s="2854"/>
      <c r="BKN24" s="2854"/>
      <c r="BKO24" s="2854"/>
      <c r="BKP24" s="2854"/>
      <c r="BKQ24" s="2854"/>
      <c r="BKR24" s="2854"/>
      <c r="BKS24" s="2854"/>
      <c r="BKT24" s="2854"/>
      <c r="BKU24" s="2854"/>
      <c r="BKV24" s="2854"/>
      <c r="BKW24" s="2854"/>
      <c r="BKX24" s="2854"/>
      <c r="BKY24" s="2854"/>
      <c r="BKZ24" s="2854"/>
      <c r="BLA24" s="2854"/>
      <c r="BLB24" s="2854"/>
      <c r="BLC24" s="2854"/>
      <c r="BLD24" s="2854"/>
      <c r="BLE24" s="2854"/>
      <c r="BLF24" s="2854"/>
      <c r="BLG24" s="2854"/>
      <c r="BLH24" s="2854"/>
      <c r="BLI24" s="2854"/>
      <c r="BLJ24" s="2854"/>
      <c r="BLK24" s="2854"/>
      <c r="BLL24" s="2854"/>
      <c r="BLM24" s="2854"/>
      <c r="BLN24" s="2854"/>
      <c r="BLO24" s="2854"/>
      <c r="BLP24" s="2854"/>
      <c r="BLQ24" s="2854"/>
      <c r="BLR24" s="2854"/>
      <c r="BLS24" s="2854"/>
      <c r="BLT24" s="2854"/>
      <c r="BLU24" s="2854"/>
      <c r="BLV24" s="2854"/>
      <c r="BLW24" s="2854"/>
      <c r="BLX24" s="2854"/>
      <c r="BLY24" s="2854"/>
      <c r="BLZ24" s="2854"/>
      <c r="BMA24" s="2854"/>
      <c r="BMB24" s="2854"/>
      <c r="BMC24" s="2854"/>
      <c r="BMD24" s="2854"/>
      <c r="BME24" s="2854"/>
      <c r="BMF24" s="2854"/>
      <c r="BMG24" s="2854"/>
      <c r="BMH24" s="2854"/>
      <c r="BMI24" s="2854"/>
      <c r="BMJ24" s="2854"/>
      <c r="BMK24" s="2854"/>
      <c r="BML24" s="2854"/>
      <c r="BMM24" s="2854"/>
      <c r="BMN24" s="2854"/>
      <c r="BMO24" s="2854"/>
      <c r="BMP24" s="2854"/>
      <c r="BMQ24" s="2854"/>
      <c r="BMR24" s="2854"/>
      <c r="BMS24" s="2854"/>
      <c r="BMT24" s="2854"/>
      <c r="BMU24" s="2854"/>
      <c r="BMV24" s="2854"/>
      <c r="BMW24" s="2854"/>
      <c r="BMX24" s="2854"/>
      <c r="BMY24" s="2854"/>
      <c r="BMZ24" s="2854"/>
      <c r="BNA24" s="2854"/>
      <c r="BNB24" s="2854"/>
      <c r="BNC24" s="2854"/>
      <c r="BND24" s="2854"/>
      <c r="BNE24" s="2854"/>
      <c r="BNF24" s="2854"/>
      <c r="BNG24" s="2854"/>
      <c r="BNH24" s="2854"/>
      <c r="BNI24" s="2854"/>
      <c r="BNJ24" s="2854"/>
      <c r="BNK24" s="2854"/>
      <c r="BNL24" s="2854"/>
      <c r="BNM24" s="2854"/>
      <c r="BNN24" s="2854"/>
      <c r="BNO24" s="2854"/>
      <c r="BNP24" s="2854"/>
      <c r="BNQ24" s="2854"/>
      <c r="BNR24" s="2854"/>
      <c r="BNS24" s="2854"/>
      <c r="BNT24" s="2854"/>
      <c r="BNU24" s="2854"/>
      <c r="BNV24" s="2854"/>
      <c r="BNW24" s="2854"/>
      <c r="BNX24" s="2854"/>
      <c r="BNY24" s="2854"/>
      <c r="BNZ24" s="2854"/>
      <c r="BOA24" s="2854"/>
      <c r="BOB24" s="2854"/>
      <c r="BOC24" s="2854"/>
      <c r="BOD24" s="2854"/>
      <c r="BOE24" s="2854"/>
      <c r="BOF24" s="2854"/>
      <c r="BOG24" s="2854"/>
      <c r="BOH24" s="2854"/>
      <c r="BOI24" s="2854"/>
      <c r="BOJ24" s="2854"/>
      <c r="BOK24" s="2854"/>
      <c r="BOL24" s="2854"/>
      <c r="BOM24" s="2854"/>
      <c r="BON24" s="2854"/>
      <c r="BOO24" s="2854"/>
      <c r="BOP24" s="2854"/>
      <c r="BOQ24" s="2854"/>
      <c r="BOR24" s="2854"/>
      <c r="BOS24" s="2854"/>
      <c r="BOT24" s="2854"/>
      <c r="BOU24" s="2854"/>
      <c r="BOV24" s="2854"/>
      <c r="BOW24" s="2854"/>
      <c r="BOX24" s="2854"/>
      <c r="BOY24" s="2854"/>
      <c r="BOZ24" s="2854"/>
      <c r="BPA24" s="2854"/>
      <c r="BPB24" s="2854"/>
      <c r="BPC24" s="2854"/>
      <c r="BPD24" s="2854"/>
      <c r="BPE24" s="2854"/>
      <c r="BPF24" s="2854"/>
      <c r="BPG24" s="2854"/>
      <c r="BPH24" s="2854"/>
      <c r="BPI24" s="2854"/>
      <c r="BPJ24" s="2854"/>
      <c r="BPK24" s="2854"/>
      <c r="BPL24" s="2854"/>
      <c r="BPM24" s="2854"/>
      <c r="BPN24" s="2854"/>
      <c r="BPO24" s="2854"/>
      <c r="BPP24" s="2854"/>
      <c r="BPQ24" s="2854"/>
      <c r="BPR24" s="2854"/>
      <c r="BPS24" s="2854"/>
      <c r="BPT24" s="2854"/>
      <c r="BPU24" s="2854"/>
      <c r="BPV24" s="2854"/>
      <c r="BPW24" s="2854"/>
      <c r="BPX24" s="2854"/>
      <c r="BPY24" s="2854"/>
      <c r="BPZ24" s="2854"/>
      <c r="BQA24" s="2854"/>
      <c r="BQB24" s="2854"/>
      <c r="BQC24" s="2854"/>
      <c r="BQD24" s="2854"/>
      <c r="BQE24" s="2854"/>
      <c r="BQF24" s="2854"/>
      <c r="BQG24" s="2854"/>
      <c r="BQH24" s="2854"/>
      <c r="BQI24" s="2854"/>
      <c r="BQJ24" s="2854"/>
      <c r="BQK24" s="2854"/>
      <c r="BQL24" s="2854"/>
      <c r="BQM24" s="2854"/>
      <c r="BQN24" s="2854"/>
      <c r="BQO24" s="2854"/>
      <c r="BQP24" s="2854"/>
      <c r="BQQ24" s="2854"/>
      <c r="BQR24" s="2854"/>
      <c r="BQS24" s="2854"/>
      <c r="BQT24" s="2854"/>
      <c r="BQU24" s="2854"/>
      <c r="BQV24" s="2854"/>
      <c r="BQW24" s="2854"/>
      <c r="BQX24" s="2854"/>
      <c r="BQY24" s="2854"/>
      <c r="BQZ24" s="2854"/>
      <c r="BRA24" s="2854"/>
      <c r="BRB24" s="2854"/>
      <c r="BRC24" s="2854"/>
      <c r="BRD24" s="2854"/>
      <c r="BRE24" s="2854"/>
      <c r="BRF24" s="2854"/>
      <c r="BRG24" s="2854"/>
      <c r="BRH24" s="2854"/>
      <c r="BRI24" s="2854"/>
      <c r="BRJ24" s="2854"/>
      <c r="BRK24" s="2854"/>
      <c r="BRL24" s="2854"/>
      <c r="BRM24" s="2854"/>
      <c r="BRN24" s="2854"/>
      <c r="BRO24" s="2854"/>
      <c r="BRP24" s="2854"/>
      <c r="BRQ24" s="2854"/>
      <c r="BRR24" s="2854"/>
      <c r="BRS24" s="2854"/>
      <c r="BRT24" s="2854"/>
      <c r="BRU24" s="2854"/>
      <c r="BRV24" s="2854"/>
      <c r="BRW24" s="2854"/>
      <c r="BRX24" s="2854"/>
      <c r="BRY24" s="2854"/>
      <c r="BRZ24" s="2854"/>
      <c r="BSA24" s="2854"/>
      <c r="BSB24" s="2854"/>
      <c r="BSC24" s="2854"/>
      <c r="BSD24" s="2854"/>
      <c r="BSE24" s="2854"/>
      <c r="BSF24" s="2854"/>
      <c r="BSG24" s="2854"/>
      <c r="BSH24" s="2854"/>
      <c r="BSI24" s="2854"/>
      <c r="BSJ24" s="2854"/>
      <c r="BSK24" s="2854"/>
      <c r="BSL24" s="2854"/>
      <c r="BSM24" s="2854"/>
      <c r="BSN24" s="2854"/>
      <c r="BSO24" s="2854"/>
      <c r="BSP24" s="2854"/>
      <c r="BSQ24" s="2854"/>
      <c r="BSR24" s="2854"/>
      <c r="BSS24" s="2854"/>
      <c r="BST24" s="2854"/>
      <c r="BSU24" s="2854"/>
      <c r="BSV24" s="2854"/>
      <c r="BSW24" s="2854"/>
      <c r="BSX24" s="2854"/>
      <c r="BSY24" s="2854"/>
      <c r="BSZ24" s="2854"/>
      <c r="BTA24" s="2854"/>
      <c r="BTB24" s="2854"/>
      <c r="BTC24" s="2854"/>
      <c r="BTD24" s="2854"/>
      <c r="BTE24" s="2854"/>
      <c r="BTF24" s="2854"/>
      <c r="BTG24" s="2854"/>
      <c r="BTH24" s="2854"/>
      <c r="BTI24" s="2854"/>
      <c r="BTJ24" s="2854"/>
      <c r="BTK24" s="2854"/>
      <c r="BTL24" s="2854"/>
      <c r="BTM24" s="2854"/>
      <c r="BTN24" s="2854"/>
      <c r="BTO24" s="2854"/>
      <c r="BTP24" s="2854"/>
      <c r="BTQ24" s="2854"/>
      <c r="BTR24" s="2854"/>
      <c r="BTS24" s="2854"/>
      <c r="BTT24" s="2854"/>
      <c r="BTU24" s="2854"/>
      <c r="BTV24" s="2854"/>
      <c r="BTW24" s="2854"/>
      <c r="BTX24" s="2854"/>
      <c r="BTY24" s="2854"/>
      <c r="BTZ24" s="2854"/>
      <c r="BUA24" s="2854"/>
      <c r="BUB24" s="2854"/>
      <c r="BUC24" s="2854"/>
      <c r="BUD24" s="2854"/>
      <c r="BUE24" s="2854"/>
      <c r="BUF24" s="2854"/>
      <c r="BUG24" s="2854"/>
      <c r="BUH24" s="2854"/>
      <c r="BUI24" s="2854"/>
      <c r="BUJ24" s="2854"/>
      <c r="BUK24" s="2854"/>
      <c r="BUL24" s="2854"/>
      <c r="BUM24" s="2854"/>
      <c r="BUN24" s="2854"/>
      <c r="BUO24" s="2854"/>
      <c r="BUP24" s="2854"/>
      <c r="BUQ24" s="2854"/>
      <c r="BUR24" s="2854"/>
      <c r="BUS24" s="2854"/>
      <c r="BUT24" s="2854"/>
      <c r="BUU24" s="2854"/>
      <c r="BUV24" s="2854"/>
      <c r="BUW24" s="2854"/>
      <c r="BUX24" s="2854"/>
      <c r="BUY24" s="2854"/>
      <c r="BUZ24" s="2854"/>
      <c r="BVA24" s="2854"/>
      <c r="BVB24" s="2854"/>
      <c r="BVC24" s="2854"/>
      <c r="BVD24" s="2854"/>
      <c r="BVE24" s="2854"/>
      <c r="BVF24" s="2854"/>
      <c r="BVG24" s="2854"/>
      <c r="BVH24" s="2854"/>
      <c r="BVI24" s="2854"/>
      <c r="BVJ24" s="2854"/>
      <c r="BVK24" s="2854"/>
      <c r="BVL24" s="2854"/>
      <c r="BVM24" s="2854"/>
      <c r="BVN24" s="2854"/>
      <c r="BVO24" s="2854"/>
      <c r="BVP24" s="2854"/>
      <c r="BVQ24" s="2854"/>
      <c r="BVR24" s="2854"/>
      <c r="BVS24" s="2854"/>
      <c r="BVT24" s="2854"/>
      <c r="BVU24" s="2854"/>
      <c r="BVV24" s="2854"/>
      <c r="BVW24" s="2854"/>
      <c r="BVX24" s="2854"/>
      <c r="BVY24" s="2854"/>
      <c r="BVZ24" s="2854"/>
      <c r="BWA24" s="2854"/>
      <c r="BWB24" s="2854"/>
      <c r="BWC24" s="2854"/>
      <c r="BWD24" s="2854"/>
      <c r="BWE24" s="2854"/>
      <c r="BWF24" s="2854"/>
      <c r="BWG24" s="2854"/>
      <c r="BWH24" s="2854"/>
      <c r="BWI24" s="2854"/>
      <c r="BWJ24" s="2854"/>
      <c r="BWK24" s="2854"/>
      <c r="BWL24" s="2854"/>
      <c r="BWM24" s="2854"/>
      <c r="BWN24" s="2854"/>
      <c r="BWO24" s="2854"/>
      <c r="BWP24" s="2854"/>
      <c r="BWQ24" s="2854"/>
      <c r="BWR24" s="2854"/>
      <c r="BWS24" s="2854"/>
      <c r="BWT24" s="2854"/>
      <c r="BWU24" s="2854"/>
      <c r="BWV24" s="2854"/>
      <c r="BWW24" s="2854"/>
      <c r="BWX24" s="2854"/>
      <c r="BWY24" s="2854"/>
      <c r="BWZ24" s="2854"/>
      <c r="BXA24" s="2854"/>
      <c r="BXB24" s="2854"/>
      <c r="BXC24" s="2854"/>
      <c r="BXD24" s="2854"/>
      <c r="BXE24" s="2854"/>
      <c r="BXF24" s="2854"/>
      <c r="BXG24" s="2854"/>
      <c r="BXH24" s="2854"/>
      <c r="BXI24" s="2854"/>
      <c r="BXJ24" s="2854"/>
      <c r="BXK24" s="2854"/>
      <c r="BXL24" s="2854"/>
      <c r="BXM24" s="2854"/>
      <c r="BXN24" s="2854"/>
      <c r="BXO24" s="2854"/>
      <c r="BXP24" s="2854"/>
      <c r="BXQ24" s="2854"/>
      <c r="BXR24" s="2854"/>
      <c r="BXS24" s="2854"/>
      <c r="BXT24" s="2854"/>
      <c r="BXU24" s="2854"/>
      <c r="BXV24" s="2854"/>
      <c r="BXW24" s="2854"/>
      <c r="BXX24" s="2854"/>
      <c r="BXY24" s="2854"/>
      <c r="BXZ24" s="2854"/>
      <c r="BYA24" s="2854"/>
      <c r="BYB24" s="2854"/>
      <c r="BYC24" s="2854"/>
      <c r="BYD24" s="2854"/>
      <c r="BYE24" s="2854"/>
      <c r="BYF24" s="2854"/>
      <c r="BYG24" s="2854"/>
      <c r="BYH24" s="2854"/>
      <c r="BYI24" s="2854"/>
      <c r="BYJ24" s="2854"/>
      <c r="BYK24" s="2854"/>
      <c r="BYL24" s="2854"/>
      <c r="BYM24" s="2854"/>
      <c r="BYN24" s="2854"/>
      <c r="BYO24" s="2854"/>
      <c r="BYP24" s="2854"/>
      <c r="BYQ24" s="2854"/>
      <c r="BYR24" s="2854"/>
      <c r="BYS24" s="2854"/>
      <c r="BYT24" s="2854"/>
      <c r="BYU24" s="2854"/>
      <c r="BYV24" s="2854"/>
      <c r="BYW24" s="2854"/>
      <c r="BYX24" s="2854"/>
      <c r="BYY24" s="2854"/>
      <c r="BYZ24" s="2854"/>
      <c r="BZA24" s="2854"/>
      <c r="BZB24" s="2854"/>
      <c r="BZC24" s="2854"/>
      <c r="BZD24" s="2854"/>
      <c r="BZE24" s="2854"/>
      <c r="BZF24" s="2854"/>
      <c r="BZG24" s="2854"/>
      <c r="BZH24" s="2854"/>
      <c r="BZI24" s="2854"/>
      <c r="BZJ24" s="2854"/>
      <c r="BZK24" s="2854"/>
      <c r="BZL24" s="2854"/>
      <c r="BZM24" s="2854"/>
      <c r="BZN24" s="2854"/>
      <c r="BZO24" s="2854"/>
      <c r="BZP24" s="2854"/>
      <c r="BZQ24" s="2854"/>
      <c r="BZR24" s="2854"/>
      <c r="BZS24" s="2854"/>
      <c r="BZT24" s="2854"/>
      <c r="BZU24" s="2854"/>
      <c r="BZV24" s="2854"/>
      <c r="BZW24" s="2854"/>
      <c r="BZX24" s="2854"/>
      <c r="BZY24" s="2854"/>
      <c r="BZZ24" s="2854"/>
      <c r="CAA24" s="2854"/>
      <c r="CAB24" s="2854"/>
      <c r="CAC24" s="2854"/>
      <c r="CAD24" s="2854"/>
      <c r="CAE24" s="2854"/>
      <c r="CAF24" s="2854"/>
      <c r="CAG24" s="2854"/>
      <c r="CAH24" s="2854"/>
      <c r="CAI24" s="2854"/>
      <c r="CAJ24" s="2854"/>
      <c r="CAK24" s="2854"/>
      <c r="CAL24" s="2854"/>
      <c r="CAM24" s="2854"/>
      <c r="CAN24" s="2854"/>
      <c r="CAO24" s="2854"/>
      <c r="CAP24" s="2854"/>
      <c r="CAQ24" s="2854"/>
      <c r="CAR24" s="2854"/>
      <c r="CAS24" s="2854"/>
      <c r="CAT24" s="2854"/>
      <c r="CAU24" s="2854"/>
      <c r="CAV24" s="2854"/>
      <c r="CAW24" s="2854"/>
      <c r="CAX24" s="2854"/>
      <c r="CAY24" s="2854"/>
      <c r="CAZ24" s="2854"/>
      <c r="CBA24" s="2854"/>
      <c r="CBB24" s="2854"/>
      <c r="CBC24" s="2854"/>
      <c r="CBD24" s="2854"/>
      <c r="CBE24" s="2854"/>
      <c r="CBF24" s="2854"/>
      <c r="CBG24" s="2854"/>
      <c r="CBH24" s="2854"/>
      <c r="CBI24" s="2854"/>
      <c r="CBJ24" s="2854"/>
      <c r="CBK24" s="2854"/>
      <c r="CBL24" s="2854"/>
      <c r="CBM24" s="2854"/>
      <c r="CBN24" s="2854"/>
      <c r="CBO24" s="2854"/>
      <c r="CBP24" s="2854"/>
      <c r="CBQ24" s="2854"/>
      <c r="CBR24" s="2854"/>
      <c r="CBS24" s="2854"/>
      <c r="CBT24" s="2854"/>
      <c r="CBU24" s="2854"/>
      <c r="CBV24" s="2854"/>
      <c r="CBW24" s="2854"/>
      <c r="CBX24" s="2854"/>
      <c r="CBY24" s="2854"/>
      <c r="CBZ24" s="2854"/>
      <c r="CCA24" s="2854"/>
      <c r="CCB24" s="2854"/>
      <c r="CCC24" s="2854"/>
      <c r="CCD24" s="2854"/>
      <c r="CCE24" s="2854"/>
      <c r="CCF24" s="2854"/>
      <c r="CCG24" s="2854"/>
      <c r="CCH24" s="2854"/>
      <c r="CCI24" s="2854"/>
      <c r="CCJ24" s="2854"/>
      <c r="CCK24" s="2854"/>
      <c r="CCL24" s="2854"/>
      <c r="CCM24" s="2854"/>
      <c r="CCN24" s="2854"/>
      <c r="CCO24" s="2854"/>
      <c r="CCP24" s="2854"/>
      <c r="CCQ24" s="2854"/>
      <c r="CCR24" s="2854"/>
      <c r="CCS24" s="2854"/>
      <c r="CCT24" s="2854"/>
      <c r="CCU24" s="2854"/>
      <c r="CCV24" s="2854"/>
      <c r="CCW24" s="2854"/>
      <c r="CCX24" s="2854"/>
      <c r="CCY24" s="2854"/>
      <c r="CCZ24" s="2854"/>
      <c r="CDA24" s="2854"/>
      <c r="CDB24" s="2854"/>
      <c r="CDC24" s="2854"/>
      <c r="CDD24" s="2854"/>
      <c r="CDE24" s="2854"/>
      <c r="CDF24" s="2854"/>
      <c r="CDG24" s="2854"/>
      <c r="CDH24" s="2854"/>
      <c r="CDI24" s="2854"/>
      <c r="CDJ24" s="2854"/>
      <c r="CDK24" s="2854"/>
      <c r="CDL24" s="2854"/>
      <c r="CDM24" s="2854"/>
      <c r="CDN24" s="2854"/>
      <c r="CDO24" s="2854"/>
      <c r="CDP24" s="2854"/>
      <c r="CDQ24" s="2854"/>
      <c r="CDR24" s="2854"/>
      <c r="CDS24" s="2854"/>
      <c r="CDT24" s="2854"/>
      <c r="CDU24" s="2854"/>
      <c r="CDV24" s="2854"/>
      <c r="CDW24" s="2854"/>
      <c r="CDX24" s="2854"/>
      <c r="CDY24" s="2854"/>
      <c r="CDZ24" s="2854"/>
      <c r="CEA24" s="2854"/>
      <c r="CEB24" s="2854"/>
      <c r="CEC24" s="2854"/>
      <c r="CED24" s="2854"/>
      <c r="CEE24" s="2854"/>
      <c r="CEF24" s="2854"/>
      <c r="CEG24" s="2854"/>
      <c r="CEH24" s="2854"/>
      <c r="CEI24" s="2854"/>
      <c r="CEJ24" s="2854"/>
      <c r="CEK24" s="2854"/>
      <c r="CEL24" s="2854"/>
      <c r="CEM24" s="2854"/>
      <c r="CEN24" s="2854"/>
      <c r="CEO24" s="2854"/>
      <c r="CEP24" s="2854"/>
      <c r="CEQ24" s="2854"/>
      <c r="CER24" s="2854"/>
      <c r="CES24" s="2854"/>
      <c r="CET24" s="2854"/>
      <c r="CEU24" s="2854"/>
      <c r="CEV24" s="2854"/>
      <c r="CEW24" s="2854"/>
      <c r="CEX24" s="2854"/>
      <c r="CEY24" s="2854"/>
      <c r="CEZ24" s="2854"/>
      <c r="CFA24" s="2854"/>
      <c r="CFB24" s="2854"/>
      <c r="CFC24" s="2854"/>
      <c r="CFD24" s="2854"/>
      <c r="CFE24" s="2854"/>
      <c r="CFF24" s="2854"/>
      <c r="CFG24" s="2854"/>
      <c r="CFH24" s="2854"/>
      <c r="CFI24" s="2854"/>
      <c r="CFJ24" s="2854"/>
      <c r="CFK24" s="2854"/>
      <c r="CFL24" s="2854"/>
      <c r="CFM24" s="2854"/>
      <c r="CFN24" s="2854"/>
      <c r="CFO24" s="2854"/>
      <c r="CFP24" s="2854"/>
      <c r="CFQ24" s="2854"/>
      <c r="CFR24" s="2854"/>
      <c r="CFS24" s="2854"/>
      <c r="CFT24" s="2854"/>
      <c r="CFU24" s="2854"/>
      <c r="CFV24" s="2854"/>
      <c r="CFW24" s="2854"/>
      <c r="CFX24" s="2854"/>
      <c r="CFY24" s="2854"/>
      <c r="CFZ24" s="2854"/>
      <c r="CGA24" s="2854"/>
      <c r="CGB24" s="2854"/>
      <c r="CGC24" s="2854"/>
      <c r="CGD24" s="2854"/>
      <c r="CGE24" s="2854"/>
      <c r="CGF24" s="2854"/>
      <c r="CGG24" s="2854"/>
      <c r="CGH24" s="2854"/>
      <c r="CGI24" s="2854"/>
      <c r="CGJ24" s="2854"/>
      <c r="CGK24" s="2854"/>
      <c r="CGL24" s="2854"/>
      <c r="CGM24" s="2854"/>
      <c r="CGN24" s="2854"/>
      <c r="CGO24" s="2854"/>
      <c r="CGP24" s="2854"/>
      <c r="CGQ24" s="2854"/>
      <c r="CGR24" s="2854"/>
      <c r="CGS24" s="2854"/>
      <c r="CGT24" s="2854"/>
      <c r="CGU24" s="2854"/>
      <c r="CGV24" s="2854"/>
      <c r="CGW24" s="2854"/>
      <c r="CGX24" s="2854"/>
      <c r="CGY24" s="2854"/>
      <c r="CGZ24" s="2854"/>
      <c r="CHA24" s="2854"/>
      <c r="CHB24" s="2854"/>
      <c r="CHC24" s="2854"/>
      <c r="CHD24" s="2854"/>
      <c r="CHE24" s="2854"/>
      <c r="CHF24" s="2854"/>
      <c r="CHG24" s="2854"/>
      <c r="CHH24" s="2854"/>
      <c r="CHI24" s="2854"/>
      <c r="CHJ24" s="2854"/>
      <c r="CHK24" s="2854"/>
      <c r="CHL24" s="2854"/>
      <c r="CHM24" s="2854"/>
      <c r="CHN24" s="2854"/>
      <c r="CHO24" s="2854"/>
      <c r="CHP24" s="2854"/>
      <c r="CHQ24" s="2854"/>
      <c r="CHR24" s="2854"/>
      <c r="CHS24" s="2854"/>
      <c r="CHT24" s="2854"/>
      <c r="CHU24" s="2854"/>
      <c r="CHV24" s="2854"/>
      <c r="CHW24" s="2854"/>
      <c r="CHX24" s="2854"/>
      <c r="CHY24" s="2854"/>
      <c r="CHZ24" s="2854"/>
      <c r="CIA24" s="2854"/>
      <c r="CIB24" s="2854"/>
      <c r="CIC24" s="2854"/>
      <c r="CID24" s="2854"/>
      <c r="CIE24" s="2854"/>
      <c r="CIF24" s="2854"/>
      <c r="CIG24" s="2854"/>
      <c r="CIH24" s="2854"/>
      <c r="CII24" s="2854"/>
      <c r="CIJ24" s="2854"/>
      <c r="CIK24" s="2854"/>
      <c r="CIL24" s="2854"/>
      <c r="CIM24" s="2854"/>
      <c r="CIN24" s="2854"/>
      <c r="CIO24" s="2854"/>
      <c r="CIP24" s="2854"/>
      <c r="CIQ24" s="2854"/>
      <c r="CIR24" s="2854"/>
      <c r="CIS24" s="2854"/>
      <c r="CIT24" s="2854"/>
      <c r="CIU24" s="2854"/>
      <c r="CIV24" s="2854"/>
      <c r="CIW24" s="2854"/>
      <c r="CIX24" s="2854"/>
      <c r="CIY24" s="2854"/>
      <c r="CIZ24" s="2854"/>
      <c r="CJA24" s="2854"/>
      <c r="CJB24" s="2854"/>
      <c r="CJC24" s="2854"/>
      <c r="CJD24" s="2854"/>
      <c r="CJE24" s="2854"/>
      <c r="CJF24" s="2854"/>
      <c r="CJG24" s="2854"/>
      <c r="CJH24" s="2854"/>
      <c r="CJI24" s="2854"/>
      <c r="CJJ24" s="2854"/>
      <c r="CJK24" s="2854"/>
      <c r="CJL24" s="2854"/>
      <c r="CJM24" s="2854"/>
      <c r="CJN24" s="2854"/>
      <c r="CJO24" s="2854"/>
      <c r="CJP24" s="2854"/>
      <c r="CJQ24" s="2854"/>
      <c r="CJR24" s="2854"/>
      <c r="CJS24" s="2854"/>
      <c r="CJT24" s="2854"/>
      <c r="CJU24" s="2854"/>
      <c r="CJV24" s="2854"/>
      <c r="CJW24" s="2854"/>
      <c r="CJX24" s="2854"/>
      <c r="CJY24" s="2854"/>
      <c r="CJZ24" s="2854"/>
      <c r="CKA24" s="2854"/>
      <c r="CKB24" s="2854"/>
      <c r="CKC24" s="2854"/>
      <c r="CKD24" s="2854"/>
      <c r="CKE24" s="2854"/>
      <c r="CKF24" s="2854"/>
      <c r="CKG24" s="2854"/>
      <c r="CKH24" s="2854"/>
      <c r="CKI24" s="2854"/>
      <c r="CKJ24" s="2854"/>
      <c r="CKK24" s="2854"/>
      <c r="CKL24" s="2854"/>
      <c r="CKM24" s="2854"/>
      <c r="CKN24" s="2854"/>
      <c r="CKO24" s="2854"/>
      <c r="CKP24" s="2854"/>
      <c r="CKQ24" s="2854"/>
      <c r="CKR24" s="2854"/>
      <c r="CKS24" s="2854"/>
      <c r="CKT24" s="2854"/>
      <c r="CKU24" s="2854"/>
      <c r="CKV24" s="2854"/>
      <c r="CKW24" s="2854"/>
      <c r="CKX24" s="2854"/>
      <c r="CKY24" s="2854"/>
      <c r="CKZ24" s="2854"/>
      <c r="CLA24" s="2854"/>
      <c r="CLB24" s="2854"/>
      <c r="CLC24" s="2854"/>
      <c r="CLD24" s="2854"/>
      <c r="CLE24" s="2854"/>
      <c r="CLF24" s="2854"/>
      <c r="CLG24" s="2854"/>
      <c r="CLH24" s="2854"/>
      <c r="CLI24" s="2854"/>
      <c r="CLJ24" s="2854"/>
      <c r="CLK24" s="2854"/>
      <c r="CLL24" s="2854"/>
      <c r="CLM24" s="2854"/>
      <c r="CLN24" s="2854"/>
      <c r="CLO24" s="2854"/>
      <c r="CLP24" s="2854"/>
      <c r="CLQ24" s="2854"/>
      <c r="CLR24" s="2854"/>
      <c r="CLS24" s="2854"/>
      <c r="CLT24" s="2854"/>
      <c r="CLU24" s="2854"/>
      <c r="CLV24" s="2854"/>
      <c r="CLW24" s="2854"/>
    </row>
    <row r="25" spans="1:2363" ht="15" customHeight="1" x14ac:dyDescent="0.25">
      <c r="A25" s="3868"/>
      <c r="B25" s="3881"/>
      <c r="C25" s="3211">
        <v>7</v>
      </c>
      <c r="D25" s="3231"/>
      <c r="E25" s="2723"/>
      <c r="F25" s="1799"/>
      <c r="G25" s="1800"/>
      <c r="H25" s="3205"/>
      <c r="I25" s="2008"/>
      <c r="J25" s="1805"/>
      <c r="K25" s="2974"/>
      <c r="L25" s="2975"/>
      <c r="M25" s="3307"/>
      <c r="N25" s="2103"/>
      <c r="O25" s="2000"/>
      <c r="P25" s="2115"/>
      <c r="Q25" s="2953"/>
      <c r="R25" s="2954"/>
      <c r="S25" s="2954"/>
      <c r="T25" s="2905"/>
      <c r="U25" s="2110"/>
      <c r="V25" s="2955"/>
      <c r="W25" s="2956"/>
      <c r="X25" s="2957"/>
      <c r="Y25" s="2924"/>
      <c r="Z25" s="3204"/>
      <c r="AA25" s="1851"/>
      <c r="AB25" s="1894"/>
      <c r="AC25" s="1966"/>
      <c r="AD25" s="1897"/>
      <c r="AE25" s="1897"/>
      <c r="AF25" s="1893"/>
      <c r="AG25" s="2870"/>
      <c r="AH25" s="2112"/>
      <c r="AI25" s="3412"/>
      <c r="AJ25" s="1970"/>
      <c r="AK25" s="2454"/>
      <c r="AL25" s="3206">
        <v>0</v>
      </c>
      <c r="AM25" s="3208">
        <v>0</v>
      </c>
      <c r="AN25" s="2130">
        <v>0</v>
      </c>
      <c r="AO25" s="2162"/>
      <c r="AP25" s="2181"/>
      <c r="AQ25" s="2181"/>
      <c r="AR25" s="3286"/>
      <c r="AS25" s="2164">
        <f t="shared" si="27"/>
        <v>0</v>
      </c>
      <c r="AT25" s="2504"/>
      <c r="AU25" s="1846"/>
      <c r="AV25" s="1846"/>
      <c r="AW25" s="2493">
        <f>+AU25+AV25</f>
        <v>0</v>
      </c>
      <c r="AX25" s="3290"/>
      <c r="AY25" s="3294"/>
      <c r="AZ25" s="2130"/>
      <c r="BA25" s="3085"/>
      <c r="BB25" s="3086"/>
      <c r="BC25" s="3086"/>
      <c r="BD25" s="3086"/>
      <c r="BE25" s="3075">
        <f t="shared" si="25"/>
        <v>0</v>
      </c>
      <c r="BF25" s="3228"/>
      <c r="BG25" s="2504"/>
      <c r="BH25" s="1846"/>
      <c r="BI25" s="3210"/>
      <c r="BJ25" s="1892"/>
      <c r="BK25" s="1970"/>
      <c r="BL25" s="3401"/>
      <c r="BM25" s="3431">
        <f t="shared" si="34"/>
        <v>0</v>
      </c>
      <c r="BN25" s="3441">
        <f t="shared" si="23"/>
        <v>0</v>
      </c>
      <c r="BO25" s="3442">
        <f t="shared" si="23"/>
        <v>0</v>
      </c>
      <c r="BP25" s="3303">
        <f t="shared" si="23"/>
        <v>0</v>
      </c>
      <c r="BQ25" s="3468">
        <f t="shared" si="29"/>
        <v>0</v>
      </c>
      <c r="BR25" s="3446">
        <f t="shared" si="24"/>
        <v>0</v>
      </c>
      <c r="BS25" s="1858">
        <f t="shared" si="24"/>
        <v>0</v>
      </c>
      <c r="BT25" s="3449">
        <f t="shared" si="26"/>
        <v>0</v>
      </c>
      <c r="BU25" s="3144"/>
      <c r="BV25" s="3058"/>
      <c r="BW25" s="3058"/>
      <c r="BX25" s="3058"/>
      <c r="BY25" s="3144"/>
      <c r="BZ25" s="3144"/>
      <c r="CA25" s="3147"/>
      <c r="CB25" s="3148"/>
      <c r="CC25" s="3147"/>
      <c r="CD25" s="3147"/>
      <c r="CE25" s="3147"/>
      <c r="CF25" s="3147"/>
      <c r="CG25" s="3147"/>
      <c r="CH25" s="1050"/>
      <c r="CI25" s="2854"/>
      <c r="CJ25" s="175"/>
      <c r="CK25" s="2854"/>
      <c r="CL25" s="175"/>
      <c r="CM25" s="2854"/>
      <c r="CN25" s="175"/>
      <c r="CO25" s="2854"/>
      <c r="CP25" s="175"/>
      <c r="CQ25" s="2854"/>
      <c r="CR25" s="2854"/>
      <c r="CS25" s="2854"/>
      <c r="CT25" s="2854"/>
      <c r="CU25" s="175"/>
      <c r="CV25" s="2854"/>
      <c r="CW25" s="2854"/>
      <c r="CX25" s="2854"/>
      <c r="CY25" s="2854"/>
      <c r="CZ25" s="2854"/>
      <c r="DA25" s="2854"/>
      <c r="DB25" s="2854"/>
      <c r="DC25" s="2854"/>
      <c r="DD25" s="2854"/>
      <c r="DE25" s="2854"/>
      <c r="DF25" s="2854"/>
      <c r="DG25" s="2854"/>
      <c r="DH25" s="2854"/>
      <c r="DI25" s="2854"/>
      <c r="DJ25" s="2854"/>
      <c r="DK25" s="2854"/>
      <c r="DL25" s="2854"/>
      <c r="DM25" s="2854"/>
      <c r="DN25" s="2854"/>
      <c r="DO25" s="2854"/>
      <c r="DP25" s="2854"/>
      <c r="DQ25" s="2854"/>
      <c r="DR25" s="2854"/>
      <c r="DS25" s="2854"/>
      <c r="DT25" s="2854"/>
      <c r="DU25" s="2854"/>
      <c r="DV25" s="2854"/>
      <c r="DW25" s="2854"/>
      <c r="DX25" s="2854"/>
      <c r="DY25" s="2854"/>
      <c r="DZ25" s="2854"/>
      <c r="EA25" s="2854"/>
      <c r="EB25" s="2854"/>
      <c r="EC25" s="2854"/>
      <c r="ED25" s="2854"/>
      <c r="EE25" s="2854"/>
      <c r="EF25" s="2854"/>
      <c r="EG25" s="2854"/>
      <c r="EH25" s="2854"/>
      <c r="EI25" s="2854"/>
      <c r="EJ25" s="2854"/>
      <c r="EK25" s="2854"/>
      <c r="EL25" s="2854"/>
      <c r="EM25" s="2854"/>
      <c r="EN25" s="2854"/>
      <c r="EO25" s="2854"/>
      <c r="EP25" s="2854"/>
      <c r="EQ25" s="2854"/>
      <c r="ER25" s="2854"/>
      <c r="ES25" s="2854"/>
      <c r="ET25" s="2854"/>
      <c r="EU25" s="2854"/>
      <c r="EV25" s="2854"/>
      <c r="EW25" s="2854"/>
      <c r="EX25" s="2854"/>
      <c r="EY25" s="2854"/>
      <c r="EZ25" s="2854"/>
      <c r="FA25" s="2854"/>
      <c r="FB25" s="2854"/>
      <c r="FC25" s="2854"/>
      <c r="FD25" s="2854"/>
      <c r="FE25" s="2854"/>
      <c r="FF25" s="2854"/>
      <c r="FG25" s="2854"/>
      <c r="FH25" s="2854"/>
      <c r="FI25" s="2854"/>
      <c r="FJ25" s="2854"/>
      <c r="FK25" s="2854"/>
      <c r="FL25" s="2854"/>
      <c r="FM25" s="2854"/>
      <c r="FN25" s="2854"/>
      <c r="FO25" s="2854"/>
      <c r="FP25" s="2854"/>
      <c r="FQ25" s="2854"/>
      <c r="FR25" s="2854"/>
      <c r="FS25" s="2854"/>
      <c r="FT25" s="2854"/>
      <c r="FU25" s="2854"/>
      <c r="FV25" s="2854"/>
      <c r="FW25" s="2854"/>
      <c r="FX25" s="2854"/>
      <c r="FY25" s="2854"/>
      <c r="FZ25" s="2854"/>
      <c r="GA25" s="2854"/>
      <c r="GB25" s="2854"/>
      <c r="GC25" s="2854"/>
      <c r="GD25" s="2854"/>
      <c r="GE25" s="2854"/>
      <c r="GF25" s="2854"/>
      <c r="GG25" s="2854"/>
      <c r="GH25" s="2854"/>
      <c r="GI25" s="2854"/>
      <c r="GJ25" s="2854"/>
      <c r="GK25" s="2854"/>
      <c r="GL25" s="2854"/>
      <c r="GM25" s="2854"/>
      <c r="GN25" s="2854"/>
      <c r="GO25" s="2854"/>
      <c r="GP25" s="2854"/>
      <c r="GQ25" s="2854"/>
      <c r="GR25" s="2854"/>
      <c r="GS25" s="2854"/>
      <c r="GT25" s="2854"/>
      <c r="GU25" s="2854"/>
      <c r="GV25" s="2854"/>
      <c r="GW25" s="2854"/>
      <c r="GX25" s="2854"/>
      <c r="GY25" s="2854"/>
      <c r="GZ25" s="2854"/>
      <c r="HA25" s="2854"/>
      <c r="HB25" s="2854"/>
      <c r="HC25" s="2854"/>
      <c r="HD25" s="2854"/>
      <c r="HE25" s="2854"/>
      <c r="HF25" s="2854"/>
      <c r="HG25" s="2854"/>
      <c r="HH25" s="2854"/>
      <c r="HI25" s="2854"/>
      <c r="HJ25" s="2854"/>
      <c r="HK25" s="2854"/>
      <c r="HL25" s="2854"/>
      <c r="HM25" s="2854"/>
      <c r="HN25" s="2854"/>
      <c r="HO25" s="2854"/>
      <c r="HP25" s="2854"/>
      <c r="HQ25" s="2854"/>
      <c r="HR25" s="2854"/>
      <c r="HS25" s="2854"/>
      <c r="HT25" s="2854"/>
      <c r="HU25" s="2854"/>
      <c r="HV25" s="2854"/>
      <c r="HW25" s="2854"/>
      <c r="HX25" s="2854"/>
      <c r="HY25" s="2854"/>
      <c r="HZ25" s="2854"/>
      <c r="IA25" s="2854"/>
      <c r="IB25" s="2854"/>
      <c r="IC25" s="2854"/>
      <c r="ID25" s="2854"/>
      <c r="IE25" s="2854"/>
      <c r="IF25" s="2854"/>
      <c r="IG25" s="2854"/>
      <c r="IH25" s="2854"/>
      <c r="II25" s="2854"/>
      <c r="IJ25" s="2854"/>
      <c r="IK25" s="2854"/>
      <c r="IL25" s="2854"/>
      <c r="IM25" s="2854"/>
      <c r="IN25" s="2854"/>
      <c r="IO25" s="2854"/>
      <c r="IP25" s="2854"/>
      <c r="IQ25" s="2854"/>
      <c r="IR25" s="2854"/>
      <c r="IS25" s="2854"/>
      <c r="IT25" s="2854"/>
      <c r="IU25" s="2854"/>
      <c r="IV25" s="2854"/>
      <c r="IW25" s="2854"/>
      <c r="IX25" s="2854"/>
      <c r="IY25" s="2854"/>
      <c r="IZ25" s="2854"/>
      <c r="JA25" s="2854"/>
      <c r="JB25" s="2854"/>
      <c r="JC25" s="2854"/>
      <c r="JD25" s="2854"/>
      <c r="JE25" s="2854"/>
      <c r="JF25" s="2854"/>
      <c r="JG25" s="2854"/>
      <c r="JH25" s="2854"/>
      <c r="JI25" s="2854"/>
      <c r="JJ25" s="2854"/>
      <c r="JK25" s="2854"/>
      <c r="JL25" s="2854"/>
      <c r="JM25" s="2854"/>
      <c r="JN25" s="2854"/>
      <c r="JO25" s="2854"/>
      <c r="JP25" s="2854"/>
      <c r="JQ25" s="2854"/>
      <c r="JR25" s="2854"/>
      <c r="JS25" s="2854"/>
      <c r="JT25" s="2854"/>
      <c r="JU25" s="2854"/>
      <c r="JV25" s="2854"/>
      <c r="JW25" s="2854"/>
      <c r="JX25" s="2854"/>
      <c r="JY25" s="2854"/>
      <c r="JZ25" s="2854"/>
      <c r="KA25" s="2854"/>
      <c r="KB25" s="2854"/>
      <c r="KC25" s="2854"/>
      <c r="KD25" s="2854"/>
      <c r="KE25" s="2854"/>
      <c r="KF25" s="2854"/>
      <c r="KG25" s="2854"/>
      <c r="KH25" s="2854"/>
      <c r="KI25" s="2854"/>
      <c r="KJ25" s="2854"/>
      <c r="KK25" s="2854"/>
      <c r="KL25" s="2854"/>
      <c r="KM25" s="2854"/>
      <c r="KN25" s="2854"/>
      <c r="KO25" s="2854"/>
      <c r="KP25" s="2854"/>
      <c r="KQ25" s="2854"/>
      <c r="KR25" s="2854"/>
      <c r="KS25" s="2854"/>
      <c r="KT25" s="2854"/>
      <c r="KU25" s="2854"/>
      <c r="KV25" s="2854"/>
      <c r="KW25" s="2854"/>
      <c r="KX25" s="2854"/>
      <c r="KY25" s="2854"/>
      <c r="KZ25" s="2854"/>
      <c r="LA25" s="2854"/>
      <c r="LB25" s="2854"/>
      <c r="LC25" s="2854"/>
      <c r="LD25" s="2854"/>
      <c r="LE25" s="2854"/>
      <c r="LF25" s="2854"/>
      <c r="LG25" s="2854"/>
      <c r="LH25" s="2854"/>
      <c r="LI25" s="2854"/>
      <c r="LJ25" s="2854"/>
      <c r="LK25" s="2854"/>
      <c r="LL25" s="2854"/>
      <c r="LM25" s="2854"/>
      <c r="LN25" s="2854"/>
      <c r="LO25" s="2854"/>
      <c r="LP25" s="2854"/>
      <c r="LQ25" s="2854"/>
      <c r="LR25" s="2854"/>
      <c r="LS25" s="2854"/>
      <c r="LT25" s="2854"/>
      <c r="LU25" s="2854"/>
      <c r="LV25" s="2854"/>
      <c r="LW25" s="2854"/>
      <c r="LX25" s="2854"/>
      <c r="LY25" s="2854"/>
      <c r="LZ25" s="2854"/>
      <c r="MA25" s="2854"/>
      <c r="MB25" s="2854"/>
      <c r="MC25" s="2854"/>
      <c r="MD25" s="2854"/>
      <c r="ME25" s="2854"/>
      <c r="MF25" s="2854"/>
      <c r="MG25" s="2854"/>
      <c r="MH25" s="2854"/>
      <c r="MI25" s="2854"/>
      <c r="MJ25" s="2854"/>
      <c r="MK25" s="2854"/>
      <c r="ML25" s="2854"/>
      <c r="MM25" s="2854"/>
      <c r="MN25" s="2854"/>
      <c r="MO25" s="2854"/>
      <c r="MP25" s="2854"/>
      <c r="MQ25" s="2854"/>
      <c r="MR25" s="2854"/>
      <c r="MS25" s="2854"/>
      <c r="MT25" s="2854"/>
      <c r="MU25" s="2854"/>
      <c r="MV25" s="2854"/>
      <c r="MW25" s="2854"/>
      <c r="MX25" s="2854"/>
      <c r="MY25" s="2854"/>
      <c r="MZ25" s="2854"/>
      <c r="NA25" s="2854"/>
      <c r="NB25" s="2854"/>
      <c r="NC25" s="2854"/>
      <c r="ND25" s="2854"/>
      <c r="NE25" s="2854"/>
      <c r="NF25" s="2854"/>
      <c r="NG25" s="2854"/>
      <c r="NH25" s="2854"/>
      <c r="NI25" s="2854"/>
      <c r="NJ25" s="2854"/>
      <c r="NK25" s="2854"/>
      <c r="NL25" s="2854"/>
      <c r="NM25" s="2854"/>
      <c r="NN25" s="2854"/>
      <c r="NO25" s="2854"/>
      <c r="NP25" s="2854"/>
      <c r="NQ25" s="2854"/>
      <c r="NR25" s="2854"/>
      <c r="NS25" s="2854"/>
      <c r="NT25" s="2854"/>
      <c r="NU25" s="2854"/>
      <c r="NV25" s="2854"/>
      <c r="NW25" s="2854"/>
      <c r="NX25" s="2854"/>
      <c r="NY25" s="2854"/>
      <c r="NZ25" s="2854"/>
      <c r="OA25" s="2854"/>
      <c r="OB25" s="2854"/>
      <c r="OC25" s="2854"/>
      <c r="OD25" s="2854"/>
      <c r="OE25" s="2854"/>
      <c r="OF25" s="2854"/>
      <c r="OG25" s="2854"/>
      <c r="OH25" s="2854"/>
      <c r="OI25" s="2854"/>
      <c r="OJ25" s="2854"/>
      <c r="OK25" s="2854"/>
      <c r="OL25" s="2854"/>
      <c r="OM25" s="2854"/>
      <c r="ON25" s="2854"/>
      <c r="OO25" s="2854"/>
      <c r="OP25" s="2854"/>
      <c r="OQ25" s="2854"/>
      <c r="OR25" s="2854"/>
      <c r="OS25" s="2854"/>
      <c r="OT25" s="2854"/>
      <c r="OU25" s="2854"/>
      <c r="OV25" s="2854"/>
      <c r="OW25" s="2854"/>
      <c r="OX25" s="2854"/>
      <c r="OY25" s="2854"/>
      <c r="OZ25" s="2854"/>
      <c r="PA25" s="2854"/>
      <c r="PB25" s="2854"/>
      <c r="PC25" s="2854"/>
      <c r="PD25" s="2854"/>
      <c r="PE25" s="2854"/>
      <c r="PF25" s="2854"/>
      <c r="PG25" s="2854"/>
      <c r="PH25" s="2854"/>
      <c r="PI25" s="2854"/>
      <c r="PJ25" s="2854"/>
      <c r="PK25" s="2854"/>
      <c r="PL25" s="2854"/>
      <c r="PM25" s="2854"/>
      <c r="PN25" s="2854"/>
      <c r="PO25" s="2854"/>
      <c r="PP25" s="2854"/>
      <c r="PQ25" s="2854"/>
      <c r="PR25" s="2854"/>
      <c r="PS25" s="2854"/>
      <c r="PT25" s="2854"/>
      <c r="PU25" s="2854"/>
      <c r="PV25" s="2854"/>
      <c r="PW25" s="2854"/>
      <c r="PX25" s="2854"/>
      <c r="PY25" s="2854"/>
      <c r="PZ25" s="2854"/>
      <c r="QA25" s="2854"/>
      <c r="QB25" s="2854"/>
      <c r="QC25" s="2854"/>
      <c r="QD25" s="2854"/>
      <c r="QE25" s="2854"/>
      <c r="QF25" s="2854"/>
      <c r="QG25" s="2854"/>
      <c r="QH25" s="2854"/>
      <c r="QI25" s="2854"/>
      <c r="QJ25" s="2854"/>
      <c r="QK25" s="2854"/>
      <c r="QL25" s="2854"/>
      <c r="QM25" s="2854"/>
      <c r="QN25" s="2854"/>
      <c r="QO25" s="2854"/>
      <c r="QP25" s="2854"/>
      <c r="QQ25" s="2854"/>
      <c r="QR25" s="2854"/>
      <c r="QS25" s="2854"/>
      <c r="QT25" s="2854"/>
      <c r="QU25" s="2854"/>
      <c r="QV25" s="2854"/>
      <c r="QW25" s="2854"/>
      <c r="QX25" s="2854"/>
      <c r="QY25" s="2854"/>
      <c r="QZ25" s="2854"/>
      <c r="RA25" s="2854"/>
      <c r="RB25" s="2854"/>
      <c r="RC25" s="2854"/>
      <c r="RD25" s="2854"/>
      <c r="RE25" s="2854"/>
      <c r="RF25" s="2854"/>
      <c r="RG25" s="2854"/>
      <c r="RH25" s="2854"/>
      <c r="RI25" s="2854"/>
      <c r="RJ25" s="2854"/>
      <c r="RK25" s="2854"/>
      <c r="RL25" s="2854"/>
      <c r="RM25" s="2854"/>
      <c r="RN25" s="2854"/>
      <c r="RO25" s="2854"/>
      <c r="RP25" s="2854"/>
      <c r="RQ25" s="2854"/>
      <c r="RR25" s="2854"/>
      <c r="RS25" s="2854"/>
      <c r="RT25" s="2854"/>
      <c r="RU25" s="2854"/>
      <c r="RV25" s="2854"/>
      <c r="RW25" s="2854"/>
      <c r="RX25" s="2854"/>
      <c r="RY25" s="2854"/>
      <c r="RZ25" s="2854"/>
      <c r="SA25" s="2854"/>
      <c r="SB25" s="2854"/>
      <c r="SC25" s="2854"/>
      <c r="SD25" s="2854"/>
      <c r="SE25" s="2854"/>
      <c r="SF25" s="2854"/>
      <c r="SG25" s="2854"/>
      <c r="SH25" s="2854"/>
      <c r="SI25" s="2854"/>
      <c r="SJ25" s="2854"/>
      <c r="SK25" s="2854"/>
      <c r="SL25" s="2854"/>
      <c r="SM25" s="2854"/>
      <c r="SN25" s="2854"/>
      <c r="SO25" s="2854"/>
      <c r="SP25" s="2854"/>
      <c r="SQ25" s="2854"/>
      <c r="SR25" s="2854"/>
      <c r="SS25" s="2854"/>
      <c r="ST25" s="2854"/>
      <c r="SU25" s="2854"/>
      <c r="SV25" s="2854"/>
      <c r="SW25" s="2854"/>
      <c r="SX25" s="2854"/>
      <c r="SY25" s="2854"/>
      <c r="SZ25" s="2854"/>
      <c r="TA25" s="2854"/>
      <c r="TB25" s="2854"/>
      <c r="TC25" s="2854"/>
      <c r="TD25" s="2854"/>
      <c r="TE25" s="2854"/>
      <c r="TF25" s="2854"/>
      <c r="TG25" s="2854"/>
      <c r="TH25" s="2854"/>
      <c r="TI25" s="2854"/>
      <c r="TJ25" s="2854"/>
      <c r="TK25" s="2854"/>
      <c r="TL25" s="2854"/>
      <c r="TM25" s="2854"/>
      <c r="TN25" s="2854"/>
      <c r="TO25" s="2854"/>
      <c r="TP25" s="2854"/>
      <c r="TQ25" s="2854"/>
      <c r="TR25" s="2854"/>
      <c r="TS25" s="2854"/>
      <c r="TT25" s="2854"/>
      <c r="TU25" s="3783"/>
      <c r="TV25" s="3783"/>
      <c r="TW25" s="3783"/>
      <c r="TX25" s="3783"/>
      <c r="TY25" s="3783"/>
      <c r="TZ25" s="3783"/>
      <c r="UA25" s="3783"/>
      <c r="UB25" s="3783"/>
      <c r="UC25" s="3783"/>
      <c r="UD25" s="3783"/>
      <c r="UE25" s="3783"/>
      <c r="UF25" s="3783"/>
      <c r="UG25" s="3783"/>
      <c r="UH25" s="3783"/>
      <c r="UI25" s="3783"/>
      <c r="UJ25" s="3783"/>
      <c r="UK25" s="3783"/>
      <c r="UL25" s="3783"/>
      <c r="UM25" s="3783"/>
      <c r="UN25" s="3783"/>
      <c r="UO25" s="3783"/>
      <c r="UP25" s="2854"/>
      <c r="UQ25" s="2854"/>
      <c r="UR25" s="2854"/>
      <c r="US25" s="2854"/>
      <c r="UT25" s="2854"/>
      <c r="UU25" s="2854"/>
      <c r="UV25" s="2854"/>
      <c r="UW25" s="2854"/>
      <c r="UX25" s="2854"/>
      <c r="UY25" s="2854"/>
      <c r="UZ25" s="2854"/>
      <c r="VA25" s="2854"/>
      <c r="VB25" s="2854"/>
      <c r="VC25" s="2854"/>
      <c r="VD25" s="2854"/>
      <c r="VE25" s="2854"/>
      <c r="VF25" s="2854"/>
      <c r="VG25" s="2854"/>
      <c r="VH25" s="2854"/>
      <c r="VI25" s="2854"/>
      <c r="VJ25" s="2854"/>
      <c r="VK25" s="2854"/>
      <c r="VL25" s="2854"/>
      <c r="VM25" s="2854"/>
      <c r="VN25" s="2854"/>
      <c r="VO25" s="2854"/>
      <c r="VP25" s="2854"/>
      <c r="VQ25" s="2854"/>
      <c r="VR25" s="2854"/>
      <c r="VS25" s="2854"/>
      <c r="VT25" s="2854"/>
      <c r="VU25" s="2854"/>
      <c r="VV25" s="2854"/>
      <c r="VW25" s="2854"/>
      <c r="VX25" s="2854"/>
      <c r="VY25" s="2854"/>
      <c r="VZ25" s="2854"/>
      <c r="WA25" s="2854"/>
      <c r="WB25" s="2854"/>
      <c r="WC25" s="2854"/>
      <c r="WD25" s="2854"/>
      <c r="WE25" s="2854"/>
      <c r="WF25" s="2854"/>
      <c r="WG25" s="2854"/>
      <c r="WH25" s="2854"/>
      <c r="WI25" s="2854"/>
      <c r="WJ25" s="2854"/>
      <c r="WK25" s="2854"/>
      <c r="WL25" s="2854"/>
      <c r="WM25" s="2854"/>
      <c r="WN25" s="2854"/>
      <c r="WO25" s="2854"/>
      <c r="WP25" s="2854"/>
      <c r="WQ25" s="2854"/>
      <c r="WR25" s="2854"/>
      <c r="WS25" s="2854"/>
      <c r="WT25" s="2854"/>
      <c r="WU25" s="2854"/>
      <c r="WV25" s="2854"/>
      <c r="WW25" s="2854"/>
      <c r="WX25" s="2854"/>
      <c r="WY25" s="2854"/>
      <c r="WZ25" s="2854"/>
      <c r="XA25" s="2854"/>
      <c r="XB25" s="2854"/>
      <c r="XC25" s="2854"/>
      <c r="XD25" s="2854"/>
      <c r="XE25" s="2854"/>
      <c r="XF25" s="2854"/>
      <c r="XG25" s="2854"/>
      <c r="XH25" s="2854"/>
      <c r="XI25" s="2854"/>
      <c r="XJ25" s="2854"/>
      <c r="XK25" s="2854"/>
      <c r="XL25" s="2854"/>
      <c r="XM25" s="2854"/>
      <c r="XN25" s="2854"/>
      <c r="XO25" s="2854"/>
      <c r="XP25" s="2854"/>
      <c r="XQ25" s="2854"/>
      <c r="XR25" s="2854"/>
      <c r="XS25" s="2854"/>
      <c r="XT25" s="2854"/>
      <c r="XU25" s="2854"/>
      <c r="XV25" s="2854"/>
      <c r="XW25" s="2854"/>
      <c r="XX25" s="2854"/>
      <c r="XY25" s="2854"/>
      <c r="XZ25" s="2854"/>
      <c r="YA25" s="2854"/>
      <c r="YB25" s="2854"/>
      <c r="YC25" s="2854"/>
      <c r="YD25" s="2854"/>
      <c r="YE25" s="2854"/>
      <c r="YF25" s="2854"/>
      <c r="YG25" s="2854"/>
      <c r="YH25" s="2854"/>
      <c r="YI25" s="2854"/>
      <c r="YJ25" s="2854"/>
      <c r="YK25" s="2854"/>
      <c r="YL25" s="2854"/>
      <c r="YM25" s="2854"/>
      <c r="YN25" s="2854"/>
      <c r="YO25" s="2854"/>
      <c r="YP25" s="2854"/>
      <c r="YQ25" s="2854"/>
      <c r="YR25" s="2854"/>
      <c r="YS25" s="2854"/>
      <c r="YT25" s="2854"/>
      <c r="YU25" s="2854"/>
      <c r="YV25" s="2854"/>
      <c r="YW25" s="2854"/>
      <c r="YX25" s="2854"/>
      <c r="YY25" s="2854"/>
      <c r="YZ25" s="2854"/>
      <c r="ZA25" s="2854"/>
      <c r="ZB25" s="2854"/>
      <c r="ZC25" s="2854"/>
      <c r="ZD25" s="2854"/>
      <c r="ZE25" s="2854"/>
      <c r="ZF25" s="2854"/>
      <c r="ZG25" s="2854"/>
      <c r="ZH25" s="2854"/>
      <c r="ZI25" s="2854"/>
      <c r="ZJ25" s="2854"/>
      <c r="ZK25" s="2854"/>
      <c r="ZL25" s="2854"/>
      <c r="ZM25" s="2854"/>
      <c r="ZN25" s="2854"/>
      <c r="ZO25" s="2854"/>
      <c r="ZP25" s="2854"/>
      <c r="ZQ25" s="2854"/>
      <c r="ZR25" s="2854"/>
      <c r="ZS25" s="2854"/>
      <c r="ZT25" s="2854"/>
      <c r="ZU25" s="2854"/>
      <c r="ZV25" s="2854"/>
      <c r="ZW25" s="2854"/>
      <c r="ZX25" s="2854"/>
      <c r="ZY25" s="2854"/>
      <c r="ZZ25" s="2854"/>
      <c r="AAA25" s="2854"/>
      <c r="AAB25" s="2854"/>
      <c r="AAC25" s="2854"/>
      <c r="AAD25" s="2854"/>
      <c r="AAE25" s="2854"/>
      <c r="AAF25" s="2854"/>
      <c r="AAG25" s="2854"/>
      <c r="AAH25" s="2854"/>
      <c r="AAI25" s="2854"/>
      <c r="AAJ25" s="2854"/>
      <c r="AAK25" s="2854"/>
      <c r="AAL25" s="2854"/>
      <c r="AAM25" s="2854"/>
      <c r="AAN25" s="2854"/>
      <c r="AAO25" s="2854"/>
      <c r="AAP25" s="2854"/>
      <c r="AAQ25" s="2854"/>
      <c r="AAR25" s="2854"/>
      <c r="AAS25" s="2854"/>
      <c r="AAT25" s="2854"/>
      <c r="AAU25" s="2854"/>
      <c r="AAV25" s="2854"/>
      <c r="AAW25" s="2854"/>
      <c r="AAX25" s="2854"/>
      <c r="AAY25" s="2854"/>
      <c r="AAZ25" s="2854"/>
      <c r="ABA25" s="2854"/>
      <c r="ABB25" s="2854"/>
      <c r="ABC25" s="2854"/>
      <c r="ABD25" s="2854"/>
      <c r="ABE25" s="2854"/>
      <c r="ABF25" s="2854"/>
      <c r="ABG25" s="2854"/>
      <c r="ABH25" s="2854"/>
      <c r="ABI25" s="2854"/>
      <c r="ABJ25" s="2854"/>
      <c r="ABK25" s="2854"/>
      <c r="ABL25" s="2854"/>
      <c r="ABM25" s="2854"/>
      <c r="ABN25" s="2854"/>
      <c r="ABO25" s="2854"/>
      <c r="ABP25" s="2854"/>
      <c r="ABQ25" s="2854"/>
      <c r="ABR25" s="2854"/>
      <c r="ABS25" s="2854"/>
      <c r="ABT25" s="2854"/>
      <c r="ABU25" s="2854"/>
      <c r="ABV25" s="2854"/>
      <c r="ABW25" s="2854"/>
      <c r="ABX25" s="2854"/>
      <c r="ABY25" s="2854"/>
      <c r="ABZ25" s="2854"/>
      <c r="ACA25" s="2854"/>
      <c r="ACB25" s="2854"/>
      <c r="ACC25" s="2854"/>
      <c r="ACD25" s="2854"/>
      <c r="ACE25" s="2854"/>
      <c r="ACF25" s="2854"/>
      <c r="ACG25" s="2854"/>
      <c r="ACH25" s="2854"/>
      <c r="ACI25" s="2854"/>
      <c r="ACJ25" s="2854"/>
      <c r="ACK25" s="2854"/>
      <c r="ACL25" s="2854"/>
      <c r="ACM25" s="2854"/>
      <c r="ACN25" s="2854"/>
      <c r="ACO25" s="2854"/>
      <c r="ACP25" s="2854"/>
      <c r="ACQ25" s="2854"/>
      <c r="ACR25" s="2854"/>
      <c r="ACS25" s="2854"/>
      <c r="ACT25" s="2854"/>
      <c r="ACU25" s="2854"/>
      <c r="ACV25" s="2854"/>
      <c r="ACW25" s="2854"/>
      <c r="ACX25" s="2854"/>
      <c r="ACY25" s="2854"/>
      <c r="ACZ25" s="2854"/>
      <c r="ADA25" s="2854"/>
      <c r="ADB25" s="2854"/>
      <c r="ADC25" s="2854"/>
      <c r="ADD25" s="2854"/>
      <c r="ADE25" s="2854"/>
      <c r="ADF25" s="2854"/>
      <c r="ADG25" s="2854"/>
      <c r="ADH25" s="2854"/>
      <c r="ADI25" s="2854"/>
      <c r="ADJ25" s="2854"/>
      <c r="ADK25" s="2854"/>
      <c r="ADL25" s="2854"/>
      <c r="ADM25" s="2854"/>
      <c r="ADN25" s="2854"/>
      <c r="ADO25" s="2854"/>
      <c r="ADP25" s="2854"/>
      <c r="ADQ25" s="2854"/>
      <c r="ADR25" s="2854"/>
      <c r="ADS25" s="2854"/>
      <c r="ADT25" s="2854"/>
      <c r="ADU25" s="2854"/>
      <c r="ADV25" s="2854"/>
      <c r="ADW25" s="2854"/>
      <c r="ADX25" s="2854"/>
      <c r="ADY25" s="2854"/>
      <c r="ADZ25" s="2854"/>
      <c r="AEA25" s="2854"/>
      <c r="AEB25" s="2854"/>
      <c r="AEC25" s="2854"/>
      <c r="AED25" s="2854"/>
      <c r="AEE25" s="2854"/>
      <c r="AEF25" s="2854"/>
      <c r="AEG25" s="2854"/>
      <c r="AEH25" s="2854"/>
      <c r="AEI25" s="2854"/>
      <c r="AEJ25" s="2854"/>
      <c r="AEK25" s="2854"/>
      <c r="AEL25" s="2854"/>
      <c r="AEM25" s="2854"/>
      <c r="AEN25" s="2854"/>
      <c r="AEO25" s="2854"/>
      <c r="AEP25" s="2854"/>
      <c r="AEQ25" s="2854"/>
      <c r="AER25" s="2854"/>
      <c r="AES25" s="2854"/>
      <c r="AET25" s="2854"/>
      <c r="AEU25" s="2854"/>
      <c r="AEV25" s="2854"/>
      <c r="AEW25" s="2854"/>
      <c r="AEX25" s="2854"/>
      <c r="AEY25" s="2854"/>
      <c r="AEZ25" s="2854"/>
      <c r="AFA25" s="2854"/>
      <c r="AFB25" s="2854"/>
      <c r="AFC25" s="2854"/>
      <c r="AFD25" s="2854"/>
      <c r="AFE25" s="2854"/>
      <c r="AFF25" s="2854"/>
      <c r="AFG25" s="2854"/>
      <c r="AFH25" s="2854"/>
      <c r="AFI25" s="2854"/>
      <c r="AFJ25" s="2854"/>
      <c r="AFK25" s="2854"/>
      <c r="AFL25" s="2854"/>
      <c r="AFM25" s="2854"/>
      <c r="AFN25" s="2854"/>
      <c r="AFO25" s="2854"/>
      <c r="AFP25" s="2854"/>
      <c r="AFQ25" s="2854"/>
      <c r="AFR25" s="2854"/>
      <c r="AFS25" s="2854"/>
      <c r="AFT25" s="2854"/>
      <c r="AFU25" s="2854"/>
      <c r="AFV25" s="2854"/>
      <c r="AFW25" s="2854"/>
      <c r="AFX25" s="2854"/>
      <c r="AFY25" s="2854"/>
      <c r="AFZ25" s="2854"/>
      <c r="AGA25" s="2854"/>
      <c r="AGB25" s="2854"/>
      <c r="AGC25" s="2854"/>
      <c r="AGD25" s="2854"/>
      <c r="AGE25" s="2854"/>
      <c r="AGF25" s="2854"/>
      <c r="AGG25" s="2854"/>
      <c r="AGH25" s="2854"/>
      <c r="AGI25" s="2854"/>
      <c r="AGJ25" s="2854"/>
      <c r="AGK25" s="2854"/>
      <c r="AGL25" s="2854"/>
      <c r="AGM25" s="2854"/>
      <c r="AGN25" s="2854"/>
      <c r="AGO25" s="2854"/>
      <c r="AGP25" s="2854"/>
      <c r="AGQ25" s="2854"/>
      <c r="AGR25" s="2854"/>
      <c r="AGS25" s="2854"/>
      <c r="AGT25" s="2854"/>
      <c r="AGU25" s="2854"/>
      <c r="AGV25" s="2854"/>
      <c r="AGW25" s="2854"/>
      <c r="AGX25" s="2854"/>
      <c r="AGY25" s="2854"/>
      <c r="AGZ25" s="2854"/>
      <c r="AHA25" s="2854"/>
      <c r="AHB25" s="2854"/>
      <c r="AHC25" s="2854"/>
      <c r="AHD25" s="2854"/>
      <c r="AHE25" s="2854"/>
      <c r="AHF25" s="2854"/>
      <c r="AHG25" s="2854"/>
      <c r="AHH25" s="2854"/>
      <c r="AHI25" s="2854"/>
      <c r="AHJ25" s="2854"/>
      <c r="AHK25" s="2854"/>
      <c r="AHL25" s="2854"/>
      <c r="AHM25" s="2854"/>
      <c r="AHN25" s="2854"/>
      <c r="AHO25" s="2854"/>
      <c r="AHP25" s="2854"/>
      <c r="AHQ25" s="2854"/>
      <c r="AHR25" s="2854"/>
      <c r="AHS25" s="2854"/>
      <c r="AHT25" s="2854"/>
      <c r="AHU25" s="2854"/>
      <c r="AHV25" s="2854"/>
      <c r="AHW25" s="2854"/>
      <c r="AHX25" s="2854"/>
      <c r="AHY25" s="2854"/>
      <c r="AHZ25" s="2854"/>
      <c r="AIA25" s="2854"/>
      <c r="AIB25" s="2854"/>
      <c r="AIC25" s="2854"/>
      <c r="AID25" s="2854"/>
      <c r="AIE25" s="2854"/>
      <c r="AIF25" s="2854"/>
      <c r="AIG25" s="2854"/>
      <c r="AIH25" s="2854"/>
      <c r="AII25" s="2854"/>
      <c r="AIJ25" s="2854"/>
      <c r="AIK25" s="2854"/>
      <c r="AIL25" s="2854"/>
      <c r="AIM25" s="2854"/>
      <c r="AIN25" s="2854"/>
      <c r="AIO25" s="2854"/>
      <c r="AIP25" s="2854"/>
      <c r="AIQ25" s="2854"/>
      <c r="AIR25" s="2854"/>
      <c r="AIS25" s="2854"/>
      <c r="AIT25" s="2854"/>
      <c r="AIU25" s="2854"/>
      <c r="AIV25" s="2854"/>
      <c r="AIW25" s="2854"/>
      <c r="AIX25" s="2854"/>
      <c r="AIY25" s="2854"/>
      <c r="AIZ25" s="2854"/>
      <c r="AJA25" s="2854"/>
      <c r="AJB25" s="2854"/>
      <c r="AJC25" s="2854"/>
      <c r="AJD25" s="2854"/>
      <c r="AJE25" s="2854"/>
      <c r="AJF25" s="2854"/>
      <c r="AJG25" s="2854"/>
      <c r="AJH25" s="2854"/>
      <c r="AJI25" s="2854"/>
      <c r="AJJ25" s="2854"/>
      <c r="AJK25" s="2854"/>
      <c r="AJL25" s="2854"/>
      <c r="AJM25" s="2854"/>
      <c r="AJN25" s="2854"/>
      <c r="AJO25" s="2854"/>
      <c r="AJP25" s="2854"/>
      <c r="AJQ25" s="2854"/>
      <c r="AJR25" s="2854"/>
      <c r="AJS25" s="2854"/>
      <c r="AJT25" s="2854"/>
      <c r="AJU25" s="2854"/>
      <c r="AJV25" s="2854"/>
      <c r="AJW25" s="2854"/>
      <c r="AJX25" s="2854"/>
      <c r="AJY25" s="2854"/>
      <c r="AJZ25" s="2854"/>
      <c r="AKA25" s="2854"/>
      <c r="AKB25" s="2854"/>
      <c r="AKC25" s="2854"/>
      <c r="AKD25" s="2854"/>
      <c r="AKE25" s="2854"/>
      <c r="AKF25" s="2854"/>
      <c r="AKG25" s="2854"/>
      <c r="AKH25" s="2854"/>
      <c r="AKI25" s="2854"/>
      <c r="AKJ25" s="2854"/>
      <c r="AKK25" s="2854"/>
      <c r="AKL25" s="2854"/>
      <c r="AKM25" s="2854"/>
      <c r="AKN25" s="2854"/>
      <c r="AKO25" s="2854"/>
      <c r="AKP25" s="2854"/>
      <c r="AKQ25" s="2854"/>
      <c r="AKR25" s="2854"/>
      <c r="AKS25" s="2854"/>
      <c r="AKT25" s="2854"/>
      <c r="AKU25" s="2854"/>
      <c r="AKV25" s="2854"/>
      <c r="AKW25" s="2854"/>
      <c r="AKX25" s="2854"/>
      <c r="AKY25" s="2854"/>
      <c r="AKZ25" s="2854"/>
      <c r="ALA25" s="2854"/>
      <c r="ALB25" s="2854"/>
      <c r="ALC25" s="2854"/>
      <c r="ALD25" s="2854"/>
      <c r="ALE25" s="2854"/>
      <c r="ALF25" s="2854"/>
      <c r="ALG25" s="2854"/>
      <c r="ALH25" s="2854"/>
      <c r="ALI25" s="2854"/>
      <c r="ALJ25" s="2854"/>
      <c r="ALK25" s="2854"/>
      <c r="ALL25" s="2854"/>
      <c r="ALM25" s="2854"/>
      <c r="ALN25" s="2854"/>
      <c r="ALO25" s="2854"/>
      <c r="ALP25" s="2854"/>
      <c r="ALQ25" s="2854"/>
      <c r="ALR25" s="2854"/>
      <c r="ALS25" s="2854"/>
      <c r="ALT25" s="2854"/>
      <c r="ALU25" s="2854"/>
      <c r="ALV25" s="2854"/>
      <c r="ALW25" s="2854"/>
      <c r="ALX25" s="2854"/>
      <c r="ALY25" s="2854"/>
      <c r="ALZ25" s="2854"/>
      <c r="AMA25" s="2854"/>
      <c r="AMB25" s="2854"/>
      <c r="AMC25" s="2854"/>
      <c r="AMD25" s="2854"/>
      <c r="AME25" s="2854"/>
      <c r="AMF25" s="2854"/>
      <c r="AMG25" s="2854"/>
      <c r="AMH25" s="2854"/>
      <c r="AMI25" s="2854"/>
      <c r="AMJ25" s="2854"/>
      <c r="AMK25" s="2854"/>
      <c r="AML25" s="2854"/>
      <c r="AMM25" s="2854"/>
      <c r="AMN25" s="2854"/>
      <c r="AMO25" s="2854"/>
      <c r="AMP25" s="2854"/>
      <c r="AMQ25" s="2854"/>
      <c r="AMR25" s="2854"/>
      <c r="AMS25" s="2854"/>
      <c r="AMT25" s="2854"/>
      <c r="AMU25" s="2854"/>
      <c r="AMV25" s="2854"/>
      <c r="AMW25" s="2854"/>
      <c r="AMX25" s="2854"/>
      <c r="AMY25" s="2854"/>
      <c r="AMZ25" s="2854"/>
      <c r="ANA25" s="2854"/>
      <c r="ANB25" s="2854"/>
      <c r="ANC25" s="2854"/>
      <c r="AND25" s="2854"/>
      <c r="ANE25" s="2854"/>
      <c r="ANF25" s="2854"/>
      <c r="ANG25" s="2854"/>
      <c r="ANH25" s="2854"/>
      <c r="ANI25" s="2854"/>
      <c r="ANJ25" s="2854"/>
      <c r="ANK25" s="2854"/>
      <c r="ANL25" s="2854"/>
      <c r="ANM25" s="2854"/>
      <c r="ANN25" s="2854"/>
      <c r="ANO25" s="2854"/>
      <c r="ANP25" s="2854"/>
      <c r="ANQ25" s="2854"/>
      <c r="ANR25" s="2854"/>
      <c r="ANS25" s="2854"/>
      <c r="ANT25" s="2854"/>
      <c r="ANU25" s="2854"/>
      <c r="ANV25" s="2854"/>
      <c r="ANW25" s="2854"/>
      <c r="ANX25" s="2854"/>
      <c r="ANY25" s="2854"/>
      <c r="ANZ25" s="2854"/>
      <c r="AOA25" s="2854"/>
      <c r="AOB25" s="2854"/>
      <c r="AOC25" s="2854"/>
      <c r="AOD25" s="2854"/>
      <c r="AOE25" s="2854"/>
      <c r="AOF25" s="2854"/>
      <c r="AOG25" s="2854"/>
      <c r="AOH25" s="2854"/>
      <c r="AOI25" s="2854"/>
      <c r="AOJ25" s="2854"/>
      <c r="AOK25" s="2854"/>
      <c r="AOL25" s="2854"/>
      <c r="AOM25" s="2854"/>
      <c r="AON25" s="2854"/>
      <c r="AOO25" s="2854"/>
      <c r="AOP25" s="2854"/>
      <c r="AOQ25" s="2854"/>
      <c r="AOR25" s="2854"/>
      <c r="AOS25" s="2854"/>
      <c r="AOT25" s="2854"/>
      <c r="AOU25" s="2854"/>
      <c r="AOV25" s="2854"/>
      <c r="AOW25" s="2854"/>
      <c r="AOX25" s="2854"/>
      <c r="AOY25" s="2854"/>
      <c r="AOZ25" s="2854"/>
      <c r="APA25" s="2854"/>
      <c r="APB25" s="2854"/>
      <c r="APC25" s="2854"/>
      <c r="APD25" s="2854"/>
      <c r="APE25" s="2854"/>
      <c r="APF25" s="2854"/>
      <c r="APG25" s="2854"/>
      <c r="APH25" s="2854"/>
      <c r="API25" s="2854"/>
      <c r="APJ25" s="2854"/>
      <c r="APK25" s="2854"/>
      <c r="APL25" s="2854"/>
      <c r="APM25" s="2854"/>
      <c r="APN25" s="2854"/>
      <c r="APO25" s="2854"/>
      <c r="APP25" s="2854"/>
      <c r="APQ25" s="2854"/>
      <c r="APR25" s="2854"/>
      <c r="APS25" s="2854"/>
      <c r="APT25" s="2854"/>
      <c r="APU25" s="2854"/>
      <c r="APV25" s="2854"/>
      <c r="APW25" s="2854"/>
      <c r="APX25" s="2854"/>
      <c r="APY25" s="2854"/>
      <c r="APZ25" s="2854"/>
      <c r="AQA25" s="2854"/>
      <c r="AQB25" s="2854"/>
      <c r="AQC25" s="2854"/>
      <c r="AQD25" s="2854"/>
      <c r="AQE25" s="2854"/>
      <c r="AQF25" s="2854"/>
      <c r="AQG25" s="2854"/>
      <c r="AQH25" s="2854"/>
      <c r="AQI25" s="2854"/>
      <c r="AQJ25" s="2854"/>
      <c r="AQK25" s="2854"/>
      <c r="AQL25" s="2854"/>
      <c r="AQM25" s="2854"/>
      <c r="AQN25" s="2854"/>
      <c r="AQO25" s="2854"/>
      <c r="AQP25" s="2854"/>
      <c r="AQQ25" s="2854"/>
      <c r="AQR25" s="2854"/>
      <c r="AQS25" s="2854"/>
      <c r="AQT25" s="2854"/>
      <c r="AQU25" s="2854"/>
      <c r="AQV25" s="2854"/>
      <c r="AQW25" s="2854"/>
      <c r="AQX25" s="2854"/>
      <c r="AQY25" s="2854"/>
      <c r="AQZ25" s="2854"/>
      <c r="ARA25" s="2854"/>
      <c r="ARB25" s="2854"/>
      <c r="ARC25" s="2854"/>
      <c r="ARD25" s="2854"/>
      <c r="ARE25" s="2854"/>
      <c r="ARF25" s="2854"/>
      <c r="ARG25" s="2854"/>
      <c r="ARH25" s="2854"/>
      <c r="ARI25" s="2854"/>
      <c r="ARJ25" s="2854"/>
      <c r="ARK25" s="2854"/>
      <c r="ARL25" s="2854"/>
      <c r="ARM25" s="2854"/>
      <c r="ARN25" s="2854"/>
      <c r="ARO25" s="2854"/>
      <c r="ARP25" s="2854"/>
      <c r="ARQ25" s="2854"/>
      <c r="ARR25" s="2854"/>
      <c r="ARS25" s="2854"/>
      <c r="ART25" s="2854"/>
      <c r="ARU25" s="2854"/>
      <c r="ARV25" s="2854"/>
      <c r="ARW25" s="2854"/>
      <c r="ARX25" s="2854"/>
      <c r="ARY25" s="2854"/>
      <c r="ARZ25" s="2854"/>
      <c r="ASA25" s="2854"/>
      <c r="ASB25" s="2854"/>
      <c r="ASC25" s="2854"/>
      <c r="ASD25" s="2854"/>
      <c r="ASE25" s="2854"/>
      <c r="ASF25" s="2854"/>
      <c r="ASG25" s="2854"/>
      <c r="ASH25" s="2854"/>
      <c r="ASI25" s="2854"/>
      <c r="ASJ25" s="2854"/>
      <c r="ASK25" s="2854"/>
      <c r="ASL25" s="2854"/>
      <c r="ASM25" s="2854"/>
      <c r="ASN25" s="2854"/>
      <c r="ASO25" s="2854"/>
      <c r="ASP25" s="2854"/>
      <c r="ASQ25" s="2854"/>
      <c r="ASR25" s="2854"/>
      <c r="ASS25" s="2854"/>
      <c r="AST25" s="2854"/>
      <c r="ASU25" s="2854"/>
      <c r="ASV25" s="2854"/>
      <c r="ASW25" s="2854"/>
      <c r="ASX25" s="2854"/>
      <c r="ASY25" s="2854"/>
      <c r="ASZ25" s="2854"/>
      <c r="ATA25" s="2854"/>
      <c r="ATB25" s="2854"/>
      <c r="ATC25" s="2854"/>
      <c r="ATD25" s="2854"/>
      <c r="ATE25" s="2854"/>
      <c r="ATF25" s="2854"/>
      <c r="ATG25" s="2854"/>
      <c r="ATH25" s="2854"/>
      <c r="ATI25" s="2854"/>
      <c r="ATJ25" s="2854"/>
      <c r="ATK25" s="2854"/>
      <c r="ATL25" s="2854"/>
      <c r="ATM25" s="2854"/>
      <c r="ATN25" s="2854"/>
      <c r="ATO25" s="2854"/>
      <c r="ATP25" s="2854"/>
      <c r="ATQ25" s="2854"/>
      <c r="ATR25" s="2854"/>
      <c r="ATS25" s="2854"/>
      <c r="ATT25" s="2854"/>
      <c r="ATU25" s="2854"/>
      <c r="ATV25" s="2854"/>
      <c r="ATW25" s="2854"/>
      <c r="ATX25" s="2854"/>
      <c r="ATY25" s="2854"/>
      <c r="ATZ25" s="2854"/>
      <c r="AUA25" s="2854"/>
      <c r="AUB25" s="2854"/>
      <c r="AUC25" s="2854"/>
      <c r="AUD25" s="2854"/>
      <c r="AUE25" s="2854"/>
      <c r="AUF25" s="2854"/>
      <c r="AUG25" s="2854"/>
      <c r="AUH25" s="2854"/>
      <c r="AUI25" s="2854"/>
      <c r="AUJ25" s="2854"/>
      <c r="AUK25" s="2854"/>
      <c r="AUL25" s="2854"/>
      <c r="AUM25" s="2854"/>
      <c r="AUN25" s="2854"/>
      <c r="AUO25" s="2854"/>
      <c r="AUP25" s="2854"/>
      <c r="AUQ25" s="2854"/>
      <c r="AUR25" s="2854"/>
      <c r="AUS25" s="2854"/>
      <c r="AUT25" s="2854"/>
      <c r="AUU25" s="2854"/>
      <c r="AUV25" s="2854"/>
      <c r="AUW25" s="2854"/>
      <c r="AUX25" s="2854"/>
      <c r="AUY25" s="2854"/>
      <c r="AUZ25" s="2854"/>
      <c r="AVA25" s="2854"/>
      <c r="AVB25" s="2854"/>
      <c r="AVC25" s="2854"/>
      <c r="AVD25" s="2854"/>
      <c r="AVE25" s="2854"/>
      <c r="AVF25" s="2854"/>
      <c r="AVG25" s="2854"/>
      <c r="AVH25" s="2854"/>
      <c r="AVI25" s="2854"/>
      <c r="AVJ25" s="2854"/>
      <c r="AVK25" s="2854"/>
      <c r="AVL25" s="2854"/>
      <c r="AVM25" s="2854"/>
      <c r="AVN25" s="2854"/>
      <c r="AVO25" s="2854"/>
      <c r="AVP25" s="2854"/>
      <c r="AVQ25" s="2854"/>
      <c r="AVR25" s="2854"/>
      <c r="AVS25" s="2854"/>
      <c r="AVT25" s="2854"/>
      <c r="AVU25" s="2854"/>
      <c r="AVV25" s="2854"/>
      <c r="AVW25" s="2854"/>
      <c r="AVX25" s="2854"/>
      <c r="AVY25" s="2854"/>
      <c r="AVZ25" s="2854"/>
      <c r="AWA25" s="2854"/>
      <c r="AWB25" s="2854"/>
      <c r="AWC25" s="2854"/>
      <c r="AWD25" s="2854"/>
      <c r="AWE25" s="2854"/>
      <c r="AWF25" s="2854"/>
      <c r="AWG25" s="2854"/>
      <c r="AWH25" s="2854"/>
      <c r="AWI25" s="2854"/>
      <c r="AWJ25" s="2854"/>
      <c r="AWK25" s="2854"/>
      <c r="AWL25" s="2854"/>
      <c r="AWM25" s="2854"/>
      <c r="AWN25" s="2854"/>
      <c r="AWO25" s="2854"/>
      <c r="AWP25" s="2854"/>
      <c r="AWQ25" s="2854"/>
      <c r="AWR25" s="2854"/>
      <c r="AWS25" s="2854"/>
      <c r="AWT25" s="2854"/>
      <c r="AWU25" s="2854"/>
      <c r="AWV25" s="2854"/>
      <c r="AWW25" s="2854"/>
      <c r="AWX25" s="2854"/>
      <c r="AWY25" s="2854"/>
      <c r="AWZ25" s="2854"/>
      <c r="AXA25" s="2854"/>
      <c r="AXB25" s="2854"/>
      <c r="AXC25" s="2854"/>
      <c r="AXD25" s="2854"/>
      <c r="AXE25" s="2854"/>
      <c r="AXF25" s="2854"/>
      <c r="AXG25" s="2854"/>
      <c r="AXH25" s="2854"/>
      <c r="AXI25" s="2854"/>
      <c r="AXJ25" s="2854"/>
      <c r="AXK25" s="2854"/>
      <c r="AXL25" s="2854"/>
      <c r="AXM25" s="2854"/>
      <c r="AXN25" s="2854"/>
      <c r="AXO25" s="2854"/>
      <c r="AXP25" s="2854"/>
      <c r="AXQ25" s="2854"/>
      <c r="AXR25" s="2854"/>
      <c r="AXS25" s="2854"/>
      <c r="AXT25" s="2854"/>
      <c r="AXU25" s="2854"/>
      <c r="AXV25" s="2854"/>
      <c r="AXW25" s="2854"/>
      <c r="AXX25" s="2854"/>
      <c r="AXY25" s="2854"/>
      <c r="AXZ25" s="2854"/>
      <c r="AYA25" s="2854"/>
      <c r="AYB25" s="2854"/>
      <c r="AYC25" s="2854"/>
      <c r="AYD25" s="2854"/>
      <c r="AYE25" s="2854"/>
      <c r="AYF25" s="2854"/>
      <c r="AYG25" s="2854"/>
      <c r="AYH25" s="2854"/>
      <c r="AYI25" s="2854"/>
      <c r="AYJ25" s="2854"/>
      <c r="AYK25" s="2854"/>
      <c r="AYL25" s="2854"/>
      <c r="AYM25" s="2854"/>
      <c r="AYN25" s="2854"/>
      <c r="AYO25" s="2854"/>
      <c r="AYP25" s="2854"/>
      <c r="AYQ25" s="2854"/>
      <c r="AYR25" s="2854"/>
      <c r="AYS25" s="2854"/>
      <c r="AYT25" s="2854"/>
      <c r="AYU25" s="2854"/>
      <c r="AYV25" s="2854"/>
      <c r="AYW25" s="2854"/>
      <c r="AYX25" s="2854"/>
      <c r="AYY25" s="2854"/>
      <c r="AYZ25" s="2854"/>
      <c r="AZA25" s="2854"/>
      <c r="AZB25" s="2854"/>
      <c r="AZC25" s="2854"/>
      <c r="AZD25" s="2854"/>
      <c r="AZE25" s="2854"/>
      <c r="AZF25" s="2854"/>
      <c r="AZG25" s="2854"/>
      <c r="AZH25" s="2854"/>
      <c r="AZI25" s="2854"/>
      <c r="AZJ25" s="2854"/>
      <c r="AZK25" s="2854"/>
      <c r="AZL25" s="2854"/>
      <c r="AZM25" s="2854"/>
      <c r="AZN25" s="2854"/>
      <c r="AZO25" s="2854"/>
      <c r="AZP25" s="2854"/>
      <c r="AZQ25" s="2854"/>
      <c r="AZR25" s="2854"/>
      <c r="AZS25" s="2854"/>
      <c r="AZT25" s="2854"/>
      <c r="AZU25" s="2854"/>
      <c r="AZV25" s="2854"/>
      <c r="AZW25" s="2854"/>
      <c r="AZX25" s="2854"/>
      <c r="AZY25" s="2854"/>
      <c r="AZZ25" s="2854"/>
      <c r="BAA25" s="2854"/>
      <c r="BAB25" s="2854"/>
      <c r="BAC25" s="2854"/>
      <c r="BAD25" s="2854"/>
      <c r="BAE25" s="2854"/>
      <c r="BAF25" s="2854"/>
      <c r="BAG25" s="2854"/>
      <c r="BAH25" s="2854"/>
      <c r="BAI25" s="2854"/>
      <c r="BAJ25" s="2854"/>
      <c r="BAK25" s="2854"/>
      <c r="BAL25" s="2854"/>
      <c r="BAM25" s="2854"/>
      <c r="BAN25" s="2854"/>
      <c r="BAO25" s="2854"/>
      <c r="BAP25" s="2854"/>
      <c r="BAQ25" s="2854"/>
      <c r="BAR25" s="2854"/>
      <c r="BAS25" s="2854"/>
      <c r="BAT25" s="2854"/>
      <c r="BAU25" s="2854"/>
      <c r="BAV25" s="2854"/>
      <c r="BAW25" s="2854"/>
      <c r="BAX25" s="2854"/>
      <c r="BAY25" s="2854"/>
      <c r="BAZ25" s="2854"/>
      <c r="BBA25" s="2854"/>
      <c r="BBB25" s="2854"/>
      <c r="BBC25" s="2854"/>
      <c r="BBD25" s="2854"/>
      <c r="BBE25" s="2854"/>
      <c r="BBF25" s="2854"/>
      <c r="BBG25" s="2854"/>
      <c r="BBH25" s="2854"/>
      <c r="BBI25" s="2854"/>
      <c r="BBJ25" s="2854"/>
      <c r="BBK25" s="2854"/>
      <c r="BBL25" s="2854"/>
      <c r="BBM25" s="2854"/>
      <c r="BBN25" s="2854"/>
      <c r="BBO25" s="2854"/>
      <c r="BBP25" s="2854"/>
      <c r="BBQ25" s="2854"/>
      <c r="BBR25" s="2854"/>
      <c r="BBS25" s="2854"/>
      <c r="BBT25" s="2854"/>
      <c r="BBU25" s="2854"/>
      <c r="BBV25" s="2854"/>
      <c r="BBW25" s="2854"/>
      <c r="BBX25" s="2854"/>
      <c r="BBY25" s="2854"/>
      <c r="BBZ25" s="2854"/>
      <c r="BCA25" s="2854"/>
      <c r="BCB25" s="2854"/>
      <c r="BCC25" s="2854"/>
      <c r="BCD25" s="2854"/>
      <c r="BCE25" s="2854"/>
      <c r="BCF25" s="2854"/>
      <c r="BCG25" s="2854"/>
      <c r="BCH25" s="2854"/>
      <c r="BCI25" s="2854"/>
      <c r="BCJ25" s="2854"/>
      <c r="BCK25" s="2854"/>
      <c r="BCL25" s="2854"/>
      <c r="BCM25" s="2854"/>
      <c r="BCN25" s="2854"/>
      <c r="BCO25" s="2854"/>
      <c r="BCP25" s="2854"/>
      <c r="BCQ25" s="2854"/>
      <c r="BCR25" s="2854"/>
      <c r="BCS25" s="2854"/>
      <c r="BCT25" s="2854"/>
      <c r="BCU25" s="2854"/>
      <c r="BCV25" s="2854"/>
      <c r="BCW25" s="2854"/>
      <c r="BCX25" s="2854"/>
      <c r="BCY25" s="2854"/>
      <c r="BCZ25" s="2854"/>
      <c r="BDA25" s="2854"/>
      <c r="BDB25" s="2854"/>
      <c r="BDC25" s="2854"/>
      <c r="BDD25" s="2854"/>
      <c r="BDE25" s="2854"/>
      <c r="BDF25" s="2854"/>
      <c r="BDG25" s="2854"/>
      <c r="BDH25" s="2854"/>
      <c r="BDI25" s="2854"/>
      <c r="BDJ25" s="2854"/>
      <c r="BDK25" s="2854"/>
      <c r="BDL25" s="2854"/>
      <c r="BDM25" s="2854"/>
      <c r="BDN25" s="2854"/>
      <c r="BDO25" s="2854"/>
      <c r="BDP25" s="2854"/>
      <c r="BDQ25" s="2854"/>
      <c r="BDR25" s="2854"/>
      <c r="BDS25" s="2854"/>
      <c r="BDT25" s="2854"/>
      <c r="BDU25" s="2854"/>
      <c r="BDV25" s="2854"/>
      <c r="BDW25" s="2854"/>
      <c r="BDX25" s="2854"/>
      <c r="BDY25" s="2854"/>
      <c r="BDZ25" s="2854"/>
      <c r="BEA25" s="2854"/>
      <c r="BEB25" s="2854"/>
      <c r="BEC25" s="2854"/>
      <c r="BED25" s="2854"/>
      <c r="BEE25" s="2854"/>
      <c r="BEF25" s="2854"/>
      <c r="BEG25" s="2854"/>
      <c r="BEH25" s="2854"/>
      <c r="BEI25" s="2854"/>
      <c r="BEJ25" s="2854"/>
      <c r="BEK25" s="2854"/>
      <c r="BEL25" s="2854"/>
      <c r="BEM25" s="2854"/>
      <c r="BEN25" s="2854"/>
      <c r="BEO25" s="2854"/>
      <c r="BEP25" s="2854"/>
      <c r="BEQ25" s="2854"/>
      <c r="BER25" s="2854"/>
      <c r="BES25" s="2854"/>
      <c r="BET25" s="2854"/>
      <c r="BEU25" s="2854"/>
      <c r="BEV25" s="2854"/>
      <c r="BEW25" s="2854"/>
      <c r="BEX25" s="2854"/>
      <c r="BEY25" s="2854"/>
      <c r="BEZ25" s="2854"/>
      <c r="BFA25" s="2854"/>
      <c r="BFB25" s="2854"/>
      <c r="BFC25" s="2854"/>
      <c r="BFD25" s="2854"/>
      <c r="BFE25" s="2854"/>
      <c r="BFF25" s="2854"/>
      <c r="BFG25" s="2854"/>
      <c r="BFH25" s="2854"/>
      <c r="BFI25" s="2854"/>
      <c r="BFJ25" s="2854"/>
      <c r="BFK25" s="2854"/>
      <c r="BFL25" s="2854"/>
      <c r="BFM25" s="2854"/>
      <c r="BFN25" s="2854"/>
      <c r="BFO25" s="2854"/>
      <c r="BFP25" s="2854"/>
      <c r="BFQ25" s="2854"/>
      <c r="BFR25" s="2854"/>
      <c r="BFS25" s="2854"/>
      <c r="BFT25" s="2854"/>
      <c r="BFU25" s="2854"/>
      <c r="BFV25" s="2854"/>
      <c r="BFW25" s="2854"/>
      <c r="BFX25" s="2854"/>
      <c r="BFY25" s="2854"/>
      <c r="BFZ25" s="2854"/>
      <c r="BGA25" s="2854"/>
      <c r="BGB25" s="2854"/>
      <c r="BGC25" s="2854"/>
      <c r="BGD25" s="2854"/>
      <c r="BGE25" s="2854"/>
      <c r="BGF25" s="2854"/>
      <c r="BGG25" s="2854"/>
      <c r="BGH25" s="2854"/>
      <c r="BGI25" s="2854"/>
      <c r="BGJ25" s="2854"/>
      <c r="BGK25" s="2854"/>
      <c r="BGL25" s="2854"/>
      <c r="BGM25" s="2854"/>
      <c r="BGN25" s="2854"/>
      <c r="BGO25" s="2854"/>
      <c r="BGP25" s="2854"/>
      <c r="BGQ25" s="2854"/>
      <c r="BGR25" s="2854"/>
      <c r="BGS25" s="2854"/>
      <c r="BGT25" s="2854"/>
      <c r="BGU25" s="2854"/>
      <c r="BGV25" s="2854"/>
      <c r="BGW25" s="2854"/>
      <c r="BGX25" s="2854"/>
      <c r="BGY25" s="2854"/>
      <c r="BGZ25" s="2854"/>
      <c r="BHA25" s="2854"/>
      <c r="BHB25" s="2854"/>
      <c r="BHC25" s="2854"/>
      <c r="BHD25" s="2854"/>
      <c r="BHE25" s="2854"/>
      <c r="BHF25" s="2854"/>
      <c r="BHG25" s="2854"/>
      <c r="BHH25" s="2854"/>
      <c r="BHI25" s="2854"/>
      <c r="BHJ25" s="2854"/>
      <c r="BHK25" s="2854"/>
      <c r="BHL25" s="2854"/>
      <c r="BHM25" s="2854"/>
      <c r="BHN25" s="2854"/>
      <c r="BHO25" s="2854"/>
      <c r="BHP25" s="2854"/>
      <c r="BHQ25" s="2854"/>
      <c r="BHR25" s="2854"/>
      <c r="BHS25" s="2854"/>
      <c r="BHT25" s="2854"/>
      <c r="BHU25" s="2854"/>
      <c r="BHV25" s="2854"/>
      <c r="BHW25" s="2854"/>
      <c r="BHX25" s="2854"/>
      <c r="BHY25" s="2854"/>
      <c r="BHZ25" s="2854"/>
      <c r="BIA25" s="2854"/>
      <c r="BIB25" s="2854"/>
      <c r="BIC25" s="2854"/>
      <c r="BID25" s="2854"/>
      <c r="BIE25" s="2854"/>
      <c r="BIF25" s="2854"/>
      <c r="BIG25" s="2854"/>
      <c r="BIH25" s="2854"/>
      <c r="BII25" s="2854"/>
      <c r="BIJ25" s="2854"/>
      <c r="BIK25" s="2854"/>
      <c r="BIL25" s="2854"/>
      <c r="BIM25" s="2854"/>
      <c r="BIN25" s="2854"/>
      <c r="BIO25" s="2854"/>
      <c r="BIP25" s="2854"/>
      <c r="BIQ25" s="2854"/>
      <c r="BIR25" s="2854"/>
      <c r="BIS25" s="2854"/>
      <c r="BIT25" s="2854"/>
      <c r="BIU25" s="2854"/>
      <c r="BIV25" s="2854"/>
      <c r="BIW25" s="2854"/>
      <c r="BIX25" s="2854"/>
      <c r="BIY25" s="2854"/>
      <c r="BIZ25" s="2854"/>
      <c r="BJA25" s="2854"/>
      <c r="BJB25" s="2854"/>
      <c r="BJC25" s="2854"/>
      <c r="BJD25" s="2854"/>
      <c r="BJE25" s="2854"/>
      <c r="BJF25" s="2854"/>
      <c r="BJG25" s="2854"/>
      <c r="BJH25" s="2854"/>
      <c r="BJI25" s="2854"/>
      <c r="BJJ25" s="2854"/>
      <c r="BJK25" s="2854"/>
      <c r="BJL25" s="2854"/>
      <c r="BJM25" s="2854"/>
      <c r="BJN25" s="2854"/>
      <c r="BJO25" s="2854"/>
      <c r="BJP25" s="2854"/>
      <c r="BJQ25" s="2854"/>
      <c r="BJR25" s="2854"/>
      <c r="BJS25" s="2854"/>
      <c r="BJT25" s="2854"/>
      <c r="BJU25" s="2854"/>
      <c r="BJV25" s="2854"/>
      <c r="BJW25" s="2854"/>
      <c r="BJX25" s="2854"/>
      <c r="BJY25" s="2854"/>
      <c r="BJZ25" s="2854"/>
      <c r="BKA25" s="2854"/>
      <c r="BKB25" s="2854"/>
      <c r="BKC25" s="2854"/>
      <c r="BKD25" s="2854"/>
      <c r="BKE25" s="2854"/>
      <c r="BKF25" s="2854"/>
      <c r="BKG25" s="2854"/>
      <c r="BKH25" s="2854"/>
      <c r="BKI25" s="2854"/>
      <c r="BKJ25" s="2854"/>
      <c r="BKK25" s="2854"/>
      <c r="BKL25" s="2854"/>
      <c r="BKM25" s="2854"/>
      <c r="BKN25" s="2854"/>
      <c r="BKO25" s="2854"/>
      <c r="BKP25" s="2854"/>
      <c r="BKQ25" s="2854"/>
      <c r="BKR25" s="2854"/>
      <c r="BKS25" s="2854"/>
      <c r="BKT25" s="2854"/>
      <c r="BKU25" s="2854"/>
      <c r="BKV25" s="2854"/>
      <c r="BKW25" s="2854"/>
      <c r="BKX25" s="2854"/>
      <c r="BKY25" s="2854"/>
      <c r="BKZ25" s="2854"/>
      <c r="BLA25" s="2854"/>
      <c r="BLB25" s="2854"/>
      <c r="BLC25" s="2854"/>
      <c r="BLD25" s="2854"/>
      <c r="BLE25" s="2854"/>
      <c r="BLF25" s="2854"/>
      <c r="BLG25" s="2854"/>
      <c r="BLH25" s="2854"/>
      <c r="BLI25" s="2854"/>
      <c r="BLJ25" s="2854"/>
      <c r="BLK25" s="2854"/>
      <c r="BLL25" s="2854"/>
      <c r="BLM25" s="2854"/>
      <c r="BLN25" s="2854"/>
      <c r="BLO25" s="2854"/>
      <c r="BLP25" s="2854"/>
      <c r="BLQ25" s="2854"/>
      <c r="BLR25" s="2854"/>
      <c r="BLS25" s="2854"/>
      <c r="BLT25" s="2854"/>
      <c r="BLU25" s="2854"/>
      <c r="BLV25" s="2854"/>
      <c r="BLW25" s="2854"/>
      <c r="BLX25" s="2854"/>
      <c r="BLY25" s="2854"/>
      <c r="BLZ25" s="2854"/>
      <c r="BMA25" s="2854"/>
      <c r="BMB25" s="2854"/>
      <c r="BMC25" s="2854"/>
      <c r="BMD25" s="2854"/>
      <c r="BME25" s="2854"/>
      <c r="BMF25" s="2854"/>
      <c r="BMG25" s="2854"/>
      <c r="BMH25" s="2854"/>
      <c r="BMI25" s="2854"/>
      <c r="BMJ25" s="2854"/>
      <c r="BMK25" s="2854"/>
      <c r="BML25" s="2854"/>
      <c r="BMM25" s="2854"/>
      <c r="BMN25" s="2854"/>
      <c r="BMO25" s="2854"/>
      <c r="BMP25" s="2854"/>
      <c r="BMQ25" s="2854"/>
      <c r="BMR25" s="2854"/>
      <c r="BMS25" s="2854"/>
      <c r="BMT25" s="2854"/>
      <c r="BMU25" s="2854"/>
      <c r="BMV25" s="2854"/>
      <c r="BMW25" s="2854"/>
      <c r="BMX25" s="2854"/>
      <c r="BMY25" s="2854"/>
      <c r="BMZ25" s="2854"/>
      <c r="BNA25" s="2854"/>
      <c r="BNB25" s="2854"/>
      <c r="BNC25" s="2854"/>
      <c r="BND25" s="2854"/>
      <c r="BNE25" s="2854"/>
      <c r="BNF25" s="2854"/>
      <c r="BNG25" s="2854"/>
      <c r="BNH25" s="2854"/>
      <c r="BNI25" s="2854"/>
      <c r="BNJ25" s="2854"/>
      <c r="BNK25" s="2854"/>
      <c r="BNL25" s="2854"/>
      <c r="BNM25" s="2854"/>
      <c r="BNN25" s="2854"/>
      <c r="BNO25" s="2854"/>
      <c r="BNP25" s="2854"/>
      <c r="BNQ25" s="2854"/>
      <c r="BNR25" s="2854"/>
      <c r="BNS25" s="2854"/>
      <c r="BNT25" s="2854"/>
      <c r="BNU25" s="2854"/>
      <c r="BNV25" s="2854"/>
      <c r="BNW25" s="2854"/>
      <c r="BNX25" s="2854"/>
      <c r="BNY25" s="2854"/>
      <c r="BNZ25" s="2854"/>
      <c r="BOA25" s="2854"/>
      <c r="BOB25" s="2854"/>
      <c r="BOC25" s="2854"/>
      <c r="BOD25" s="2854"/>
      <c r="BOE25" s="2854"/>
      <c r="BOF25" s="2854"/>
      <c r="BOG25" s="2854"/>
      <c r="BOH25" s="2854"/>
      <c r="BOI25" s="2854"/>
      <c r="BOJ25" s="2854"/>
      <c r="BOK25" s="2854"/>
      <c r="BOL25" s="2854"/>
      <c r="BOM25" s="2854"/>
      <c r="BON25" s="2854"/>
      <c r="BOO25" s="2854"/>
      <c r="BOP25" s="2854"/>
      <c r="BOQ25" s="2854"/>
      <c r="BOR25" s="2854"/>
      <c r="BOS25" s="2854"/>
      <c r="BOT25" s="2854"/>
      <c r="BOU25" s="2854"/>
      <c r="BOV25" s="2854"/>
      <c r="BOW25" s="2854"/>
      <c r="BOX25" s="2854"/>
      <c r="BOY25" s="2854"/>
      <c r="BOZ25" s="2854"/>
      <c r="BPA25" s="2854"/>
      <c r="BPB25" s="2854"/>
      <c r="BPC25" s="2854"/>
      <c r="BPD25" s="2854"/>
      <c r="BPE25" s="2854"/>
      <c r="BPF25" s="2854"/>
      <c r="BPG25" s="2854"/>
      <c r="BPH25" s="2854"/>
      <c r="BPI25" s="2854"/>
      <c r="BPJ25" s="2854"/>
      <c r="BPK25" s="2854"/>
      <c r="BPL25" s="2854"/>
      <c r="BPM25" s="2854"/>
      <c r="BPN25" s="2854"/>
      <c r="BPO25" s="2854"/>
      <c r="BPP25" s="2854"/>
      <c r="BPQ25" s="2854"/>
      <c r="BPR25" s="2854"/>
      <c r="BPS25" s="2854"/>
      <c r="BPT25" s="2854"/>
      <c r="BPU25" s="2854"/>
      <c r="BPV25" s="2854"/>
      <c r="BPW25" s="2854"/>
      <c r="BPX25" s="2854"/>
      <c r="BPY25" s="2854"/>
      <c r="BPZ25" s="2854"/>
      <c r="BQA25" s="2854"/>
      <c r="BQB25" s="2854"/>
      <c r="BQC25" s="2854"/>
      <c r="BQD25" s="2854"/>
      <c r="BQE25" s="2854"/>
      <c r="BQF25" s="2854"/>
      <c r="BQG25" s="2854"/>
      <c r="BQH25" s="2854"/>
      <c r="BQI25" s="2854"/>
      <c r="BQJ25" s="2854"/>
      <c r="BQK25" s="2854"/>
      <c r="BQL25" s="2854"/>
      <c r="BQM25" s="2854"/>
      <c r="BQN25" s="2854"/>
      <c r="BQO25" s="2854"/>
      <c r="BQP25" s="2854"/>
      <c r="BQQ25" s="2854"/>
      <c r="BQR25" s="2854"/>
      <c r="BQS25" s="2854"/>
      <c r="BQT25" s="2854"/>
      <c r="BQU25" s="2854"/>
      <c r="BQV25" s="2854"/>
      <c r="BQW25" s="2854"/>
      <c r="BQX25" s="2854"/>
      <c r="BQY25" s="2854"/>
      <c r="BQZ25" s="2854"/>
      <c r="BRA25" s="2854"/>
      <c r="BRB25" s="2854"/>
      <c r="BRC25" s="2854"/>
      <c r="BRD25" s="2854"/>
      <c r="BRE25" s="2854"/>
      <c r="BRF25" s="2854"/>
      <c r="BRG25" s="2854"/>
      <c r="BRH25" s="2854"/>
      <c r="BRI25" s="2854"/>
      <c r="BRJ25" s="2854"/>
      <c r="BRK25" s="2854"/>
      <c r="BRL25" s="2854"/>
      <c r="BRM25" s="2854"/>
      <c r="BRN25" s="2854"/>
      <c r="BRO25" s="2854"/>
      <c r="BRP25" s="2854"/>
      <c r="BRQ25" s="2854"/>
      <c r="BRR25" s="2854"/>
      <c r="BRS25" s="2854"/>
      <c r="BRT25" s="2854"/>
      <c r="BRU25" s="2854"/>
      <c r="BRV25" s="2854"/>
      <c r="BRW25" s="2854"/>
      <c r="BRX25" s="2854"/>
      <c r="BRY25" s="2854"/>
      <c r="BRZ25" s="2854"/>
      <c r="BSA25" s="2854"/>
      <c r="BSB25" s="2854"/>
      <c r="BSC25" s="2854"/>
      <c r="BSD25" s="2854"/>
      <c r="BSE25" s="2854"/>
      <c r="BSF25" s="2854"/>
      <c r="BSG25" s="2854"/>
      <c r="BSH25" s="2854"/>
      <c r="BSI25" s="2854"/>
      <c r="BSJ25" s="2854"/>
      <c r="BSK25" s="2854"/>
      <c r="BSL25" s="2854"/>
      <c r="BSM25" s="2854"/>
      <c r="BSN25" s="2854"/>
      <c r="BSO25" s="2854"/>
      <c r="BSP25" s="2854"/>
      <c r="BSQ25" s="2854"/>
      <c r="BSR25" s="2854"/>
      <c r="BSS25" s="2854"/>
      <c r="BST25" s="2854"/>
      <c r="BSU25" s="2854"/>
      <c r="BSV25" s="2854"/>
      <c r="BSW25" s="2854"/>
      <c r="BSX25" s="2854"/>
      <c r="BSY25" s="2854"/>
      <c r="BSZ25" s="2854"/>
      <c r="BTA25" s="2854"/>
      <c r="BTB25" s="2854"/>
      <c r="BTC25" s="2854"/>
      <c r="BTD25" s="2854"/>
      <c r="BTE25" s="2854"/>
      <c r="BTF25" s="2854"/>
      <c r="BTG25" s="2854"/>
      <c r="BTH25" s="2854"/>
      <c r="BTI25" s="2854"/>
      <c r="BTJ25" s="2854"/>
      <c r="BTK25" s="2854"/>
      <c r="BTL25" s="2854"/>
      <c r="BTM25" s="2854"/>
      <c r="BTN25" s="2854"/>
      <c r="BTO25" s="2854"/>
      <c r="BTP25" s="2854"/>
      <c r="BTQ25" s="2854"/>
      <c r="BTR25" s="2854"/>
      <c r="BTS25" s="2854"/>
      <c r="BTT25" s="2854"/>
      <c r="BTU25" s="2854"/>
      <c r="BTV25" s="2854"/>
      <c r="BTW25" s="2854"/>
      <c r="BTX25" s="2854"/>
      <c r="BTY25" s="2854"/>
      <c r="BTZ25" s="2854"/>
      <c r="BUA25" s="2854"/>
      <c r="BUB25" s="2854"/>
      <c r="BUC25" s="2854"/>
      <c r="BUD25" s="2854"/>
      <c r="BUE25" s="2854"/>
      <c r="BUF25" s="2854"/>
      <c r="BUG25" s="2854"/>
      <c r="BUH25" s="2854"/>
      <c r="BUI25" s="2854"/>
      <c r="BUJ25" s="2854"/>
      <c r="BUK25" s="2854"/>
      <c r="BUL25" s="2854"/>
      <c r="BUM25" s="2854"/>
      <c r="BUN25" s="2854"/>
      <c r="BUO25" s="2854"/>
      <c r="BUP25" s="2854"/>
      <c r="BUQ25" s="2854"/>
      <c r="BUR25" s="2854"/>
      <c r="BUS25" s="2854"/>
      <c r="BUT25" s="2854"/>
      <c r="BUU25" s="2854"/>
      <c r="BUV25" s="2854"/>
      <c r="BUW25" s="2854"/>
      <c r="BUX25" s="2854"/>
      <c r="BUY25" s="2854"/>
      <c r="BUZ25" s="2854"/>
      <c r="BVA25" s="2854"/>
      <c r="BVB25" s="2854"/>
      <c r="BVC25" s="2854"/>
      <c r="BVD25" s="2854"/>
      <c r="BVE25" s="2854"/>
      <c r="BVF25" s="2854"/>
      <c r="BVG25" s="2854"/>
      <c r="BVH25" s="2854"/>
      <c r="BVI25" s="2854"/>
      <c r="BVJ25" s="2854"/>
      <c r="BVK25" s="2854"/>
      <c r="BVL25" s="2854"/>
      <c r="BVM25" s="2854"/>
      <c r="BVN25" s="2854"/>
      <c r="BVO25" s="2854"/>
      <c r="BVP25" s="2854"/>
      <c r="BVQ25" s="2854"/>
      <c r="BVR25" s="2854"/>
      <c r="BVS25" s="2854"/>
      <c r="BVT25" s="2854"/>
      <c r="BVU25" s="2854"/>
      <c r="BVV25" s="2854"/>
      <c r="BVW25" s="2854"/>
      <c r="BVX25" s="2854"/>
      <c r="BVY25" s="2854"/>
      <c r="BVZ25" s="2854"/>
      <c r="BWA25" s="2854"/>
      <c r="BWB25" s="2854"/>
      <c r="BWC25" s="2854"/>
      <c r="BWD25" s="2854"/>
      <c r="BWE25" s="2854"/>
      <c r="BWF25" s="2854"/>
      <c r="BWG25" s="2854"/>
      <c r="BWH25" s="2854"/>
      <c r="BWI25" s="2854"/>
      <c r="BWJ25" s="2854"/>
      <c r="BWK25" s="2854"/>
      <c r="BWL25" s="2854"/>
      <c r="BWM25" s="2854"/>
      <c r="BWN25" s="2854"/>
      <c r="BWO25" s="2854"/>
      <c r="BWP25" s="2854"/>
      <c r="BWQ25" s="2854"/>
      <c r="BWR25" s="2854"/>
      <c r="BWS25" s="2854"/>
      <c r="BWT25" s="2854"/>
      <c r="BWU25" s="2854"/>
      <c r="BWV25" s="2854"/>
      <c r="BWW25" s="2854"/>
      <c r="BWX25" s="2854"/>
      <c r="BWY25" s="2854"/>
      <c r="BWZ25" s="2854"/>
      <c r="BXA25" s="2854"/>
      <c r="BXB25" s="2854"/>
      <c r="BXC25" s="2854"/>
      <c r="BXD25" s="2854"/>
      <c r="BXE25" s="2854"/>
      <c r="BXF25" s="2854"/>
      <c r="BXG25" s="2854"/>
      <c r="BXH25" s="2854"/>
      <c r="BXI25" s="2854"/>
      <c r="BXJ25" s="2854"/>
      <c r="BXK25" s="2854"/>
      <c r="BXL25" s="2854"/>
      <c r="BXM25" s="2854"/>
      <c r="BXN25" s="2854"/>
      <c r="BXO25" s="2854"/>
      <c r="BXP25" s="2854"/>
      <c r="BXQ25" s="2854"/>
      <c r="BXR25" s="2854"/>
      <c r="BXS25" s="2854"/>
      <c r="BXT25" s="2854"/>
      <c r="BXU25" s="2854"/>
      <c r="BXV25" s="2854"/>
      <c r="BXW25" s="2854"/>
      <c r="BXX25" s="2854"/>
      <c r="BXY25" s="2854"/>
      <c r="BXZ25" s="2854"/>
      <c r="BYA25" s="2854"/>
      <c r="BYB25" s="2854"/>
      <c r="BYC25" s="2854"/>
      <c r="BYD25" s="2854"/>
      <c r="BYE25" s="2854"/>
      <c r="BYF25" s="2854"/>
      <c r="BYG25" s="2854"/>
      <c r="BYH25" s="2854"/>
      <c r="BYI25" s="2854"/>
      <c r="BYJ25" s="2854"/>
      <c r="BYK25" s="2854"/>
      <c r="BYL25" s="2854"/>
      <c r="BYM25" s="2854"/>
      <c r="BYN25" s="2854"/>
      <c r="BYO25" s="2854"/>
      <c r="BYP25" s="2854"/>
      <c r="BYQ25" s="2854"/>
      <c r="BYR25" s="2854"/>
      <c r="BYS25" s="2854"/>
      <c r="BYT25" s="2854"/>
      <c r="BYU25" s="2854"/>
      <c r="BYV25" s="2854"/>
      <c r="BYW25" s="2854"/>
      <c r="BYX25" s="2854"/>
      <c r="BYY25" s="2854"/>
      <c r="BYZ25" s="2854"/>
      <c r="BZA25" s="2854"/>
      <c r="BZB25" s="2854"/>
      <c r="BZC25" s="2854"/>
      <c r="BZD25" s="2854"/>
      <c r="BZE25" s="2854"/>
      <c r="BZF25" s="2854"/>
      <c r="BZG25" s="2854"/>
      <c r="BZH25" s="2854"/>
      <c r="BZI25" s="2854"/>
      <c r="BZJ25" s="2854"/>
      <c r="BZK25" s="2854"/>
      <c r="BZL25" s="2854"/>
      <c r="BZM25" s="2854"/>
      <c r="BZN25" s="2854"/>
      <c r="BZO25" s="2854"/>
      <c r="BZP25" s="2854"/>
      <c r="BZQ25" s="2854"/>
      <c r="BZR25" s="2854"/>
      <c r="BZS25" s="2854"/>
      <c r="BZT25" s="2854"/>
      <c r="BZU25" s="2854"/>
      <c r="BZV25" s="2854"/>
      <c r="BZW25" s="2854"/>
      <c r="BZX25" s="2854"/>
      <c r="BZY25" s="2854"/>
      <c r="BZZ25" s="2854"/>
      <c r="CAA25" s="2854"/>
      <c r="CAB25" s="2854"/>
      <c r="CAC25" s="2854"/>
      <c r="CAD25" s="2854"/>
      <c r="CAE25" s="2854"/>
      <c r="CAF25" s="2854"/>
      <c r="CAG25" s="2854"/>
      <c r="CAH25" s="2854"/>
      <c r="CAI25" s="2854"/>
      <c r="CAJ25" s="2854"/>
      <c r="CAK25" s="2854"/>
      <c r="CAL25" s="2854"/>
      <c r="CAM25" s="2854"/>
      <c r="CAN25" s="2854"/>
      <c r="CAO25" s="2854"/>
      <c r="CAP25" s="2854"/>
      <c r="CAQ25" s="2854"/>
      <c r="CAR25" s="2854"/>
      <c r="CAS25" s="2854"/>
      <c r="CAT25" s="2854"/>
      <c r="CAU25" s="2854"/>
      <c r="CAV25" s="2854"/>
      <c r="CAW25" s="2854"/>
      <c r="CAX25" s="2854"/>
      <c r="CAY25" s="2854"/>
      <c r="CAZ25" s="2854"/>
      <c r="CBA25" s="2854"/>
      <c r="CBB25" s="2854"/>
      <c r="CBC25" s="2854"/>
      <c r="CBD25" s="2854"/>
      <c r="CBE25" s="2854"/>
      <c r="CBF25" s="2854"/>
      <c r="CBG25" s="2854"/>
      <c r="CBH25" s="2854"/>
      <c r="CBI25" s="2854"/>
      <c r="CBJ25" s="2854"/>
      <c r="CBK25" s="2854"/>
      <c r="CBL25" s="2854"/>
      <c r="CBM25" s="2854"/>
      <c r="CBN25" s="2854"/>
      <c r="CBO25" s="2854"/>
      <c r="CBP25" s="2854"/>
      <c r="CBQ25" s="2854"/>
      <c r="CBR25" s="2854"/>
      <c r="CBS25" s="2854"/>
      <c r="CBT25" s="2854"/>
      <c r="CBU25" s="2854"/>
      <c r="CBV25" s="2854"/>
      <c r="CBW25" s="2854"/>
      <c r="CBX25" s="2854"/>
      <c r="CBY25" s="2854"/>
      <c r="CBZ25" s="2854"/>
      <c r="CCA25" s="2854"/>
      <c r="CCB25" s="2854"/>
      <c r="CCC25" s="2854"/>
      <c r="CCD25" s="2854"/>
      <c r="CCE25" s="2854"/>
      <c r="CCF25" s="2854"/>
      <c r="CCG25" s="2854"/>
      <c r="CCH25" s="2854"/>
      <c r="CCI25" s="2854"/>
      <c r="CCJ25" s="2854"/>
      <c r="CCK25" s="2854"/>
      <c r="CCL25" s="2854"/>
      <c r="CCM25" s="2854"/>
      <c r="CCN25" s="2854"/>
      <c r="CCO25" s="2854"/>
      <c r="CCP25" s="2854"/>
      <c r="CCQ25" s="2854"/>
      <c r="CCR25" s="2854"/>
      <c r="CCS25" s="2854"/>
      <c r="CCT25" s="2854"/>
      <c r="CCU25" s="2854"/>
      <c r="CCV25" s="2854"/>
      <c r="CCW25" s="2854"/>
      <c r="CCX25" s="2854"/>
      <c r="CCY25" s="2854"/>
      <c r="CCZ25" s="2854"/>
      <c r="CDA25" s="2854"/>
      <c r="CDB25" s="2854"/>
      <c r="CDC25" s="2854"/>
      <c r="CDD25" s="2854"/>
      <c r="CDE25" s="2854"/>
      <c r="CDF25" s="2854"/>
      <c r="CDG25" s="2854"/>
      <c r="CDH25" s="2854"/>
      <c r="CDI25" s="2854"/>
      <c r="CDJ25" s="2854"/>
      <c r="CDK25" s="2854"/>
      <c r="CDL25" s="2854"/>
      <c r="CDM25" s="2854"/>
      <c r="CDN25" s="2854"/>
      <c r="CDO25" s="2854"/>
      <c r="CDP25" s="2854"/>
      <c r="CDQ25" s="2854"/>
      <c r="CDR25" s="2854"/>
      <c r="CDS25" s="2854"/>
      <c r="CDT25" s="2854"/>
      <c r="CDU25" s="2854"/>
      <c r="CDV25" s="2854"/>
      <c r="CDW25" s="2854"/>
      <c r="CDX25" s="2854"/>
      <c r="CDY25" s="2854"/>
      <c r="CDZ25" s="2854"/>
      <c r="CEA25" s="2854"/>
      <c r="CEB25" s="2854"/>
      <c r="CEC25" s="2854"/>
      <c r="CED25" s="2854"/>
      <c r="CEE25" s="2854"/>
      <c r="CEF25" s="2854"/>
      <c r="CEG25" s="2854"/>
      <c r="CEH25" s="2854"/>
      <c r="CEI25" s="2854"/>
      <c r="CEJ25" s="2854"/>
      <c r="CEK25" s="2854"/>
      <c r="CEL25" s="2854"/>
      <c r="CEM25" s="2854"/>
      <c r="CEN25" s="2854"/>
      <c r="CEO25" s="2854"/>
      <c r="CEP25" s="2854"/>
      <c r="CEQ25" s="2854"/>
      <c r="CER25" s="2854"/>
      <c r="CES25" s="2854"/>
      <c r="CET25" s="2854"/>
      <c r="CEU25" s="2854"/>
      <c r="CEV25" s="2854"/>
      <c r="CEW25" s="2854"/>
      <c r="CEX25" s="2854"/>
      <c r="CEY25" s="2854"/>
      <c r="CEZ25" s="2854"/>
      <c r="CFA25" s="2854"/>
      <c r="CFB25" s="2854"/>
      <c r="CFC25" s="2854"/>
      <c r="CFD25" s="2854"/>
      <c r="CFE25" s="2854"/>
      <c r="CFF25" s="2854"/>
      <c r="CFG25" s="2854"/>
      <c r="CFH25" s="2854"/>
      <c r="CFI25" s="2854"/>
      <c r="CFJ25" s="2854"/>
      <c r="CFK25" s="2854"/>
      <c r="CFL25" s="2854"/>
      <c r="CFM25" s="2854"/>
      <c r="CFN25" s="2854"/>
      <c r="CFO25" s="2854"/>
      <c r="CFP25" s="2854"/>
      <c r="CFQ25" s="2854"/>
      <c r="CFR25" s="2854"/>
      <c r="CFS25" s="2854"/>
      <c r="CFT25" s="2854"/>
      <c r="CFU25" s="2854"/>
      <c r="CFV25" s="2854"/>
      <c r="CFW25" s="2854"/>
      <c r="CFX25" s="2854"/>
      <c r="CFY25" s="2854"/>
      <c r="CFZ25" s="2854"/>
      <c r="CGA25" s="2854"/>
      <c r="CGB25" s="2854"/>
      <c r="CGC25" s="2854"/>
      <c r="CGD25" s="2854"/>
      <c r="CGE25" s="2854"/>
      <c r="CGF25" s="2854"/>
      <c r="CGG25" s="2854"/>
      <c r="CGH25" s="2854"/>
      <c r="CGI25" s="2854"/>
      <c r="CGJ25" s="2854"/>
      <c r="CGK25" s="2854"/>
      <c r="CGL25" s="2854"/>
      <c r="CGM25" s="2854"/>
      <c r="CGN25" s="2854"/>
      <c r="CGO25" s="2854"/>
      <c r="CGP25" s="2854"/>
      <c r="CGQ25" s="2854"/>
      <c r="CGR25" s="2854"/>
      <c r="CGS25" s="2854"/>
      <c r="CGT25" s="2854"/>
      <c r="CGU25" s="2854"/>
      <c r="CGV25" s="2854"/>
      <c r="CGW25" s="2854"/>
      <c r="CGX25" s="2854"/>
      <c r="CGY25" s="2854"/>
      <c r="CGZ25" s="2854"/>
      <c r="CHA25" s="2854"/>
      <c r="CHB25" s="2854"/>
      <c r="CHC25" s="2854"/>
      <c r="CHD25" s="2854"/>
      <c r="CHE25" s="2854"/>
      <c r="CHF25" s="2854"/>
      <c r="CHG25" s="2854"/>
      <c r="CHH25" s="2854"/>
      <c r="CHI25" s="2854"/>
      <c r="CHJ25" s="2854"/>
      <c r="CHK25" s="2854"/>
      <c r="CHL25" s="2854"/>
      <c r="CHM25" s="2854"/>
      <c r="CHN25" s="2854"/>
      <c r="CHO25" s="2854"/>
      <c r="CHP25" s="2854"/>
      <c r="CHQ25" s="2854"/>
      <c r="CHR25" s="2854"/>
      <c r="CHS25" s="2854"/>
      <c r="CHT25" s="2854"/>
      <c r="CHU25" s="2854"/>
      <c r="CHV25" s="2854"/>
      <c r="CHW25" s="2854"/>
      <c r="CHX25" s="2854"/>
      <c r="CHY25" s="2854"/>
      <c r="CHZ25" s="2854"/>
      <c r="CIA25" s="2854"/>
      <c r="CIB25" s="2854"/>
      <c r="CIC25" s="2854"/>
      <c r="CID25" s="2854"/>
      <c r="CIE25" s="2854"/>
      <c r="CIF25" s="2854"/>
      <c r="CIG25" s="2854"/>
      <c r="CIH25" s="2854"/>
      <c r="CII25" s="2854"/>
      <c r="CIJ25" s="2854"/>
      <c r="CIK25" s="2854"/>
      <c r="CIL25" s="2854"/>
      <c r="CIM25" s="2854"/>
      <c r="CIN25" s="2854"/>
      <c r="CIO25" s="2854"/>
      <c r="CIP25" s="2854"/>
      <c r="CIQ25" s="2854"/>
      <c r="CIR25" s="2854"/>
      <c r="CIS25" s="2854"/>
      <c r="CIT25" s="2854"/>
      <c r="CIU25" s="2854"/>
      <c r="CIV25" s="2854"/>
      <c r="CIW25" s="2854"/>
      <c r="CIX25" s="2854"/>
      <c r="CIY25" s="2854"/>
      <c r="CIZ25" s="2854"/>
      <c r="CJA25" s="2854"/>
      <c r="CJB25" s="2854"/>
      <c r="CJC25" s="2854"/>
      <c r="CJD25" s="2854"/>
      <c r="CJE25" s="2854"/>
      <c r="CJF25" s="2854"/>
      <c r="CJG25" s="2854"/>
      <c r="CJH25" s="2854"/>
      <c r="CJI25" s="2854"/>
      <c r="CJJ25" s="2854"/>
      <c r="CJK25" s="2854"/>
      <c r="CJL25" s="2854"/>
      <c r="CJM25" s="2854"/>
      <c r="CJN25" s="2854"/>
      <c r="CJO25" s="2854"/>
      <c r="CJP25" s="2854"/>
      <c r="CJQ25" s="2854"/>
      <c r="CJR25" s="2854"/>
      <c r="CJS25" s="2854"/>
      <c r="CJT25" s="2854"/>
      <c r="CJU25" s="2854"/>
      <c r="CJV25" s="2854"/>
      <c r="CJW25" s="2854"/>
      <c r="CJX25" s="2854"/>
      <c r="CJY25" s="2854"/>
      <c r="CJZ25" s="2854"/>
      <c r="CKA25" s="2854"/>
      <c r="CKB25" s="2854"/>
      <c r="CKC25" s="2854"/>
      <c r="CKD25" s="2854"/>
      <c r="CKE25" s="2854"/>
      <c r="CKF25" s="2854"/>
      <c r="CKG25" s="2854"/>
      <c r="CKH25" s="2854"/>
      <c r="CKI25" s="2854"/>
      <c r="CKJ25" s="2854"/>
      <c r="CKK25" s="2854"/>
      <c r="CKL25" s="2854"/>
      <c r="CKM25" s="2854"/>
      <c r="CKN25" s="2854"/>
      <c r="CKO25" s="2854"/>
      <c r="CKP25" s="2854"/>
      <c r="CKQ25" s="2854"/>
      <c r="CKR25" s="2854"/>
      <c r="CKS25" s="2854"/>
      <c r="CKT25" s="2854"/>
      <c r="CKU25" s="2854"/>
      <c r="CKV25" s="2854"/>
      <c r="CKW25" s="2854"/>
      <c r="CKX25" s="2854"/>
      <c r="CKY25" s="2854"/>
      <c r="CKZ25" s="2854"/>
      <c r="CLA25" s="2854"/>
      <c r="CLB25" s="2854"/>
      <c r="CLC25" s="2854"/>
      <c r="CLD25" s="2854"/>
      <c r="CLE25" s="2854"/>
      <c r="CLF25" s="2854"/>
      <c r="CLG25" s="2854"/>
      <c r="CLH25" s="2854"/>
      <c r="CLI25" s="2854"/>
      <c r="CLJ25" s="2854"/>
      <c r="CLK25" s="2854"/>
      <c r="CLL25" s="2854"/>
      <c r="CLM25" s="2854"/>
      <c r="CLN25" s="2854"/>
      <c r="CLO25" s="2854"/>
      <c r="CLP25" s="2854"/>
      <c r="CLQ25" s="2854"/>
      <c r="CLR25" s="2854"/>
      <c r="CLS25" s="2854"/>
      <c r="CLT25" s="2854"/>
      <c r="CLU25" s="2854"/>
      <c r="CLV25" s="2854"/>
      <c r="CLW25" s="2854"/>
    </row>
    <row r="26" spans="1:2363" ht="15" customHeight="1" x14ac:dyDescent="0.25">
      <c r="A26" s="3868"/>
      <c r="B26" s="3881"/>
      <c r="C26" s="3211">
        <v>8</v>
      </c>
      <c r="D26" s="3567"/>
      <c r="E26" s="2723"/>
      <c r="F26" s="1799"/>
      <c r="G26" s="1800"/>
      <c r="H26" s="3205"/>
      <c r="I26" s="2008"/>
      <c r="J26" s="1805"/>
      <c r="K26" s="2974"/>
      <c r="L26" s="2975"/>
      <c r="M26" s="1817"/>
      <c r="N26" s="3256"/>
      <c r="O26" s="2000"/>
      <c r="P26" s="2115"/>
      <c r="Q26" s="2953"/>
      <c r="R26" s="2954"/>
      <c r="S26" s="2954"/>
      <c r="T26" s="2905"/>
      <c r="U26" s="2110"/>
      <c r="V26" s="2955"/>
      <c r="W26" s="2956"/>
      <c r="X26" s="2957"/>
      <c r="Y26" s="2924"/>
      <c r="Z26" s="3204"/>
      <c r="AA26" s="1851"/>
      <c r="AB26" s="1894"/>
      <c r="AC26" s="1966"/>
      <c r="AD26" s="1897"/>
      <c r="AE26" s="1897"/>
      <c r="AF26" s="1893"/>
      <c r="AG26" s="2870"/>
      <c r="AH26" s="2112"/>
      <c r="AI26" s="3412"/>
      <c r="AJ26" s="1851"/>
      <c r="AK26" s="2454"/>
      <c r="AL26" s="3257">
        <v>0</v>
      </c>
      <c r="AM26" s="1846">
        <v>0</v>
      </c>
      <c r="AN26" s="2130">
        <f>+AL26-AM26</f>
        <v>0</v>
      </c>
      <c r="AO26" s="2162"/>
      <c r="AP26" s="2181"/>
      <c r="AQ26" s="2181"/>
      <c r="AR26" s="3286"/>
      <c r="AS26" s="3248">
        <f t="shared" si="27"/>
        <v>0</v>
      </c>
      <c r="AT26" s="2504"/>
      <c r="AU26" s="1846"/>
      <c r="AV26" s="1846"/>
      <c r="AW26" s="2493">
        <f>+AU26+AV26</f>
        <v>0</v>
      </c>
      <c r="AX26" s="3290"/>
      <c r="AY26" s="3294"/>
      <c r="AZ26" s="2130"/>
      <c r="BA26" s="3085"/>
      <c r="BB26" s="3086"/>
      <c r="BC26" s="3086"/>
      <c r="BD26" s="3086"/>
      <c r="BE26" s="3075">
        <f t="shared" si="25"/>
        <v>0</v>
      </c>
      <c r="BF26" s="3182"/>
      <c r="BG26" s="2504"/>
      <c r="BH26" s="1846"/>
      <c r="BI26" s="3210"/>
      <c r="BJ26" s="1892">
        <v>0</v>
      </c>
      <c r="BK26" s="1970">
        <v>0</v>
      </c>
      <c r="BL26" s="3401">
        <f>+BJ26+BK26</f>
        <v>0</v>
      </c>
      <c r="BM26" s="3431">
        <f t="shared" si="34"/>
        <v>0</v>
      </c>
      <c r="BN26" s="3441">
        <f t="shared" si="23"/>
        <v>0</v>
      </c>
      <c r="BO26" s="3442">
        <f t="shared" si="23"/>
        <v>0</v>
      </c>
      <c r="BP26" s="3303">
        <f t="shared" si="23"/>
        <v>0</v>
      </c>
      <c r="BQ26" s="3440">
        <f t="shared" si="29"/>
        <v>0</v>
      </c>
      <c r="BR26" s="3446">
        <f t="shared" si="24"/>
        <v>0</v>
      </c>
      <c r="BS26" s="1858">
        <f t="shared" si="24"/>
        <v>0</v>
      </c>
      <c r="BT26" s="3449">
        <f t="shared" si="26"/>
        <v>0</v>
      </c>
      <c r="BU26" s="3144"/>
      <c r="BV26" s="3058"/>
      <c r="BW26" s="3058"/>
      <c r="BX26" s="3058"/>
      <c r="BY26" s="3144"/>
      <c r="BZ26" s="3144"/>
      <c r="CA26" s="3147"/>
      <c r="CB26" s="3148"/>
      <c r="CC26" s="3147"/>
      <c r="CD26" s="3147"/>
      <c r="CE26" s="3147"/>
      <c r="CF26" s="3147"/>
      <c r="CG26" s="3147"/>
      <c r="CH26" s="1050"/>
      <c r="CI26" s="2854"/>
      <c r="CJ26" s="175"/>
      <c r="CK26" s="2854"/>
      <c r="CL26" s="175"/>
      <c r="CM26" s="2854"/>
      <c r="CN26" s="175"/>
      <c r="CO26" s="2854"/>
      <c r="CP26" s="175"/>
      <c r="CQ26" s="2854"/>
      <c r="CR26" s="2854"/>
      <c r="CS26" s="2854"/>
      <c r="CT26" s="2854"/>
      <c r="CU26" s="175"/>
      <c r="CV26" s="2854"/>
      <c r="CW26" s="2854"/>
      <c r="CX26" s="2854"/>
      <c r="CY26" s="2854"/>
      <c r="CZ26" s="2854"/>
      <c r="DA26" s="2854"/>
      <c r="DB26" s="2854"/>
      <c r="DC26" s="2854"/>
      <c r="DD26" s="2854"/>
      <c r="DE26" s="2854"/>
      <c r="DF26" s="2854"/>
      <c r="DG26" s="2854"/>
      <c r="DH26" s="2854"/>
      <c r="DI26" s="2854"/>
      <c r="DJ26" s="2854"/>
      <c r="DK26" s="2854"/>
      <c r="DL26" s="2854"/>
      <c r="DM26" s="2854"/>
      <c r="DN26" s="2854"/>
      <c r="DO26" s="2854"/>
      <c r="DP26" s="2854"/>
      <c r="DQ26" s="2854"/>
      <c r="DR26" s="2854"/>
      <c r="DS26" s="2854"/>
      <c r="DT26" s="2854"/>
      <c r="DU26" s="2854"/>
      <c r="DV26" s="2854"/>
      <c r="DW26" s="2854"/>
      <c r="DX26" s="2854"/>
      <c r="DY26" s="2854"/>
      <c r="DZ26" s="2854"/>
      <c r="EA26" s="2854"/>
      <c r="EB26" s="2854"/>
      <c r="EC26" s="2854"/>
      <c r="ED26" s="2854"/>
      <c r="EE26" s="2854"/>
      <c r="EF26" s="2854"/>
      <c r="EG26" s="2854"/>
      <c r="EH26" s="2854"/>
      <c r="EI26" s="2854"/>
      <c r="EJ26" s="2854"/>
      <c r="EK26" s="2854"/>
      <c r="EL26" s="2854"/>
      <c r="EM26" s="2854"/>
      <c r="EN26" s="2854"/>
      <c r="EO26" s="2854"/>
      <c r="EP26" s="2854"/>
      <c r="EQ26" s="2854"/>
      <c r="ER26" s="2854"/>
      <c r="ES26" s="2854"/>
      <c r="ET26" s="2854"/>
      <c r="EU26" s="2854"/>
      <c r="EV26" s="2854"/>
      <c r="EW26" s="2854"/>
      <c r="EX26" s="2854"/>
      <c r="EY26" s="2854"/>
      <c r="EZ26" s="2854"/>
      <c r="FA26" s="2854"/>
      <c r="FB26" s="2854"/>
      <c r="FC26" s="2854"/>
      <c r="FD26" s="2854"/>
      <c r="FE26" s="2854"/>
      <c r="FF26" s="2854"/>
      <c r="FG26" s="2854"/>
      <c r="FH26" s="2854"/>
      <c r="FI26" s="2854"/>
      <c r="FJ26" s="2854"/>
      <c r="FK26" s="2854"/>
      <c r="FL26" s="2854"/>
      <c r="FM26" s="2854"/>
      <c r="FN26" s="2854"/>
      <c r="FO26" s="2854"/>
      <c r="FP26" s="2854"/>
      <c r="FQ26" s="2854"/>
      <c r="FR26" s="2854"/>
      <c r="FS26" s="2854"/>
      <c r="FT26" s="2854"/>
      <c r="FU26" s="2854"/>
      <c r="FV26" s="2854"/>
      <c r="FW26" s="2854"/>
      <c r="FX26" s="2854"/>
      <c r="FY26" s="2854"/>
      <c r="FZ26" s="2854"/>
      <c r="GA26" s="2854"/>
      <c r="GB26" s="2854"/>
      <c r="GC26" s="2854"/>
      <c r="GD26" s="2854"/>
      <c r="GE26" s="2854"/>
      <c r="GF26" s="2854"/>
      <c r="GG26" s="2854"/>
      <c r="GH26" s="2854"/>
      <c r="GI26" s="2854"/>
      <c r="GJ26" s="2854"/>
      <c r="GK26" s="2854"/>
      <c r="GL26" s="2854"/>
      <c r="GM26" s="2854"/>
      <c r="GN26" s="2854"/>
      <c r="GO26" s="2854"/>
      <c r="GP26" s="2854"/>
      <c r="GQ26" s="2854"/>
      <c r="GR26" s="2854"/>
      <c r="GS26" s="2854"/>
      <c r="GT26" s="2854"/>
      <c r="GU26" s="2854"/>
      <c r="GV26" s="2854"/>
      <c r="GW26" s="2854"/>
      <c r="GX26" s="2854"/>
      <c r="GY26" s="2854"/>
      <c r="GZ26" s="2854"/>
      <c r="HA26" s="2854"/>
      <c r="HB26" s="2854"/>
      <c r="HC26" s="2854"/>
      <c r="HD26" s="2854"/>
      <c r="HE26" s="2854"/>
      <c r="HF26" s="2854"/>
      <c r="HG26" s="2854"/>
      <c r="HH26" s="2854"/>
      <c r="HI26" s="2854"/>
      <c r="HJ26" s="2854"/>
      <c r="HK26" s="2854"/>
      <c r="HL26" s="2854"/>
      <c r="HM26" s="2854"/>
      <c r="HN26" s="2854"/>
      <c r="HO26" s="2854"/>
      <c r="HP26" s="2854"/>
      <c r="HQ26" s="2854"/>
      <c r="HR26" s="2854"/>
      <c r="HS26" s="2854"/>
      <c r="HT26" s="2854"/>
      <c r="HU26" s="2854"/>
      <c r="HV26" s="2854"/>
      <c r="HW26" s="2854"/>
      <c r="HX26" s="2854"/>
      <c r="HY26" s="2854"/>
      <c r="HZ26" s="2854"/>
      <c r="IA26" s="2854"/>
      <c r="IB26" s="2854"/>
      <c r="IC26" s="2854"/>
      <c r="ID26" s="2854"/>
      <c r="IE26" s="2854"/>
      <c r="IF26" s="2854"/>
      <c r="IG26" s="2854"/>
      <c r="IH26" s="2854"/>
      <c r="II26" s="2854"/>
      <c r="IJ26" s="2854"/>
      <c r="IK26" s="2854"/>
      <c r="IL26" s="2854"/>
      <c r="IM26" s="2854"/>
      <c r="IN26" s="2854"/>
      <c r="IO26" s="2854"/>
      <c r="IP26" s="2854"/>
      <c r="IQ26" s="2854"/>
      <c r="IR26" s="2854"/>
      <c r="IS26" s="2854"/>
      <c r="IT26" s="2854"/>
      <c r="IU26" s="2854"/>
      <c r="IV26" s="2854"/>
      <c r="IW26" s="2854"/>
      <c r="IX26" s="2854"/>
      <c r="IY26" s="2854"/>
      <c r="IZ26" s="2854"/>
      <c r="JA26" s="2854"/>
      <c r="JB26" s="2854"/>
      <c r="JC26" s="2854"/>
      <c r="JD26" s="2854"/>
      <c r="JE26" s="2854"/>
      <c r="JF26" s="2854"/>
      <c r="JG26" s="2854"/>
      <c r="JH26" s="2854"/>
      <c r="JI26" s="2854"/>
      <c r="JJ26" s="2854"/>
      <c r="JK26" s="2854"/>
      <c r="JL26" s="2854"/>
      <c r="JM26" s="2854"/>
      <c r="JN26" s="2854"/>
      <c r="JO26" s="2854"/>
      <c r="JP26" s="2854"/>
      <c r="JQ26" s="2854"/>
      <c r="JR26" s="2854"/>
      <c r="JS26" s="2854"/>
      <c r="JT26" s="2854"/>
      <c r="JU26" s="2854"/>
      <c r="JV26" s="2854"/>
      <c r="JW26" s="2854"/>
      <c r="JX26" s="2854"/>
      <c r="JY26" s="2854"/>
      <c r="JZ26" s="2854"/>
      <c r="KA26" s="2854"/>
      <c r="KB26" s="2854"/>
      <c r="KC26" s="2854"/>
      <c r="KD26" s="2854"/>
      <c r="KE26" s="2854"/>
      <c r="KF26" s="2854"/>
      <c r="KG26" s="2854"/>
      <c r="KH26" s="2854"/>
      <c r="KI26" s="2854"/>
      <c r="KJ26" s="2854"/>
      <c r="KK26" s="2854"/>
      <c r="KL26" s="2854"/>
      <c r="KM26" s="2854"/>
      <c r="KN26" s="2854"/>
      <c r="KO26" s="2854"/>
      <c r="KP26" s="2854"/>
      <c r="KQ26" s="2854"/>
      <c r="KR26" s="2854"/>
      <c r="KS26" s="2854"/>
      <c r="KT26" s="2854"/>
      <c r="KU26" s="2854"/>
      <c r="KV26" s="2854"/>
      <c r="KW26" s="2854"/>
      <c r="KX26" s="2854"/>
      <c r="KY26" s="2854"/>
      <c r="KZ26" s="2854"/>
      <c r="LA26" s="2854"/>
      <c r="LB26" s="2854"/>
      <c r="LC26" s="2854"/>
      <c r="LD26" s="2854"/>
      <c r="LE26" s="2854"/>
      <c r="LF26" s="2854"/>
      <c r="LG26" s="2854"/>
      <c r="LH26" s="2854"/>
      <c r="LI26" s="2854"/>
      <c r="LJ26" s="2854"/>
      <c r="LK26" s="2854"/>
      <c r="LL26" s="2854"/>
      <c r="LM26" s="2854"/>
      <c r="LN26" s="2854"/>
      <c r="LO26" s="2854"/>
      <c r="LP26" s="2854"/>
      <c r="LQ26" s="2854"/>
      <c r="LR26" s="2854"/>
      <c r="LS26" s="2854"/>
      <c r="LT26" s="2854"/>
      <c r="LU26" s="2854"/>
      <c r="LV26" s="2854"/>
      <c r="LW26" s="2854"/>
      <c r="LX26" s="2854"/>
      <c r="LY26" s="2854"/>
      <c r="LZ26" s="2854"/>
      <c r="MA26" s="2854"/>
      <c r="MB26" s="2854"/>
      <c r="MC26" s="2854"/>
      <c r="MD26" s="2854"/>
      <c r="ME26" s="2854"/>
      <c r="MF26" s="2854"/>
      <c r="MG26" s="2854"/>
      <c r="MH26" s="2854"/>
      <c r="MI26" s="2854"/>
      <c r="MJ26" s="2854"/>
      <c r="MK26" s="2854"/>
      <c r="ML26" s="2854"/>
      <c r="MM26" s="2854"/>
      <c r="MN26" s="2854"/>
      <c r="MO26" s="2854"/>
      <c r="MP26" s="2854"/>
      <c r="MQ26" s="2854"/>
      <c r="MR26" s="2854"/>
      <c r="MS26" s="2854"/>
      <c r="MT26" s="2854"/>
      <c r="MU26" s="2854"/>
      <c r="MV26" s="2854"/>
      <c r="MW26" s="2854"/>
      <c r="MX26" s="2854"/>
      <c r="MY26" s="2854"/>
      <c r="MZ26" s="2854"/>
      <c r="NA26" s="2854"/>
      <c r="NB26" s="2854"/>
      <c r="NC26" s="2854"/>
      <c r="ND26" s="2854"/>
      <c r="NE26" s="2854"/>
      <c r="NF26" s="2854"/>
      <c r="NG26" s="2854"/>
      <c r="NH26" s="2854"/>
      <c r="NI26" s="2854"/>
      <c r="NJ26" s="2854"/>
      <c r="NK26" s="2854"/>
      <c r="NL26" s="2854"/>
      <c r="NM26" s="2854"/>
      <c r="NN26" s="2854"/>
      <c r="NO26" s="2854"/>
      <c r="NP26" s="2854"/>
      <c r="NQ26" s="2854"/>
      <c r="NR26" s="2854"/>
      <c r="NS26" s="2854"/>
      <c r="NT26" s="2854"/>
      <c r="NU26" s="2854"/>
      <c r="NV26" s="2854"/>
      <c r="NW26" s="2854"/>
      <c r="NX26" s="2854"/>
      <c r="NY26" s="2854"/>
      <c r="NZ26" s="2854"/>
      <c r="OA26" s="2854"/>
      <c r="OB26" s="2854"/>
      <c r="OC26" s="2854"/>
      <c r="OD26" s="2854"/>
      <c r="OE26" s="2854"/>
      <c r="OF26" s="2854"/>
      <c r="OG26" s="2854"/>
      <c r="OH26" s="2854"/>
      <c r="OI26" s="2854"/>
      <c r="OJ26" s="2854"/>
      <c r="OK26" s="2854"/>
      <c r="OL26" s="2854"/>
      <c r="OM26" s="2854"/>
      <c r="ON26" s="2854"/>
      <c r="OO26" s="2854"/>
      <c r="OP26" s="2854"/>
      <c r="OQ26" s="2854"/>
      <c r="OR26" s="2854"/>
      <c r="OS26" s="2854"/>
      <c r="OT26" s="2854"/>
      <c r="OU26" s="2854"/>
      <c r="OV26" s="2854"/>
      <c r="OW26" s="2854"/>
      <c r="OX26" s="2854"/>
      <c r="OY26" s="2854"/>
      <c r="OZ26" s="2854"/>
      <c r="PA26" s="2854"/>
      <c r="PB26" s="2854"/>
      <c r="PC26" s="2854"/>
      <c r="PD26" s="2854"/>
      <c r="PE26" s="2854"/>
      <c r="PF26" s="2854"/>
      <c r="PG26" s="2854"/>
      <c r="PH26" s="2854"/>
      <c r="PI26" s="2854"/>
      <c r="PJ26" s="2854"/>
      <c r="PK26" s="2854"/>
      <c r="PL26" s="2854"/>
      <c r="PM26" s="2854"/>
      <c r="PN26" s="2854"/>
      <c r="PO26" s="2854"/>
      <c r="PP26" s="2854"/>
      <c r="PQ26" s="2854"/>
      <c r="PR26" s="2854"/>
      <c r="PS26" s="2854"/>
      <c r="PT26" s="2854"/>
      <c r="PU26" s="2854"/>
      <c r="PV26" s="2854"/>
      <c r="PW26" s="2854"/>
      <c r="PX26" s="2854"/>
      <c r="PY26" s="2854"/>
      <c r="PZ26" s="2854"/>
      <c r="QA26" s="2854"/>
      <c r="QB26" s="2854"/>
      <c r="QC26" s="2854"/>
      <c r="QD26" s="2854"/>
      <c r="QE26" s="2854"/>
      <c r="QF26" s="2854"/>
      <c r="QG26" s="2854"/>
      <c r="QH26" s="2854"/>
      <c r="QI26" s="2854"/>
      <c r="QJ26" s="2854"/>
      <c r="QK26" s="2854"/>
      <c r="QL26" s="2854"/>
      <c r="QM26" s="2854"/>
      <c r="QN26" s="2854"/>
      <c r="QO26" s="2854"/>
      <c r="QP26" s="2854"/>
      <c r="QQ26" s="2854"/>
      <c r="QR26" s="2854"/>
      <c r="QS26" s="2854"/>
      <c r="QT26" s="2854"/>
      <c r="QU26" s="2854"/>
      <c r="QV26" s="2854"/>
      <c r="QW26" s="2854"/>
      <c r="QX26" s="2854"/>
      <c r="QY26" s="2854"/>
      <c r="QZ26" s="2854"/>
      <c r="RA26" s="2854"/>
      <c r="RB26" s="2854"/>
      <c r="RC26" s="2854"/>
      <c r="RD26" s="2854"/>
      <c r="RE26" s="2854"/>
      <c r="RF26" s="2854"/>
      <c r="RG26" s="2854"/>
      <c r="RH26" s="2854"/>
      <c r="RI26" s="2854"/>
      <c r="RJ26" s="2854"/>
      <c r="RK26" s="2854"/>
      <c r="RL26" s="2854"/>
      <c r="RM26" s="2854"/>
      <c r="RN26" s="2854"/>
      <c r="RO26" s="2854"/>
      <c r="RP26" s="2854"/>
      <c r="RQ26" s="2854"/>
      <c r="RR26" s="2854"/>
      <c r="RS26" s="2854"/>
      <c r="RT26" s="2854"/>
      <c r="RU26" s="2854"/>
      <c r="RV26" s="2854"/>
      <c r="RW26" s="2854"/>
      <c r="RX26" s="2854"/>
      <c r="RY26" s="2854"/>
      <c r="RZ26" s="2854"/>
      <c r="SA26" s="2854"/>
      <c r="SB26" s="2854"/>
      <c r="SC26" s="2854"/>
      <c r="SD26" s="2854"/>
      <c r="SE26" s="2854"/>
      <c r="SF26" s="2854"/>
      <c r="SG26" s="2854"/>
      <c r="SH26" s="2854"/>
      <c r="SI26" s="2854"/>
      <c r="SJ26" s="2854"/>
      <c r="SK26" s="2854"/>
      <c r="SL26" s="2854"/>
      <c r="SM26" s="2854"/>
      <c r="SN26" s="2854"/>
      <c r="SO26" s="2854"/>
      <c r="SP26" s="2854"/>
      <c r="SQ26" s="2854"/>
      <c r="SR26" s="2854"/>
      <c r="SS26" s="2854"/>
      <c r="ST26" s="2854"/>
      <c r="SU26" s="2854"/>
      <c r="SV26" s="2854"/>
      <c r="SW26" s="2854"/>
      <c r="SX26" s="2854"/>
      <c r="SY26" s="2854"/>
      <c r="SZ26" s="2854"/>
      <c r="TA26" s="2854"/>
      <c r="TB26" s="2854"/>
      <c r="TC26" s="2854"/>
      <c r="TD26" s="2854"/>
      <c r="TE26" s="2854"/>
      <c r="TF26" s="2854"/>
      <c r="TG26" s="2854"/>
      <c r="TH26" s="2854"/>
      <c r="TI26" s="2854"/>
      <c r="TJ26" s="2854"/>
      <c r="TK26" s="2854"/>
      <c r="TL26" s="2854"/>
      <c r="TM26" s="2854"/>
      <c r="TN26" s="2854"/>
      <c r="TO26" s="2854"/>
      <c r="TP26" s="2854"/>
      <c r="TQ26" s="2854"/>
      <c r="TR26" s="2854"/>
      <c r="TS26" s="2854"/>
      <c r="TT26" s="2854"/>
      <c r="TU26" s="3783"/>
      <c r="TV26" s="3783"/>
      <c r="TW26" s="3783"/>
      <c r="TX26" s="3783"/>
      <c r="TY26" s="3783"/>
      <c r="TZ26" s="3783"/>
      <c r="UA26" s="3783"/>
      <c r="UB26" s="3783"/>
      <c r="UC26" s="3783"/>
      <c r="UD26" s="3783"/>
      <c r="UE26" s="3783"/>
      <c r="UF26" s="3783"/>
      <c r="UG26" s="3783"/>
      <c r="UH26" s="3783"/>
      <c r="UI26" s="3783"/>
      <c r="UJ26" s="3783"/>
      <c r="UK26" s="3783"/>
      <c r="UL26" s="3783"/>
      <c r="UM26" s="3783"/>
      <c r="UN26" s="3783"/>
      <c r="UO26" s="3783"/>
      <c r="UP26" s="2854"/>
      <c r="UQ26" s="2854"/>
      <c r="UR26" s="2854"/>
      <c r="US26" s="2854"/>
      <c r="UT26" s="2854"/>
      <c r="UU26" s="2854"/>
      <c r="UV26" s="2854"/>
      <c r="UW26" s="2854"/>
      <c r="UX26" s="2854"/>
      <c r="UY26" s="2854"/>
      <c r="UZ26" s="2854"/>
      <c r="VA26" s="2854"/>
      <c r="VB26" s="2854"/>
      <c r="VC26" s="2854"/>
      <c r="VD26" s="2854"/>
      <c r="VE26" s="2854"/>
      <c r="VF26" s="2854"/>
      <c r="VG26" s="2854"/>
      <c r="VH26" s="2854"/>
      <c r="VI26" s="2854"/>
      <c r="VJ26" s="2854"/>
      <c r="VK26" s="2854"/>
      <c r="VL26" s="2854"/>
      <c r="VM26" s="2854"/>
      <c r="VN26" s="2854"/>
      <c r="VO26" s="2854"/>
      <c r="VP26" s="2854"/>
      <c r="VQ26" s="2854"/>
      <c r="VR26" s="2854"/>
      <c r="VS26" s="2854"/>
      <c r="VT26" s="2854"/>
      <c r="VU26" s="2854"/>
      <c r="VV26" s="2854"/>
      <c r="VW26" s="2854"/>
      <c r="VX26" s="2854"/>
      <c r="VY26" s="2854"/>
      <c r="VZ26" s="2854"/>
      <c r="WA26" s="2854"/>
      <c r="WB26" s="2854"/>
      <c r="WC26" s="2854"/>
      <c r="WD26" s="2854"/>
      <c r="WE26" s="2854"/>
      <c r="WF26" s="2854"/>
      <c r="WG26" s="2854"/>
      <c r="WH26" s="2854"/>
      <c r="WI26" s="2854"/>
      <c r="WJ26" s="2854"/>
      <c r="WK26" s="2854"/>
      <c r="WL26" s="2854"/>
      <c r="WM26" s="2854"/>
      <c r="WN26" s="2854"/>
      <c r="WO26" s="2854"/>
      <c r="WP26" s="2854"/>
      <c r="WQ26" s="2854"/>
      <c r="WR26" s="2854"/>
      <c r="WS26" s="2854"/>
      <c r="WT26" s="2854"/>
      <c r="WU26" s="2854"/>
      <c r="WV26" s="2854"/>
      <c r="WW26" s="2854"/>
      <c r="WX26" s="2854"/>
      <c r="WY26" s="2854"/>
      <c r="WZ26" s="2854"/>
      <c r="XA26" s="2854"/>
      <c r="XB26" s="2854"/>
      <c r="XC26" s="2854"/>
      <c r="XD26" s="2854"/>
      <c r="XE26" s="2854"/>
      <c r="XF26" s="2854"/>
      <c r="XG26" s="2854"/>
      <c r="XH26" s="2854"/>
      <c r="XI26" s="2854"/>
      <c r="XJ26" s="2854"/>
      <c r="XK26" s="2854"/>
      <c r="XL26" s="2854"/>
      <c r="XM26" s="2854"/>
      <c r="XN26" s="2854"/>
      <c r="XO26" s="2854"/>
      <c r="XP26" s="2854"/>
      <c r="XQ26" s="2854"/>
      <c r="XR26" s="2854"/>
      <c r="XS26" s="2854"/>
      <c r="XT26" s="2854"/>
      <c r="XU26" s="2854"/>
      <c r="XV26" s="2854"/>
      <c r="XW26" s="2854"/>
      <c r="XX26" s="2854"/>
      <c r="XY26" s="2854"/>
      <c r="XZ26" s="2854"/>
      <c r="YA26" s="2854"/>
      <c r="YB26" s="2854"/>
      <c r="YC26" s="2854"/>
      <c r="YD26" s="2854"/>
      <c r="YE26" s="2854"/>
      <c r="YF26" s="2854"/>
      <c r="YG26" s="2854"/>
      <c r="YH26" s="2854"/>
      <c r="YI26" s="2854"/>
      <c r="YJ26" s="2854"/>
      <c r="YK26" s="2854"/>
      <c r="YL26" s="2854"/>
      <c r="YM26" s="2854"/>
      <c r="YN26" s="2854"/>
      <c r="YO26" s="2854"/>
      <c r="YP26" s="2854"/>
      <c r="YQ26" s="2854"/>
      <c r="YR26" s="2854"/>
      <c r="YS26" s="2854"/>
      <c r="YT26" s="2854"/>
      <c r="YU26" s="2854"/>
      <c r="YV26" s="2854"/>
      <c r="YW26" s="2854"/>
      <c r="YX26" s="2854"/>
      <c r="YY26" s="2854"/>
      <c r="YZ26" s="2854"/>
      <c r="ZA26" s="2854"/>
      <c r="ZB26" s="2854"/>
      <c r="ZC26" s="2854"/>
      <c r="ZD26" s="2854"/>
      <c r="ZE26" s="2854"/>
      <c r="ZF26" s="2854"/>
      <c r="ZG26" s="2854"/>
      <c r="ZH26" s="2854"/>
      <c r="ZI26" s="2854"/>
      <c r="ZJ26" s="2854"/>
      <c r="ZK26" s="2854"/>
      <c r="ZL26" s="2854"/>
      <c r="ZM26" s="2854"/>
      <c r="ZN26" s="2854"/>
      <c r="ZO26" s="2854"/>
      <c r="ZP26" s="2854"/>
      <c r="ZQ26" s="2854"/>
      <c r="ZR26" s="2854"/>
      <c r="ZS26" s="2854"/>
      <c r="ZT26" s="2854"/>
      <c r="ZU26" s="2854"/>
      <c r="ZV26" s="2854"/>
      <c r="ZW26" s="2854"/>
      <c r="ZX26" s="2854"/>
      <c r="ZY26" s="2854"/>
      <c r="ZZ26" s="2854"/>
      <c r="AAA26" s="2854"/>
      <c r="AAB26" s="2854"/>
      <c r="AAC26" s="2854"/>
      <c r="AAD26" s="2854"/>
      <c r="AAE26" s="2854"/>
      <c r="AAF26" s="2854"/>
      <c r="AAG26" s="2854"/>
      <c r="AAH26" s="2854"/>
      <c r="AAI26" s="2854"/>
      <c r="AAJ26" s="2854"/>
      <c r="AAK26" s="2854"/>
      <c r="AAL26" s="2854"/>
      <c r="AAM26" s="2854"/>
      <c r="AAN26" s="2854"/>
      <c r="AAO26" s="2854"/>
      <c r="AAP26" s="2854"/>
      <c r="AAQ26" s="2854"/>
      <c r="AAR26" s="2854"/>
      <c r="AAS26" s="2854"/>
      <c r="AAT26" s="2854"/>
      <c r="AAU26" s="2854"/>
      <c r="AAV26" s="2854"/>
      <c r="AAW26" s="2854"/>
      <c r="AAX26" s="2854"/>
      <c r="AAY26" s="2854"/>
      <c r="AAZ26" s="2854"/>
      <c r="ABA26" s="2854"/>
      <c r="ABB26" s="2854"/>
      <c r="ABC26" s="2854"/>
      <c r="ABD26" s="2854"/>
      <c r="ABE26" s="2854"/>
      <c r="ABF26" s="2854"/>
      <c r="ABG26" s="2854"/>
      <c r="ABH26" s="2854"/>
      <c r="ABI26" s="2854"/>
      <c r="ABJ26" s="2854"/>
      <c r="ABK26" s="2854"/>
      <c r="ABL26" s="2854"/>
      <c r="ABM26" s="2854"/>
      <c r="ABN26" s="2854"/>
      <c r="ABO26" s="2854"/>
      <c r="ABP26" s="2854"/>
      <c r="ABQ26" s="2854"/>
      <c r="ABR26" s="2854"/>
      <c r="ABS26" s="2854"/>
      <c r="ABT26" s="2854"/>
      <c r="ABU26" s="2854"/>
      <c r="ABV26" s="2854"/>
      <c r="ABW26" s="2854"/>
      <c r="ABX26" s="2854"/>
      <c r="ABY26" s="2854"/>
      <c r="ABZ26" s="2854"/>
      <c r="ACA26" s="2854"/>
      <c r="ACB26" s="2854"/>
      <c r="ACC26" s="2854"/>
      <c r="ACD26" s="2854"/>
      <c r="ACE26" s="2854"/>
      <c r="ACF26" s="2854"/>
      <c r="ACG26" s="2854"/>
      <c r="ACH26" s="2854"/>
      <c r="ACI26" s="2854"/>
      <c r="ACJ26" s="2854"/>
      <c r="ACK26" s="2854"/>
      <c r="ACL26" s="2854"/>
      <c r="ACM26" s="2854"/>
      <c r="ACN26" s="2854"/>
      <c r="ACO26" s="2854"/>
      <c r="ACP26" s="2854"/>
      <c r="ACQ26" s="2854"/>
      <c r="ACR26" s="2854"/>
      <c r="ACS26" s="2854"/>
      <c r="ACT26" s="2854"/>
      <c r="ACU26" s="2854"/>
      <c r="ACV26" s="2854"/>
      <c r="ACW26" s="2854"/>
      <c r="ACX26" s="2854"/>
      <c r="ACY26" s="2854"/>
      <c r="ACZ26" s="2854"/>
      <c r="ADA26" s="2854"/>
      <c r="ADB26" s="2854"/>
      <c r="ADC26" s="2854"/>
      <c r="ADD26" s="2854"/>
      <c r="ADE26" s="2854"/>
      <c r="ADF26" s="2854"/>
      <c r="ADG26" s="2854"/>
      <c r="ADH26" s="2854"/>
      <c r="ADI26" s="2854"/>
      <c r="ADJ26" s="2854"/>
      <c r="ADK26" s="2854"/>
      <c r="ADL26" s="2854"/>
      <c r="ADM26" s="2854"/>
      <c r="ADN26" s="2854"/>
      <c r="ADO26" s="2854"/>
      <c r="ADP26" s="2854"/>
      <c r="ADQ26" s="2854"/>
      <c r="ADR26" s="2854"/>
      <c r="ADS26" s="2854"/>
      <c r="ADT26" s="2854"/>
      <c r="ADU26" s="2854"/>
      <c r="ADV26" s="2854"/>
      <c r="ADW26" s="2854"/>
      <c r="ADX26" s="2854"/>
      <c r="ADY26" s="2854"/>
      <c r="ADZ26" s="2854"/>
      <c r="AEA26" s="2854"/>
      <c r="AEB26" s="2854"/>
      <c r="AEC26" s="2854"/>
      <c r="AED26" s="2854"/>
      <c r="AEE26" s="2854"/>
      <c r="AEF26" s="2854"/>
      <c r="AEG26" s="2854"/>
      <c r="AEH26" s="2854"/>
      <c r="AEI26" s="2854"/>
      <c r="AEJ26" s="2854"/>
      <c r="AEK26" s="2854"/>
      <c r="AEL26" s="2854"/>
      <c r="AEM26" s="2854"/>
      <c r="AEN26" s="2854"/>
      <c r="AEO26" s="2854"/>
      <c r="AEP26" s="2854"/>
      <c r="AEQ26" s="2854"/>
      <c r="AER26" s="2854"/>
      <c r="AES26" s="2854"/>
      <c r="AET26" s="2854"/>
      <c r="AEU26" s="2854"/>
      <c r="AEV26" s="2854"/>
      <c r="AEW26" s="2854"/>
      <c r="AEX26" s="2854"/>
      <c r="AEY26" s="2854"/>
      <c r="AEZ26" s="2854"/>
      <c r="AFA26" s="2854"/>
      <c r="AFB26" s="2854"/>
      <c r="AFC26" s="2854"/>
      <c r="AFD26" s="2854"/>
      <c r="AFE26" s="2854"/>
      <c r="AFF26" s="2854"/>
      <c r="AFG26" s="2854"/>
      <c r="AFH26" s="2854"/>
      <c r="AFI26" s="2854"/>
      <c r="AFJ26" s="2854"/>
      <c r="AFK26" s="2854"/>
      <c r="AFL26" s="2854"/>
      <c r="AFM26" s="2854"/>
      <c r="AFN26" s="2854"/>
      <c r="AFO26" s="2854"/>
      <c r="AFP26" s="2854"/>
      <c r="AFQ26" s="2854"/>
      <c r="AFR26" s="2854"/>
      <c r="AFS26" s="2854"/>
      <c r="AFT26" s="2854"/>
      <c r="AFU26" s="2854"/>
      <c r="AFV26" s="2854"/>
      <c r="AFW26" s="2854"/>
      <c r="AFX26" s="2854"/>
      <c r="AFY26" s="2854"/>
      <c r="AFZ26" s="2854"/>
      <c r="AGA26" s="2854"/>
      <c r="AGB26" s="2854"/>
      <c r="AGC26" s="2854"/>
      <c r="AGD26" s="2854"/>
      <c r="AGE26" s="2854"/>
      <c r="AGF26" s="2854"/>
      <c r="AGG26" s="2854"/>
      <c r="AGH26" s="2854"/>
      <c r="AGI26" s="2854"/>
      <c r="AGJ26" s="2854"/>
      <c r="AGK26" s="2854"/>
      <c r="AGL26" s="2854"/>
      <c r="AGM26" s="2854"/>
      <c r="AGN26" s="2854"/>
      <c r="AGO26" s="2854"/>
      <c r="AGP26" s="2854"/>
      <c r="AGQ26" s="2854"/>
      <c r="AGR26" s="2854"/>
      <c r="AGS26" s="2854"/>
      <c r="AGT26" s="2854"/>
      <c r="AGU26" s="2854"/>
      <c r="AGV26" s="2854"/>
      <c r="AGW26" s="2854"/>
      <c r="AGX26" s="2854"/>
      <c r="AGY26" s="2854"/>
      <c r="AGZ26" s="2854"/>
      <c r="AHA26" s="2854"/>
      <c r="AHB26" s="2854"/>
      <c r="AHC26" s="2854"/>
      <c r="AHD26" s="2854"/>
      <c r="AHE26" s="2854"/>
      <c r="AHF26" s="2854"/>
      <c r="AHG26" s="2854"/>
      <c r="AHH26" s="2854"/>
      <c r="AHI26" s="2854"/>
      <c r="AHJ26" s="2854"/>
      <c r="AHK26" s="2854"/>
      <c r="AHL26" s="2854"/>
      <c r="AHM26" s="2854"/>
      <c r="AHN26" s="2854"/>
      <c r="AHO26" s="2854"/>
      <c r="AHP26" s="2854"/>
      <c r="AHQ26" s="2854"/>
      <c r="AHR26" s="2854"/>
      <c r="AHS26" s="2854"/>
      <c r="AHT26" s="2854"/>
      <c r="AHU26" s="2854"/>
      <c r="AHV26" s="2854"/>
      <c r="AHW26" s="2854"/>
      <c r="AHX26" s="2854"/>
      <c r="AHY26" s="2854"/>
      <c r="AHZ26" s="2854"/>
      <c r="AIA26" s="2854"/>
      <c r="AIB26" s="2854"/>
      <c r="AIC26" s="2854"/>
      <c r="AID26" s="2854"/>
      <c r="AIE26" s="2854"/>
      <c r="AIF26" s="2854"/>
      <c r="AIG26" s="2854"/>
      <c r="AIH26" s="2854"/>
      <c r="AII26" s="2854"/>
      <c r="AIJ26" s="2854"/>
      <c r="AIK26" s="2854"/>
      <c r="AIL26" s="2854"/>
      <c r="AIM26" s="2854"/>
      <c r="AIN26" s="2854"/>
      <c r="AIO26" s="2854"/>
      <c r="AIP26" s="2854"/>
      <c r="AIQ26" s="2854"/>
      <c r="AIR26" s="2854"/>
      <c r="AIS26" s="2854"/>
      <c r="AIT26" s="2854"/>
      <c r="AIU26" s="2854"/>
      <c r="AIV26" s="2854"/>
      <c r="AIW26" s="2854"/>
      <c r="AIX26" s="2854"/>
      <c r="AIY26" s="2854"/>
      <c r="AIZ26" s="2854"/>
      <c r="AJA26" s="2854"/>
      <c r="AJB26" s="2854"/>
      <c r="AJC26" s="2854"/>
      <c r="AJD26" s="2854"/>
      <c r="AJE26" s="2854"/>
      <c r="AJF26" s="2854"/>
      <c r="AJG26" s="2854"/>
      <c r="AJH26" s="2854"/>
      <c r="AJI26" s="2854"/>
      <c r="AJJ26" s="2854"/>
      <c r="AJK26" s="2854"/>
      <c r="AJL26" s="2854"/>
      <c r="AJM26" s="2854"/>
      <c r="AJN26" s="2854"/>
      <c r="AJO26" s="2854"/>
      <c r="AJP26" s="2854"/>
      <c r="AJQ26" s="2854"/>
      <c r="AJR26" s="2854"/>
      <c r="AJS26" s="2854"/>
      <c r="AJT26" s="2854"/>
      <c r="AJU26" s="2854"/>
      <c r="AJV26" s="2854"/>
      <c r="AJW26" s="2854"/>
      <c r="AJX26" s="2854"/>
      <c r="AJY26" s="2854"/>
      <c r="AJZ26" s="2854"/>
      <c r="AKA26" s="2854"/>
      <c r="AKB26" s="2854"/>
      <c r="AKC26" s="2854"/>
      <c r="AKD26" s="2854"/>
      <c r="AKE26" s="2854"/>
      <c r="AKF26" s="2854"/>
      <c r="AKG26" s="2854"/>
      <c r="AKH26" s="2854"/>
      <c r="AKI26" s="2854"/>
      <c r="AKJ26" s="2854"/>
      <c r="AKK26" s="2854"/>
      <c r="AKL26" s="2854"/>
      <c r="AKM26" s="2854"/>
      <c r="AKN26" s="2854"/>
      <c r="AKO26" s="2854"/>
      <c r="AKP26" s="2854"/>
      <c r="AKQ26" s="2854"/>
      <c r="AKR26" s="2854"/>
      <c r="AKS26" s="2854"/>
      <c r="AKT26" s="2854"/>
      <c r="AKU26" s="2854"/>
      <c r="AKV26" s="2854"/>
      <c r="AKW26" s="2854"/>
      <c r="AKX26" s="2854"/>
      <c r="AKY26" s="2854"/>
      <c r="AKZ26" s="2854"/>
      <c r="ALA26" s="2854"/>
      <c r="ALB26" s="2854"/>
      <c r="ALC26" s="2854"/>
      <c r="ALD26" s="2854"/>
      <c r="ALE26" s="2854"/>
      <c r="ALF26" s="2854"/>
      <c r="ALG26" s="2854"/>
      <c r="ALH26" s="2854"/>
      <c r="ALI26" s="2854"/>
      <c r="ALJ26" s="2854"/>
      <c r="ALK26" s="2854"/>
      <c r="ALL26" s="2854"/>
      <c r="ALM26" s="2854"/>
      <c r="ALN26" s="2854"/>
      <c r="ALO26" s="2854"/>
      <c r="ALP26" s="2854"/>
      <c r="ALQ26" s="2854"/>
      <c r="ALR26" s="2854"/>
      <c r="ALS26" s="2854"/>
      <c r="ALT26" s="2854"/>
      <c r="ALU26" s="2854"/>
      <c r="ALV26" s="2854"/>
      <c r="ALW26" s="2854"/>
      <c r="ALX26" s="2854"/>
      <c r="ALY26" s="2854"/>
      <c r="ALZ26" s="2854"/>
      <c r="AMA26" s="2854"/>
      <c r="AMB26" s="2854"/>
      <c r="AMC26" s="2854"/>
      <c r="AMD26" s="2854"/>
      <c r="AME26" s="2854"/>
      <c r="AMF26" s="2854"/>
      <c r="AMG26" s="2854"/>
      <c r="AMH26" s="2854"/>
      <c r="AMI26" s="2854"/>
      <c r="AMJ26" s="2854"/>
      <c r="AMK26" s="2854"/>
      <c r="AML26" s="2854"/>
      <c r="AMM26" s="2854"/>
      <c r="AMN26" s="2854"/>
      <c r="AMO26" s="2854"/>
      <c r="AMP26" s="2854"/>
      <c r="AMQ26" s="2854"/>
      <c r="AMR26" s="2854"/>
      <c r="AMS26" s="2854"/>
      <c r="AMT26" s="2854"/>
      <c r="AMU26" s="2854"/>
      <c r="AMV26" s="2854"/>
      <c r="AMW26" s="2854"/>
      <c r="AMX26" s="2854"/>
      <c r="AMY26" s="2854"/>
      <c r="AMZ26" s="2854"/>
      <c r="ANA26" s="2854"/>
      <c r="ANB26" s="2854"/>
      <c r="ANC26" s="2854"/>
      <c r="AND26" s="2854"/>
      <c r="ANE26" s="2854"/>
      <c r="ANF26" s="2854"/>
      <c r="ANG26" s="2854"/>
      <c r="ANH26" s="2854"/>
      <c r="ANI26" s="2854"/>
      <c r="ANJ26" s="2854"/>
      <c r="ANK26" s="2854"/>
      <c r="ANL26" s="2854"/>
      <c r="ANM26" s="2854"/>
      <c r="ANN26" s="2854"/>
      <c r="ANO26" s="2854"/>
      <c r="ANP26" s="2854"/>
      <c r="ANQ26" s="2854"/>
      <c r="ANR26" s="2854"/>
      <c r="ANS26" s="2854"/>
      <c r="ANT26" s="2854"/>
      <c r="ANU26" s="2854"/>
      <c r="ANV26" s="2854"/>
      <c r="ANW26" s="2854"/>
      <c r="ANX26" s="2854"/>
      <c r="ANY26" s="2854"/>
      <c r="ANZ26" s="2854"/>
      <c r="AOA26" s="2854"/>
      <c r="AOB26" s="2854"/>
      <c r="AOC26" s="2854"/>
      <c r="AOD26" s="2854"/>
      <c r="AOE26" s="2854"/>
      <c r="AOF26" s="2854"/>
      <c r="AOG26" s="2854"/>
      <c r="AOH26" s="2854"/>
      <c r="AOI26" s="2854"/>
      <c r="AOJ26" s="2854"/>
      <c r="AOK26" s="2854"/>
      <c r="AOL26" s="2854"/>
      <c r="AOM26" s="2854"/>
      <c r="AON26" s="2854"/>
      <c r="AOO26" s="2854"/>
      <c r="AOP26" s="2854"/>
      <c r="AOQ26" s="2854"/>
      <c r="AOR26" s="2854"/>
      <c r="AOS26" s="2854"/>
      <c r="AOT26" s="2854"/>
      <c r="AOU26" s="2854"/>
      <c r="AOV26" s="2854"/>
      <c r="AOW26" s="2854"/>
      <c r="AOX26" s="2854"/>
      <c r="AOY26" s="2854"/>
      <c r="AOZ26" s="2854"/>
      <c r="APA26" s="2854"/>
      <c r="APB26" s="2854"/>
      <c r="APC26" s="2854"/>
      <c r="APD26" s="2854"/>
      <c r="APE26" s="2854"/>
      <c r="APF26" s="2854"/>
      <c r="APG26" s="2854"/>
      <c r="APH26" s="2854"/>
      <c r="API26" s="2854"/>
      <c r="APJ26" s="2854"/>
      <c r="APK26" s="2854"/>
      <c r="APL26" s="2854"/>
      <c r="APM26" s="2854"/>
      <c r="APN26" s="2854"/>
      <c r="APO26" s="2854"/>
      <c r="APP26" s="2854"/>
      <c r="APQ26" s="2854"/>
      <c r="APR26" s="2854"/>
      <c r="APS26" s="2854"/>
      <c r="APT26" s="2854"/>
      <c r="APU26" s="2854"/>
      <c r="APV26" s="2854"/>
      <c r="APW26" s="2854"/>
      <c r="APX26" s="2854"/>
      <c r="APY26" s="2854"/>
      <c r="APZ26" s="2854"/>
      <c r="AQA26" s="2854"/>
      <c r="AQB26" s="2854"/>
      <c r="AQC26" s="2854"/>
      <c r="AQD26" s="2854"/>
      <c r="AQE26" s="2854"/>
      <c r="AQF26" s="2854"/>
      <c r="AQG26" s="2854"/>
      <c r="AQH26" s="2854"/>
      <c r="AQI26" s="2854"/>
      <c r="AQJ26" s="2854"/>
      <c r="AQK26" s="2854"/>
      <c r="AQL26" s="2854"/>
      <c r="AQM26" s="2854"/>
      <c r="AQN26" s="2854"/>
      <c r="AQO26" s="2854"/>
      <c r="AQP26" s="2854"/>
      <c r="AQQ26" s="2854"/>
      <c r="AQR26" s="2854"/>
      <c r="AQS26" s="2854"/>
      <c r="AQT26" s="2854"/>
      <c r="AQU26" s="2854"/>
      <c r="AQV26" s="2854"/>
      <c r="AQW26" s="2854"/>
      <c r="AQX26" s="2854"/>
      <c r="AQY26" s="2854"/>
      <c r="AQZ26" s="2854"/>
      <c r="ARA26" s="2854"/>
      <c r="ARB26" s="2854"/>
      <c r="ARC26" s="2854"/>
      <c r="ARD26" s="2854"/>
      <c r="ARE26" s="2854"/>
      <c r="ARF26" s="2854"/>
      <c r="ARG26" s="2854"/>
      <c r="ARH26" s="2854"/>
      <c r="ARI26" s="2854"/>
      <c r="ARJ26" s="2854"/>
      <c r="ARK26" s="2854"/>
      <c r="ARL26" s="2854"/>
      <c r="ARM26" s="2854"/>
      <c r="ARN26" s="2854"/>
      <c r="ARO26" s="2854"/>
      <c r="ARP26" s="2854"/>
      <c r="ARQ26" s="2854"/>
      <c r="ARR26" s="2854"/>
      <c r="ARS26" s="2854"/>
      <c r="ART26" s="2854"/>
      <c r="ARU26" s="2854"/>
      <c r="ARV26" s="2854"/>
      <c r="ARW26" s="2854"/>
      <c r="ARX26" s="2854"/>
      <c r="ARY26" s="2854"/>
      <c r="ARZ26" s="2854"/>
      <c r="ASA26" s="2854"/>
      <c r="ASB26" s="2854"/>
      <c r="ASC26" s="2854"/>
      <c r="ASD26" s="2854"/>
      <c r="ASE26" s="2854"/>
      <c r="ASF26" s="2854"/>
      <c r="ASG26" s="2854"/>
      <c r="ASH26" s="2854"/>
      <c r="ASI26" s="2854"/>
      <c r="ASJ26" s="2854"/>
      <c r="ASK26" s="2854"/>
      <c r="ASL26" s="2854"/>
      <c r="ASM26" s="2854"/>
      <c r="ASN26" s="2854"/>
      <c r="ASO26" s="2854"/>
      <c r="ASP26" s="2854"/>
      <c r="ASQ26" s="2854"/>
      <c r="ASR26" s="2854"/>
      <c r="ASS26" s="2854"/>
      <c r="AST26" s="2854"/>
      <c r="ASU26" s="2854"/>
      <c r="ASV26" s="2854"/>
      <c r="ASW26" s="2854"/>
      <c r="ASX26" s="2854"/>
      <c r="ASY26" s="2854"/>
      <c r="ASZ26" s="2854"/>
      <c r="ATA26" s="2854"/>
      <c r="ATB26" s="2854"/>
      <c r="ATC26" s="2854"/>
      <c r="ATD26" s="2854"/>
      <c r="ATE26" s="2854"/>
      <c r="ATF26" s="2854"/>
      <c r="ATG26" s="2854"/>
      <c r="ATH26" s="2854"/>
      <c r="ATI26" s="2854"/>
      <c r="ATJ26" s="2854"/>
      <c r="ATK26" s="2854"/>
      <c r="ATL26" s="2854"/>
      <c r="ATM26" s="2854"/>
      <c r="ATN26" s="2854"/>
      <c r="ATO26" s="2854"/>
      <c r="ATP26" s="2854"/>
      <c r="ATQ26" s="2854"/>
      <c r="ATR26" s="2854"/>
      <c r="ATS26" s="2854"/>
      <c r="ATT26" s="2854"/>
      <c r="ATU26" s="2854"/>
      <c r="ATV26" s="2854"/>
      <c r="ATW26" s="2854"/>
      <c r="ATX26" s="2854"/>
      <c r="ATY26" s="2854"/>
      <c r="ATZ26" s="2854"/>
      <c r="AUA26" s="2854"/>
      <c r="AUB26" s="2854"/>
      <c r="AUC26" s="2854"/>
      <c r="AUD26" s="2854"/>
      <c r="AUE26" s="2854"/>
      <c r="AUF26" s="2854"/>
      <c r="AUG26" s="2854"/>
      <c r="AUH26" s="2854"/>
      <c r="AUI26" s="2854"/>
      <c r="AUJ26" s="2854"/>
      <c r="AUK26" s="2854"/>
      <c r="AUL26" s="2854"/>
      <c r="AUM26" s="2854"/>
      <c r="AUN26" s="2854"/>
      <c r="AUO26" s="2854"/>
      <c r="AUP26" s="2854"/>
      <c r="AUQ26" s="2854"/>
      <c r="AUR26" s="2854"/>
      <c r="AUS26" s="2854"/>
      <c r="AUT26" s="2854"/>
      <c r="AUU26" s="2854"/>
      <c r="AUV26" s="2854"/>
      <c r="AUW26" s="2854"/>
      <c r="AUX26" s="2854"/>
      <c r="AUY26" s="2854"/>
      <c r="AUZ26" s="2854"/>
      <c r="AVA26" s="2854"/>
      <c r="AVB26" s="2854"/>
      <c r="AVC26" s="2854"/>
      <c r="AVD26" s="2854"/>
      <c r="AVE26" s="2854"/>
      <c r="AVF26" s="2854"/>
      <c r="AVG26" s="2854"/>
      <c r="AVH26" s="2854"/>
      <c r="AVI26" s="2854"/>
      <c r="AVJ26" s="2854"/>
      <c r="AVK26" s="2854"/>
      <c r="AVL26" s="2854"/>
      <c r="AVM26" s="2854"/>
      <c r="AVN26" s="2854"/>
      <c r="AVO26" s="2854"/>
      <c r="AVP26" s="2854"/>
      <c r="AVQ26" s="2854"/>
      <c r="AVR26" s="2854"/>
      <c r="AVS26" s="2854"/>
      <c r="AVT26" s="2854"/>
      <c r="AVU26" s="2854"/>
      <c r="AVV26" s="2854"/>
      <c r="AVW26" s="2854"/>
      <c r="AVX26" s="2854"/>
      <c r="AVY26" s="2854"/>
      <c r="AVZ26" s="2854"/>
      <c r="AWA26" s="2854"/>
      <c r="AWB26" s="2854"/>
      <c r="AWC26" s="2854"/>
      <c r="AWD26" s="2854"/>
      <c r="AWE26" s="2854"/>
      <c r="AWF26" s="2854"/>
      <c r="AWG26" s="2854"/>
      <c r="AWH26" s="2854"/>
      <c r="AWI26" s="2854"/>
      <c r="AWJ26" s="2854"/>
      <c r="AWK26" s="2854"/>
      <c r="AWL26" s="2854"/>
      <c r="AWM26" s="2854"/>
      <c r="AWN26" s="2854"/>
      <c r="AWO26" s="2854"/>
      <c r="AWP26" s="2854"/>
      <c r="AWQ26" s="2854"/>
      <c r="AWR26" s="2854"/>
      <c r="AWS26" s="2854"/>
      <c r="AWT26" s="2854"/>
      <c r="AWU26" s="2854"/>
      <c r="AWV26" s="2854"/>
      <c r="AWW26" s="2854"/>
      <c r="AWX26" s="2854"/>
      <c r="AWY26" s="2854"/>
      <c r="AWZ26" s="2854"/>
      <c r="AXA26" s="2854"/>
      <c r="AXB26" s="2854"/>
      <c r="AXC26" s="2854"/>
      <c r="AXD26" s="2854"/>
      <c r="AXE26" s="2854"/>
      <c r="AXF26" s="2854"/>
      <c r="AXG26" s="2854"/>
      <c r="AXH26" s="2854"/>
      <c r="AXI26" s="2854"/>
      <c r="AXJ26" s="2854"/>
      <c r="AXK26" s="2854"/>
      <c r="AXL26" s="2854"/>
      <c r="AXM26" s="2854"/>
      <c r="AXN26" s="2854"/>
      <c r="AXO26" s="2854"/>
      <c r="AXP26" s="2854"/>
      <c r="AXQ26" s="2854"/>
      <c r="AXR26" s="2854"/>
      <c r="AXS26" s="2854"/>
      <c r="AXT26" s="2854"/>
      <c r="AXU26" s="2854"/>
      <c r="AXV26" s="2854"/>
      <c r="AXW26" s="2854"/>
      <c r="AXX26" s="2854"/>
      <c r="AXY26" s="2854"/>
      <c r="AXZ26" s="2854"/>
      <c r="AYA26" s="2854"/>
      <c r="AYB26" s="2854"/>
      <c r="AYC26" s="2854"/>
      <c r="AYD26" s="2854"/>
      <c r="AYE26" s="2854"/>
      <c r="AYF26" s="2854"/>
      <c r="AYG26" s="2854"/>
      <c r="AYH26" s="2854"/>
      <c r="AYI26" s="2854"/>
      <c r="AYJ26" s="2854"/>
      <c r="AYK26" s="2854"/>
      <c r="AYL26" s="2854"/>
      <c r="AYM26" s="2854"/>
      <c r="AYN26" s="2854"/>
      <c r="AYO26" s="2854"/>
      <c r="AYP26" s="2854"/>
      <c r="AYQ26" s="2854"/>
      <c r="AYR26" s="2854"/>
      <c r="AYS26" s="2854"/>
      <c r="AYT26" s="2854"/>
      <c r="AYU26" s="2854"/>
      <c r="AYV26" s="2854"/>
      <c r="AYW26" s="2854"/>
      <c r="AYX26" s="2854"/>
      <c r="AYY26" s="2854"/>
      <c r="AYZ26" s="2854"/>
      <c r="AZA26" s="2854"/>
      <c r="AZB26" s="2854"/>
      <c r="AZC26" s="2854"/>
      <c r="AZD26" s="2854"/>
      <c r="AZE26" s="2854"/>
      <c r="AZF26" s="2854"/>
      <c r="AZG26" s="2854"/>
      <c r="AZH26" s="2854"/>
      <c r="AZI26" s="2854"/>
      <c r="AZJ26" s="2854"/>
      <c r="AZK26" s="2854"/>
      <c r="AZL26" s="2854"/>
      <c r="AZM26" s="2854"/>
      <c r="AZN26" s="2854"/>
      <c r="AZO26" s="2854"/>
      <c r="AZP26" s="2854"/>
      <c r="AZQ26" s="2854"/>
      <c r="AZR26" s="2854"/>
      <c r="AZS26" s="2854"/>
      <c r="AZT26" s="2854"/>
      <c r="AZU26" s="2854"/>
      <c r="AZV26" s="2854"/>
      <c r="AZW26" s="2854"/>
      <c r="AZX26" s="2854"/>
      <c r="AZY26" s="2854"/>
      <c r="AZZ26" s="2854"/>
      <c r="BAA26" s="2854"/>
      <c r="BAB26" s="2854"/>
      <c r="BAC26" s="2854"/>
      <c r="BAD26" s="2854"/>
      <c r="BAE26" s="2854"/>
      <c r="BAF26" s="2854"/>
      <c r="BAG26" s="2854"/>
      <c r="BAH26" s="2854"/>
      <c r="BAI26" s="2854"/>
      <c r="BAJ26" s="2854"/>
      <c r="BAK26" s="2854"/>
      <c r="BAL26" s="2854"/>
      <c r="BAM26" s="2854"/>
      <c r="BAN26" s="2854"/>
      <c r="BAO26" s="2854"/>
      <c r="BAP26" s="2854"/>
      <c r="BAQ26" s="2854"/>
      <c r="BAR26" s="2854"/>
      <c r="BAS26" s="2854"/>
      <c r="BAT26" s="2854"/>
      <c r="BAU26" s="2854"/>
      <c r="BAV26" s="2854"/>
      <c r="BAW26" s="2854"/>
      <c r="BAX26" s="2854"/>
      <c r="BAY26" s="2854"/>
      <c r="BAZ26" s="2854"/>
      <c r="BBA26" s="2854"/>
      <c r="BBB26" s="2854"/>
      <c r="BBC26" s="2854"/>
      <c r="BBD26" s="2854"/>
      <c r="BBE26" s="2854"/>
      <c r="BBF26" s="2854"/>
      <c r="BBG26" s="2854"/>
      <c r="BBH26" s="2854"/>
      <c r="BBI26" s="2854"/>
      <c r="BBJ26" s="2854"/>
      <c r="BBK26" s="2854"/>
      <c r="BBL26" s="2854"/>
      <c r="BBM26" s="2854"/>
      <c r="BBN26" s="2854"/>
      <c r="BBO26" s="2854"/>
      <c r="BBP26" s="2854"/>
      <c r="BBQ26" s="2854"/>
      <c r="BBR26" s="2854"/>
      <c r="BBS26" s="2854"/>
      <c r="BBT26" s="2854"/>
      <c r="BBU26" s="2854"/>
      <c r="BBV26" s="2854"/>
      <c r="BBW26" s="2854"/>
      <c r="BBX26" s="2854"/>
      <c r="BBY26" s="2854"/>
      <c r="BBZ26" s="2854"/>
      <c r="BCA26" s="2854"/>
      <c r="BCB26" s="2854"/>
      <c r="BCC26" s="2854"/>
      <c r="BCD26" s="2854"/>
      <c r="BCE26" s="2854"/>
      <c r="BCF26" s="2854"/>
      <c r="BCG26" s="2854"/>
      <c r="BCH26" s="2854"/>
      <c r="BCI26" s="2854"/>
      <c r="BCJ26" s="2854"/>
      <c r="BCK26" s="2854"/>
      <c r="BCL26" s="2854"/>
      <c r="BCM26" s="2854"/>
      <c r="BCN26" s="2854"/>
      <c r="BCO26" s="2854"/>
      <c r="BCP26" s="2854"/>
      <c r="BCQ26" s="2854"/>
      <c r="BCR26" s="2854"/>
      <c r="BCS26" s="2854"/>
      <c r="BCT26" s="2854"/>
      <c r="BCU26" s="2854"/>
      <c r="BCV26" s="2854"/>
      <c r="BCW26" s="2854"/>
      <c r="BCX26" s="2854"/>
      <c r="BCY26" s="2854"/>
      <c r="BCZ26" s="2854"/>
      <c r="BDA26" s="2854"/>
      <c r="BDB26" s="2854"/>
      <c r="BDC26" s="2854"/>
      <c r="BDD26" s="2854"/>
      <c r="BDE26" s="2854"/>
      <c r="BDF26" s="2854"/>
      <c r="BDG26" s="2854"/>
      <c r="BDH26" s="2854"/>
      <c r="BDI26" s="2854"/>
      <c r="BDJ26" s="2854"/>
      <c r="BDK26" s="2854"/>
      <c r="BDL26" s="2854"/>
      <c r="BDM26" s="2854"/>
      <c r="BDN26" s="2854"/>
      <c r="BDO26" s="2854"/>
      <c r="BDP26" s="2854"/>
      <c r="BDQ26" s="2854"/>
      <c r="BDR26" s="2854"/>
      <c r="BDS26" s="2854"/>
      <c r="BDT26" s="2854"/>
      <c r="BDU26" s="2854"/>
      <c r="BDV26" s="2854"/>
      <c r="BDW26" s="2854"/>
      <c r="BDX26" s="2854"/>
      <c r="BDY26" s="2854"/>
      <c r="BDZ26" s="2854"/>
      <c r="BEA26" s="2854"/>
      <c r="BEB26" s="2854"/>
      <c r="BEC26" s="2854"/>
      <c r="BED26" s="2854"/>
      <c r="BEE26" s="2854"/>
      <c r="BEF26" s="2854"/>
      <c r="BEG26" s="2854"/>
      <c r="BEH26" s="2854"/>
      <c r="BEI26" s="2854"/>
      <c r="BEJ26" s="2854"/>
      <c r="BEK26" s="2854"/>
      <c r="BEL26" s="2854"/>
      <c r="BEM26" s="2854"/>
      <c r="BEN26" s="2854"/>
      <c r="BEO26" s="2854"/>
      <c r="BEP26" s="2854"/>
      <c r="BEQ26" s="2854"/>
      <c r="BER26" s="2854"/>
      <c r="BES26" s="2854"/>
      <c r="BET26" s="2854"/>
      <c r="BEU26" s="2854"/>
      <c r="BEV26" s="2854"/>
      <c r="BEW26" s="2854"/>
      <c r="BEX26" s="2854"/>
      <c r="BEY26" s="2854"/>
      <c r="BEZ26" s="2854"/>
      <c r="BFA26" s="2854"/>
      <c r="BFB26" s="2854"/>
      <c r="BFC26" s="2854"/>
      <c r="BFD26" s="2854"/>
      <c r="BFE26" s="2854"/>
      <c r="BFF26" s="2854"/>
      <c r="BFG26" s="2854"/>
      <c r="BFH26" s="2854"/>
      <c r="BFI26" s="2854"/>
      <c r="BFJ26" s="2854"/>
      <c r="BFK26" s="2854"/>
      <c r="BFL26" s="2854"/>
      <c r="BFM26" s="2854"/>
      <c r="BFN26" s="2854"/>
      <c r="BFO26" s="2854"/>
      <c r="BFP26" s="2854"/>
      <c r="BFQ26" s="2854"/>
      <c r="BFR26" s="2854"/>
      <c r="BFS26" s="2854"/>
      <c r="BFT26" s="2854"/>
      <c r="BFU26" s="2854"/>
      <c r="BFV26" s="2854"/>
      <c r="BFW26" s="2854"/>
      <c r="BFX26" s="2854"/>
      <c r="BFY26" s="2854"/>
      <c r="BFZ26" s="2854"/>
      <c r="BGA26" s="2854"/>
      <c r="BGB26" s="2854"/>
      <c r="BGC26" s="2854"/>
      <c r="BGD26" s="2854"/>
      <c r="BGE26" s="2854"/>
      <c r="BGF26" s="2854"/>
      <c r="BGG26" s="2854"/>
      <c r="BGH26" s="2854"/>
      <c r="BGI26" s="2854"/>
      <c r="BGJ26" s="2854"/>
      <c r="BGK26" s="2854"/>
      <c r="BGL26" s="2854"/>
      <c r="BGM26" s="2854"/>
      <c r="BGN26" s="2854"/>
      <c r="BGO26" s="2854"/>
      <c r="BGP26" s="2854"/>
      <c r="BGQ26" s="2854"/>
      <c r="BGR26" s="2854"/>
      <c r="BGS26" s="2854"/>
      <c r="BGT26" s="2854"/>
      <c r="BGU26" s="2854"/>
      <c r="BGV26" s="2854"/>
      <c r="BGW26" s="2854"/>
      <c r="BGX26" s="2854"/>
      <c r="BGY26" s="2854"/>
      <c r="BGZ26" s="2854"/>
      <c r="BHA26" s="2854"/>
      <c r="BHB26" s="2854"/>
      <c r="BHC26" s="2854"/>
      <c r="BHD26" s="2854"/>
      <c r="BHE26" s="2854"/>
      <c r="BHF26" s="2854"/>
      <c r="BHG26" s="2854"/>
      <c r="BHH26" s="2854"/>
      <c r="BHI26" s="2854"/>
      <c r="BHJ26" s="2854"/>
      <c r="BHK26" s="2854"/>
      <c r="BHL26" s="2854"/>
      <c r="BHM26" s="2854"/>
      <c r="BHN26" s="2854"/>
      <c r="BHO26" s="2854"/>
      <c r="BHP26" s="2854"/>
      <c r="BHQ26" s="2854"/>
      <c r="BHR26" s="2854"/>
      <c r="BHS26" s="2854"/>
      <c r="BHT26" s="2854"/>
      <c r="BHU26" s="2854"/>
      <c r="BHV26" s="2854"/>
      <c r="BHW26" s="2854"/>
      <c r="BHX26" s="2854"/>
      <c r="BHY26" s="2854"/>
      <c r="BHZ26" s="2854"/>
      <c r="BIA26" s="2854"/>
      <c r="BIB26" s="2854"/>
      <c r="BIC26" s="2854"/>
      <c r="BID26" s="2854"/>
      <c r="BIE26" s="2854"/>
      <c r="BIF26" s="2854"/>
      <c r="BIG26" s="2854"/>
      <c r="BIH26" s="2854"/>
      <c r="BII26" s="2854"/>
      <c r="BIJ26" s="2854"/>
      <c r="BIK26" s="2854"/>
      <c r="BIL26" s="2854"/>
      <c r="BIM26" s="2854"/>
      <c r="BIN26" s="2854"/>
      <c r="BIO26" s="2854"/>
      <c r="BIP26" s="2854"/>
      <c r="BIQ26" s="2854"/>
      <c r="BIR26" s="2854"/>
      <c r="BIS26" s="2854"/>
      <c r="BIT26" s="2854"/>
      <c r="BIU26" s="2854"/>
      <c r="BIV26" s="2854"/>
      <c r="BIW26" s="2854"/>
      <c r="BIX26" s="2854"/>
      <c r="BIY26" s="2854"/>
      <c r="BIZ26" s="2854"/>
      <c r="BJA26" s="2854"/>
      <c r="BJB26" s="2854"/>
      <c r="BJC26" s="2854"/>
      <c r="BJD26" s="2854"/>
      <c r="BJE26" s="2854"/>
      <c r="BJF26" s="2854"/>
      <c r="BJG26" s="2854"/>
      <c r="BJH26" s="2854"/>
      <c r="BJI26" s="2854"/>
      <c r="BJJ26" s="2854"/>
      <c r="BJK26" s="2854"/>
      <c r="BJL26" s="2854"/>
      <c r="BJM26" s="2854"/>
      <c r="BJN26" s="2854"/>
      <c r="BJO26" s="2854"/>
      <c r="BJP26" s="2854"/>
      <c r="BJQ26" s="2854"/>
      <c r="BJR26" s="2854"/>
      <c r="BJS26" s="2854"/>
      <c r="BJT26" s="2854"/>
      <c r="BJU26" s="2854"/>
      <c r="BJV26" s="2854"/>
      <c r="BJW26" s="2854"/>
      <c r="BJX26" s="2854"/>
      <c r="BJY26" s="2854"/>
      <c r="BJZ26" s="2854"/>
      <c r="BKA26" s="2854"/>
      <c r="BKB26" s="2854"/>
      <c r="BKC26" s="2854"/>
      <c r="BKD26" s="2854"/>
      <c r="BKE26" s="2854"/>
      <c r="BKF26" s="2854"/>
      <c r="BKG26" s="2854"/>
      <c r="BKH26" s="2854"/>
      <c r="BKI26" s="2854"/>
      <c r="BKJ26" s="2854"/>
      <c r="BKK26" s="2854"/>
      <c r="BKL26" s="2854"/>
      <c r="BKM26" s="2854"/>
      <c r="BKN26" s="2854"/>
      <c r="BKO26" s="2854"/>
      <c r="BKP26" s="2854"/>
      <c r="BKQ26" s="2854"/>
      <c r="BKR26" s="2854"/>
      <c r="BKS26" s="2854"/>
      <c r="BKT26" s="2854"/>
      <c r="BKU26" s="2854"/>
      <c r="BKV26" s="2854"/>
      <c r="BKW26" s="2854"/>
      <c r="BKX26" s="2854"/>
      <c r="BKY26" s="2854"/>
      <c r="BKZ26" s="2854"/>
      <c r="BLA26" s="2854"/>
      <c r="BLB26" s="2854"/>
      <c r="BLC26" s="2854"/>
      <c r="BLD26" s="2854"/>
      <c r="BLE26" s="2854"/>
      <c r="BLF26" s="2854"/>
      <c r="BLG26" s="2854"/>
      <c r="BLH26" s="2854"/>
      <c r="BLI26" s="2854"/>
      <c r="BLJ26" s="2854"/>
      <c r="BLK26" s="2854"/>
      <c r="BLL26" s="2854"/>
      <c r="BLM26" s="2854"/>
      <c r="BLN26" s="2854"/>
      <c r="BLO26" s="2854"/>
      <c r="BLP26" s="2854"/>
      <c r="BLQ26" s="2854"/>
      <c r="BLR26" s="2854"/>
      <c r="BLS26" s="2854"/>
      <c r="BLT26" s="2854"/>
      <c r="BLU26" s="2854"/>
      <c r="BLV26" s="2854"/>
      <c r="BLW26" s="2854"/>
      <c r="BLX26" s="2854"/>
      <c r="BLY26" s="2854"/>
      <c r="BLZ26" s="2854"/>
      <c r="BMA26" s="2854"/>
      <c r="BMB26" s="2854"/>
      <c r="BMC26" s="2854"/>
      <c r="BMD26" s="2854"/>
      <c r="BME26" s="2854"/>
      <c r="BMF26" s="2854"/>
      <c r="BMG26" s="2854"/>
      <c r="BMH26" s="2854"/>
      <c r="BMI26" s="2854"/>
      <c r="BMJ26" s="2854"/>
      <c r="BMK26" s="2854"/>
      <c r="BML26" s="2854"/>
      <c r="BMM26" s="2854"/>
      <c r="BMN26" s="2854"/>
      <c r="BMO26" s="2854"/>
      <c r="BMP26" s="2854"/>
      <c r="BMQ26" s="2854"/>
      <c r="BMR26" s="2854"/>
      <c r="BMS26" s="2854"/>
      <c r="BMT26" s="2854"/>
      <c r="BMU26" s="2854"/>
      <c r="BMV26" s="2854"/>
      <c r="BMW26" s="2854"/>
      <c r="BMX26" s="2854"/>
      <c r="BMY26" s="2854"/>
      <c r="BMZ26" s="2854"/>
      <c r="BNA26" s="2854"/>
      <c r="BNB26" s="2854"/>
      <c r="BNC26" s="2854"/>
      <c r="BND26" s="2854"/>
      <c r="BNE26" s="2854"/>
      <c r="BNF26" s="2854"/>
      <c r="BNG26" s="2854"/>
      <c r="BNH26" s="2854"/>
      <c r="BNI26" s="2854"/>
      <c r="BNJ26" s="2854"/>
      <c r="BNK26" s="2854"/>
      <c r="BNL26" s="2854"/>
      <c r="BNM26" s="2854"/>
      <c r="BNN26" s="2854"/>
      <c r="BNO26" s="2854"/>
      <c r="BNP26" s="2854"/>
      <c r="BNQ26" s="2854"/>
      <c r="BNR26" s="2854"/>
      <c r="BNS26" s="2854"/>
      <c r="BNT26" s="2854"/>
      <c r="BNU26" s="2854"/>
      <c r="BNV26" s="2854"/>
      <c r="BNW26" s="2854"/>
      <c r="BNX26" s="2854"/>
      <c r="BNY26" s="2854"/>
      <c r="BNZ26" s="2854"/>
      <c r="BOA26" s="2854"/>
      <c r="BOB26" s="2854"/>
      <c r="BOC26" s="2854"/>
      <c r="BOD26" s="2854"/>
      <c r="BOE26" s="2854"/>
      <c r="BOF26" s="2854"/>
      <c r="BOG26" s="2854"/>
      <c r="BOH26" s="2854"/>
      <c r="BOI26" s="2854"/>
      <c r="BOJ26" s="2854"/>
      <c r="BOK26" s="2854"/>
      <c r="BOL26" s="2854"/>
      <c r="BOM26" s="2854"/>
      <c r="BON26" s="2854"/>
      <c r="BOO26" s="2854"/>
      <c r="BOP26" s="2854"/>
      <c r="BOQ26" s="2854"/>
      <c r="BOR26" s="2854"/>
      <c r="BOS26" s="2854"/>
      <c r="BOT26" s="2854"/>
      <c r="BOU26" s="2854"/>
      <c r="BOV26" s="2854"/>
      <c r="BOW26" s="2854"/>
      <c r="BOX26" s="2854"/>
      <c r="BOY26" s="2854"/>
      <c r="BOZ26" s="2854"/>
      <c r="BPA26" s="2854"/>
      <c r="BPB26" s="2854"/>
      <c r="BPC26" s="2854"/>
      <c r="BPD26" s="2854"/>
      <c r="BPE26" s="2854"/>
      <c r="BPF26" s="2854"/>
      <c r="BPG26" s="2854"/>
      <c r="BPH26" s="2854"/>
      <c r="BPI26" s="2854"/>
      <c r="BPJ26" s="2854"/>
      <c r="BPK26" s="2854"/>
      <c r="BPL26" s="2854"/>
      <c r="BPM26" s="2854"/>
      <c r="BPN26" s="2854"/>
      <c r="BPO26" s="2854"/>
      <c r="BPP26" s="2854"/>
      <c r="BPQ26" s="2854"/>
      <c r="BPR26" s="2854"/>
      <c r="BPS26" s="2854"/>
      <c r="BPT26" s="2854"/>
      <c r="BPU26" s="2854"/>
      <c r="BPV26" s="2854"/>
      <c r="BPW26" s="2854"/>
      <c r="BPX26" s="2854"/>
      <c r="BPY26" s="2854"/>
      <c r="BPZ26" s="2854"/>
      <c r="BQA26" s="2854"/>
      <c r="BQB26" s="2854"/>
      <c r="BQC26" s="2854"/>
      <c r="BQD26" s="2854"/>
      <c r="BQE26" s="2854"/>
      <c r="BQF26" s="2854"/>
      <c r="BQG26" s="2854"/>
      <c r="BQH26" s="2854"/>
      <c r="BQI26" s="2854"/>
      <c r="BQJ26" s="2854"/>
      <c r="BQK26" s="2854"/>
      <c r="BQL26" s="2854"/>
      <c r="BQM26" s="2854"/>
      <c r="BQN26" s="2854"/>
      <c r="BQO26" s="2854"/>
      <c r="BQP26" s="2854"/>
      <c r="BQQ26" s="2854"/>
      <c r="BQR26" s="2854"/>
      <c r="BQS26" s="2854"/>
      <c r="BQT26" s="2854"/>
      <c r="BQU26" s="2854"/>
      <c r="BQV26" s="2854"/>
      <c r="BQW26" s="2854"/>
      <c r="BQX26" s="2854"/>
      <c r="BQY26" s="2854"/>
      <c r="BQZ26" s="2854"/>
      <c r="BRA26" s="2854"/>
      <c r="BRB26" s="2854"/>
      <c r="BRC26" s="2854"/>
      <c r="BRD26" s="2854"/>
      <c r="BRE26" s="2854"/>
      <c r="BRF26" s="2854"/>
      <c r="BRG26" s="2854"/>
      <c r="BRH26" s="2854"/>
      <c r="BRI26" s="2854"/>
      <c r="BRJ26" s="2854"/>
      <c r="BRK26" s="2854"/>
      <c r="BRL26" s="2854"/>
      <c r="BRM26" s="2854"/>
      <c r="BRN26" s="2854"/>
      <c r="BRO26" s="2854"/>
      <c r="BRP26" s="2854"/>
      <c r="BRQ26" s="2854"/>
      <c r="BRR26" s="2854"/>
      <c r="BRS26" s="2854"/>
      <c r="BRT26" s="2854"/>
      <c r="BRU26" s="2854"/>
      <c r="BRV26" s="2854"/>
      <c r="BRW26" s="2854"/>
      <c r="BRX26" s="2854"/>
      <c r="BRY26" s="2854"/>
      <c r="BRZ26" s="2854"/>
      <c r="BSA26" s="2854"/>
      <c r="BSB26" s="2854"/>
      <c r="BSC26" s="2854"/>
      <c r="BSD26" s="2854"/>
      <c r="BSE26" s="2854"/>
      <c r="BSF26" s="2854"/>
      <c r="BSG26" s="2854"/>
      <c r="BSH26" s="2854"/>
      <c r="BSI26" s="2854"/>
      <c r="BSJ26" s="2854"/>
      <c r="BSK26" s="2854"/>
      <c r="BSL26" s="2854"/>
      <c r="BSM26" s="2854"/>
      <c r="BSN26" s="2854"/>
      <c r="BSO26" s="2854"/>
      <c r="BSP26" s="2854"/>
      <c r="BSQ26" s="2854"/>
      <c r="BSR26" s="2854"/>
      <c r="BSS26" s="2854"/>
      <c r="BST26" s="2854"/>
      <c r="BSU26" s="2854"/>
      <c r="BSV26" s="2854"/>
      <c r="BSW26" s="2854"/>
      <c r="BSX26" s="2854"/>
      <c r="BSY26" s="2854"/>
      <c r="BSZ26" s="2854"/>
      <c r="BTA26" s="2854"/>
      <c r="BTB26" s="2854"/>
      <c r="BTC26" s="2854"/>
      <c r="BTD26" s="2854"/>
      <c r="BTE26" s="2854"/>
      <c r="BTF26" s="2854"/>
      <c r="BTG26" s="2854"/>
      <c r="BTH26" s="2854"/>
      <c r="BTI26" s="2854"/>
      <c r="BTJ26" s="2854"/>
      <c r="BTK26" s="2854"/>
      <c r="BTL26" s="2854"/>
      <c r="BTM26" s="2854"/>
      <c r="BTN26" s="2854"/>
      <c r="BTO26" s="2854"/>
      <c r="BTP26" s="2854"/>
      <c r="BTQ26" s="2854"/>
      <c r="BTR26" s="2854"/>
      <c r="BTS26" s="2854"/>
      <c r="BTT26" s="2854"/>
      <c r="BTU26" s="2854"/>
      <c r="BTV26" s="2854"/>
      <c r="BTW26" s="2854"/>
      <c r="BTX26" s="2854"/>
      <c r="BTY26" s="2854"/>
      <c r="BTZ26" s="2854"/>
      <c r="BUA26" s="2854"/>
      <c r="BUB26" s="2854"/>
      <c r="BUC26" s="2854"/>
      <c r="BUD26" s="2854"/>
      <c r="BUE26" s="2854"/>
      <c r="BUF26" s="2854"/>
      <c r="BUG26" s="2854"/>
      <c r="BUH26" s="2854"/>
      <c r="BUI26" s="2854"/>
      <c r="BUJ26" s="2854"/>
      <c r="BUK26" s="2854"/>
      <c r="BUL26" s="2854"/>
      <c r="BUM26" s="2854"/>
      <c r="BUN26" s="2854"/>
      <c r="BUO26" s="2854"/>
      <c r="BUP26" s="2854"/>
      <c r="BUQ26" s="2854"/>
      <c r="BUR26" s="2854"/>
      <c r="BUS26" s="2854"/>
      <c r="BUT26" s="2854"/>
      <c r="BUU26" s="2854"/>
      <c r="BUV26" s="2854"/>
      <c r="BUW26" s="2854"/>
      <c r="BUX26" s="2854"/>
      <c r="BUY26" s="2854"/>
      <c r="BUZ26" s="2854"/>
      <c r="BVA26" s="2854"/>
      <c r="BVB26" s="2854"/>
      <c r="BVC26" s="2854"/>
      <c r="BVD26" s="2854"/>
      <c r="BVE26" s="2854"/>
      <c r="BVF26" s="2854"/>
      <c r="BVG26" s="2854"/>
      <c r="BVH26" s="2854"/>
      <c r="BVI26" s="2854"/>
      <c r="BVJ26" s="2854"/>
      <c r="BVK26" s="2854"/>
      <c r="BVL26" s="2854"/>
      <c r="BVM26" s="2854"/>
      <c r="BVN26" s="2854"/>
      <c r="BVO26" s="2854"/>
      <c r="BVP26" s="2854"/>
      <c r="BVQ26" s="2854"/>
      <c r="BVR26" s="2854"/>
      <c r="BVS26" s="2854"/>
      <c r="BVT26" s="2854"/>
      <c r="BVU26" s="2854"/>
      <c r="BVV26" s="2854"/>
      <c r="BVW26" s="2854"/>
      <c r="BVX26" s="2854"/>
      <c r="BVY26" s="2854"/>
      <c r="BVZ26" s="2854"/>
      <c r="BWA26" s="2854"/>
      <c r="BWB26" s="2854"/>
      <c r="BWC26" s="2854"/>
      <c r="BWD26" s="2854"/>
      <c r="BWE26" s="2854"/>
      <c r="BWF26" s="2854"/>
      <c r="BWG26" s="2854"/>
      <c r="BWH26" s="2854"/>
      <c r="BWI26" s="2854"/>
      <c r="BWJ26" s="2854"/>
      <c r="BWK26" s="2854"/>
      <c r="BWL26" s="2854"/>
      <c r="BWM26" s="2854"/>
      <c r="BWN26" s="2854"/>
      <c r="BWO26" s="2854"/>
      <c r="BWP26" s="2854"/>
      <c r="BWQ26" s="2854"/>
      <c r="BWR26" s="2854"/>
      <c r="BWS26" s="2854"/>
      <c r="BWT26" s="2854"/>
      <c r="BWU26" s="2854"/>
      <c r="BWV26" s="2854"/>
      <c r="BWW26" s="2854"/>
      <c r="BWX26" s="2854"/>
      <c r="BWY26" s="2854"/>
      <c r="BWZ26" s="2854"/>
      <c r="BXA26" s="2854"/>
      <c r="BXB26" s="2854"/>
      <c r="BXC26" s="2854"/>
      <c r="BXD26" s="2854"/>
      <c r="BXE26" s="2854"/>
      <c r="BXF26" s="2854"/>
      <c r="BXG26" s="2854"/>
      <c r="BXH26" s="2854"/>
      <c r="BXI26" s="2854"/>
      <c r="BXJ26" s="2854"/>
      <c r="BXK26" s="2854"/>
      <c r="BXL26" s="2854"/>
      <c r="BXM26" s="2854"/>
      <c r="BXN26" s="2854"/>
      <c r="BXO26" s="2854"/>
      <c r="BXP26" s="2854"/>
      <c r="BXQ26" s="2854"/>
      <c r="BXR26" s="2854"/>
      <c r="BXS26" s="2854"/>
      <c r="BXT26" s="2854"/>
      <c r="BXU26" s="2854"/>
      <c r="BXV26" s="2854"/>
      <c r="BXW26" s="2854"/>
      <c r="BXX26" s="2854"/>
      <c r="BXY26" s="2854"/>
      <c r="BXZ26" s="2854"/>
      <c r="BYA26" s="2854"/>
      <c r="BYB26" s="2854"/>
      <c r="BYC26" s="2854"/>
      <c r="BYD26" s="2854"/>
      <c r="BYE26" s="2854"/>
      <c r="BYF26" s="2854"/>
      <c r="BYG26" s="2854"/>
      <c r="BYH26" s="2854"/>
      <c r="BYI26" s="2854"/>
      <c r="BYJ26" s="2854"/>
      <c r="BYK26" s="2854"/>
      <c r="BYL26" s="2854"/>
      <c r="BYM26" s="2854"/>
      <c r="BYN26" s="2854"/>
      <c r="BYO26" s="2854"/>
      <c r="BYP26" s="2854"/>
      <c r="BYQ26" s="2854"/>
      <c r="BYR26" s="2854"/>
      <c r="BYS26" s="2854"/>
      <c r="BYT26" s="2854"/>
      <c r="BYU26" s="2854"/>
      <c r="BYV26" s="2854"/>
      <c r="BYW26" s="2854"/>
      <c r="BYX26" s="2854"/>
      <c r="BYY26" s="2854"/>
      <c r="BYZ26" s="2854"/>
      <c r="BZA26" s="2854"/>
      <c r="BZB26" s="2854"/>
      <c r="BZC26" s="2854"/>
      <c r="BZD26" s="2854"/>
      <c r="BZE26" s="2854"/>
      <c r="BZF26" s="2854"/>
      <c r="BZG26" s="2854"/>
      <c r="BZH26" s="2854"/>
      <c r="BZI26" s="2854"/>
      <c r="BZJ26" s="2854"/>
      <c r="BZK26" s="2854"/>
      <c r="BZL26" s="2854"/>
      <c r="BZM26" s="2854"/>
      <c r="BZN26" s="2854"/>
      <c r="BZO26" s="2854"/>
      <c r="BZP26" s="2854"/>
      <c r="BZQ26" s="2854"/>
      <c r="BZR26" s="2854"/>
      <c r="BZS26" s="2854"/>
      <c r="BZT26" s="2854"/>
      <c r="BZU26" s="2854"/>
      <c r="BZV26" s="2854"/>
      <c r="BZW26" s="2854"/>
      <c r="BZX26" s="2854"/>
      <c r="BZY26" s="2854"/>
      <c r="BZZ26" s="2854"/>
      <c r="CAA26" s="2854"/>
      <c r="CAB26" s="2854"/>
      <c r="CAC26" s="2854"/>
      <c r="CAD26" s="2854"/>
      <c r="CAE26" s="2854"/>
      <c r="CAF26" s="2854"/>
      <c r="CAG26" s="2854"/>
      <c r="CAH26" s="2854"/>
      <c r="CAI26" s="2854"/>
      <c r="CAJ26" s="2854"/>
      <c r="CAK26" s="2854"/>
      <c r="CAL26" s="2854"/>
      <c r="CAM26" s="2854"/>
      <c r="CAN26" s="2854"/>
      <c r="CAO26" s="2854"/>
      <c r="CAP26" s="2854"/>
      <c r="CAQ26" s="2854"/>
      <c r="CAR26" s="2854"/>
      <c r="CAS26" s="2854"/>
      <c r="CAT26" s="2854"/>
      <c r="CAU26" s="2854"/>
      <c r="CAV26" s="2854"/>
      <c r="CAW26" s="2854"/>
      <c r="CAX26" s="2854"/>
      <c r="CAY26" s="2854"/>
      <c r="CAZ26" s="2854"/>
      <c r="CBA26" s="2854"/>
      <c r="CBB26" s="2854"/>
      <c r="CBC26" s="2854"/>
      <c r="CBD26" s="2854"/>
      <c r="CBE26" s="2854"/>
      <c r="CBF26" s="2854"/>
      <c r="CBG26" s="2854"/>
      <c r="CBH26" s="2854"/>
      <c r="CBI26" s="2854"/>
      <c r="CBJ26" s="2854"/>
      <c r="CBK26" s="2854"/>
      <c r="CBL26" s="2854"/>
      <c r="CBM26" s="2854"/>
      <c r="CBN26" s="2854"/>
      <c r="CBO26" s="2854"/>
      <c r="CBP26" s="2854"/>
      <c r="CBQ26" s="2854"/>
      <c r="CBR26" s="2854"/>
      <c r="CBS26" s="2854"/>
      <c r="CBT26" s="2854"/>
      <c r="CBU26" s="2854"/>
      <c r="CBV26" s="2854"/>
      <c r="CBW26" s="2854"/>
      <c r="CBX26" s="2854"/>
      <c r="CBY26" s="2854"/>
      <c r="CBZ26" s="2854"/>
      <c r="CCA26" s="2854"/>
      <c r="CCB26" s="2854"/>
      <c r="CCC26" s="2854"/>
      <c r="CCD26" s="2854"/>
      <c r="CCE26" s="2854"/>
      <c r="CCF26" s="2854"/>
      <c r="CCG26" s="2854"/>
      <c r="CCH26" s="2854"/>
      <c r="CCI26" s="2854"/>
      <c r="CCJ26" s="2854"/>
      <c r="CCK26" s="2854"/>
      <c r="CCL26" s="2854"/>
      <c r="CCM26" s="2854"/>
      <c r="CCN26" s="2854"/>
      <c r="CCO26" s="2854"/>
      <c r="CCP26" s="2854"/>
      <c r="CCQ26" s="2854"/>
      <c r="CCR26" s="2854"/>
      <c r="CCS26" s="2854"/>
      <c r="CCT26" s="2854"/>
      <c r="CCU26" s="2854"/>
      <c r="CCV26" s="2854"/>
      <c r="CCW26" s="2854"/>
      <c r="CCX26" s="2854"/>
      <c r="CCY26" s="2854"/>
      <c r="CCZ26" s="2854"/>
      <c r="CDA26" s="2854"/>
      <c r="CDB26" s="2854"/>
      <c r="CDC26" s="2854"/>
      <c r="CDD26" s="2854"/>
      <c r="CDE26" s="2854"/>
      <c r="CDF26" s="2854"/>
      <c r="CDG26" s="2854"/>
      <c r="CDH26" s="2854"/>
      <c r="CDI26" s="2854"/>
      <c r="CDJ26" s="2854"/>
      <c r="CDK26" s="2854"/>
      <c r="CDL26" s="2854"/>
      <c r="CDM26" s="2854"/>
      <c r="CDN26" s="2854"/>
      <c r="CDO26" s="2854"/>
      <c r="CDP26" s="2854"/>
      <c r="CDQ26" s="2854"/>
      <c r="CDR26" s="2854"/>
      <c r="CDS26" s="2854"/>
      <c r="CDT26" s="2854"/>
      <c r="CDU26" s="2854"/>
      <c r="CDV26" s="2854"/>
      <c r="CDW26" s="2854"/>
      <c r="CDX26" s="2854"/>
      <c r="CDY26" s="2854"/>
      <c r="CDZ26" s="2854"/>
      <c r="CEA26" s="2854"/>
      <c r="CEB26" s="2854"/>
      <c r="CEC26" s="2854"/>
      <c r="CED26" s="2854"/>
      <c r="CEE26" s="2854"/>
      <c r="CEF26" s="2854"/>
      <c r="CEG26" s="2854"/>
      <c r="CEH26" s="2854"/>
      <c r="CEI26" s="2854"/>
      <c r="CEJ26" s="2854"/>
      <c r="CEK26" s="2854"/>
      <c r="CEL26" s="2854"/>
      <c r="CEM26" s="2854"/>
      <c r="CEN26" s="2854"/>
      <c r="CEO26" s="2854"/>
      <c r="CEP26" s="2854"/>
      <c r="CEQ26" s="2854"/>
      <c r="CER26" s="2854"/>
      <c r="CES26" s="2854"/>
      <c r="CET26" s="2854"/>
      <c r="CEU26" s="2854"/>
      <c r="CEV26" s="2854"/>
      <c r="CEW26" s="2854"/>
      <c r="CEX26" s="2854"/>
      <c r="CEY26" s="2854"/>
      <c r="CEZ26" s="2854"/>
      <c r="CFA26" s="2854"/>
      <c r="CFB26" s="2854"/>
      <c r="CFC26" s="2854"/>
      <c r="CFD26" s="2854"/>
      <c r="CFE26" s="2854"/>
      <c r="CFF26" s="2854"/>
      <c r="CFG26" s="2854"/>
      <c r="CFH26" s="2854"/>
      <c r="CFI26" s="2854"/>
      <c r="CFJ26" s="2854"/>
      <c r="CFK26" s="2854"/>
      <c r="CFL26" s="2854"/>
      <c r="CFM26" s="2854"/>
      <c r="CFN26" s="2854"/>
      <c r="CFO26" s="2854"/>
      <c r="CFP26" s="2854"/>
      <c r="CFQ26" s="2854"/>
      <c r="CFR26" s="2854"/>
      <c r="CFS26" s="2854"/>
      <c r="CFT26" s="2854"/>
      <c r="CFU26" s="2854"/>
      <c r="CFV26" s="2854"/>
      <c r="CFW26" s="2854"/>
      <c r="CFX26" s="2854"/>
      <c r="CFY26" s="2854"/>
      <c r="CFZ26" s="2854"/>
      <c r="CGA26" s="2854"/>
      <c r="CGB26" s="2854"/>
      <c r="CGC26" s="2854"/>
      <c r="CGD26" s="2854"/>
      <c r="CGE26" s="2854"/>
      <c r="CGF26" s="2854"/>
      <c r="CGG26" s="2854"/>
      <c r="CGH26" s="2854"/>
      <c r="CGI26" s="2854"/>
      <c r="CGJ26" s="2854"/>
      <c r="CGK26" s="2854"/>
      <c r="CGL26" s="2854"/>
      <c r="CGM26" s="2854"/>
      <c r="CGN26" s="2854"/>
      <c r="CGO26" s="2854"/>
      <c r="CGP26" s="2854"/>
      <c r="CGQ26" s="2854"/>
      <c r="CGR26" s="2854"/>
      <c r="CGS26" s="2854"/>
      <c r="CGT26" s="2854"/>
      <c r="CGU26" s="2854"/>
      <c r="CGV26" s="2854"/>
      <c r="CGW26" s="2854"/>
      <c r="CGX26" s="2854"/>
      <c r="CGY26" s="2854"/>
      <c r="CGZ26" s="2854"/>
      <c r="CHA26" s="2854"/>
      <c r="CHB26" s="2854"/>
      <c r="CHC26" s="2854"/>
      <c r="CHD26" s="2854"/>
      <c r="CHE26" s="2854"/>
      <c r="CHF26" s="2854"/>
      <c r="CHG26" s="2854"/>
      <c r="CHH26" s="2854"/>
      <c r="CHI26" s="2854"/>
      <c r="CHJ26" s="2854"/>
      <c r="CHK26" s="2854"/>
      <c r="CHL26" s="2854"/>
      <c r="CHM26" s="2854"/>
      <c r="CHN26" s="2854"/>
      <c r="CHO26" s="2854"/>
      <c r="CHP26" s="2854"/>
      <c r="CHQ26" s="2854"/>
      <c r="CHR26" s="2854"/>
      <c r="CHS26" s="2854"/>
      <c r="CHT26" s="2854"/>
      <c r="CHU26" s="2854"/>
      <c r="CHV26" s="2854"/>
      <c r="CHW26" s="2854"/>
      <c r="CHX26" s="2854"/>
      <c r="CHY26" s="2854"/>
      <c r="CHZ26" s="2854"/>
      <c r="CIA26" s="2854"/>
      <c r="CIB26" s="2854"/>
      <c r="CIC26" s="2854"/>
      <c r="CID26" s="2854"/>
      <c r="CIE26" s="2854"/>
      <c r="CIF26" s="2854"/>
      <c r="CIG26" s="2854"/>
      <c r="CIH26" s="2854"/>
      <c r="CII26" s="2854"/>
      <c r="CIJ26" s="2854"/>
      <c r="CIK26" s="2854"/>
      <c r="CIL26" s="2854"/>
      <c r="CIM26" s="2854"/>
      <c r="CIN26" s="2854"/>
      <c r="CIO26" s="2854"/>
      <c r="CIP26" s="2854"/>
      <c r="CIQ26" s="2854"/>
      <c r="CIR26" s="2854"/>
      <c r="CIS26" s="2854"/>
      <c r="CIT26" s="2854"/>
      <c r="CIU26" s="2854"/>
      <c r="CIV26" s="2854"/>
      <c r="CIW26" s="2854"/>
      <c r="CIX26" s="2854"/>
      <c r="CIY26" s="2854"/>
      <c r="CIZ26" s="2854"/>
      <c r="CJA26" s="2854"/>
      <c r="CJB26" s="2854"/>
      <c r="CJC26" s="2854"/>
      <c r="CJD26" s="2854"/>
      <c r="CJE26" s="2854"/>
      <c r="CJF26" s="2854"/>
      <c r="CJG26" s="2854"/>
      <c r="CJH26" s="2854"/>
      <c r="CJI26" s="2854"/>
      <c r="CJJ26" s="2854"/>
      <c r="CJK26" s="2854"/>
      <c r="CJL26" s="2854"/>
      <c r="CJM26" s="2854"/>
      <c r="CJN26" s="2854"/>
      <c r="CJO26" s="2854"/>
      <c r="CJP26" s="2854"/>
      <c r="CJQ26" s="2854"/>
      <c r="CJR26" s="2854"/>
      <c r="CJS26" s="2854"/>
      <c r="CJT26" s="2854"/>
      <c r="CJU26" s="2854"/>
      <c r="CJV26" s="2854"/>
      <c r="CJW26" s="2854"/>
      <c r="CJX26" s="2854"/>
      <c r="CJY26" s="2854"/>
      <c r="CJZ26" s="2854"/>
      <c r="CKA26" s="2854"/>
      <c r="CKB26" s="2854"/>
      <c r="CKC26" s="2854"/>
      <c r="CKD26" s="2854"/>
      <c r="CKE26" s="2854"/>
      <c r="CKF26" s="2854"/>
      <c r="CKG26" s="2854"/>
      <c r="CKH26" s="2854"/>
      <c r="CKI26" s="2854"/>
      <c r="CKJ26" s="2854"/>
      <c r="CKK26" s="2854"/>
      <c r="CKL26" s="2854"/>
      <c r="CKM26" s="2854"/>
      <c r="CKN26" s="2854"/>
      <c r="CKO26" s="2854"/>
      <c r="CKP26" s="2854"/>
      <c r="CKQ26" s="2854"/>
      <c r="CKR26" s="2854"/>
      <c r="CKS26" s="2854"/>
      <c r="CKT26" s="2854"/>
      <c r="CKU26" s="2854"/>
      <c r="CKV26" s="2854"/>
      <c r="CKW26" s="2854"/>
      <c r="CKX26" s="2854"/>
      <c r="CKY26" s="2854"/>
      <c r="CKZ26" s="2854"/>
      <c r="CLA26" s="2854"/>
      <c r="CLB26" s="2854"/>
      <c r="CLC26" s="2854"/>
      <c r="CLD26" s="2854"/>
      <c r="CLE26" s="2854"/>
      <c r="CLF26" s="2854"/>
      <c r="CLG26" s="2854"/>
      <c r="CLH26" s="2854"/>
      <c r="CLI26" s="2854"/>
      <c r="CLJ26" s="2854"/>
      <c r="CLK26" s="2854"/>
      <c r="CLL26" s="2854"/>
      <c r="CLM26" s="2854"/>
      <c r="CLN26" s="2854"/>
      <c r="CLO26" s="2854"/>
      <c r="CLP26" s="2854"/>
      <c r="CLQ26" s="2854"/>
      <c r="CLR26" s="2854"/>
      <c r="CLS26" s="2854"/>
      <c r="CLT26" s="2854"/>
      <c r="CLU26" s="2854"/>
      <c r="CLV26" s="2854"/>
      <c r="CLW26" s="2854"/>
    </row>
    <row r="27" spans="1:2363" ht="15" customHeight="1" x14ac:dyDescent="0.25">
      <c r="A27" s="3868"/>
      <c r="B27" s="3882"/>
      <c r="C27" s="3213"/>
      <c r="D27" s="2952" t="s">
        <v>641</v>
      </c>
      <c r="E27" s="3194">
        <f>+E19+E22</f>
        <v>0</v>
      </c>
      <c r="F27" s="1799">
        <f>+F19+F22</f>
        <v>0</v>
      </c>
      <c r="G27" s="1800" t="e">
        <f>+F27/E27</f>
        <v>#DIV/0!</v>
      </c>
      <c r="H27" s="2723">
        <f>+H19</f>
        <v>0</v>
      </c>
      <c r="I27" s="2008">
        <f>+I19+I22</f>
        <v>0</v>
      </c>
      <c r="J27" s="1805">
        <f>+J19+J22</f>
        <v>0</v>
      </c>
      <c r="K27" s="2974"/>
      <c r="L27" s="2975"/>
      <c r="M27" s="1817"/>
      <c r="N27" s="2110">
        <f>+N19+N22+N24</f>
        <v>0</v>
      </c>
      <c r="O27" s="2000">
        <f>+O19+O22+O24</f>
        <v>0</v>
      </c>
      <c r="P27" s="2115">
        <f>+P19+P22</f>
        <v>0</v>
      </c>
      <c r="Q27" s="2953">
        <f>+Q22+Q24</f>
        <v>0</v>
      </c>
      <c r="R27" s="2954">
        <f>+R19+R22+R24</f>
        <v>0</v>
      </c>
      <c r="S27" s="2954">
        <f>+S19+S22+S24</f>
        <v>0</v>
      </c>
      <c r="T27" s="2905">
        <f>+T19+T22+T24</f>
        <v>0</v>
      </c>
      <c r="U27" s="2954">
        <f>+U19+U22+U24</f>
        <v>0</v>
      </c>
      <c r="V27" s="2955">
        <f>+V19+V22+V24</f>
        <v>0</v>
      </c>
      <c r="W27" s="2956"/>
      <c r="X27" s="2957"/>
      <c r="Y27" s="3018"/>
      <c r="Z27" s="2128">
        <f>Z19+Z20+Z21+Z22+Z23+Z24+Z25+Z26</f>
        <v>0</v>
      </c>
      <c r="AA27" s="3181">
        <f>+AA19+AA22+AA23+AA24+AA20+AA26+AA21</f>
        <v>700705.34</v>
      </c>
      <c r="AB27" s="3181">
        <f>+AB19+AB22+AB23+AB24+AB20+AB21</f>
        <v>700705.34</v>
      </c>
      <c r="AC27" s="1966">
        <v>0</v>
      </c>
      <c r="AD27" s="1897">
        <f>+AD19+AD22+AD23+AD24</f>
        <v>1544306.38</v>
      </c>
      <c r="AE27" s="1897">
        <f>+AE19+AE22+AE23+AE24</f>
        <v>341271.28</v>
      </c>
      <c r="AF27" s="1893"/>
      <c r="AG27" s="2870">
        <f>+AG19+AG20+AG21+AG22+AG23+AG24+AG25+AG26</f>
        <v>0</v>
      </c>
      <c r="AH27" s="2112">
        <f>+AH19+AH22+AH23+AH24</f>
        <v>1885577.66</v>
      </c>
      <c r="AI27" s="1851"/>
      <c r="AJ27" s="1970"/>
      <c r="AK27" s="2454">
        <f>+AK19+AK22+AK23+AK24</f>
        <v>0</v>
      </c>
      <c r="AL27" s="3259">
        <f>+AL19+AL20+AL21+AL22+AL23+AL24+AL26</f>
        <v>0</v>
      </c>
      <c r="AM27" s="1836">
        <f>+AM19+AM20+AM21+AM22+AM23+AM24+AM26</f>
        <v>0</v>
      </c>
      <c r="AN27" s="2130">
        <f>+AL27-AM27</f>
        <v>0</v>
      </c>
      <c r="AO27" s="2161">
        <v>0</v>
      </c>
      <c r="AP27" s="2181">
        <f>+AP19+AP22</f>
        <v>0</v>
      </c>
      <c r="AQ27" s="2162">
        <f>+AQ19+AQ22</f>
        <v>0</v>
      </c>
      <c r="AR27" s="3285">
        <f>AR19+AR20+AR21+AR22+AR23+AR24+AR25+AR26</f>
        <v>0</v>
      </c>
      <c r="AS27" s="3306">
        <f>AS19+AS20+AS21+AS22+AS23+AS24+AS25+AS26</f>
        <v>0</v>
      </c>
      <c r="AT27" s="2504">
        <f>+AT19+AT22+AT24+AT20+AT21+AT23+AT25+AT26</f>
        <v>0</v>
      </c>
      <c r="AU27" s="1846">
        <f>+AU19+AU22+AU20+AU21+AU23+AU24+AU26</f>
        <v>0</v>
      </c>
      <c r="AV27" s="1846">
        <f>+AV19+AV20+AV21+AV22+AV23+AV24+AV26</f>
        <v>0</v>
      </c>
      <c r="AW27" s="2493">
        <f>AU27+AV27</f>
        <v>0</v>
      </c>
      <c r="AX27" s="3523"/>
      <c r="AY27" s="3524"/>
      <c r="AZ27" s="2130"/>
      <c r="BA27" s="3085">
        <f>+BA19</f>
        <v>0</v>
      </c>
      <c r="BB27" s="3086">
        <f>+BB19</f>
        <v>0</v>
      </c>
      <c r="BC27" s="3086">
        <v>0</v>
      </c>
      <c r="BD27" s="3086">
        <f>+BD19+BD20+BD21+BD22+BD23+BD24+BD25+BD26</f>
        <v>0</v>
      </c>
      <c r="BE27" s="3075">
        <f t="shared" si="25"/>
        <v>0</v>
      </c>
      <c r="BF27" s="2122"/>
      <c r="BG27" s="2158">
        <f>+BG19+BG20+BG21+BG22+BG23+BG24+BG25+BG26</f>
        <v>0</v>
      </c>
      <c r="BH27" s="1835"/>
      <c r="BI27" s="2158">
        <f>+BI19+BI20+BI21+BI22+BI23+BI24+BI25+BI26</f>
        <v>0</v>
      </c>
      <c r="BJ27" s="2051">
        <f>+BJ19+BJ22+BJ23+BJ24+BJ20+BJ26+BJ21</f>
        <v>0</v>
      </c>
      <c r="BK27" s="1970">
        <f>+BK19+BK20+BK21</f>
        <v>0</v>
      </c>
      <c r="BL27" s="1837">
        <f>+BL19+BL22+BL23+BL24+BL20+BL26</f>
        <v>0</v>
      </c>
      <c r="BM27" s="1849">
        <f>+BM19+BM22</f>
        <v>0</v>
      </c>
      <c r="BN27" s="1968">
        <f>+BN19+BN22</f>
        <v>0</v>
      </c>
      <c r="BO27" s="1968">
        <f>+BO19+BO22</f>
        <v>0</v>
      </c>
      <c r="BP27" s="1968">
        <f>+BP19+BP20+BP22+BP23+BP24+BP26</f>
        <v>0</v>
      </c>
      <c r="BQ27" s="1968">
        <f>+BQ19+BQ22+BQ24</f>
        <v>0</v>
      </c>
      <c r="BR27" s="2118">
        <f>+BR19+BR22+BR24</f>
        <v>0</v>
      </c>
      <c r="BS27" s="1848">
        <f>+BS19+BS22</f>
        <v>0</v>
      </c>
      <c r="BT27" s="2454">
        <f>+BT19+BT22+BT24</f>
        <v>0</v>
      </c>
      <c r="BU27" s="3147"/>
      <c r="BV27" s="3058"/>
      <c r="BW27" s="3058"/>
      <c r="BX27" s="3058"/>
      <c r="BY27" s="3144"/>
      <c r="BZ27" s="3144"/>
      <c r="CA27" s="3147"/>
      <c r="CB27" s="3148"/>
      <c r="CC27" s="3147"/>
      <c r="CD27" s="3147"/>
      <c r="CE27" s="3147"/>
      <c r="CF27" s="3147"/>
      <c r="CG27" s="3147"/>
      <c r="CH27" s="1050"/>
      <c r="CI27" s="2854"/>
      <c r="CJ27" s="175"/>
      <c r="CK27" s="2854"/>
      <c r="CL27" s="175"/>
      <c r="CM27" s="2854"/>
      <c r="CN27" s="175"/>
      <c r="CO27" s="2854"/>
      <c r="CP27" s="175"/>
      <c r="CQ27" s="2854"/>
      <c r="CR27" s="2854"/>
      <c r="CS27" s="2854"/>
      <c r="CT27" s="2854"/>
      <c r="CU27" s="175"/>
      <c r="CV27" s="2854"/>
      <c r="CW27" s="2854"/>
      <c r="CX27" s="2854"/>
      <c r="CY27" s="2854"/>
      <c r="CZ27" s="2854"/>
      <c r="DA27" s="2854"/>
      <c r="DB27" s="2854"/>
      <c r="DC27" s="2854"/>
      <c r="DD27" s="2854"/>
      <c r="DE27" s="2854"/>
      <c r="DF27" s="2854"/>
      <c r="DG27" s="2854"/>
      <c r="DH27" s="2854"/>
      <c r="DI27" s="2854"/>
      <c r="DJ27" s="2854"/>
      <c r="DK27" s="2854"/>
      <c r="DL27" s="2854"/>
      <c r="DM27" s="2854"/>
      <c r="DN27" s="2854"/>
      <c r="DO27" s="2854"/>
      <c r="DP27" s="2854"/>
      <c r="DQ27" s="2854"/>
      <c r="DR27" s="2854"/>
      <c r="DS27" s="2854"/>
      <c r="DT27" s="2854"/>
      <c r="DU27" s="2854"/>
      <c r="DV27" s="2854"/>
      <c r="DW27" s="2854"/>
      <c r="DX27" s="2854"/>
      <c r="DY27" s="2854"/>
      <c r="DZ27" s="2854"/>
      <c r="EA27" s="2854"/>
      <c r="EB27" s="2854"/>
      <c r="EC27" s="2854"/>
      <c r="ED27" s="2854"/>
      <c r="EE27" s="2854"/>
      <c r="EF27" s="2854"/>
      <c r="EG27" s="2854"/>
      <c r="EH27" s="2854"/>
      <c r="EI27" s="2854"/>
      <c r="EJ27" s="2854"/>
      <c r="EK27" s="2854"/>
      <c r="EL27" s="2854"/>
      <c r="EM27" s="2854"/>
      <c r="EN27" s="2854"/>
      <c r="EO27" s="2854"/>
      <c r="EP27" s="2854"/>
      <c r="EQ27" s="2854"/>
      <c r="ER27" s="2854"/>
      <c r="ES27" s="2854"/>
      <c r="ET27" s="2854"/>
      <c r="EU27" s="2854"/>
      <c r="EV27" s="2854"/>
      <c r="EW27" s="2854"/>
      <c r="EX27" s="2854"/>
      <c r="EY27" s="2854"/>
      <c r="EZ27" s="2854"/>
      <c r="FA27" s="2854"/>
      <c r="FB27" s="2854"/>
      <c r="FC27" s="2854"/>
      <c r="FD27" s="2854"/>
      <c r="FE27" s="2854"/>
      <c r="FF27" s="2854"/>
      <c r="FG27" s="2854"/>
      <c r="FH27" s="2854"/>
      <c r="FI27" s="2854"/>
      <c r="FJ27" s="2854"/>
      <c r="FK27" s="2854"/>
      <c r="FL27" s="2854"/>
      <c r="FM27" s="2854"/>
      <c r="FN27" s="2854"/>
      <c r="FO27" s="2854"/>
      <c r="FP27" s="2854"/>
      <c r="FQ27" s="2854"/>
      <c r="FR27" s="2854"/>
      <c r="FS27" s="2854"/>
      <c r="FT27" s="2854"/>
      <c r="FU27" s="2854"/>
      <c r="FV27" s="2854"/>
      <c r="FW27" s="2854"/>
      <c r="FX27" s="2854"/>
      <c r="FY27" s="2854"/>
      <c r="FZ27" s="2854"/>
      <c r="GA27" s="2854"/>
      <c r="GB27" s="2854"/>
      <c r="GC27" s="2854"/>
      <c r="GD27" s="2854"/>
      <c r="GE27" s="2854"/>
      <c r="GF27" s="2854"/>
      <c r="GG27" s="2854"/>
      <c r="GH27" s="2854"/>
      <c r="GI27" s="2854"/>
      <c r="GJ27" s="2854"/>
      <c r="GK27" s="2854"/>
      <c r="GL27" s="2854"/>
      <c r="GM27" s="2854"/>
      <c r="GN27" s="2854"/>
      <c r="GO27" s="2854"/>
      <c r="GP27" s="2854"/>
      <c r="GQ27" s="2854"/>
      <c r="GR27" s="2854"/>
      <c r="GS27" s="2854"/>
      <c r="GT27" s="2854"/>
      <c r="GU27" s="2854"/>
      <c r="GV27" s="2854"/>
      <c r="GW27" s="2854"/>
      <c r="GX27" s="2854"/>
      <c r="GY27" s="2854"/>
      <c r="GZ27" s="2854"/>
      <c r="HA27" s="2854"/>
      <c r="HB27" s="2854"/>
      <c r="HC27" s="2854"/>
      <c r="HD27" s="2854"/>
      <c r="HE27" s="2854"/>
      <c r="HF27" s="2854"/>
      <c r="HG27" s="2854"/>
      <c r="HH27" s="2854"/>
      <c r="HI27" s="2854"/>
      <c r="HJ27" s="2854"/>
      <c r="HK27" s="2854"/>
      <c r="HL27" s="2854"/>
      <c r="HM27" s="2854"/>
      <c r="HN27" s="2854"/>
      <c r="HO27" s="2854"/>
      <c r="HP27" s="2854"/>
      <c r="HQ27" s="2854"/>
      <c r="HR27" s="2854"/>
      <c r="HS27" s="2854"/>
      <c r="HT27" s="2854"/>
      <c r="HU27" s="2854"/>
      <c r="HV27" s="2854"/>
      <c r="HW27" s="2854"/>
      <c r="HX27" s="2854"/>
      <c r="HY27" s="2854"/>
      <c r="HZ27" s="2854"/>
      <c r="IA27" s="2854"/>
      <c r="IB27" s="2854"/>
      <c r="IC27" s="2854"/>
      <c r="ID27" s="2854"/>
      <c r="IE27" s="2854"/>
      <c r="IF27" s="2854"/>
      <c r="IG27" s="2854"/>
      <c r="IH27" s="2854"/>
      <c r="II27" s="2854"/>
      <c r="IJ27" s="2854"/>
      <c r="IK27" s="2854"/>
      <c r="IL27" s="2854"/>
      <c r="IM27" s="2854"/>
      <c r="IN27" s="2854"/>
      <c r="IO27" s="2854"/>
      <c r="IP27" s="2854"/>
      <c r="IQ27" s="2854"/>
      <c r="IR27" s="2854"/>
      <c r="IS27" s="2854"/>
      <c r="IT27" s="2854"/>
      <c r="IU27" s="2854"/>
      <c r="IV27" s="2854"/>
      <c r="IW27" s="2854"/>
      <c r="IX27" s="2854"/>
      <c r="IY27" s="2854"/>
      <c r="IZ27" s="2854"/>
      <c r="JA27" s="2854"/>
      <c r="JB27" s="2854"/>
      <c r="JC27" s="2854"/>
      <c r="JD27" s="2854"/>
      <c r="JE27" s="2854"/>
      <c r="JF27" s="2854"/>
      <c r="JG27" s="2854"/>
      <c r="JH27" s="2854"/>
      <c r="JI27" s="2854"/>
      <c r="JJ27" s="2854"/>
      <c r="JK27" s="2854"/>
      <c r="JL27" s="2854"/>
      <c r="JM27" s="2854"/>
      <c r="JN27" s="2854"/>
      <c r="JO27" s="2854"/>
      <c r="JP27" s="2854"/>
      <c r="JQ27" s="2854"/>
      <c r="JR27" s="2854"/>
      <c r="JS27" s="2854"/>
      <c r="JT27" s="2854"/>
      <c r="JU27" s="2854"/>
      <c r="JV27" s="2854"/>
      <c r="JW27" s="2854"/>
      <c r="JX27" s="2854"/>
      <c r="JY27" s="2854"/>
      <c r="JZ27" s="2854"/>
      <c r="KA27" s="2854"/>
      <c r="KB27" s="2854"/>
      <c r="KC27" s="2854"/>
      <c r="KD27" s="2854"/>
      <c r="KE27" s="2854"/>
      <c r="KF27" s="2854"/>
      <c r="KG27" s="2854"/>
      <c r="KH27" s="2854"/>
      <c r="KI27" s="2854"/>
      <c r="KJ27" s="2854"/>
      <c r="KK27" s="2854"/>
      <c r="KL27" s="2854"/>
      <c r="KM27" s="2854"/>
      <c r="KN27" s="2854"/>
      <c r="KO27" s="2854"/>
      <c r="KP27" s="2854"/>
      <c r="KQ27" s="2854"/>
      <c r="KR27" s="2854"/>
      <c r="KS27" s="2854"/>
      <c r="KT27" s="2854"/>
      <c r="KU27" s="2854"/>
      <c r="KV27" s="2854"/>
      <c r="KW27" s="2854"/>
      <c r="KX27" s="2854"/>
      <c r="KY27" s="2854"/>
      <c r="KZ27" s="2854"/>
      <c r="LA27" s="2854"/>
      <c r="LB27" s="2854"/>
      <c r="LC27" s="2854"/>
      <c r="LD27" s="2854"/>
      <c r="LE27" s="2854"/>
      <c r="LF27" s="2854"/>
      <c r="LG27" s="2854"/>
      <c r="LH27" s="2854"/>
      <c r="LI27" s="2854"/>
      <c r="LJ27" s="2854"/>
      <c r="LK27" s="2854"/>
      <c r="LL27" s="2854"/>
      <c r="LM27" s="2854"/>
      <c r="LN27" s="2854"/>
      <c r="LO27" s="2854"/>
      <c r="LP27" s="2854"/>
      <c r="LQ27" s="2854"/>
      <c r="LR27" s="2854"/>
      <c r="LS27" s="2854"/>
      <c r="LT27" s="2854"/>
      <c r="LU27" s="2854"/>
      <c r="LV27" s="2854"/>
      <c r="LW27" s="2854"/>
      <c r="LX27" s="2854"/>
      <c r="LY27" s="2854"/>
      <c r="LZ27" s="2854"/>
      <c r="MA27" s="2854"/>
      <c r="MB27" s="2854"/>
      <c r="MC27" s="2854"/>
      <c r="MD27" s="2854"/>
      <c r="ME27" s="2854"/>
      <c r="MF27" s="2854"/>
      <c r="MG27" s="2854"/>
      <c r="MH27" s="2854"/>
      <c r="MI27" s="2854"/>
      <c r="MJ27" s="2854"/>
      <c r="MK27" s="2854"/>
      <c r="ML27" s="2854"/>
      <c r="MM27" s="2854"/>
      <c r="MN27" s="2854"/>
      <c r="MO27" s="2854"/>
      <c r="MP27" s="2854"/>
      <c r="MQ27" s="2854"/>
      <c r="MR27" s="2854"/>
      <c r="MS27" s="2854"/>
      <c r="MT27" s="2854"/>
      <c r="MU27" s="2854"/>
      <c r="MV27" s="2854"/>
      <c r="MW27" s="2854"/>
      <c r="MX27" s="2854"/>
      <c r="MY27" s="2854"/>
      <c r="MZ27" s="2854"/>
      <c r="NA27" s="2854"/>
      <c r="NB27" s="2854"/>
      <c r="NC27" s="2854"/>
      <c r="ND27" s="2854"/>
      <c r="NE27" s="2854"/>
      <c r="NF27" s="2854"/>
      <c r="NG27" s="2854"/>
      <c r="NH27" s="2854"/>
      <c r="NI27" s="2854"/>
      <c r="NJ27" s="2854"/>
      <c r="NK27" s="2854"/>
      <c r="NL27" s="2854"/>
      <c r="NM27" s="2854"/>
      <c r="NN27" s="2854"/>
      <c r="NO27" s="2854"/>
      <c r="NP27" s="2854"/>
      <c r="NQ27" s="2854"/>
      <c r="NR27" s="2854"/>
      <c r="NS27" s="2854"/>
      <c r="NT27" s="2854"/>
      <c r="NU27" s="2854"/>
      <c r="NV27" s="2854"/>
      <c r="NW27" s="2854"/>
      <c r="NX27" s="2854"/>
      <c r="NY27" s="2854"/>
      <c r="NZ27" s="2854"/>
      <c r="OA27" s="2854"/>
      <c r="OB27" s="2854"/>
      <c r="OC27" s="2854"/>
      <c r="OD27" s="2854"/>
      <c r="OE27" s="2854"/>
      <c r="OF27" s="2854"/>
      <c r="OG27" s="2854"/>
      <c r="OH27" s="2854"/>
      <c r="OI27" s="2854"/>
      <c r="OJ27" s="2854"/>
      <c r="OK27" s="2854"/>
      <c r="OL27" s="2854"/>
      <c r="OM27" s="2854"/>
      <c r="ON27" s="2854"/>
      <c r="OO27" s="2854"/>
      <c r="OP27" s="2854"/>
      <c r="OQ27" s="2854"/>
      <c r="OR27" s="2854"/>
      <c r="OS27" s="2854"/>
      <c r="OT27" s="2854"/>
      <c r="OU27" s="2854"/>
      <c r="OV27" s="2854"/>
      <c r="OW27" s="2854"/>
      <c r="OX27" s="2854"/>
      <c r="OY27" s="2854"/>
      <c r="OZ27" s="2854"/>
      <c r="PA27" s="2854"/>
      <c r="PB27" s="2854"/>
      <c r="PC27" s="2854"/>
      <c r="PD27" s="2854"/>
      <c r="PE27" s="2854"/>
      <c r="PF27" s="2854"/>
      <c r="PG27" s="2854"/>
      <c r="PH27" s="2854"/>
      <c r="PI27" s="2854"/>
      <c r="PJ27" s="2854"/>
      <c r="PK27" s="2854"/>
      <c r="PL27" s="2854"/>
      <c r="PM27" s="2854"/>
      <c r="PN27" s="2854"/>
      <c r="PO27" s="2854"/>
      <c r="PP27" s="2854"/>
      <c r="PQ27" s="2854"/>
      <c r="PR27" s="2854"/>
      <c r="PS27" s="2854"/>
      <c r="PT27" s="2854"/>
      <c r="PU27" s="2854"/>
      <c r="PV27" s="2854"/>
      <c r="PW27" s="2854"/>
      <c r="PX27" s="2854"/>
      <c r="PY27" s="2854"/>
      <c r="PZ27" s="2854"/>
      <c r="QA27" s="2854"/>
      <c r="QB27" s="2854"/>
      <c r="QC27" s="2854"/>
      <c r="QD27" s="2854"/>
      <c r="QE27" s="2854"/>
      <c r="QF27" s="2854"/>
      <c r="QG27" s="2854"/>
      <c r="QH27" s="2854"/>
      <c r="QI27" s="2854"/>
      <c r="QJ27" s="2854"/>
      <c r="QK27" s="2854"/>
      <c r="QL27" s="2854"/>
      <c r="QM27" s="2854"/>
      <c r="QN27" s="2854"/>
      <c r="QO27" s="2854"/>
      <c r="QP27" s="2854"/>
      <c r="QQ27" s="2854"/>
      <c r="QR27" s="2854"/>
      <c r="QS27" s="2854"/>
      <c r="QT27" s="2854"/>
      <c r="QU27" s="2854"/>
      <c r="QV27" s="2854"/>
      <c r="QW27" s="2854"/>
      <c r="QX27" s="2854"/>
      <c r="QY27" s="2854"/>
      <c r="QZ27" s="2854"/>
      <c r="RA27" s="2854"/>
      <c r="RB27" s="2854"/>
      <c r="RC27" s="2854"/>
      <c r="RD27" s="2854"/>
      <c r="RE27" s="2854"/>
      <c r="RF27" s="2854"/>
      <c r="RG27" s="2854"/>
      <c r="RH27" s="2854"/>
      <c r="RI27" s="2854"/>
      <c r="RJ27" s="2854"/>
      <c r="RK27" s="2854"/>
      <c r="RL27" s="2854"/>
      <c r="RM27" s="2854"/>
      <c r="RN27" s="2854"/>
      <c r="RO27" s="2854"/>
      <c r="RP27" s="2854"/>
      <c r="RQ27" s="2854"/>
      <c r="RR27" s="2854"/>
      <c r="RS27" s="2854"/>
      <c r="RT27" s="2854"/>
      <c r="RU27" s="2854"/>
      <c r="RV27" s="2854"/>
      <c r="RW27" s="2854"/>
      <c r="RX27" s="2854"/>
      <c r="RY27" s="2854"/>
      <c r="RZ27" s="2854"/>
      <c r="SA27" s="2854"/>
      <c r="SB27" s="2854"/>
      <c r="SC27" s="2854"/>
      <c r="SD27" s="2854"/>
      <c r="SE27" s="2854"/>
      <c r="SF27" s="2854"/>
      <c r="SG27" s="2854"/>
      <c r="SH27" s="2854"/>
      <c r="SI27" s="2854"/>
      <c r="SJ27" s="2854"/>
      <c r="SK27" s="2854"/>
      <c r="SL27" s="2854"/>
      <c r="SM27" s="2854"/>
      <c r="SN27" s="2854"/>
      <c r="SO27" s="2854"/>
      <c r="SP27" s="2854"/>
      <c r="SQ27" s="2854"/>
      <c r="SR27" s="2854"/>
      <c r="SS27" s="2854"/>
      <c r="ST27" s="2854"/>
      <c r="SU27" s="2854"/>
      <c r="SV27" s="2854"/>
      <c r="SW27" s="2854"/>
      <c r="SX27" s="2854"/>
      <c r="SY27" s="2854"/>
      <c r="SZ27" s="2854"/>
      <c r="TA27" s="2854"/>
      <c r="TB27" s="2854"/>
      <c r="TC27" s="2854"/>
      <c r="TD27" s="2854"/>
      <c r="TE27" s="2854"/>
      <c r="TF27" s="2854"/>
      <c r="TG27" s="2854"/>
      <c r="TH27" s="2854"/>
      <c r="TI27" s="2854"/>
      <c r="TJ27" s="2854"/>
      <c r="TK27" s="2854"/>
      <c r="TL27" s="2854"/>
      <c r="TM27" s="2854"/>
      <c r="TN27" s="2854"/>
      <c r="TO27" s="2854"/>
      <c r="TP27" s="2854"/>
      <c r="TQ27" s="2854"/>
      <c r="TR27" s="2854"/>
      <c r="TS27" s="2854"/>
      <c r="TT27" s="2854"/>
      <c r="TU27" s="3783"/>
      <c r="TV27" s="3783"/>
      <c r="TW27" s="3783"/>
      <c r="TX27" s="3783"/>
      <c r="TY27" s="3783"/>
      <c r="TZ27" s="3783"/>
      <c r="UA27" s="3783"/>
      <c r="UB27" s="3783"/>
      <c r="UC27" s="3783"/>
      <c r="UD27" s="3783"/>
      <c r="UE27" s="3783"/>
      <c r="UF27" s="3783"/>
      <c r="UG27" s="3783"/>
      <c r="UH27" s="3783"/>
      <c r="UI27" s="3783"/>
      <c r="UJ27" s="3783"/>
      <c r="UK27" s="3783"/>
      <c r="UL27" s="3783"/>
      <c r="UM27" s="3783"/>
      <c r="UN27" s="3783"/>
      <c r="UO27" s="3783"/>
      <c r="UP27" s="2854"/>
      <c r="UQ27" s="2854"/>
      <c r="UR27" s="2854"/>
      <c r="US27" s="2854"/>
      <c r="UT27" s="2854"/>
      <c r="UU27" s="2854"/>
      <c r="UV27" s="2854"/>
      <c r="UW27" s="2854"/>
      <c r="UX27" s="2854"/>
      <c r="UY27" s="2854"/>
      <c r="UZ27" s="2854"/>
      <c r="VA27" s="2854"/>
      <c r="VB27" s="2854"/>
      <c r="VC27" s="2854"/>
      <c r="VD27" s="2854"/>
      <c r="VE27" s="2854"/>
      <c r="VF27" s="2854"/>
      <c r="VG27" s="2854"/>
      <c r="VH27" s="2854"/>
      <c r="VI27" s="2854"/>
      <c r="VJ27" s="2854"/>
      <c r="VK27" s="2854"/>
      <c r="VL27" s="2854"/>
      <c r="VM27" s="2854"/>
      <c r="VN27" s="2854"/>
      <c r="VO27" s="2854"/>
      <c r="VP27" s="2854"/>
      <c r="VQ27" s="2854"/>
      <c r="VR27" s="2854"/>
      <c r="VS27" s="2854"/>
      <c r="VT27" s="2854"/>
      <c r="VU27" s="2854"/>
      <c r="VV27" s="2854"/>
      <c r="VW27" s="2854"/>
      <c r="VX27" s="2854"/>
      <c r="VY27" s="2854"/>
      <c r="VZ27" s="2854"/>
      <c r="WA27" s="2854"/>
      <c r="WB27" s="2854"/>
      <c r="WC27" s="2854"/>
      <c r="WD27" s="2854"/>
      <c r="WE27" s="2854"/>
      <c r="WF27" s="2854"/>
      <c r="WG27" s="2854"/>
      <c r="WH27" s="2854"/>
      <c r="WI27" s="2854"/>
      <c r="WJ27" s="2854"/>
      <c r="WK27" s="2854"/>
      <c r="WL27" s="2854"/>
      <c r="WM27" s="2854"/>
      <c r="WN27" s="2854"/>
      <c r="WO27" s="2854"/>
      <c r="WP27" s="2854"/>
      <c r="WQ27" s="2854"/>
      <c r="WR27" s="2854"/>
      <c r="WS27" s="2854"/>
      <c r="WT27" s="2854"/>
      <c r="WU27" s="2854"/>
      <c r="WV27" s="2854"/>
      <c r="WW27" s="2854"/>
      <c r="WX27" s="2854"/>
      <c r="WY27" s="2854"/>
      <c r="WZ27" s="2854"/>
      <c r="XA27" s="2854"/>
      <c r="XB27" s="2854"/>
      <c r="XC27" s="2854"/>
      <c r="XD27" s="2854"/>
      <c r="XE27" s="2854"/>
      <c r="XF27" s="2854"/>
      <c r="XG27" s="2854"/>
      <c r="XH27" s="2854"/>
      <c r="XI27" s="2854"/>
      <c r="XJ27" s="2854"/>
      <c r="XK27" s="2854"/>
      <c r="XL27" s="2854"/>
      <c r="XM27" s="2854"/>
      <c r="XN27" s="2854"/>
      <c r="XO27" s="2854"/>
      <c r="XP27" s="2854"/>
      <c r="XQ27" s="2854"/>
      <c r="XR27" s="2854"/>
      <c r="XS27" s="2854"/>
      <c r="XT27" s="2854"/>
      <c r="XU27" s="2854"/>
      <c r="XV27" s="2854"/>
      <c r="XW27" s="2854"/>
      <c r="XX27" s="2854"/>
      <c r="XY27" s="2854"/>
      <c r="XZ27" s="2854"/>
      <c r="YA27" s="2854"/>
      <c r="YB27" s="2854"/>
      <c r="YC27" s="2854"/>
      <c r="YD27" s="2854"/>
      <c r="YE27" s="2854"/>
      <c r="YF27" s="2854"/>
      <c r="YG27" s="2854"/>
      <c r="YH27" s="2854"/>
      <c r="YI27" s="2854"/>
      <c r="YJ27" s="2854"/>
      <c r="YK27" s="2854"/>
      <c r="YL27" s="2854"/>
      <c r="YM27" s="2854"/>
      <c r="YN27" s="2854"/>
      <c r="YO27" s="2854"/>
      <c r="YP27" s="2854"/>
      <c r="YQ27" s="2854"/>
      <c r="YR27" s="2854"/>
      <c r="YS27" s="2854"/>
      <c r="YT27" s="2854"/>
      <c r="YU27" s="2854"/>
      <c r="YV27" s="2854"/>
      <c r="YW27" s="2854"/>
      <c r="YX27" s="2854"/>
      <c r="YY27" s="2854"/>
      <c r="YZ27" s="2854"/>
      <c r="ZA27" s="2854"/>
      <c r="ZB27" s="2854"/>
      <c r="ZC27" s="2854"/>
      <c r="ZD27" s="2854"/>
      <c r="ZE27" s="2854"/>
      <c r="ZF27" s="2854"/>
      <c r="ZG27" s="2854"/>
      <c r="ZH27" s="2854"/>
      <c r="ZI27" s="2854"/>
      <c r="ZJ27" s="2854"/>
      <c r="ZK27" s="2854"/>
      <c r="ZL27" s="2854"/>
      <c r="ZM27" s="2854"/>
      <c r="ZN27" s="2854"/>
      <c r="ZO27" s="2854"/>
      <c r="ZP27" s="2854"/>
      <c r="ZQ27" s="2854"/>
      <c r="ZR27" s="2854"/>
      <c r="ZS27" s="2854"/>
      <c r="ZT27" s="2854"/>
      <c r="ZU27" s="2854"/>
      <c r="ZV27" s="2854"/>
      <c r="ZW27" s="2854"/>
      <c r="ZX27" s="2854"/>
      <c r="ZY27" s="2854"/>
      <c r="ZZ27" s="2854"/>
      <c r="AAA27" s="2854"/>
      <c r="AAB27" s="2854"/>
      <c r="AAC27" s="2854"/>
      <c r="AAD27" s="2854"/>
      <c r="AAE27" s="2854"/>
      <c r="AAF27" s="2854"/>
      <c r="AAG27" s="2854"/>
      <c r="AAH27" s="2854"/>
      <c r="AAI27" s="2854"/>
      <c r="AAJ27" s="2854"/>
      <c r="AAK27" s="2854"/>
      <c r="AAL27" s="2854"/>
      <c r="AAM27" s="2854"/>
      <c r="AAN27" s="2854"/>
      <c r="AAO27" s="2854"/>
      <c r="AAP27" s="2854"/>
      <c r="AAQ27" s="2854"/>
      <c r="AAR27" s="2854"/>
      <c r="AAS27" s="2854"/>
      <c r="AAT27" s="2854"/>
      <c r="AAU27" s="2854"/>
      <c r="AAV27" s="2854"/>
      <c r="AAW27" s="2854"/>
      <c r="AAX27" s="2854"/>
      <c r="AAY27" s="2854"/>
      <c r="AAZ27" s="2854"/>
      <c r="ABA27" s="2854"/>
      <c r="ABB27" s="2854"/>
      <c r="ABC27" s="2854"/>
      <c r="ABD27" s="2854"/>
      <c r="ABE27" s="2854"/>
      <c r="ABF27" s="2854"/>
      <c r="ABG27" s="2854"/>
      <c r="ABH27" s="2854"/>
      <c r="ABI27" s="2854"/>
      <c r="ABJ27" s="2854"/>
      <c r="ABK27" s="2854"/>
      <c r="ABL27" s="2854"/>
      <c r="ABM27" s="2854"/>
      <c r="ABN27" s="2854"/>
      <c r="ABO27" s="2854"/>
      <c r="ABP27" s="2854"/>
      <c r="ABQ27" s="2854"/>
      <c r="ABR27" s="2854"/>
      <c r="ABS27" s="2854"/>
      <c r="ABT27" s="2854"/>
      <c r="ABU27" s="2854"/>
      <c r="ABV27" s="2854"/>
      <c r="ABW27" s="2854"/>
      <c r="ABX27" s="2854"/>
      <c r="ABY27" s="2854"/>
      <c r="ABZ27" s="2854"/>
      <c r="ACA27" s="2854"/>
      <c r="ACB27" s="2854"/>
      <c r="ACC27" s="2854"/>
      <c r="ACD27" s="2854"/>
      <c r="ACE27" s="2854"/>
      <c r="ACF27" s="2854"/>
      <c r="ACG27" s="2854"/>
      <c r="ACH27" s="2854"/>
      <c r="ACI27" s="2854"/>
      <c r="ACJ27" s="2854"/>
      <c r="ACK27" s="2854"/>
      <c r="ACL27" s="2854"/>
      <c r="ACM27" s="2854"/>
      <c r="ACN27" s="2854"/>
      <c r="ACO27" s="2854"/>
      <c r="ACP27" s="2854"/>
      <c r="ACQ27" s="2854"/>
      <c r="ACR27" s="2854"/>
      <c r="ACS27" s="2854"/>
      <c r="ACT27" s="2854"/>
      <c r="ACU27" s="2854"/>
      <c r="ACV27" s="2854"/>
      <c r="ACW27" s="2854"/>
      <c r="ACX27" s="2854"/>
      <c r="ACY27" s="2854"/>
      <c r="ACZ27" s="2854"/>
      <c r="ADA27" s="2854"/>
      <c r="ADB27" s="2854"/>
      <c r="ADC27" s="2854"/>
      <c r="ADD27" s="2854"/>
      <c r="ADE27" s="2854"/>
      <c r="ADF27" s="2854"/>
      <c r="ADG27" s="2854"/>
      <c r="ADH27" s="2854"/>
      <c r="ADI27" s="2854"/>
      <c r="ADJ27" s="2854"/>
      <c r="ADK27" s="2854"/>
      <c r="ADL27" s="2854"/>
      <c r="ADM27" s="2854"/>
      <c r="ADN27" s="2854"/>
      <c r="ADO27" s="2854"/>
      <c r="ADP27" s="2854"/>
      <c r="ADQ27" s="2854"/>
      <c r="ADR27" s="2854"/>
      <c r="ADS27" s="2854"/>
      <c r="ADT27" s="2854"/>
      <c r="ADU27" s="2854"/>
      <c r="ADV27" s="2854"/>
      <c r="ADW27" s="2854"/>
      <c r="ADX27" s="2854"/>
      <c r="ADY27" s="2854"/>
      <c r="ADZ27" s="2854"/>
      <c r="AEA27" s="2854"/>
      <c r="AEB27" s="2854"/>
      <c r="AEC27" s="2854"/>
      <c r="AED27" s="2854"/>
      <c r="AEE27" s="2854"/>
      <c r="AEF27" s="2854"/>
      <c r="AEG27" s="2854"/>
      <c r="AEH27" s="2854"/>
      <c r="AEI27" s="2854"/>
      <c r="AEJ27" s="2854"/>
      <c r="AEK27" s="2854"/>
      <c r="AEL27" s="2854"/>
      <c r="AEM27" s="2854"/>
      <c r="AEN27" s="2854"/>
      <c r="AEO27" s="2854"/>
      <c r="AEP27" s="2854"/>
      <c r="AEQ27" s="2854"/>
      <c r="AER27" s="2854"/>
      <c r="AES27" s="2854"/>
      <c r="AET27" s="2854"/>
      <c r="AEU27" s="2854"/>
      <c r="AEV27" s="2854"/>
      <c r="AEW27" s="2854"/>
      <c r="AEX27" s="2854"/>
      <c r="AEY27" s="2854"/>
      <c r="AEZ27" s="2854"/>
      <c r="AFA27" s="2854"/>
      <c r="AFB27" s="2854"/>
      <c r="AFC27" s="2854"/>
      <c r="AFD27" s="2854"/>
      <c r="AFE27" s="2854"/>
      <c r="AFF27" s="2854"/>
      <c r="AFG27" s="2854"/>
      <c r="AFH27" s="2854"/>
      <c r="AFI27" s="2854"/>
      <c r="AFJ27" s="2854"/>
      <c r="AFK27" s="2854"/>
      <c r="AFL27" s="2854"/>
      <c r="AFM27" s="2854"/>
      <c r="AFN27" s="2854"/>
      <c r="AFO27" s="2854"/>
      <c r="AFP27" s="2854"/>
      <c r="AFQ27" s="2854"/>
      <c r="AFR27" s="2854"/>
      <c r="AFS27" s="2854"/>
      <c r="AFT27" s="2854"/>
      <c r="AFU27" s="2854"/>
      <c r="AFV27" s="2854"/>
      <c r="AFW27" s="2854"/>
      <c r="AFX27" s="2854"/>
      <c r="AFY27" s="2854"/>
      <c r="AFZ27" s="2854"/>
      <c r="AGA27" s="2854"/>
      <c r="AGB27" s="2854"/>
      <c r="AGC27" s="2854"/>
      <c r="AGD27" s="2854"/>
      <c r="AGE27" s="2854"/>
      <c r="AGF27" s="2854"/>
      <c r="AGG27" s="2854"/>
      <c r="AGH27" s="2854"/>
      <c r="AGI27" s="2854"/>
      <c r="AGJ27" s="2854"/>
      <c r="AGK27" s="2854"/>
      <c r="AGL27" s="2854"/>
      <c r="AGM27" s="2854"/>
      <c r="AGN27" s="2854"/>
      <c r="AGO27" s="2854"/>
      <c r="AGP27" s="2854"/>
      <c r="AGQ27" s="2854"/>
      <c r="AGR27" s="2854"/>
      <c r="AGS27" s="2854"/>
      <c r="AGT27" s="2854"/>
      <c r="AGU27" s="2854"/>
      <c r="AGV27" s="2854"/>
      <c r="AGW27" s="2854"/>
      <c r="AGX27" s="2854"/>
      <c r="AGY27" s="2854"/>
      <c r="AGZ27" s="2854"/>
      <c r="AHA27" s="2854"/>
      <c r="AHB27" s="2854"/>
      <c r="AHC27" s="2854"/>
      <c r="AHD27" s="2854"/>
      <c r="AHE27" s="2854"/>
      <c r="AHF27" s="2854"/>
      <c r="AHG27" s="2854"/>
      <c r="AHH27" s="2854"/>
      <c r="AHI27" s="2854"/>
      <c r="AHJ27" s="2854"/>
      <c r="AHK27" s="2854"/>
      <c r="AHL27" s="2854"/>
      <c r="AHM27" s="2854"/>
      <c r="AHN27" s="2854"/>
      <c r="AHO27" s="2854"/>
      <c r="AHP27" s="2854"/>
      <c r="AHQ27" s="2854"/>
      <c r="AHR27" s="2854"/>
      <c r="AHS27" s="2854"/>
      <c r="AHT27" s="2854"/>
      <c r="AHU27" s="2854"/>
      <c r="AHV27" s="2854"/>
      <c r="AHW27" s="2854"/>
      <c r="AHX27" s="2854"/>
      <c r="AHY27" s="2854"/>
      <c r="AHZ27" s="2854"/>
      <c r="AIA27" s="2854"/>
      <c r="AIB27" s="2854"/>
      <c r="AIC27" s="2854"/>
      <c r="AID27" s="2854"/>
      <c r="AIE27" s="2854"/>
      <c r="AIF27" s="2854"/>
      <c r="AIG27" s="2854"/>
      <c r="AIH27" s="2854"/>
      <c r="AII27" s="2854"/>
      <c r="AIJ27" s="2854"/>
      <c r="AIK27" s="2854"/>
      <c r="AIL27" s="2854"/>
      <c r="AIM27" s="2854"/>
      <c r="AIN27" s="2854"/>
      <c r="AIO27" s="2854"/>
      <c r="AIP27" s="2854"/>
      <c r="AIQ27" s="2854"/>
      <c r="AIR27" s="2854"/>
      <c r="AIS27" s="2854"/>
      <c r="AIT27" s="2854"/>
      <c r="AIU27" s="2854"/>
      <c r="AIV27" s="2854"/>
      <c r="AIW27" s="2854"/>
      <c r="AIX27" s="2854"/>
      <c r="AIY27" s="2854"/>
      <c r="AIZ27" s="2854"/>
      <c r="AJA27" s="2854"/>
      <c r="AJB27" s="2854"/>
      <c r="AJC27" s="2854"/>
      <c r="AJD27" s="2854"/>
      <c r="AJE27" s="2854"/>
      <c r="AJF27" s="2854"/>
      <c r="AJG27" s="2854"/>
      <c r="AJH27" s="2854"/>
      <c r="AJI27" s="2854"/>
      <c r="AJJ27" s="2854"/>
      <c r="AJK27" s="2854"/>
      <c r="AJL27" s="2854"/>
      <c r="AJM27" s="2854"/>
      <c r="AJN27" s="2854"/>
      <c r="AJO27" s="2854"/>
      <c r="AJP27" s="2854"/>
      <c r="AJQ27" s="2854"/>
      <c r="AJR27" s="2854"/>
      <c r="AJS27" s="2854"/>
      <c r="AJT27" s="2854"/>
      <c r="AJU27" s="2854"/>
      <c r="AJV27" s="2854"/>
      <c r="AJW27" s="2854"/>
      <c r="AJX27" s="2854"/>
      <c r="AJY27" s="2854"/>
      <c r="AJZ27" s="2854"/>
      <c r="AKA27" s="2854"/>
      <c r="AKB27" s="2854"/>
      <c r="AKC27" s="2854"/>
      <c r="AKD27" s="2854"/>
      <c r="AKE27" s="2854"/>
      <c r="AKF27" s="2854"/>
      <c r="AKG27" s="2854"/>
      <c r="AKH27" s="2854"/>
      <c r="AKI27" s="2854"/>
      <c r="AKJ27" s="2854"/>
      <c r="AKK27" s="2854"/>
      <c r="AKL27" s="2854"/>
      <c r="AKM27" s="2854"/>
      <c r="AKN27" s="2854"/>
      <c r="AKO27" s="2854"/>
      <c r="AKP27" s="2854"/>
      <c r="AKQ27" s="2854"/>
      <c r="AKR27" s="2854"/>
      <c r="AKS27" s="2854"/>
      <c r="AKT27" s="2854"/>
      <c r="AKU27" s="2854"/>
      <c r="AKV27" s="2854"/>
      <c r="AKW27" s="2854"/>
      <c r="AKX27" s="2854"/>
      <c r="AKY27" s="2854"/>
      <c r="AKZ27" s="2854"/>
      <c r="ALA27" s="2854"/>
      <c r="ALB27" s="2854"/>
      <c r="ALC27" s="2854"/>
      <c r="ALD27" s="2854"/>
      <c r="ALE27" s="2854"/>
      <c r="ALF27" s="2854"/>
      <c r="ALG27" s="2854"/>
      <c r="ALH27" s="2854"/>
      <c r="ALI27" s="2854"/>
      <c r="ALJ27" s="2854"/>
      <c r="ALK27" s="2854"/>
      <c r="ALL27" s="2854"/>
      <c r="ALM27" s="2854"/>
      <c r="ALN27" s="2854"/>
      <c r="ALO27" s="2854"/>
      <c r="ALP27" s="2854"/>
      <c r="ALQ27" s="2854"/>
      <c r="ALR27" s="2854"/>
      <c r="ALS27" s="2854"/>
      <c r="ALT27" s="2854"/>
      <c r="ALU27" s="2854"/>
      <c r="ALV27" s="2854"/>
      <c r="ALW27" s="2854"/>
      <c r="ALX27" s="2854"/>
      <c r="ALY27" s="2854"/>
      <c r="ALZ27" s="2854"/>
      <c r="AMA27" s="2854"/>
      <c r="AMB27" s="2854"/>
      <c r="AMC27" s="2854"/>
      <c r="AMD27" s="2854"/>
      <c r="AME27" s="2854"/>
      <c r="AMF27" s="2854"/>
      <c r="AMG27" s="2854"/>
      <c r="AMH27" s="2854"/>
      <c r="AMI27" s="2854"/>
      <c r="AMJ27" s="2854"/>
      <c r="AMK27" s="2854"/>
      <c r="AML27" s="2854"/>
      <c r="AMM27" s="2854"/>
      <c r="AMN27" s="2854"/>
      <c r="AMO27" s="2854"/>
      <c r="AMP27" s="2854"/>
      <c r="AMQ27" s="2854"/>
      <c r="AMR27" s="2854"/>
      <c r="AMS27" s="2854"/>
      <c r="AMT27" s="2854"/>
      <c r="AMU27" s="2854"/>
      <c r="AMV27" s="2854"/>
      <c r="AMW27" s="2854"/>
      <c r="AMX27" s="2854"/>
      <c r="AMY27" s="2854"/>
      <c r="AMZ27" s="2854"/>
      <c r="ANA27" s="2854"/>
      <c r="ANB27" s="2854"/>
      <c r="ANC27" s="2854"/>
      <c r="AND27" s="2854"/>
      <c r="ANE27" s="2854"/>
      <c r="ANF27" s="2854"/>
      <c r="ANG27" s="2854"/>
      <c r="ANH27" s="2854"/>
      <c r="ANI27" s="2854"/>
      <c r="ANJ27" s="2854"/>
      <c r="ANK27" s="2854"/>
      <c r="ANL27" s="2854"/>
      <c r="ANM27" s="2854"/>
      <c r="ANN27" s="2854"/>
      <c r="ANO27" s="2854"/>
      <c r="ANP27" s="2854"/>
      <c r="ANQ27" s="2854"/>
      <c r="ANR27" s="2854"/>
      <c r="ANS27" s="2854"/>
      <c r="ANT27" s="2854"/>
      <c r="ANU27" s="2854"/>
      <c r="ANV27" s="2854"/>
      <c r="ANW27" s="2854"/>
      <c r="ANX27" s="2854"/>
      <c r="ANY27" s="2854"/>
      <c r="ANZ27" s="2854"/>
      <c r="AOA27" s="2854"/>
      <c r="AOB27" s="2854"/>
      <c r="AOC27" s="2854"/>
      <c r="AOD27" s="2854"/>
      <c r="AOE27" s="2854"/>
      <c r="AOF27" s="2854"/>
      <c r="AOG27" s="2854"/>
      <c r="AOH27" s="2854"/>
      <c r="AOI27" s="2854"/>
      <c r="AOJ27" s="2854"/>
      <c r="AOK27" s="2854"/>
      <c r="AOL27" s="2854"/>
      <c r="AOM27" s="2854"/>
      <c r="AON27" s="2854"/>
      <c r="AOO27" s="2854"/>
      <c r="AOP27" s="2854"/>
      <c r="AOQ27" s="2854"/>
      <c r="AOR27" s="2854"/>
      <c r="AOS27" s="2854"/>
      <c r="AOT27" s="2854"/>
      <c r="AOU27" s="2854"/>
      <c r="AOV27" s="2854"/>
      <c r="AOW27" s="2854"/>
      <c r="AOX27" s="2854"/>
      <c r="AOY27" s="2854"/>
      <c r="AOZ27" s="2854"/>
      <c r="APA27" s="2854"/>
      <c r="APB27" s="2854"/>
      <c r="APC27" s="2854"/>
      <c r="APD27" s="2854"/>
      <c r="APE27" s="2854"/>
      <c r="APF27" s="2854"/>
      <c r="APG27" s="2854"/>
      <c r="APH27" s="2854"/>
      <c r="API27" s="2854"/>
      <c r="APJ27" s="2854"/>
      <c r="APK27" s="2854"/>
      <c r="APL27" s="2854"/>
      <c r="APM27" s="2854"/>
      <c r="APN27" s="2854"/>
      <c r="APO27" s="2854"/>
      <c r="APP27" s="2854"/>
      <c r="APQ27" s="2854"/>
      <c r="APR27" s="2854"/>
      <c r="APS27" s="2854"/>
      <c r="APT27" s="2854"/>
      <c r="APU27" s="2854"/>
      <c r="APV27" s="2854"/>
      <c r="APW27" s="2854"/>
      <c r="APX27" s="2854"/>
      <c r="APY27" s="2854"/>
      <c r="APZ27" s="2854"/>
      <c r="AQA27" s="2854"/>
      <c r="AQB27" s="2854"/>
      <c r="AQC27" s="2854"/>
      <c r="AQD27" s="2854"/>
      <c r="AQE27" s="2854"/>
      <c r="AQF27" s="2854"/>
      <c r="AQG27" s="2854"/>
      <c r="AQH27" s="2854"/>
      <c r="AQI27" s="2854"/>
      <c r="AQJ27" s="2854"/>
      <c r="AQK27" s="2854"/>
      <c r="AQL27" s="2854"/>
      <c r="AQM27" s="2854"/>
      <c r="AQN27" s="2854"/>
      <c r="AQO27" s="2854"/>
      <c r="AQP27" s="2854"/>
      <c r="AQQ27" s="2854"/>
      <c r="AQR27" s="2854"/>
      <c r="AQS27" s="2854"/>
      <c r="AQT27" s="2854"/>
      <c r="AQU27" s="2854"/>
      <c r="AQV27" s="2854"/>
      <c r="AQW27" s="2854"/>
      <c r="AQX27" s="2854"/>
      <c r="AQY27" s="2854"/>
      <c r="AQZ27" s="2854"/>
      <c r="ARA27" s="2854"/>
      <c r="ARB27" s="2854"/>
      <c r="ARC27" s="2854"/>
      <c r="ARD27" s="2854"/>
      <c r="ARE27" s="2854"/>
      <c r="ARF27" s="2854"/>
      <c r="ARG27" s="2854"/>
      <c r="ARH27" s="2854"/>
      <c r="ARI27" s="2854"/>
      <c r="ARJ27" s="2854"/>
      <c r="ARK27" s="2854"/>
      <c r="ARL27" s="2854"/>
      <c r="ARM27" s="2854"/>
      <c r="ARN27" s="2854"/>
      <c r="ARO27" s="2854"/>
      <c r="ARP27" s="2854"/>
      <c r="ARQ27" s="2854"/>
      <c r="ARR27" s="2854"/>
      <c r="ARS27" s="2854"/>
      <c r="ART27" s="2854"/>
      <c r="ARU27" s="2854"/>
      <c r="ARV27" s="2854"/>
      <c r="ARW27" s="2854"/>
      <c r="ARX27" s="2854"/>
      <c r="ARY27" s="2854"/>
      <c r="ARZ27" s="2854"/>
      <c r="ASA27" s="2854"/>
      <c r="ASB27" s="2854"/>
      <c r="ASC27" s="2854"/>
      <c r="ASD27" s="2854"/>
      <c r="ASE27" s="2854"/>
      <c r="ASF27" s="2854"/>
      <c r="ASG27" s="2854"/>
      <c r="ASH27" s="2854"/>
      <c r="ASI27" s="2854"/>
      <c r="ASJ27" s="2854"/>
      <c r="ASK27" s="2854"/>
      <c r="ASL27" s="2854"/>
      <c r="ASM27" s="2854"/>
      <c r="ASN27" s="2854"/>
      <c r="ASO27" s="2854"/>
      <c r="ASP27" s="2854"/>
      <c r="ASQ27" s="2854"/>
      <c r="ASR27" s="2854"/>
      <c r="ASS27" s="2854"/>
      <c r="AST27" s="2854"/>
      <c r="ASU27" s="2854"/>
      <c r="ASV27" s="2854"/>
      <c r="ASW27" s="2854"/>
      <c r="ASX27" s="2854"/>
      <c r="ASY27" s="2854"/>
      <c r="ASZ27" s="2854"/>
      <c r="ATA27" s="2854"/>
      <c r="ATB27" s="2854"/>
      <c r="ATC27" s="2854"/>
      <c r="ATD27" s="2854"/>
      <c r="ATE27" s="2854"/>
      <c r="ATF27" s="2854"/>
      <c r="ATG27" s="2854"/>
      <c r="ATH27" s="2854"/>
      <c r="ATI27" s="2854"/>
      <c r="ATJ27" s="2854"/>
      <c r="ATK27" s="2854"/>
      <c r="ATL27" s="2854"/>
      <c r="ATM27" s="2854"/>
      <c r="ATN27" s="2854"/>
      <c r="ATO27" s="2854"/>
      <c r="ATP27" s="2854"/>
      <c r="ATQ27" s="2854"/>
      <c r="ATR27" s="2854"/>
      <c r="ATS27" s="2854"/>
      <c r="ATT27" s="2854"/>
      <c r="ATU27" s="2854"/>
      <c r="ATV27" s="2854"/>
      <c r="ATW27" s="2854"/>
      <c r="ATX27" s="2854"/>
      <c r="ATY27" s="2854"/>
      <c r="ATZ27" s="2854"/>
      <c r="AUA27" s="2854"/>
      <c r="AUB27" s="2854"/>
      <c r="AUC27" s="2854"/>
      <c r="AUD27" s="2854"/>
      <c r="AUE27" s="2854"/>
      <c r="AUF27" s="2854"/>
      <c r="AUG27" s="2854"/>
      <c r="AUH27" s="2854"/>
      <c r="AUI27" s="2854"/>
      <c r="AUJ27" s="2854"/>
      <c r="AUK27" s="2854"/>
      <c r="AUL27" s="2854"/>
      <c r="AUM27" s="2854"/>
      <c r="AUN27" s="2854"/>
      <c r="AUO27" s="2854"/>
      <c r="AUP27" s="2854"/>
      <c r="AUQ27" s="2854"/>
      <c r="AUR27" s="2854"/>
      <c r="AUS27" s="2854"/>
      <c r="AUT27" s="2854"/>
      <c r="AUU27" s="2854"/>
      <c r="AUV27" s="2854"/>
      <c r="AUW27" s="2854"/>
      <c r="AUX27" s="2854"/>
      <c r="AUY27" s="2854"/>
      <c r="AUZ27" s="2854"/>
      <c r="AVA27" s="2854"/>
      <c r="AVB27" s="2854"/>
      <c r="AVC27" s="2854"/>
      <c r="AVD27" s="2854"/>
      <c r="AVE27" s="2854"/>
      <c r="AVF27" s="2854"/>
      <c r="AVG27" s="2854"/>
      <c r="AVH27" s="2854"/>
      <c r="AVI27" s="2854"/>
      <c r="AVJ27" s="2854"/>
      <c r="AVK27" s="2854"/>
      <c r="AVL27" s="2854"/>
      <c r="AVM27" s="2854"/>
      <c r="AVN27" s="2854"/>
      <c r="AVO27" s="2854"/>
      <c r="AVP27" s="2854"/>
      <c r="AVQ27" s="2854"/>
      <c r="AVR27" s="2854"/>
      <c r="AVS27" s="2854"/>
      <c r="AVT27" s="2854"/>
      <c r="AVU27" s="2854"/>
      <c r="AVV27" s="2854"/>
      <c r="AVW27" s="2854"/>
      <c r="AVX27" s="2854"/>
      <c r="AVY27" s="2854"/>
      <c r="AVZ27" s="2854"/>
      <c r="AWA27" s="2854"/>
      <c r="AWB27" s="2854"/>
      <c r="AWC27" s="2854"/>
      <c r="AWD27" s="2854"/>
      <c r="AWE27" s="2854"/>
      <c r="AWF27" s="2854"/>
      <c r="AWG27" s="2854"/>
      <c r="AWH27" s="2854"/>
      <c r="AWI27" s="2854"/>
      <c r="AWJ27" s="2854"/>
      <c r="AWK27" s="2854"/>
      <c r="AWL27" s="2854"/>
      <c r="AWM27" s="2854"/>
      <c r="AWN27" s="2854"/>
      <c r="AWO27" s="2854"/>
      <c r="AWP27" s="2854"/>
      <c r="AWQ27" s="2854"/>
      <c r="AWR27" s="2854"/>
      <c r="AWS27" s="2854"/>
      <c r="AWT27" s="2854"/>
      <c r="AWU27" s="2854"/>
      <c r="AWV27" s="2854"/>
      <c r="AWW27" s="2854"/>
      <c r="AWX27" s="2854"/>
      <c r="AWY27" s="2854"/>
      <c r="AWZ27" s="2854"/>
      <c r="AXA27" s="2854"/>
      <c r="AXB27" s="2854"/>
      <c r="AXC27" s="2854"/>
      <c r="AXD27" s="2854"/>
      <c r="AXE27" s="2854"/>
      <c r="AXF27" s="2854"/>
      <c r="AXG27" s="2854"/>
      <c r="AXH27" s="2854"/>
      <c r="AXI27" s="2854"/>
      <c r="AXJ27" s="2854"/>
      <c r="AXK27" s="2854"/>
      <c r="AXL27" s="2854"/>
      <c r="AXM27" s="2854"/>
      <c r="AXN27" s="2854"/>
      <c r="AXO27" s="2854"/>
      <c r="AXP27" s="2854"/>
      <c r="AXQ27" s="2854"/>
      <c r="AXR27" s="2854"/>
      <c r="AXS27" s="2854"/>
      <c r="AXT27" s="2854"/>
      <c r="AXU27" s="2854"/>
      <c r="AXV27" s="2854"/>
      <c r="AXW27" s="2854"/>
      <c r="AXX27" s="2854"/>
      <c r="AXY27" s="2854"/>
      <c r="AXZ27" s="2854"/>
      <c r="AYA27" s="2854"/>
      <c r="AYB27" s="2854"/>
      <c r="AYC27" s="2854"/>
      <c r="AYD27" s="2854"/>
      <c r="AYE27" s="2854"/>
      <c r="AYF27" s="2854"/>
      <c r="AYG27" s="2854"/>
      <c r="AYH27" s="2854"/>
      <c r="AYI27" s="2854"/>
      <c r="AYJ27" s="2854"/>
      <c r="AYK27" s="2854"/>
      <c r="AYL27" s="2854"/>
      <c r="AYM27" s="2854"/>
      <c r="AYN27" s="2854"/>
      <c r="AYO27" s="2854"/>
      <c r="AYP27" s="2854"/>
      <c r="AYQ27" s="2854"/>
      <c r="AYR27" s="2854"/>
      <c r="AYS27" s="2854"/>
      <c r="AYT27" s="2854"/>
      <c r="AYU27" s="2854"/>
      <c r="AYV27" s="2854"/>
      <c r="AYW27" s="2854"/>
      <c r="AYX27" s="2854"/>
      <c r="AYY27" s="2854"/>
      <c r="AYZ27" s="2854"/>
      <c r="AZA27" s="2854"/>
      <c r="AZB27" s="2854"/>
      <c r="AZC27" s="2854"/>
      <c r="AZD27" s="2854"/>
      <c r="AZE27" s="2854"/>
      <c r="AZF27" s="2854"/>
      <c r="AZG27" s="2854"/>
      <c r="AZH27" s="2854"/>
      <c r="AZI27" s="2854"/>
      <c r="AZJ27" s="2854"/>
      <c r="AZK27" s="2854"/>
      <c r="AZL27" s="2854"/>
      <c r="AZM27" s="2854"/>
      <c r="AZN27" s="2854"/>
      <c r="AZO27" s="2854"/>
      <c r="AZP27" s="2854"/>
      <c r="AZQ27" s="2854"/>
      <c r="AZR27" s="2854"/>
      <c r="AZS27" s="2854"/>
      <c r="AZT27" s="2854"/>
      <c r="AZU27" s="2854"/>
      <c r="AZV27" s="2854"/>
      <c r="AZW27" s="2854"/>
      <c r="AZX27" s="2854"/>
      <c r="AZY27" s="2854"/>
      <c r="AZZ27" s="2854"/>
      <c r="BAA27" s="2854"/>
      <c r="BAB27" s="2854"/>
      <c r="BAC27" s="2854"/>
      <c r="BAD27" s="2854"/>
      <c r="BAE27" s="2854"/>
      <c r="BAF27" s="2854"/>
      <c r="BAG27" s="2854"/>
      <c r="BAH27" s="2854"/>
      <c r="BAI27" s="2854"/>
      <c r="BAJ27" s="2854"/>
      <c r="BAK27" s="2854"/>
      <c r="BAL27" s="2854"/>
      <c r="BAM27" s="2854"/>
      <c r="BAN27" s="2854"/>
      <c r="BAO27" s="2854"/>
      <c r="BAP27" s="2854"/>
      <c r="BAQ27" s="2854"/>
      <c r="BAR27" s="2854"/>
      <c r="BAS27" s="2854"/>
      <c r="BAT27" s="2854"/>
      <c r="BAU27" s="2854"/>
      <c r="BAV27" s="2854"/>
      <c r="BAW27" s="2854"/>
      <c r="BAX27" s="2854"/>
      <c r="BAY27" s="2854"/>
      <c r="BAZ27" s="2854"/>
      <c r="BBA27" s="2854"/>
      <c r="BBB27" s="2854"/>
      <c r="BBC27" s="2854"/>
      <c r="BBD27" s="2854"/>
      <c r="BBE27" s="2854"/>
      <c r="BBF27" s="2854"/>
      <c r="BBG27" s="2854"/>
      <c r="BBH27" s="2854"/>
      <c r="BBI27" s="2854"/>
      <c r="BBJ27" s="2854"/>
      <c r="BBK27" s="2854"/>
      <c r="BBL27" s="2854"/>
      <c r="BBM27" s="2854"/>
      <c r="BBN27" s="2854"/>
      <c r="BBO27" s="2854"/>
      <c r="BBP27" s="2854"/>
      <c r="BBQ27" s="2854"/>
      <c r="BBR27" s="2854"/>
      <c r="BBS27" s="2854"/>
      <c r="BBT27" s="2854"/>
      <c r="BBU27" s="2854"/>
      <c r="BBV27" s="2854"/>
      <c r="BBW27" s="2854"/>
      <c r="BBX27" s="2854"/>
      <c r="BBY27" s="2854"/>
      <c r="BBZ27" s="2854"/>
      <c r="BCA27" s="2854"/>
      <c r="BCB27" s="2854"/>
      <c r="BCC27" s="2854"/>
      <c r="BCD27" s="2854"/>
      <c r="BCE27" s="2854"/>
      <c r="BCF27" s="2854"/>
      <c r="BCG27" s="2854"/>
      <c r="BCH27" s="2854"/>
      <c r="BCI27" s="2854"/>
      <c r="BCJ27" s="2854"/>
      <c r="BCK27" s="2854"/>
      <c r="BCL27" s="2854"/>
      <c r="BCM27" s="2854"/>
      <c r="BCN27" s="2854"/>
      <c r="BCO27" s="2854"/>
      <c r="BCP27" s="2854"/>
      <c r="BCQ27" s="2854"/>
      <c r="BCR27" s="2854"/>
      <c r="BCS27" s="2854"/>
      <c r="BCT27" s="2854"/>
      <c r="BCU27" s="2854"/>
      <c r="BCV27" s="2854"/>
      <c r="BCW27" s="2854"/>
      <c r="BCX27" s="2854"/>
      <c r="BCY27" s="2854"/>
      <c r="BCZ27" s="2854"/>
      <c r="BDA27" s="2854"/>
      <c r="BDB27" s="2854"/>
      <c r="BDC27" s="2854"/>
      <c r="BDD27" s="2854"/>
      <c r="BDE27" s="2854"/>
      <c r="BDF27" s="2854"/>
      <c r="BDG27" s="2854"/>
      <c r="BDH27" s="2854"/>
      <c r="BDI27" s="2854"/>
      <c r="BDJ27" s="2854"/>
      <c r="BDK27" s="2854"/>
      <c r="BDL27" s="2854"/>
      <c r="BDM27" s="2854"/>
      <c r="BDN27" s="2854"/>
      <c r="BDO27" s="2854"/>
      <c r="BDP27" s="2854"/>
      <c r="BDQ27" s="2854"/>
      <c r="BDR27" s="2854"/>
      <c r="BDS27" s="2854"/>
      <c r="BDT27" s="2854"/>
      <c r="BDU27" s="2854"/>
      <c r="BDV27" s="2854"/>
      <c r="BDW27" s="2854"/>
      <c r="BDX27" s="2854"/>
      <c r="BDY27" s="2854"/>
      <c r="BDZ27" s="2854"/>
      <c r="BEA27" s="2854"/>
      <c r="BEB27" s="2854"/>
      <c r="BEC27" s="2854"/>
      <c r="BED27" s="2854"/>
      <c r="BEE27" s="2854"/>
      <c r="BEF27" s="2854"/>
      <c r="BEG27" s="2854"/>
      <c r="BEH27" s="2854"/>
      <c r="BEI27" s="2854"/>
      <c r="BEJ27" s="2854"/>
      <c r="BEK27" s="2854"/>
      <c r="BEL27" s="2854"/>
      <c r="BEM27" s="2854"/>
      <c r="BEN27" s="2854"/>
      <c r="BEO27" s="2854"/>
      <c r="BEP27" s="2854"/>
      <c r="BEQ27" s="2854"/>
      <c r="BER27" s="2854"/>
      <c r="BES27" s="2854"/>
      <c r="BET27" s="2854"/>
      <c r="BEU27" s="2854"/>
      <c r="BEV27" s="2854"/>
      <c r="BEW27" s="2854"/>
      <c r="BEX27" s="2854"/>
      <c r="BEY27" s="2854"/>
      <c r="BEZ27" s="2854"/>
      <c r="BFA27" s="2854"/>
      <c r="BFB27" s="2854"/>
      <c r="BFC27" s="2854"/>
      <c r="BFD27" s="2854"/>
      <c r="BFE27" s="2854"/>
      <c r="BFF27" s="2854"/>
      <c r="BFG27" s="2854"/>
      <c r="BFH27" s="2854"/>
      <c r="BFI27" s="2854"/>
      <c r="BFJ27" s="2854"/>
      <c r="BFK27" s="2854"/>
      <c r="BFL27" s="2854"/>
      <c r="BFM27" s="2854"/>
      <c r="BFN27" s="2854"/>
      <c r="BFO27" s="2854"/>
      <c r="BFP27" s="2854"/>
      <c r="BFQ27" s="2854"/>
      <c r="BFR27" s="2854"/>
      <c r="BFS27" s="2854"/>
      <c r="BFT27" s="2854"/>
      <c r="BFU27" s="2854"/>
      <c r="BFV27" s="2854"/>
      <c r="BFW27" s="2854"/>
      <c r="BFX27" s="2854"/>
      <c r="BFY27" s="2854"/>
      <c r="BFZ27" s="2854"/>
      <c r="BGA27" s="2854"/>
      <c r="BGB27" s="2854"/>
      <c r="BGC27" s="2854"/>
      <c r="BGD27" s="2854"/>
      <c r="BGE27" s="2854"/>
      <c r="BGF27" s="2854"/>
      <c r="BGG27" s="2854"/>
      <c r="BGH27" s="2854"/>
      <c r="BGI27" s="2854"/>
      <c r="BGJ27" s="2854"/>
      <c r="BGK27" s="2854"/>
      <c r="BGL27" s="2854"/>
      <c r="BGM27" s="2854"/>
      <c r="BGN27" s="2854"/>
      <c r="BGO27" s="2854"/>
      <c r="BGP27" s="2854"/>
      <c r="BGQ27" s="2854"/>
      <c r="BGR27" s="2854"/>
      <c r="BGS27" s="2854"/>
      <c r="BGT27" s="2854"/>
      <c r="BGU27" s="2854"/>
      <c r="BGV27" s="2854"/>
      <c r="BGW27" s="2854"/>
      <c r="BGX27" s="2854"/>
      <c r="BGY27" s="2854"/>
      <c r="BGZ27" s="2854"/>
      <c r="BHA27" s="2854"/>
      <c r="BHB27" s="2854"/>
      <c r="BHC27" s="2854"/>
      <c r="BHD27" s="2854"/>
      <c r="BHE27" s="2854"/>
      <c r="BHF27" s="2854"/>
      <c r="BHG27" s="2854"/>
      <c r="BHH27" s="2854"/>
      <c r="BHI27" s="2854"/>
      <c r="BHJ27" s="2854"/>
      <c r="BHK27" s="2854"/>
      <c r="BHL27" s="2854"/>
      <c r="BHM27" s="2854"/>
      <c r="BHN27" s="2854"/>
      <c r="BHO27" s="2854"/>
      <c r="BHP27" s="2854"/>
      <c r="BHQ27" s="2854"/>
      <c r="BHR27" s="2854"/>
      <c r="BHS27" s="2854"/>
      <c r="BHT27" s="2854"/>
      <c r="BHU27" s="2854"/>
      <c r="BHV27" s="2854"/>
      <c r="BHW27" s="2854"/>
      <c r="BHX27" s="2854"/>
      <c r="BHY27" s="2854"/>
      <c r="BHZ27" s="2854"/>
      <c r="BIA27" s="2854"/>
      <c r="BIB27" s="2854"/>
      <c r="BIC27" s="2854"/>
      <c r="BID27" s="2854"/>
      <c r="BIE27" s="2854"/>
      <c r="BIF27" s="2854"/>
      <c r="BIG27" s="2854"/>
      <c r="BIH27" s="2854"/>
      <c r="BII27" s="2854"/>
      <c r="BIJ27" s="2854"/>
      <c r="BIK27" s="2854"/>
      <c r="BIL27" s="2854"/>
      <c r="BIM27" s="2854"/>
      <c r="BIN27" s="2854"/>
      <c r="BIO27" s="2854"/>
      <c r="BIP27" s="2854"/>
      <c r="BIQ27" s="2854"/>
      <c r="BIR27" s="2854"/>
      <c r="BIS27" s="2854"/>
      <c r="BIT27" s="2854"/>
      <c r="BIU27" s="2854"/>
      <c r="BIV27" s="2854"/>
      <c r="BIW27" s="2854"/>
      <c r="BIX27" s="2854"/>
      <c r="BIY27" s="2854"/>
      <c r="BIZ27" s="2854"/>
      <c r="BJA27" s="2854"/>
      <c r="BJB27" s="2854"/>
      <c r="BJC27" s="2854"/>
      <c r="BJD27" s="2854"/>
      <c r="BJE27" s="2854"/>
      <c r="BJF27" s="2854"/>
      <c r="BJG27" s="2854"/>
      <c r="BJH27" s="2854"/>
      <c r="BJI27" s="2854"/>
      <c r="BJJ27" s="2854"/>
      <c r="BJK27" s="2854"/>
      <c r="BJL27" s="2854"/>
      <c r="BJM27" s="2854"/>
      <c r="BJN27" s="2854"/>
      <c r="BJO27" s="2854"/>
      <c r="BJP27" s="2854"/>
      <c r="BJQ27" s="2854"/>
      <c r="BJR27" s="2854"/>
      <c r="BJS27" s="2854"/>
      <c r="BJT27" s="2854"/>
      <c r="BJU27" s="2854"/>
      <c r="BJV27" s="2854"/>
      <c r="BJW27" s="2854"/>
      <c r="BJX27" s="2854"/>
      <c r="BJY27" s="2854"/>
      <c r="BJZ27" s="2854"/>
      <c r="BKA27" s="2854"/>
      <c r="BKB27" s="2854"/>
      <c r="BKC27" s="2854"/>
      <c r="BKD27" s="2854"/>
      <c r="BKE27" s="2854"/>
      <c r="BKF27" s="2854"/>
      <c r="BKG27" s="2854"/>
      <c r="BKH27" s="2854"/>
      <c r="BKI27" s="2854"/>
      <c r="BKJ27" s="2854"/>
      <c r="BKK27" s="2854"/>
      <c r="BKL27" s="2854"/>
      <c r="BKM27" s="2854"/>
      <c r="BKN27" s="2854"/>
      <c r="BKO27" s="2854"/>
      <c r="BKP27" s="2854"/>
      <c r="BKQ27" s="2854"/>
      <c r="BKR27" s="2854"/>
      <c r="BKS27" s="2854"/>
      <c r="BKT27" s="2854"/>
      <c r="BKU27" s="2854"/>
      <c r="BKV27" s="2854"/>
      <c r="BKW27" s="2854"/>
      <c r="BKX27" s="2854"/>
      <c r="BKY27" s="2854"/>
      <c r="BKZ27" s="2854"/>
      <c r="BLA27" s="2854"/>
      <c r="BLB27" s="2854"/>
      <c r="BLC27" s="2854"/>
      <c r="BLD27" s="2854"/>
      <c r="BLE27" s="2854"/>
      <c r="BLF27" s="2854"/>
      <c r="BLG27" s="2854"/>
      <c r="BLH27" s="2854"/>
      <c r="BLI27" s="2854"/>
      <c r="BLJ27" s="2854"/>
      <c r="BLK27" s="2854"/>
      <c r="BLL27" s="2854"/>
      <c r="BLM27" s="2854"/>
      <c r="BLN27" s="2854"/>
      <c r="BLO27" s="2854"/>
      <c r="BLP27" s="2854"/>
      <c r="BLQ27" s="2854"/>
      <c r="BLR27" s="2854"/>
      <c r="BLS27" s="2854"/>
      <c r="BLT27" s="2854"/>
      <c r="BLU27" s="2854"/>
      <c r="BLV27" s="2854"/>
      <c r="BLW27" s="2854"/>
      <c r="BLX27" s="2854"/>
      <c r="BLY27" s="2854"/>
      <c r="BLZ27" s="2854"/>
      <c r="BMA27" s="2854"/>
      <c r="BMB27" s="2854"/>
      <c r="BMC27" s="2854"/>
      <c r="BMD27" s="2854"/>
      <c r="BME27" s="2854"/>
      <c r="BMF27" s="2854"/>
      <c r="BMG27" s="2854"/>
      <c r="BMH27" s="2854"/>
      <c r="BMI27" s="2854"/>
      <c r="BMJ27" s="2854"/>
      <c r="BMK27" s="2854"/>
      <c r="BML27" s="2854"/>
      <c r="BMM27" s="2854"/>
      <c r="BMN27" s="2854"/>
      <c r="BMO27" s="2854"/>
      <c r="BMP27" s="2854"/>
      <c r="BMQ27" s="2854"/>
      <c r="BMR27" s="2854"/>
      <c r="BMS27" s="2854"/>
      <c r="BMT27" s="2854"/>
      <c r="BMU27" s="2854"/>
      <c r="BMV27" s="2854"/>
      <c r="BMW27" s="2854"/>
      <c r="BMX27" s="2854"/>
      <c r="BMY27" s="2854"/>
      <c r="BMZ27" s="2854"/>
      <c r="BNA27" s="2854"/>
      <c r="BNB27" s="2854"/>
      <c r="BNC27" s="2854"/>
      <c r="BND27" s="2854"/>
      <c r="BNE27" s="2854"/>
      <c r="BNF27" s="2854"/>
      <c r="BNG27" s="2854"/>
      <c r="BNH27" s="2854"/>
      <c r="BNI27" s="2854"/>
      <c r="BNJ27" s="2854"/>
      <c r="BNK27" s="2854"/>
      <c r="BNL27" s="2854"/>
      <c r="BNM27" s="2854"/>
      <c r="BNN27" s="2854"/>
      <c r="BNO27" s="2854"/>
      <c r="BNP27" s="2854"/>
      <c r="BNQ27" s="2854"/>
      <c r="BNR27" s="2854"/>
      <c r="BNS27" s="2854"/>
      <c r="BNT27" s="2854"/>
      <c r="BNU27" s="2854"/>
      <c r="BNV27" s="2854"/>
      <c r="BNW27" s="2854"/>
      <c r="BNX27" s="2854"/>
      <c r="BNY27" s="2854"/>
      <c r="BNZ27" s="2854"/>
      <c r="BOA27" s="2854"/>
      <c r="BOB27" s="2854"/>
      <c r="BOC27" s="2854"/>
      <c r="BOD27" s="2854"/>
      <c r="BOE27" s="2854"/>
      <c r="BOF27" s="2854"/>
      <c r="BOG27" s="2854"/>
      <c r="BOH27" s="2854"/>
      <c r="BOI27" s="2854"/>
      <c r="BOJ27" s="2854"/>
      <c r="BOK27" s="2854"/>
      <c r="BOL27" s="2854"/>
      <c r="BOM27" s="2854"/>
      <c r="BON27" s="2854"/>
      <c r="BOO27" s="2854"/>
      <c r="BOP27" s="2854"/>
      <c r="BOQ27" s="2854"/>
      <c r="BOR27" s="2854"/>
      <c r="BOS27" s="2854"/>
      <c r="BOT27" s="2854"/>
      <c r="BOU27" s="2854"/>
      <c r="BOV27" s="2854"/>
      <c r="BOW27" s="2854"/>
      <c r="BOX27" s="2854"/>
      <c r="BOY27" s="2854"/>
      <c r="BOZ27" s="2854"/>
      <c r="BPA27" s="2854"/>
      <c r="BPB27" s="2854"/>
      <c r="BPC27" s="2854"/>
      <c r="BPD27" s="2854"/>
      <c r="BPE27" s="2854"/>
      <c r="BPF27" s="2854"/>
      <c r="BPG27" s="2854"/>
      <c r="BPH27" s="2854"/>
      <c r="BPI27" s="2854"/>
      <c r="BPJ27" s="2854"/>
      <c r="BPK27" s="2854"/>
      <c r="BPL27" s="2854"/>
      <c r="BPM27" s="2854"/>
      <c r="BPN27" s="2854"/>
      <c r="BPO27" s="2854"/>
      <c r="BPP27" s="2854"/>
      <c r="BPQ27" s="2854"/>
      <c r="BPR27" s="2854"/>
      <c r="BPS27" s="2854"/>
      <c r="BPT27" s="2854"/>
      <c r="BPU27" s="2854"/>
      <c r="BPV27" s="2854"/>
      <c r="BPW27" s="2854"/>
      <c r="BPX27" s="2854"/>
      <c r="BPY27" s="2854"/>
      <c r="BPZ27" s="2854"/>
      <c r="BQA27" s="2854"/>
      <c r="BQB27" s="2854"/>
      <c r="BQC27" s="2854"/>
      <c r="BQD27" s="2854"/>
      <c r="BQE27" s="2854"/>
      <c r="BQF27" s="2854"/>
      <c r="BQG27" s="2854"/>
      <c r="BQH27" s="2854"/>
      <c r="BQI27" s="2854"/>
      <c r="BQJ27" s="2854"/>
      <c r="BQK27" s="2854"/>
      <c r="BQL27" s="2854"/>
      <c r="BQM27" s="2854"/>
      <c r="BQN27" s="2854"/>
      <c r="BQO27" s="2854"/>
      <c r="BQP27" s="2854"/>
      <c r="BQQ27" s="2854"/>
      <c r="BQR27" s="2854"/>
      <c r="BQS27" s="2854"/>
      <c r="BQT27" s="2854"/>
      <c r="BQU27" s="2854"/>
      <c r="BQV27" s="2854"/>
      <c r="BQW27" s="2854"/>
      <c r="BQX27" s="2854"/>
      <c r="BQY27" s="2854"/>
      <c r="BQZ27" s="2854"/>
      <c r="BRA27" s="2854"/>
      <c r="BRB27" s="2854"/>
      <c r="BRC27" s="2854"/>
      <c r="BRD27" s="2854"/>
      <c r="BRE27" s="2854"/>
      <c r="BRF27" s="2854"/>
      <c r="BRG27" s="2854"/>
      <c r="BRH27" s="2854"/>
      <c r="BRI27" s="2854"/>
      <c r="BRJ27" s="2854"/>
      <c r="BRK27" s="2854"/>
      <c r="BRL27" s="2854"/>
      <c r="BRM27" s="2854"/>
      <c r="BRN27" s="2854"/>
      <c r="BRO27" s="2854"/>
      <c r="BRP27" s="2854"/>
      <c r="BRQ27" s="2854"/>
      <c r="BRR27" s="2854"/>
      <c r="BRS27" s="2854"/>
      <c r="BRT27" s="2854"/>
      <c r="BRU27" s="2854"/>
      <c r="BRV27" s="2854"/>
      <c r="BRW27" s="2854"/>
      <c r="BRX27" s="2854"/>
      <c r="BRY27" s="2854"/>
      <c r="BRZ27" s="2854"/>
      <c r="BSA27" s="2854"/>
      <c r="BSB27" s="2854"/>
      <c r="BSC27" s="2854"/>
      <c r="BSD27" s="2854"/>
      <c r="BSE27" s="2854"/>
      <c r="BSF27" s="2854"/>
      <c r="BSG27" s="2854"/>
      <c r="BSH27" s="2854"/>
      <c r="BSI27" s="2854"/>
      <c r="BSJ27" s="2854"/>
      <c r="BSK27" s="2854"/>
      <c r="BSL27" s="2854"/>
      <c r="BSM27" s="2854"/>
      <c r="BSN27" s="2854"/>
      <c r="BSO27" s="2854"/>
      <c r="BSP27" s="2854"/>
      <c r="BSQ27" s="2854"/>
      <c r="BSR27" s="2854"/>
      <c r="BSS27" s="2854"/>
      <c r="BST27" s="2854"/>
      <c r="BSU27" s="2854"/>
      <c r="BSV27" s="2854"/>
      <c r="BSW27" s="2854"/>
      <c r="BSX27" s="2854"/>
      <c r="BSY27" s="2854"/>
      <c r="BSZ27" s="2854"/>
      <c r="BTA27" s="2854"/>
      <c r="BTB27" s="2854"/>
      <c r="BTC27" s="2854"/>
      <c r="BTD27" s="2854"/>
      <c r="BTE27" s="2854"/>
      <c r="BTF27" s="2854"/>
      <c r="BTG27" s="2854"/>
      <c r="BTH27" s="2854"/>
      <c r="BTI27" s="2854"/>
      <c r="BTJ27" s="2854"/>
      <c r="BTK27" s="2854"/>
      <c r="BTL27" s="2854"/>
      <c r="BTM27" s="2854"/>
      <c r="BTN27" s="2854"/>
      <c r="BTO27" s="2854"/>
      <c r="BTP27" s="2854"/>
      <c r="BTQ27" s="2854"/>
      <c r="BTR27" s="2854"/>
      <c r="BTS27" s="2854"/>
      <c r="BTT27" s="2854"/>
      <c r="BTU27" s="2854"/>
      <c r="BTV27" s="2854"/>
      <c r="BTW27" s="2854"/>
      <c r="BTX27" s="2854"/>
      <c r="BTY27" s="2854"/>
      <c r="BTZ27" s="2854"/>
      <c r="BUA27" s="2854"/>
      <c r="BUB27" s="2854"/>
      <c r="BUC27" s="2854"/>
      <c r="BUD27" s="2854"/>
      <c r="BUE27" s="2854"/>
      <c r="BUF27" s="2854"/>
      <c r="BUG27" s="2854"/>
      <c r="BUH27" s="2854"/>
      <c r="BUI27" s="2854"/>
      <c r="BUJ27" s="2854"/>
      <c r="BUK27" s="2854"/>
      <c r="BUL27" s="2854"/>
      <c r="BUM27" s="2854"/>
      <c r="BUN27" s="2854"/>
      <c r="BUO27" s="2854"/>
      <c r="BUP27" s="2854"/>
      <c r="BUQ27" s="2854"/>
      <c r="BUR27" s="2854"/>
      <c r="BUS27" s="2854"/>
      <c r="BUT27" s="2854"/>
      <c r="BUU27" s="2854"/>
      <c r="BUV27" s="2854"/>
      <c r="BUW27" s="2854"/>
      <c r="BUX27" s="2854"/>
      <c r="BUY27" s="2854"/>
      <c r="BUZ27" s="2854"/>
      <c r="BVA27" s="2854"/>
      <c r="BVB27" s="2854"/>
      <c r="BVC27" s="2854"/>
      <c r="BVD27" s="2854"/>
      <c r="BVE27" s="2854"/>
      <c r="BVF27" s="2854"/>
      <c r="BVG27" s="2854"/>
      <c r="BVH27" s="2854"/>
      <c r="BVI27" s="2854"/>
      <c r="BVJ27" s="2854"/>
      <c r="BVK27" s="2854"/>
      <c r="BVL27" s="2854"/>
      <c r="BVM27" s="2854"/>
      <c r="BVN27" s="2854"/>
      <c r="BVO27" s="2854"/>
      <c r="BVP27" s="2854"/>
      <c r="BVQ27" s="2854"/>
      <c r="BVR27" s="2854"/>
      <c r="BVS27" s="2854"/>
      <c r="BVT27" s="2854"/>
      <c r="BVU27" s="2854"/>
      <c r="BVV27" s="2854"/>
      <c r="BVW27" s="2854"/>
      <c r="BVX27" s="2854"/>
      <c r="BVY27" s="2854"/>
      <c r="BVZ27" s="2854"/>
      <c r="BWA27" s="2854"/>
      <c r="BWB27" s="2854"/>
      <c r="BWC27" s="2854"/>
      <c r="BWD27" s="2854"/>
      <c r="BWE27" s="2854"/>
      <c r="BWF27" s="2854"/>
      <c r="BWG27" s="2854"/>
      <c r="BWH27" s="2854"/>
      <c r="BWI27" s="2854"/>
      <c r="BWJ27" s="2854"/>
      <c r="BWK27" s="2854"/>
      <c r="BWL27" s="2854"/>
      <c r="BWM27" s="2854"/>
      <c r="BWN27" s="2854"/>
      <c r="BWO27" s="2854"/>
      <c r="BWP27" s="2854"/>
      <c r="BWQ27" s="2854"/>
      <c r="BWR27" s="2854"/>
      <c r="BWS27" s="2854"/>
      <c r="BWT27" s="2854"/>
      <c r="BWU27" s="2854"/>
      <c r="BWV27" s="2854"/>
      <c r="BWW27" s="2854"/>
      <c r="BWX27" s="2854"/>
      <c r="BWY27" s="2854"/>
      <c r="BWZ27" s="2854"/>
      <c r="BXA27" s="2854"/>
      <c r="BXB27" s="2854"/>
      <c r="BXC27" s="2854"/>
      <c r="BXD27" s="2854"/>
      <c r="BXE27" s="2854"/>
      <c r="BXF27" s="2854"/>
      <c r="BXG27" s="2854"/>
      <c r="BXH27" s="2854"/>
      <c r="BXI27" s="2854"/>
      <c r="BXJ27" s="2854"/>
      <c r="BXK27" s="2854"/>
      <c r="BXL27" s="2854"/>
      <c r="BXM27" s="2854"/>
      <c r="BXN27" s="2854"/>
      <c r="BXO27" s="2854"/>
      <c r="BXP27" s="2854"/>
      <c r="BXQ27" s="2854"/>
      <c r="BXR27" s="2854"/>
      <c r="BXS27" s="2854"/>
      <c r="BXT27" s="2854"/>
      <c r="BXU27" s="2854"/>
      <c r="BXV27" s="2854"/>
      <c r="BXW27" s="2854"/>
      <c r="BXX27" s="2854"/>
      <c r="BXY27" s="2854"/>
      <c r="BXZ27" s="2854"/>
      <c r="BYA27" s="2854"/>
      <c r="BYB27" s="2854"/>
      <c r="BYC27" s="2854"/>
      <c r="BYD27" s="2854"/>
      <c r="BYE27" s="2854"/>
      <c r="BYF27" s="2854"/>
      <c r="BYG27" s="2854"/>
      <c r="BYH27" s="2854"/>
      <c r="BYI27" s="2854"/>
      <c r="BYJ27" s="2854"/>
      <c r="BYK27" s="2854"/>
      <c r="BYL27" s="2854"/>
      <c r="BYM27" s="2854"/>
      <c r="BYN27" s="2854"/>
      <c r="BYO27" s="2854"/>
      <c r="BYP27" s="2854"/>
      <c r="BYQ27" s="2854"/>
      <c r="BYR27" s="2854"/>
      <c r="BYS27" s="2854"/>
      <c r="BYT27" s="2854"/>
      <c r="BYU27" s="2854"/>
      <c r="BYV27" s="2854"/>
      <c r="BYW27" s="2854"/>
      <c r="BYX27" s="2854"/>
      <c r="BYY27" s="2854"/>
      <c r="BYZ27" s="2854"/>
      <c r="BZA27" s="2854"/>
      <c r="BZB27" s="2854"/>
      <c r="BZC27" s="2854"/>
      <c r="BZD27" s="2854"/>
      <c r="BZE27" s="2854"/>
      <c r="BZF27" s="2854"/>
      <c r="BZG27" s="2854"/>
      <c r="BZH27" s="2854"/>
      <c r="BZI27" s="2854"/>
      <c r="BZJ27" s="2854"/>
      <c r="BZK27" s="2854"/>
      <c r="BZL27" s="2854"/>
      <c r="BZM27" s="2854"/>
      <c r="BZN27" s="2854"/>
      <c r="BZO27" s="2854"/>
      <c r="BZP27" s="2854"/>
      <c r="BZQ27" s="2854"/>
      <c r="BZR27" s="2854"/>
      <c r="BZS27" s="2854"/>
      <c r="BZT27" s="2854"/>
      <c r="BZU27" s="2854"/>
      <c r="BZV27" s="2854"/>
      <c r="BZW27" s="2854"/>
      <c r="BZX27" s="2854"/>
      <c r="BZY27" s="2854"/>
      <c r="BZZ27" s="2854"/>
      <c r="CAA27" s="2854"/>
      <c r="CAB27" s="2854"/>
      <c r="CAC27" s="2854"/>
      <c r="CAD27" s="2854"/>
      <c r="CAE27" s="2854"/>
      <c r="CAF27" s="2854"/>
      <c r="CAG27" s="2854"/>
      <c r="CAH27" s="2854"/>
      <c r="CAI27" s="2854"/>
      <c r="CAJ27" s="2854"/>
      <c r="CAK27" s="2854"/>
      <c r="CAL27" s="2854"/>
      <c r="CAM27" s="2854"/>
      <c r="CAN27" s="2854"/>
      <c r="CAO27" s="2854"/>
      <c r="CAP27" s="2854"/>
      <c r="CAQ27" s="2854"/>
      <c r="CAR27" s="2854"/>
      <c r="CAS27" s="2854"/>
      <c r="CAT27" s="2854"/>
      <c r="CAU27" s="2854"/>
      <c r="CAV27" s="2854"/>
      <c r="CAW27" s="2854"/>
      <c r="CAX27" s="2854"/>
      <c r="CAY27" s="2854"/>
      <c r="CAZ27" s="2854"/>
      <c r="CBA27" s="2854"/>
      <c r="CBB27" s="2854"/>
      <c r="CBC27" s="2854"/>
      <c r="CBD27" s="2854"/>
      <c r="CBE27" s="2854"/>
      <c r="CBF27" s="2854"/>
      <c r="CBG27" s="2854"/>
      <c r="CBH27" s="2854"/>
      <c r="CBI27" s="2854"/>
      <c r="CBJ27" s="2854"/>
      <c r="CBK27" s="2854"/>
      <c r="CBL27" s="2854"/>
      <c r="CBM27" s="2854"/>
      <c r="CBN27" s="2854"/>
      <c r="CBO27" s="2854"/>
      <c r="CBP27" s="2854"/>
      <c r="CBQ27" s="2854"/>
      <c r="CBR27" s="2854"/>
      <c r="CBS27" s="2854"/>
      <c r="CBT27" s="2854"/>
      <c r="CBU27" s="2854"/>
      <c r="CBV27" s="2854"/>
      <c r="CBW27" s="2854"/>
      <c r="CBX27" s="2854"/>
      <c r="CBY27" s="2854"/>
      <c r="CBZ27" s="2854"/>
      <c r="CCA27" s="2854"/>
      <c r="CCB27" s="2854"/>
      <c r="CCC27" s="2854"/>
      <c r="CCD27" s="2854"/>
      <c r="CCE27" s="2854"/>
      <c r="CCF27" s="2854"/>
      <c r="CCG27" s="2854"/>
      <c r="CCH27" s="2854"/>
      <c r="CCI27" s="2854"/>
      <c r="CCJ27" s="2854"/>
      <c r="CCK27" s="2854"/>
      <c r="CCL27" s="2854"/>
      <c r="CCM27" s="2854"/>
      <c r="CCN27" s="2854"/>
      <c r="CCO27" s="2854"/>
      <c r="CCP27" s="2854"/>
      <c r="CCQ27" s="2854"/>
      <c r="CCR27" s="2854"/>
      <c r="CCS27" s="2854"/>
      <c r="CCT27" s="2854"/>
      <c r="CCU27" s="2854"/>
      <c r="CCV27" s="2854"/>
      <c r="CCW27" s="2854"/>
      <c r="CCX27" s="2854"/>
      <c r="CCY27" s="2854"/>
      <c r="CCZ27" s="2854"/>
      <c r="CDA27" s="2854"/>
      <c r="CDB27" s="2854"/>
      <c r="CDC27" s="2854"/>
      <c r="CDD27" s="2854"/>
      <c r="CDE27" s="2854"/>
      <c r="CDF27" s="2854"/>
      <c r="CDG27" s="2854"/>
      <c r="CDH27" s="2854"/>
      <c r="CDI27" s="2854"/>
      <c r="CDJ27" s="2854"/>
      <c r="CDK27" s="2854"/>
      <c r="CDL27" s="2854"/>
      <c r="CDM27" s="2854"/>
      <c r="CDN27" s="2854"/>
      <c r="CDO27" s="2854"/>
      <c r="CDP27" s="2854"/>
      <c r="CDQ27" s="2854"/>
      <c r="CDR27" s="2854"/>
      <c r="CDS27" s="2854"/>
      <c r="CDT27" s="2854"/>
      <c r="CDU27" s="2854"/>
      <c r="CDV27" s="2854"/>
      <c r="CDW27" s="2854"/>
      <c r="CDX27" s="2854"/>
      <c r="CDY27" s="2854"/>
      <c r="CDZ27" s="2854"/>
      <c r="CEA27" s="2854"/>
      <c r="CEB27" s="2854"/>
      <c r="CEC27" s="2854"/>
      <c r="CED27" s="2854"/>
      <c r="CEE27" s="2854"/>
      <c r="CEF27" s="2854"/>
      <c r="CEG27" s="2854"/>
      <c r="CEH27" s="2854"/>
      <c r="CEI27" s="2854"/>
      <c r="CEJ27" s="2854"/>
      <c r="CEK27" s="2854"/>
      <c r="CEL27" s="2854"/>
      <c r="CEM27" s="2854"/>
      <c r="CEN27" s="2854"/>
      <c r="CEO27" s="2854"/>
      <c r="CEP27" s="2854"/>
      <c r="CEQ27" s="2854"/>
      <c r="CER27" s="2854"/>
      <c r="CES27" s="2854"/>
      <c r="CET27" s="2854"/>
      <c r="CEU27" s="2854"/>
      <c r="CEV27" s="2854"/>
      <c r="CEW27" s="2854"/>
      <c r="CEX27" s="2854"/>
      <c r="CEY27" s="2854"/>
      <c r="CEZ27" s="2854"/>
      <c r="CFA27" s="2854"/>
      <c r="CFB27" s="2854"/>
      <c r="CFC27" s="2854"/>
      <c r="CFD27" s="2854"/>
      <c r="CFE27" s="2854"/>
      <c r="CFF27" s="2854"/>
      <c r="CFG27" s="2854"/>
      <c r="CFH27" s="2854"/>
      <c r="CFI27" s="2854"/>
      <c r="CFJ27" s="2854"/>
      <c r="CFK27" s="2854"/>
      <c r="CFL27" s="2854"/>
      <c r="CFM27" s="2854"/>
      <c r="CFN27" s="2854"/>
      <c r="CFO27" s="2854"/>
      <c r="CFP27" s="2854"/>
      <c r="CFQ27" s="2854"/>
      <c r="CFR27" s="2854"/>
      <c r="CFS27" s="2854"/>
      <c r="CFT27" s="2854"/>
      <c r="CFU27" s="2854"/>
      <c r="CFV27" s="2854"/>
      <c r="CFW27" s="2854"/>
      <c r="CFX27" s="2854"/>
      <c r="CFY27" s="2854"/>
      <c r="CFZ27" s="2854"/>
      <c r="CGA27" s="2854"/>
      <c r="CGB27" s="2854"/>
      <c r="CGC27" s="2854"/>
      <c r="CGD27" s="2854"/>
      <c r="CGE27" s="2854"/>
      <c r="CGF27" s="2854"/>
      <c r="CGG27" s="2854"/>
      <c r="CGH27" s="2854"/>
      <c r="CGI27" s="2854"/>
      <c r="CGJ27" s="2854"/>
      <c r="CGK27" s="2854"/>
      <c r="CGL27" s="2854"/>
      <c r="CGM27" s="2854"/>
      <c r="CGN27" s="2854"/>
      <c r="CGO27" s="2854"/>
      <c r="CGP27" s="2854"/>
      <c r="CGQ27" s="2854"/>
      <c r="CGR27" s="2854"/>
      <c r="CGS27" s="2854"/>
      <c r="CGT27" s="2854"/>
      <c r="CGU27" s="2854"/>
      <c r="CGV27" s="2854"/>
      <c r="CGW27" s="2854"/>
      <c r="CGX27" s="2854"/>
      <c r="CGY27" s="2854"/>
      <c r="CGZ27" s="2854"/>
      <c r="CHA27" s="2854"/>
      <c r="CHB27" s="2854"/>
      <c r="CHC27" s="2854"/>
      <c r="CHD27" s="2854"/>
      <c r="CHE27" s="2854"/>
      <c r="CHF27" s="2854"/>
      <c r="CHG27" s="2854"/>
      <c r="CHH27" s="2854"/>
      <c r="CHI27" s="2854"/>
      <c r="CHJ27" s="2854"/>
      <c r="CHK27" s="2854"/>
      <c r="CHL27" s="2854"/>
      <c r="CHM27" s="2854"/>
      <c r="CHN27" s="2854"/>
      <c r="CHO27" s="2854"/>
      <c r="CHP27" s="2854"/>
      <c r="CHQ27" s="2854"/>
      <c r="CHR27" s="2854"/>
      <c r="CHS27" s="2854"/>
      <c r="CHT27" s="2854"/>
      <c r="CHU27" s="2854"/>
      <c r="CHV27" s="2854"/>
      <c r="CHW27" s="2854"/>
      <c r="CHX27" s="2854"/>
      <c r="CHY27" s="2854"/>
      <c r="CHZ27" s="2854"/>
      <c r="CIA27" s="2854"/>
      <c r="CIB27" s="2854"/>
      <c r="CIC27" s="2854"/>
      <c r="CID27" s="2854"/>
      <c r="CIE27" s="2854"/>
      <c r="CIF27" s="2854"/>
      <c r="CIG27" s="2854"/>
      <c r="CIH27" s="2854"/>
      <c r="CII27" s="2854"/>
      <c r="CIJ27" s="2854"/>
      <c r="CIK27" s="2854"/>
      <c r="CIL27" s="2854"/>
      <c r="CIM27" s="2854"/>
      <c r="CIN27" s="2854"/>
      <c r="CIO27" s="2854"/>
      <c r="CIP27" s="2854"/>
      <c r="CIQ27" s="2854"/>
      <c r="CIR27" s="2854"/>
      <c r="CIS27" s="2854"/>
      <c r="CIT27" s="2854"/>
      <c r="CIU27" s="2854"/>
      <c r="CIV27" s="2854"/>
      <c r="CIW27" s="2854"/>
      <c r="CIX27" s="2854"/>
      <c r="CIY27" s="2854"/>
      <c r="CIZ27" s="2854"/>
      <c r="CJA27" s="2854"/>
      <c r="CJB27" s="2854"/>
      <c r="CJC27" s="2854"/>
      <c r="CJD27" s="2854"/>
      <c r="CJE27" s="2854"/>
      <c r="CJF27" s="2854"/>
      <c r="CJG27" s="2854"/>
      <c r="CJH27" s="2854"/>
      <c r="CJI27" s="2854"/>
      <c r="CJJ27" s="2854"/>
      <c r="CJK27" s="2854"/>
      <c r="CJL27" s="2854"/>
      <c r="CJM27" s="2854"/>
      <c r="CJN27" s="2854"/>
      <c r="CJO27" s="2854"/>
      <c r="CJP27" s="2854"/>
      <c r="CJQ27" s="2854"/>
      <c r="CJR27" s="2854"/>
      <c r="CJS27" s="2854"/>
      <c r="CJT27" s="2854"/>
      <c r="CJU27" s="2854"/>
      <c r="CJV27" s="2854"/>
      <c r="CJW27" s="2854"/>
      <c r="CJX27" s="2854"/>
      <c r="CJY27" s="2854"/>
      <c r="CJZ27" s="2854"/>
      <c r="CKA27" s="2854"/>
      <c r="CKB27" s="2854"/>
      <c r="CKC27" s="2854"/>
      <c r="CKD27" s="2854"/>
      <c r="CKE27" s="2854"/>
      <c r="CKF27" s="2854"/>
      <c r="CKG27" s="2854"/>
      <c r="CKH27" s="2854"/>
      <c r="CKI27" s="2854"/>
      <c r="CKJ27" s="2854"/>
      <c r="CKK27" s="2854"/>
      <c r="CKL27" s="2854"/>
      <c r="CKM27" s="2854"/>
      <c r="CKN27" s="2854"/>
      <c r="CKO27" s="2854"/>
      <c r="CKP27" s="2854"/>
      <c r="CKQ27" s="2854"/>
      <c r="CKR27" s="2854"/>
      <c r="CKS27" s="2854"/>
      <c r="CKT27" s="2854"/>
      <c r="CKU27" s="2854"/>
      <c r="CKV27" s="2854"/>
      <c r="CKW27" s="2854"/>
      <c r="CKX27" s="2854"/>
      <c r="CKY27" s="2854"/>
      <c r="CKZ27" s="2854"/>
      <c r="CLA27" s="2854"/>
      <c r="CLB27" s="2854"/>
      <c r="CLC27" s="2854"/>
      <c r="CLD27" s="2854"/>
      <c r="CLE27" s="2854"/>
      <c r="CLF27" s="2854"/>
      <c r="CLG27" s="2854"/>
      <c r="CLH27" s="2854"/>
      <c r="CLI27" s="2854"/>
      <c r="CLJ27" s="2854"/>
      <c r="CLK27" s="2854"/>
      <c r="CLL27" s="2854"/>
      <c r="CLM27" s="2854"/>
      <c r="CLN27" s="2854"/>
      <c r="CLO27" s="2854"/>
      <c r="CLP27" s="2854"/>
      <c r="CLQ27" s="2854"/>
      <c r="CLR27" s="2854"/>
      <c r="CLS27" s="2854"/>
      <c r="CLT27" s="2854"/>
      <c r="CLU27" s="2854"/>
      <c r="CLV27" s="2854"/>
      <c r="CLW27" s="2854"/>
    </row>
    <row r="28" spans="1:2363" s="1144" customFormat="1" ht="15" customHeight="1" x14ac:dyDescent="0.25">
      <c r="A28" s="3868"/>
      <c r="B28" s="3888" t="s">
        <v>643</v>
      </c>
      <c r="C28" s="2965" t="s">
        <v>550</v>
      </c>
      <c r="D28" s="2990" t="s">
        <v>661</v>
      </c>
      <c r="E28" s="2970"/>
      <c r="F28" s="2971"/>
      <c r="G28" s="2972"/>
      <c r="H28" s="2973"/>
      <c r="I28" s="2307"/>
      <c r="J28" s="2971"/>
      <c r="K28" s="2976"/>
      <c r="L28" s="2977"/>
      <c r="M28" s="2977"/>
      <c r="N28" s="2978"/>
      <c r="O28" s="2000"/>
      <c r="P28" s="3022"/>
      <c r="Q28" s="2617"/>
      <c r="R28" s="3021"/>
      <c r="S28" s="3014"/>
      <c r="T28" s="3050"/>
      <c r="U28" s="3015"/>
      <c r="V28" s="3016">
        <f t="shared" si="14"/>
        <v>0</v>
      </c>
      <c r="W28" s="2646"/>
      <c r="X28" s="2646"/>
      <c r="Y28" s="3017"/>
      <c r="Z28" s="3204">
        <f>ROUND(452610.8/7.5345,2)</f>
        <v>60071.78</v>
      </c>
      <c r="AA28" s="1894">
        <v>0</v>
      </c>
      <c r="AB28" s="1894">
        <v>0</v>
      </c>
      <c r="AC28" s="3028">
        <f t="shared" ref="AC28" si="35">AA28-AB28</f>
        <v>0</v>
      </c>
      <c r="AD28" s="1897">
        <v>0</v>
      </c>
      <c r="AE28" s="1897"/>
      <c r="AF28" s="1893"/>
      <c r="AG28" s="1893"/>
      <c r="AH28" s="2618">
        <f t="shared" ref="AH28:AH30" si="36">AD28+AF28</f>
        <v>0</v>
      </c>
      <c r="AI28" s="1894"/>
      <c r="AJ28" s="2153"/>
      <c r="AK28" s="2619">
        <f t="shared" ref="AK28:AK37" si="37">AI28+AJ28</f>
        <v>0</v>
      </c>
      <c r="AL28" s="3224">
        <v>0</v>
      </c>
      <c r="AM28" s="3225">
        <v>0</v>
      </c>
      <c r="AN28" s="3226">
        <f t="shared" ref="AN28" si="38">AL28+AM28</f>
        <v>0</v>
      </c>
      <c r="AO28" s="2161">
        <v>0</v>
      </c>
      <c r="AP28" s="2164">
        <v>0</v>
      </c>
      <c r="AQ28" s="2164">
        <v>0</v>
      </c>
      <c r="AR28" s="2166">
        <v>0</v>
      </c>
      <c r="AS28" s="2164">
        <f>AO28+AP28+AQ28+AR28</f>
        <v>0</v>
      </c>
      <c r="AT28" s="2121"/>
      <c r="AU28" s="2168"/>
      <c r="AV28" s="2168"/>
      <c r="AW28" s="2171">
        <f>AU28+AV28</f>
        <v>0</v>
      </c>
      <c r="AX28" s="3579">
        <v>60071.78</v>
      </c>
      <c r="AY28" s="3580">
        <v>60071.78</v>
      </c>
      <c r="AZ28" s="3297">
        <f>+AX28-AY28</f>
        <v>0</v>
      </c>
      <c r="BA28" s="3073">
        <v>0</v>
      </c>
      <c r="BB28" s="3068">
        <v>0</v>
      </c>
      <c r="BC28" s="3068">
        <v>0</v>
      </c>
      <c r="BD28" s="3086"/>
      <c r="BE28" s="3075">
        <f t="shared" si="25"/>
        <v>0</v>
      </c>
      <c r="BF28" s="2121"/>
      <c r="BG28" s="2168">
        <v>0</v>
      </c>
      <c r="BH28" s="2168">
        <v>0</v>
      </c>
      <c r="BI28" s="2171">
        <f t="shared" ref="BI28" si="39">BG28+BH28</f>
        <v>0</v>
      </c>
      <c r="BJ28" s="2635">
        <v>0</v>
      </c>
      <c r="BK28" s="3040">
        <v>0</v>
      </c>
      <c r="BL28" s="3402"/>
      <c r="BM28" s="2611">
        <f>AD28+AO28</f>
        <v>0</v>
      </c>
      <c r="BN28" s="2111">
        <f t="shared" ref="BN28" si="40">AF28+AQ28</f>
        <v>0</v>
      </c>
      <c r="BO28" s="2101">
        <f>BM28-BN28</f>
        <v>0</v>
      </c>
      <c r="BP28" s="2101">
        <f t="shared" ref="BP28" si="41">BM28+BO28</f>
        <v>0</v>
      </c>
      <c r="BQ28" s="2371">
        <f t="shared" ref="BQ28" si="42">BM28+BN28</f>
        <v>0</v>
      </c>
      <c r="BR28" s="3045">
        <f>AI28+AU28</f>
        <v>0</v>
      </c>
      <c r="BS28" s="3040">
        <f>AJ28+AV28</f>
        <v>0</v>
      </c>
      <c r="BT28" s="2456">
        <f t="shared" ref="BT28" si="43">BR28+BS28</f>
        <v>0</v>
      </c>
      <c r="BU28" s="3147"/>
      <c r="BV28" s="3058"/>
      <c r="BW28" s="3058"/>
      <c r="BX28" s="3058"/>
      <c r="BY28" s="3147"/>
      <c r="BZ28" s="3147"/>
      <c r="CA28" s="3147"/>
      <c r="CB28" s="3148"/>
      <c r="CC28" s="3147"/>
      <c r="CD28" s="3147"/>
      <c r="CE28" s="3147"/>
      <c r="CF28" s="3147"/>
      <c r="CG28" s="3147"/>
      <c r="CH28" s="1050"/>
      <c r="CI28" s="2854"/>
      <c r="CJ28" s="2854"/>
      <c r="CK28" s="2854"/>
      <c r="CL28" s="2854"/>
      <c r="CM28" s="2854"/>
      <c r="CN28" s="2854"/>
      <c r="CO28" s="2854"/>
      <c r="CP28" s="2854"/>
      <c r="CQ28" s="2854"/>
      <c r="CR28" s="2854"/>
      <c r="CS28" s="2854"/>
      <c r="CT28" s="2854"/>
      <c r="CU28" s="175"/>
      <c r="CV28" s="2854"/>
      <c r="CY28" s="1967"/>
      <c r="TU28" s="3783"/>
      <c r="TV28" s="3783"/>
      <c r="TW28" s="3783"/>
      <c r="TX28" s="3783"/>
      <c r="TY28" s="3783"/>
      <c r="TZ28" s="3783"/>
      <c r="UA28" s="3783"/>
      <c r="UB28" s="3783"/>
      <c r="UC28" s="3783"/>
      <c r="UD28" s="3783"/>
      <c r="UE28" s="3783"/>
      <c r="UF28" s="3783"/>
      <c r="UG28" s="3783"/>
      <c r="UH28" s="3783"/>
      <c r="UI28" s="3783"/>
      <c r="UJ28" s="3783"/>
      <c r="UK28" s="3783"/>
      <c r="UL28" s="3783"/>
      <c r="UM28" s="3783"/>
      <c r="UN28" s="3783"/>
      <c r="UO28" s="3783"/>
    </row>
    <row r="29" spans="1:2363" s="1144" customFormat="1" ht="15" customHeight="1" x14ac:dyDescent="0.25">
      <c r="A29" s="3868"/>
      <c r="B29" s="3889"/>
      <c r="C29" s="2966"/>
      <c r="D29" s="2967"/>
      <c r="E29" s="2958"/>
      <c r="F29" s="2488"/>
      <c r="G29" s="3023"/>
      <c r="H29" s="2960"/>
      <c r="I29" s="2488"/>
      <c r="J29" s="2488"/>
      <c r="K29" s="3024"/>
      <c r="L29" s="3025"/>
      <c r="M29" s="3025"/>
      <c r="N29" s="3016"/>
      <c r="O29" s="2918"/>
      <c r="P29" s="3052"/>
      <c r="Q29" s="3025"/>
      <c r="R29" s="3026"/>
      <c r="S29" s="3027"/>
      <c r="T29" s="3051"/>
      <c r="U29" s="2961"/>
      <c r="V29" s="3019"/>
      <c r="W29" s="2959"/>
      <c r="X29" s="2488"/>
      <c r="Y29" s="3020"/>
      <c r="Z29" s="3132"/>
      <c r="AA29" s="1837"/>
      <c r="AB29" s="2124"/>
      <c r="AC29" s="1831"/>
      <c r="AD29" s="2877"/>
      <c r="AE29" s="2877"/>
      <c r="AF29" s="2877"/>
      <c r="AG29" s="2867"/>
      <c r="AH29" s="2055"/>
      <c r="AI29" s="1837"/>
      <c r="AJ29" s="3030"/>
      <c r="AK29" s="2431"/>
      <c r="AL29" s="2962"/>
      <c r="AM29" s="2962"/>
      <c r="AN29" s="3034"/>
      <c r="AO29" s="2668"/>
      <c r="AP29" s="2176"/>
      <c r="AQ29" s="2191"/>
      <c r="AR29" s="3035"/>
      <c r="AS29" s="2176">
        <f>+AO29+AP29+AQ29+AR29</f>
        <v>0</v>
      </c>
      <c r="AT29" s="2669"/>
      <c r="AU29" s="3036"/>
      <c r="AV29" s="2179"/>
      <c r="AW29" s="2963">
        <f>+AU29+AV29</f>
        <v>0</v>
      </c>
      <c r="AX29" s="3291"/>
      <c r="AY29" s="3295"/>
      <c r="AZ29" s="3034"/>
      <c r="BA29" s="3088"/>
      <c r="BB29" s="3089"/>
      <c r="BC29" s="3079"/>
      <c r="BD29" s="3090"/>
      <c r="BE29" s="3090">
        <f t="shared" si="25"/>
        <v>0</v>
      </c>
      <c r="BF29" s="2669"/>
      <c r="BG29" s="3036"/>
      <c r="BH29" s="2179"/>
      <c r="BI29" s="2963"/>
      <c r="BJ29" s="3039"/>
      <c r="BK29" s="2621"/>
      <c r="BL29" s="3038"/>
      <c r="BM29" s="3403"/>
      <c r="BN29" s="3043"/>
      <c r="BO29" s="3042"/>
      <c r="BP29" s="3042"/>
      <c r="BQ29" s="3042"/>
      <c r="BR29" s="2621"/>
      <c r="BS29" s="3041"/>
      <c r="BT29" s="2964"/>
      <c r="BU29" s="3147"/>
      <c r="BV29" s="3058"/>
      <c r="BW29" s="3058"/>
      <c r="BX29" s="3058"/>
      <c r="BY29" s="3147"/>
      <c r="BZ29" s="3147"/>
      <c r="CA29" s="3147"/>
      <c r="CB29" s="3148"/>
      <c r="CC29" s="3147"/>
      <c r="CD29" s="3147"/>
      <c r="CE29" s="3147"/>
      <c r="CF29" s="3147"/>
      <c r="CG29" s="3147"/>
      <c r="CH29" s="1050"/>
      <c r="CI29" s="2854"/>
      <c r="CJ29" s="2854"/>
      <c r="CK29" s="2854"/>
      <c r="CL29" s="2854"/>
      <c r="CM29" s="2854"/>
      <c r="CN29" s="2854"/>
      <c r="CO29" s="2854"/>
      <c r="CP29" s="2854"/>
      <c r="CQ29" s="2854"/>
      <c r="CR29" s="2854"/>
      <c r="CS29" s="2854"/>
      <c r="CT29" s="2854"/>
      <c r="CU29" s="175"/>
      <c r="CV29" s="2854"/>
      <c r="CY29" s="1967"/>
      <c r="TU29" s="3783"/>
      <c r="TV29" s="3783"/>
      <c r="TW29" s="3783"/>
      <c r="TX29" s="3783"/>
      <c r="TY29" s="3783"/>
      <c r="TZ29" s="3783"/>
      <c r="UA29" s="3783"/>
      <c r="UB29" s="3783"/>
      <c r="UC29" s="3783"/>
      <c r="UD29" s="3783"/>
      <c r="UE29" s="3783"/>
      <c r="UF29" s="3783"/>
      <c r="UG29" s="3783"/>
      <c r="UH29" s="3783"/>
      <c r="UI29" s="3783"/>
      <c r="UJ29" s="3783"/>
      <c r="UK29" s="3783"/>
      <c r="UL29" s="3783"/>
      <c r="UM29" s="3783"/>
      <c r="UN29" s="3783"/>
      <c r="UO29" s="3783"/>
    </row>
    <row r="30" spans="1:2363" s="1144" customFormat="1" ht="15" customHeight="1" x14ac:dyDescent="0.2">
      <c r="A30" s="3868"/>
      <c r="B30" s="3890"/>
      <c r="C30" s="2981"/>
      <c r="D30" s="2727" t="s">
        <v>642</v>
      </c>
      <c r="E30" s="2257"/>
      <c r="F30" s="1905"/>
      <c r="G30" s="2134"/>
      <c r="H30" s="2133"/>
      <c r="I30" s="1905"/>
      <c r="J30" s="1905"/>
      <c r="K30" s="2133"/>
      <c r="L30" s="1905"/>
      <c r="M30" s="1905"/>
      <c r="N30" s="1905"/>
      <c r="O30" s="2155"/>
      <c r="P30" s="1905"/>
      <c r="Q30" s="1905"/>
      <c r="R30" s="1905"/>
      <c r="S30" s="1905"/>
      <c r="T30" s="2155"/>
      <c r="U30" s="1905"/>
      <c r="V30" s="1905"/>
      <c r="W30" s="1905"/>
      <c r="X30" s="1905"/>
      <c r="Y30" s="1905"/>
      <c r="Z30" s="2805">
        <f>+Z28+Z29</f>
        <v>60071.78</v>
      </c>
      <c r="AA30" s="2805"/>
      <c r="AB30" s="1905"/>
      <c r="AC30" s="2014"/>
      <c r="AD30" s="1905"/>
      <c r="AE30" s="1905"/>
      <c r="AF30" s="1905"/>
      <c r="AG30" s="1905"/>
      <c r="AH30" s="1905">
        <f t="shared" si="36"/>
        <v>0</v>
      </c>
      <c r="AI30" s="1905">
        <f>SUM(AI28:AI28)</f>
        <v>0</v>
      </c>
      <c r="AJ30" s="1905">
        <f>+AJ28+AJ29</f>
        <v>0</v>
      </c>
      <c r="AK30" s="2155">
        <f>+AK28+AK29</f>
        <v>0</v>
      </c>
      <c r="AL30" s="1905">
        <f>SUM(AL28:AL28)</f>
        <v>0</v>
      </c>
      <c r="AM30" s="1905">
        <f>SUM(AM28:AM28)</f>
        <v>0</v>
      </c>
      <c r="AN30" s="1905">
        <f>AL30+AM30</f>
        <v>0</v>
      </c>
      <c r="AO30" s="1905">
        <f>SUM(AO28:AO28)</f>
        <v>0</v>
      </c>
      <c r="AP30" s="1905">
        <f>SUM(AP28:AP28)</f>
        <v>0</v>
      </c>
      <c r="AQ30" s="1905">
        <f>SUM(AQ28:AQ28)</f>
        <v>0</v>
      </c>
      <c r="AR30" s="1905"/>
      <c r="AS30" s="3032">
        <f t="shared" ref="AS30:BT30" si="44">SUM(AS28:AS28)</f>
        <v>0</v>
      </c>
      <c r="AT30" s="1905">
        <f t="shared" si="44"/>
        <v>0</v>
      </c>
      <c r="AU30" s="1905">
        <f t="shared" si="44"/>
        <v>0</v>
      </c>
      <c r="AV30" s="1905">
        <f t="shared" si="44"/>
        <v>0</v>
      </c>
      <c r="AW30" s="2155">
        <f t="shared" si="44"/>
        <v>0</v>
      </c>
      <c r="AX30" s="1905">
        <f>SUM(AX28:AX28)</f>
        <v>60071.78</v>
      </c>
      <c r="AY30" s="1905">
        <f>SUM(AY28:AY28)</f>
        <v>60071.78</v>
      </c>
      <c r="AZ30" s="1905">
        <f>AX30+AY30</f>
        <v>120143.56</v>
      </c>
      <c r="BA30" s="1905">
        <f>SUM(BA28:BA28)</f>
        <v>0</v>
      </c>
      <c r="BB30" s="1905">
        <f>SUM(BB28:BB28)</f>
        <v>0</v>
      </c>
      <c r="BC30" s="1905">
        <f>SUM(BC28:BC28)</f>
        <v>0</v>
      </c>
      <c r="BD30" s="1905"/>
      <c r="BE30" s="3032">
        <f>SUM(BE28:BE28)</f>
        <v>0</v>
      </c>
      <c r="BF30" s="1905">
        <f t="shared" ref="BF30:BI30" si="45">SUM(BF28:BF28)</f>
        <v>0</v>
      </c>
      <c r="BG30" s="1905">
        <f t="shared" si="45"/>
        <v>0</v>
      </c>
      <c r="BH30" s="1905">
        <f t="shared" si="45"/>
        <v>0</v>
      </c>
      <c r="BI30" s="2155">
        <f t="shared" si="45"/>
        <v>0</v>
      </c>
      <c r="BJ30" s="2174">
        <f t="shared" si="44"/>
        <v>0</v>
      </c>
      <c r="BK30" s="2174">
        <f>SUM(BK28:BK28)</f>
        <v>0</v>
      </c>
      <c r="BL30" s="2174">
        <f t="shared" si="44"/>
        <v>0</v>
      </c>
      <c r="BM30" s="2174">
        <f t="shared" si="44"/>
        <v>0</v>
      </c>
      <c r="BN30" s="2174">
        <f t="shared" si="44"/>
        <v>0</v>
      </c>
      <c r="BO30" s="2174"/>
      <c r="BP30" s="2174">
        <f t="shared" si="44"/>
        <v>0</v>
      </c>
      <c r="BQ30" s="2174">
        <f t="shared" si="44"/>
        <v>0</v>
      </c>
      <c r="BR30" s="2174">
        <f t="shared" si="44"/>
        <v>0</v>
      </c>
      <c r="BS30" s="2174">
        <f t="shared" si="44"/>
        <v>0</v>
      </c>
      <c r="BT30" s="2662">
        <f t="shared" si="44"/>
        <v>0</v>
      </c>
      <c r="BU30" s="3147"/>
      <c r="BV30" s="3058"/>
      <c r="BW30" s="3058"/>
      <c r="BX30" s="3058"/>
      <c r="BY30" s="3147"/>
      <c r="BZ30" s="3147"/>
      <c r="CA30" s="3147"/>
      <c r="CB30" s="3148"/>
      <c r="CC30" s="3147"/>
      <c r="CD30" s="3147"/>
      <c r="CE30" s="3147"/>
      <c r="CF30" s="3147"/>
      <c r="CG30" s="3147"/>
      <c r="CH30" s="1050"/>
      <c r="CI30" s="2854"/>
      <c r="CJ30" s="2854"/>
      <c r="CK30" s="2854"/>
      <c r="CL30" s="2854"/>
      <c r="CM30" s="2854"/>
      <c r="CN30" s="2854"/>
      <c r="CO30" s="2854"/>
      <c r="CP30" s="2854"/>
      <c r="CQ30" s="2854"/>
      <c r="CR30" s="2854"/>
      <c r="CS30" s="2854"/>
      <c r="CT30" s="2854"/>
      <c r="CU30" s="175"/>
      <c r="CV30" s="2854"/>
      <c r="CY30" s="1967"/>
      <c r="TU30" s="3783"/>
      <c r="TV30" s="3783"/>
      <c r="TW30" s="3783"/>
      <c r="TX30" s="3783"/>
      <c r="TY30" s="3783"/>
      <c r="TZ30" s="3783"/>
      <c r="UA30" s="3783"/>
      <c r="UB30" s="3783"/>
      <c r="UC30" s="3783"/>
      <c r="UD30" s="3783"/>
      <c r="UE30" s="3783"/>
      <c r="UF30" s="3783"/>
      <c r="UG30" s="3783"/>
      <c r="UH30" s="3783"/>
      <c r="UI30" s="3783"/>
      <c r="UJ30" s="3783"/>
      <c r="UK30" s="3783"/>
      <c r="UL30" s="3783"/>
      <c r="UM30" s="3783"/>
      <c r="UN30" s="3783"/>
      <c r="UO30" s="3783"/>
    </row>
    <row r="31" spans="1:2363" s="2847" customFormat="1" ht="27.75" customHeight="1" x14ac:dyDescent="0.2">
      <c r="A31" s="3869"/>
      <c r="B31" s="2844"/>
      <c r="C31" s="2980"/>
      <c r="D31" s="2979" t="s">
        <v>640</v>
      </c>
      <c r="E31" s="3198">
        <f>+E15+E18+E30+E27</f>
        <v>469</v>
      </c>
      <c r="F31" s="3133">
        <f>+F15+F18+F30+F27</f>
        <v>33370.740000000005</v>
      </c>
      <c r="G31" s="2845">
        <f>+F31/E31</f>
        <v>71.152963752665258</v>
      </c>
      <c r="H31" s="3133">
        <f>+H15+H18+H27+H30</f>
        <v>289</v>
      </c>
      <c r="I31" s="3137">
        <f>+I15+I18+I27+I30</f>
        <v>3798.25</v>
      </c>
      <c r="J31" s="2845">
        <f>+I31/H31</f>
        <v>13.142733564013842</v>
      </c>
      <c r="K31" s="3138">
        <f>+K15+K18+K27+K30</f>
        <v>4</v>
      </c>
      <c r="L31" s="2845">
        <f>+L15+L18+L27+L30</f>
        <v>415</v>
      </c>
      <c r="M31" s="2845">
        <f>+L31/K31</f>
        <v>103.75</v>
      </c>
      <c r="N31" s="2845">
        <f>+N15+N18+N27+N30</f>
        <v>37583.990000000005</v>
      </c>
      <c r="O31" s="3139">
        <f>+O15+O19</f>
        <v>37168.990000000005</v>
      </c>
      <c r="P31" s="2845">
        <f>+P15+P27+P18+P30</f>
        <v>443212.42</v>
      </c>
      <c r="Q31" s="2845">
        <f>+Q15+Q27+Q18+Q30</f>
        <v>593805.38</v>
      </c>
      <c r="R31" s="2845">
        <f>+R15+R18+R27+R30</f>
        <v>30659942.429999996</v>
      </c>
      <c r="S31" s="2845">
        <f>+S15+S18+S27+S30</f>
        <v>107007.76999999999</v>
      </c>
      <c r="T31" s="2845">
        <f>+T15+T18+T27+T30</f>
        <v>164068.74</v>
      </c>
      <c r="U31" s="2845">
        <f>+U15+U18+U27+U30</f>
        <v>4860107.6100000003</v>
      </c>
      <c r="V31" s="3137">
        <f>+V15+V18+V27+V30</f>
        <v>36828144.350000001</v>
      </c>
      <c r="W31" s="2845"/>
      <c r="X31" s="2845"/>
      <c r="Y31" s="2845"/>
      <c r="Z31" s="3582">
        <f>+Z15+Z18+Z27+Z30</f>
        <v>7037389.8251149813</v>
      </c>
      <c r="AA31" s="2845">
        <f>+AA15+AA18+AA27+AA30</f>
        <v>43794005.870000005</v>
      </c>
      <c r="AB31" s="2845">
        <f>+AB15+AB18+AB27+AB30</f>
        <v>43794005.870000005</v>
      </c>
      <c r="AC31" s="3029">
        <f>+AA31-AB31</f>
        <v>0</v>
      </c>
      <c r="AD31" s="2845">
        <f>+AD15+AD27++AD18+AD30</f>
        <v>197642115.49000001</v>
      </c>
      <c r="AE31" s="2845">
        <f>+AE15+AE27++AE18+AE30</f>
        <v>25158738.539999999</v>
      </c>
      <c r="AF31" s="2845">
        <f t="shared" ref="AF31:AK31" si="46">+AF15+AF18+AF27+AF30</f>
        <v>0</v>
      </c>
      <c r="AG31" s="2845">
        <f t="shared" si="46"/>
        <v>0</v>
      </c>
      <c r="AH31" s="3137">
        <f t="shared" si="46"/>
        <v>222800854.03</v>
      </c>
      <c r="AI31" s="2845">
        <f t="shared" si="46"/>
        <v>177392349.47999999</v>
      </c>
      <c r="AJ31" s="3137">
        <f t="shared" si="46"/>
        <v>43478793.940000005</v>
      </c>
      <c r="AK31" s="3139">
        <f t="shared" si="46"/>
        <v>220871143.41999999</v>
      </c>
      <c r="AL31" s="2845">
        <f>+AL15+AL18+AL27+AL30</f>
        <v>0</v>
      </c>
      <c r="AM31" s="2845">
        <f>+AM15+AM18+AM27+AM30</f>
        <v>0</v>
      </c>
      <c r="AN31" s="2845">
        <f>+AL31-AM31</f>
        <v>0</v>
      </c>
      <c r="AO31" s="2845">
        <f t="shared" ref="AO31:AQ31" si="47">+AO15+AO18+AO27+AO30</f>
        <v>0</v>
      </c>
      <c r="AP31" s="2845">
        <f t="shared" si="47"/>
        <v>0</v>
      </c>
      <c r="AQ31" s="2845">
        <f t="shared" si="47"/>
        <v>0</v>
      </c>
      <c r="AR31" s="3583">
        <f>+AR15+AR18+AR27+AR30</f>
        <v>755300</v>
      </c>
      <c r="AS31" s="2845">
        <f t="shared" ref="AS31:AW31" si="48">+AS15+AS18+AS27+AS30</f>
        <v>755300</v>
      </c>
      <c r="AT31" s="2845">
        <f t="shared" si="48"/>
        <v>714300</v>
      </c>
      <c r="AU31" s="3287">
        <f>+AU15+AU18+AU27+AU30</f>
        <v>0</v>
      </c>
      <c r="AV31" s="3287">
        <f t="shared" si="48"/>
        <v>755300</v>
      </c>
      <c r="AW31" s="2846">
        <f t="shared" si="48"/>
        <v>755300</v>
      </c>
      <c r="AX31" s="2845">
        <f>+AX15+AX27+AX30</f>
        <v>7037389.830000001</v>
      </c>
      <c r="AY31" s="2845">
        <f>+AY15+AY27+AY30</f>
        <v>7037389.830000001</v>
      </c>
      <c r="AZ31" s="2845"/>
      <c r="BA31" s="2845">
        <f>+BA15+BA18+BA27+BA30</f>
        <v>33287509.049999997</v>
      </c>
      <c r="BB31" s="2845">
        <f t="shared" ref="BB31:BD31" si="49">+BB15+BB18+BB27+BB30</f>
        <v>3540635.3200000003</v>
      </c>
      <c r="BC31" s="2845">
        <f t="shared" si="49"/>
        <v>1156916.2</v>
      </c>
      <c r="BD31" s="3287">
        <f t="shared" si="49"/>
        <v>7024360.1299999999</v>
      </c>
      <c r="BE31" s="2845">
        <f t="shared" ref="BE31:BL31" si="50">+BE15+BE18+BE27+BE30</f>
        <v>45009420.699999996</v>
      </c>
      <c r="BF31" s="2845">
        <f t="shared" si="50"/>
        <v>0</v>
      </c>
      <c r="BG31" s="2845">
        <f t="shared" si="50"/>
        <v>30283510.390000001</v>
      </c>
      <c r="BH31" s="2845">
        <f t="shared" si="50"/>
        <v>8676326.5399999991</v>
      </c>
      <c r="BI31" s="2845">
        <f>+BI15+BI18+BI27+BI30</f>
        <v>38959836.930000007</v>
      </c>
      <c r="BJ31" s="2845">
        <f t="shared" si="50"/>
        <v>0</v>
      </c>
      <c r="BK31" s="2845">
        <f t="shared" si="50"/>
        <v>0</v>
      </c>
      <c r="BL31" s="2845">
        <f t="shared" si="50"/>
        <v>0</v>
      </c>
      <c r="BM31" s="2845">
        <f>+BM15+BM18+BM27+BM30</f>
        <v>0</v>
      </c>
      <c r="BN31" s="2845">
        <f t="shared" ref="BN31:BO31" si="51">+BN15+BN18+BN27+BN30</f>
        <v>0</v>
      </c>
      <c r="BO31" s="2845">
        <f t="shared" si="51"/>
        <v>0</v>
      </c>
      <c r="BP31" s="2845">
        <f>+BP15+BP18+BP27+BP30</f>
        <v>733300</v>
      </c>
      <c r="BQ31" s="3137">
        <f>+BQ15+BQ18+BQ27+BQ30</f>
        <v>733300</v>
      </c>
      <c r="BR31" s="2845">
        <f>+BR15+BR18+BR27+BR30</f>
        <v>0</v>
      </c>
      <c r="BS31" s="2845">
        <f>+BS15+BS18+BS27+BS30</f>
        <v>733300</v>
      </c>
      <c r="BT31" s="2846">
        <f>+BT15+BT27+BT30+BT18</f>
        <v>733300</v>
      </c>
      <c r="BU31" s="3149"/>
      <c r="BV31" s="3058"/>
      <c r="BW31" s="3058"/>
      <c r="BX31" s="3058"/>
      <c r="BY31" s="3149"/>
      <c r="BZ31" s="3149"/>
      <c r="CA31" s="3149"/>
      <c r="CB31" s="3149"/>
      <c r="CC31" s="3149"/>
      <c r="CD31" s="3149"/>
      <c r="CE31" s="3149"/>
      <c r="CF31" s="3149"/>
      <c r="CG31" s="3149"/>
      <c r="CH31" s="3150"/>
      <c r="CI31" s="3151"/>
      <c r="CJ31" s="3151"/>
      <c r="CK31" s="3151"/>
      <c r="CL31" s="3151"/>
      <c r="CM31" s="3151"/>
      <c r="CN31" s="3151"/>
      <c r="CO31" s="3151"/>
      <c r="CP31" s="3151"/>
      <c r="CQ31" s="3151"/>
      <c r="CR31" s="3151"/>
      <c r="CS31" s="3151"/>
      <c r="CT31" s="3151"/>
      <c r="CU31" s="3151"/>
      <c r="CV31" s="3151"/>
      <c r="CW31" s="3152"/>
      <c r="CX31" s="3152"/>
      <c r="CY31" s="3152"/>
      <c r="CZ31" s="3152"/>
      <c r="DA31" s="3152"/>
      <c r="DB31" s="3152"/>
      <c r="DC31" s="3152"/>
      <c r="DD31" s="3152"/>
      <c r="DE31" s="3152"/>
      <c r="DF31" s="3152"/>
      <c r="DG31" s="3152"/>
      <c r="DH31" s="3152"/>
      <c r="DI31" s="3152"/>
      <c r="DJ31" s="3152"/>
      <c r="DK31" s="3152"/>
      <c r="DL31" s="3152"/>
      <c r="DM31" s="3152"/>
      <c r="DN31" s="3152"/>
      <c r="DO31" s="3152"/>
      <c r="DP31" s="3152"/>
      <c r="DQ31" s="3152"/>
      <c r="DR31" s="3152"/>
      <c r="DS31" s="3152"/>
      <c r="DT31" s="3152"/>
      <c r="DU31" s="3152"/>
      <c r="DV31" s="3152"/>
      <c r="DW31" s="3152"/>
      <c r="DX31" s="3152"/>
      <c r="DY31" s="3152"/>
      <c r="DZ31" s="3152"/>
      <c r="EA31" s="3152"/>
      <c r="EB31" s="3152"/>
      <c r="EC31" s="3152"/>
      <c r="ED31" s="3152"/>
      <c r="EE31" s="3152"/>
      <c r="EF31" s="3152"/>
      <c r="EG31" s="3152"/>
      <c r="EH31" s="3152"/>
      <c r="EI31" s="3152"/>
      <c r="EJ31" s="3152"/>
      <c r="EK31" s="3152"/>
      <c r="EL31" s="3152"/>
      <c r="EM31" s="3152"/>
      <c r="EN31" s="3152"/>
      <c r="EO31" s="3152"/>
      <c r="EP31" s="3152"/>
      <c r="EQ31" s="3152"/>
      <c r="ER31" s="3152"/>
      <c r="ES31" s="3152"/>
      <c r="ET31" s="3152"/>
      <c r="EU31" s="3152"/>
      <c r="EV31" s="3152"/>
      <c r="EW31" s="3152"/>
      <c r="EX31" s="3152"/>
      <c r="EY31" s="3152"/>
      <c r="EZ31" s="3152"/>
      <c r="FA31" s="3152"/>
      <c r="FB31" s="3152"/>
      <c r="FC31" s="3152"/>
      <c r="FD31" s="3152"/>
      <c r="FE31" s="3152"/>
      <c r="FF31" s="3152"/>
      <c r="FG31" s="3152"/>
      <c r="FH31" s="3152"/>
      <c r="FI31" s="3152"/>
      <c r="FJ31" s="3152"/>
      <c r="FK31" s="3152"/>
      <c r="FL31" s="3152"/>
      <c r="FM31" s="3152"/>
      <c r="FN31" s="3152"/>
      <c r="FO31" s="3152"/>
      <c r="FP31" s="3152"/>
      <c r="FQ31" s="3152"/>
      <c r="FR31" s="3152"/>
      <c r="FS31" s="3152"/>
      <c r="FT31" s="3152"/>
      <c r="FU31" s="3152"/>
      <c r="FV31" s="3152"/>
      <c r="FW31" s="3152"/>
      <c r="FX31" s="3152"/>
      <c r="FY31" s="3152"/>
      <c r="FZ31" s="3152"/>
      <c r="GA31" s="3152"/>
      <c r="GB31" s="3152"/>
      <c r="GC31" s="3152"/>
      <c r="GD31" s="3152"/>
      <c r="GE31" s="3152"/>
      <c r="GF31" s="3152"/>
      <c r="GG31" s="3152"/>
      <c r="GH31" s="3152"/>
      <c r="GI31" s="3152"/>
      <c r="GJ31" s="3152"/>
      <c r="GK31" s="3152"/>
      <c r="GL31" s="3152"/>
      <c r="GM31" s="3152"/>
      <c r="GN31" s="3152"/>
      <c r="GO31" s="3152"/>
      <c r="GP31" s="3152"/>
      <c r="GQ31" s="3152"/>
      <c r="GR31" s="3152"/>
      <c r="GS31" s="3152"/>
      <c r="GT31" s="3152"/>
      <c r="GU31" s="3152"/>
      <c r="GV31" s="3152"/>
      <c r="GW31" s="3152"/>
      <c r="GX31" s="3152"/>
      <c r="GY31" s="3152"/>
      <c r="GZ31" s="3152"/>
      <c r="HA31" s="3152"/>
      <c r="HB31" s="3152"/>
      <c r="HC31" s="3152"/>
      <c r="HD31" s="3152"/>
      <c r="HE31" s="3152"/>
      <c r="HF31" s="3152"/>
      <c r="HG31" s="3152"/>
      <c r="HH31" s="3152"/>
      <c r="HI31" s="3152"/>
      <c r="HJ31" s="3152"/>
      <c r="HK31" s="3152"/>
      <c r="HL31" s="3152"/>
      <c r="HM31" s="3152"/>
      <c r="HN31" s="3152"/>
      <c r="HO31" s="3152"/>
      <c r="HP31" s="3152"/>
      <c r="HQ31" s="3152"/>
      <c r="HR31" s="3152"/>
      <c r="HS31" s="3152"/>
      <c r="HT31" s="3152"/>
      <c r="HU31" s="3152"/>
      <c r="HV31" s="3152"/>
      <c r="HW31" s="3152"/>
      <c r="HX31" s="3152"/>
      <c r="HY31" s="3152"/>
      <c r="HZ31" s="3152"/>
      <c r="IA31" s="3152"/>
      <c r="IB31" s="3152"/>
      <c r="IC31" s="3152"/>
      <c r="ID31" s="3152"/>
      <c r="IE31" s="3152"/>
      <c r="IF31" s="3152"/>
      <c r="IG31" s="3152"/>
      <c r="IH31" s="3152"/>
      <c r="II31" s="3152"/>
      <c r="IJ31" s="3152"/>
      <c r="IK31" s="3152"/>
      <c r="IL31" s="3152"/>
      <c r="IM31" s="3152"/>
      <c r="IN31" s="3152"/>
      <c r="IO31" s="3152"/>
      <c r="IP31" s="3152"/>
      <c r="IQ31" s="3152"/>
      <c r="IR31" s="3152"/>
      <c r="IS31" s="3152"/>
      <c r="IT31" s="3152"/>
      <c r="IU31" s="3152"/>
      <c r="IV31" s="3152"/>
      <c r="IW31" s="3152"/>
      <c r="IX31" s="3152"/>
      <c r="IY31" s="3152"/>
      <c r="IZ31" s="3152"/>
      <c r="JA31" s="3152"/>
      <c r="JB31" s="3152"/>
      <c r="JC31" s="3152"/>
      <c r="JD31" s="3152"/>
      <c r="JE31" s="3152"/>
      <c r="JF31" s="3152"/>
      <c r="JG31" s="3152"/>
      <c r="JH31" s="3152"/>
      <c r="JI31" s="3152"/>
      <c r="JJ31" s="3152"/>
      <c r="JK31" s="3152"/>
      <c r="JL31" s="3152"/>
      <c r="JM31" s="3152"/>
      <c r="JN31" s="3152"/>
      <c r="JO31" s="3152"/>
      <c r="JP31" s="3152"/>
      <c r="JQ31" s="3152"/>
      <c r="JR31" s="3152"/>
      <c r="JS31" s="3152"/>
      <c r="JT31" s="3152"/>
      <c r="JU31" s="3152"/>
      <c r="JV31" s="3152"/>
      <c r="JW31" s="3152"/>
      <c r="JX31" s="3152"/>
      <c r="JY31" s="3152"/>
      <c r="JZ31" s="3152"/>
      <c r="KA31" s="3152"/>
      <c r="KB31" s="3152"/>
      <c r="KC31" s="3152"/>
      <c r="KD31" s="3152"/>
      <c r="KE31" s="3152"/>
      <c r="KF31" s="3152"/>
      <c r="KG31" s="3152"/>
      <c r="KH31" s="3152"/>
      <c r="KI31" s="3152"/>
      <c r="KJ31" s="3152"/>
      <c r="KK31" s="3152"/>
      <c r="KL31" s="3152"/>
      <c r="KM31" s="3152"/>
      <c r="KN31" s="3152"/>
      <c r="KO31" s="3152"/>
      <c r="KP31" s="3152"/>
      <c r="KQ31" s="3152"/>
      <c r="KR31" s="3152"/>
      <c r="KS31" s="3152"/>
      <c r="KT31" s="3152"/>
      <c r="KU31" s="3152"/>
      <c r="KV31" s="3152"/>
      <c r="KW31" s="3152"/>
      <c r="KX31" s="3152"/>
      <c r="KY31" s="3152"/>
      <c r="KZ31" s="3152"/>
      <c r="LA31" s="3152"/>
      <c r="LB31" s="3152"/>
      <c r="LC31" s="3152"/>
      <c r="LD31" s="3152"/>
      <c r="LE31" s="3152"/>
      <c r="LF31" s="3152"/>
      <c r="LG31" s="3152"/>
      <c r="LH31" s="3152"/>
      <c r="LI31" s="3152"/>
      <c r="LJ31" s="3152"/>
      <c r="LK31" s="3152"/>
      <c r="LL31" s="3152"/>
      <c r="LM31" s="3152"/>
      <c r="LN31" s="3152"/>
      <c r="LO31" s="3152"/>
      <c r="LP31" s="3152"/>
      <c r="LQ31" s="3152"/>
      <c r="LR31" s="3152"/>
      <c r="LS31" s="3152"/>
      <c r="LT31" s="3152"/>
      <c r="LU31" s="3152"/>
      <c r="LV31" s="3152"/>
      <c r="LW31" s="3152"/>
      <c r="LX31" s="3152"/>
      <c r="LY31" s="3152"/>
      <c r="LZ31" s="3152"/>
      <c r="MA31" s="3152"/>
      <c r="MB31" s="3152"/>
      <c r="MC31" s="3152"/>
      <c r="MD31" s="3152"/>
      <c r="ME31" s="3152"/>
      <c r="MF31" s="3152"/>
      <c r="MG31" s="3152"/>
      <c r="MH31" s="3152"/>
      <c r="MI31" s="3152"/>
      <c r="MJ31" s="3152"/>
      <c r="MK31" s="3152"/>
      <c r="ML31" s="3152"/>
      <c r="MM31" s="3152"/>
      <c r="MN31" s="3152"/>
      <c r="MO31" s="3152"/>
      <c r="MP31" s="3152"/>
      <c r="MQ31" s="3152"/>
      <c r="MR31" s="3152"/>
      <c r="MS31" s="3152"/>
      <c r="MT31" s="3152"/>
      <c r="MU31" s="3152"/>
      <c r="MV31" s="3152"/>
      <c r="MW31" s="3152"/>
      <c r="MX31" s="3152"/>
      <c r="MY31" s="3152"/>
      <c r="MZ31" s="3152"/>
      <c r="NA31" s="3152"/>
      <c r="NB31" s="3152"/>
      <c r="NC31" s="3152"/>
      <c r="ND31" s="3152"/>
      <c r="NE31" s="3152"/>
      <c r="NF31" s="3152"/>
      <c r="NG31" s="3152"/>
      <c r="NH31" s="3152"/>
      <c r="NI31" s="3152"/>
      <c r="NJ31" s="3152"/>
      <c r="NK31" s="3152"/>
      <c r="NL31" s="3152"/>
      <c r="NM31" s="3152"/>
      <c r="NN31" s="3152"/>
      <c r="NO31" s="3152"/>
      <c r="NP31" s="3152"/>
      <c r="NQ31" s="3152"/>
      <c r="NR31" s="3152"/>
      <c r="NS31" s="3152"/>
      <c r="NT31" s="3152"/>
      <c r="NU31" s="3152"/>
      <c r="NV31" s="3152"/>
      <c r="NW31" s="3152"/>
      <c r="NX31" s="3152"/>
      <c r="NY31" s="3152"/>
      <c r="NZ31" s="3152"/>
      <c r="OA31" s="3152"/>
      <c r="OB31" s="3152"/>
      <c r="OC31" s="3152"/>
      <c r="OD31" s="3152"/>
      <c r="OE31" s="3152"/>
      <c r="OF31" s="3152"/>
      <c r="OG31" s="3152"/>
      <c r="OH31" s="3152"/>
      <c r="OI31" s="3152"/>
      <c r="OJ31" s="3152"/>
      <c r="OK31" s="3152"/>
      <c r="OL31" s="3152"/>
      <c r="OM31" s="3152"/>
      <c r="ON31" s="3152"/>
      <c r="OO31" s="3152"/>
      <c r="OP31" s="3152"/>
      <c r="OQ31" s="3152"/>
      <c r="OR31" s="3152"/>
      <c r="OS31" s="3152"/>
      <c r="OT31" s="3152"/>
      <c r="OU31" s="3152"/>
      <c r="OV31" s="3152"/>
      <c r="OW31" s="3152"/>
      <c r="OX31" s="3152"/>
      <c r="OY31" s="3152"/>
      <c r="OZ31" s="3152"/>
      <c r="PA31" s="3152"/>
      <c r="PB31" s="3152"/>
      <c r="PC31" s="3152"/>
      <c r="PD31" s="3152"/>
      <c r="PE31" s="3152"/>
      <c r="PF31" s="3152"/>
      <c r="PG31" s="3152"/>
      <c r="PH31" s="3152"/>
      <c r="PI31" s="3152"/>
      <c r="PJ31" s="3152"/>
      <c r="PK31" s="3152"/>
      <c r="PL31" s="3152"/>
      <c r="PM31" s="3152"/>
      <c r="PN31" s="3152"/>
      <c r="PO31" s="3152"/>
      <c r="PP31" s="3152"/>
      <c r="PQ31" s="3152"/>
      <c r="PR31" s="3152"/>
      <c r="PS31" s="3152"/>
      <c r="PT31" s="3152"/>
      <c r="PU31" s="3152"/>
      <c r="PV31" s="3152"/>
      <c r="PW31" s="3152"/>
      <c r="PX31" s="3152"/>
      <c r="PY31" s="3152"/>
      <c r="PZ31" s="3152"/>
      <c r="QA31" s="3152"/>
      <c r="QB31" s="3152"/>
      <c r="QC31" s="3152"/>
      <c r="QD31" s="3152"/>
      <c r="QE31" s="3152"/>
      <c r="QF31" s="3152"/>
      <c r="QG31" s="3152"/>
      <c r="QH31" s="3152"/>
      <c r="QI31" s="3152"/>
      <c r="QJ31" s="3152"/>
      <c r="QK31" s="3152"/>
      <c r="QL31" s="3152"/>
      <c r="QM31" s="3152"/>
      <c r="QN31" s="3152"/>
      <c r="QO31" s="3152"/>
      <c r="QP31" s="3152"/>
      <c r="QQ31" s="3152"/>
      <c r="QR31" s="3152"/>
      <c r="QS31" s="3152"/>
      <c r="QT31" s="3152"/>
      <c r="QU31" s="3152"/>
      <c r="QV31" s="3152"/>
      <c r="QW31" s="3152"/>
      <c r="QX31" s="3152"/>
      <c r="QY31" s="3152"/>
      <c r="QZ31" s="3152"/>
      <c r="RA31" s="3152"/>
      <c r="RB31" s="3152"/>
      <c r="RC31" s="3152"/>
      <c r="RD31" s="3152"/>
      <c r="RE31" s="3152"/>
      <c r="RF31" s="3152"/>
      <c r="RG31" s="3152"/>
      <c r="RH31" s="3152"/>
      <c r="RI31" s="3152"/>
      <c r="RJ31" s="3152"/>
      <c r="RK31" s="3152"/>
      <c r="RL31" s="3152"/>
      <c r="RM31" s="3152"/>
      <c r="RN31" s="3152"/>
      <c r="RO31" s="3152"/>
      <c r="RP31" s="3152"/>
      <c r="RQ31" s="3152"/>
      <c r="RR31" s="3152"/>
      <c r="RS31" s="3152"/>
      <c r="RT31" s="3152"/>
      <c r="RU31" s="3152"/>
      <c r="RV31" s="3152"/>
      <c r="RW31" s="3152"/>
      <c r="RX31" s="3152"/>
      <c r="RY31" s="3152"/>
      <c r="RZ31" s="3152"/>
      <c r="SA31" s="3152"/>
      <c r="SB31" s="3152"/>
      <c r="SC31" s="3152"/>
      <c r="SD31" s="3152"/>
      <c r="SE31" s="3152"/>
      <c r="SF31" s="3152"/>
      <c r="SG31" s="3152"/>
      <c r="SH31" s="3152"/>
      <c r="SI31" s="3152"/>
      <c r="SJ31" s="3152"/>
      <c r="SK31" s="3152"/>
      <c r="SL31" s="3152"/>
      <c r="SM31" s="3152"/>
      <c r="SN31" s="3152"/>
      <c r="SO31" s="3152"/>
      <c r="SP31" s="3152"/>
      <c r="SQ31" s="3152"/>
      <c r="SR31" s="3152"/>
      <c r="SS31" s="3152"/>
      <c r="ST31" s="3152"/>
      <c r="SU31" s="3152"/>
      <c r="SV31" s="3152"/>
      <c r="SW31" s="3152"/>
      <c r="SX31" s="3152"/>
      <c r="SY31" s="3152"/>
      <c r="SZ31" s="3152"/>
      <c r="TA31" s="3152"/>
      <c r="TB31" s="3152"/>
      <c r="TC31" s="3152"/>
      <c r="TD31" s="3152"/>
      <c r="TE31" s="3152"/>
      <c r="TF31" s="3152"/>
      <c r="TG31" s="3152"/>
      <c r="TH31" s="3152"/>
      <c r="TI31" s="3152"/>
      <c r="TJ31" s="3152"/>
      <c r="TK31" s="3152"/>
      <c r="TL31" s="3152"/>
      <c r="TM31" s="3152"/>
      <c r="TN31" s="3152"/>
      <c r="TO31" s="3152"/>
      <c r="TP31" s="3152"/>
      <c r="TQ31" s="3152"/>
      <c r="TR31" s="3152"/>
      <c r="TS31" s="3152"/>
      <c r="TT31" s="3152"/>
      <c r="TU31" s="3783"/>
      <c r="TV31" s="3783"/>
      <c r="TW31" s="3783"/>
      <c r="TX31" s="3783"/>
      <c r="TY31" s="3783"/>
      <c r="TZ31" s="3783"/>
      <c r="UA31" s="3783"/>
      <c r="UB31" s="3783"/>
      <c r="UC31" s="3783"/>
      <c r="UD31" s="3783"/>
      <c r="UE31" s="3783"/>
      <c r="UF31" s="3783"/>
      <c r="UG31" s="3783"/>
      <c r="UH31" s="3783"/>
      <c r="UI31" s="3783"/>
      <c r="UJ31" s="3783"/>
      <c r="UK31" s="3783"/>
      <c r="UL31" s="3783"/>
      <c r="UM31" s="3783"/>
      <c r="UN31" s="3783"/>
      <c r="UO31" s="3783"/>
      <c r="UP31" s="3152"/>
      <c r="UQ31" s="3152"/>
      <c r="UR31" s="3152"/>
      <c r="US31" s="3152"/>
      <c r="UT31" s="3152"/>
      <c r="UU31" s="3152"/>
      <c r="UV31" s="3152"/>
      <c r="UW31" s="3152"/>
      <c r="UX31" s="3152"/>
      <c r="UY31" s="3152"/>
      <c r="UZ31" s="3152"/>
      <c r="VA31" s="3152"/>
      <c r="VB31" s="3152"/>
      <c r="VC31" s="3152"/>
      <c r="VD31" s="3152"/>
      <c r="VE31" s="3152"/>
      <c r="VF31" s="3152"/>
      <c r="VG31" s="3152"/>
      <c r="VH31" s="3152"/>
      <c r="VI31" s="3152"/>
      <c r="VJ31" s="3152"/>
      <c r="VK31" s="3152"/>
      <c r="VL31" s="3152"/>
      <c r="VM31" s="3152"/>
      <c r="VN31" s="3152"/>
      <c r="VO31" s="3152"/>
      <c r="VP31" s="3152"/>
      <c r="VQ31" s="3152"/>
      <c r="VR31" s="3152"/>
      <c r="VS31" s="3152"/>
      <c r="VT31" s="3152"/>
      <c r="VU31" s="3152"/>
      <c r="VV31" s="3152"/>
      <c r="VW31" s="3152"/>
      <c r="VX31" s="3152"/>
      <c r="VY31" s="3152"/>
      <c r="VZ31" s="3152"/>
      <c r="WA31" s="3152"/>
      <c r="WB31" s="3152"/>
      <c r="WC31" s="3152"/>
      <c r="WD31" s="3152"/>
      <c r="WE31" s="3152"/>
      <c r="WF31" s="3152"/>
      <c r="WG31" s="3152"/>
      <c r="WH31" s="3152"/>
      <c r="WI31" s="3152"/>
      <c r="WJ31" s="3152"/>
      <c r="WK31" s="3152"/>
      <c r="WL31" s="3152"/>
      <c r="WM31" s="3152"/>
      <c r="WN31" s="3152"/>
      <c r="WO31" s="3152"/>
      <c r="WP31" s="3152"/>
      <c r="WQ31" s="3152"/>
      <c r="WR31" s="3152"/>
      <c r="WS31" s="3152"/>
      <c r="WT31" s="3152"/>
      <c r="WU31" s="3152"/>
      <c r="WV31" s="3152"/>
      <c r="WW31" s="3152"/>
      <c r="WX31" s="3152"/>
      <c r="WY31" s="3152"/>
      <c r="WZ31" s="3152"/>
      <c r="XA31" s="3152"/>
      <c r="XB31" s="3152"/>
      <c r="XC31" s="3152"/>
      <c r="XD31" s="3152"/>
      <c r="XE31" s="3152"/>
      <c r="XF31" s="3152"/>
      <c r="XG31" s="3152"/>
      <c r="XH31" s="3152"/>
      <c r="XI31" s="3152"/>
      <c r="XJ31" s="3152"/>
      <c r="XK31" s="3152"/>
      <c r="XL31" s="3152"/>
      <c r="XM31" s="3152"/>
      <c r="XN31" s="3152"/>
      <c r="XO31" s="3152"/>
      <c r="XP31" s="3152"/>
      <c r="XQ31" s="3152"/>
      <c r="XR31" s="3152"/>
      <c r="XS31" s="3152"/>
      <c r="XT31" s="3152"/>
      <c r="XU31" s="3152"/>
      <c r="XV31" s="3152"/>
      <c r="XW31" s="3152"/>
      <c r="XX31" s="3152"/>
      <c r="XY31" s="3152"/>
      <c r="XZ31" s="3152"/>
      <c r="YA31" s="3152"/>
      <c r="YB31" s="3152"/>
      <c r="YC31" s="3152"/>
      <c r="YD31" s="3152"/>
      <c r="YE31" s="3152"/>
      <c r="YF31" s="3152"/>
      <c r="YG31" s="3152"/>
      <c r="YH31" s="3152"/>
      <c r="YI31" s="3152"/>
      <c r="YJ31" s="3152"/>
      <c r="YK31" s="3152"/>
      <c r="YL31" s="3152"/>
      <c r="YM31" s="3152"/>
      <c r="YN31" s="3152"/>
      <c r="YO31" s="3152"/>
      <c r="YP31" s="3152"/>
      <c r="YQ31" s="3152"/>
      <c r="YR31" s="3152"/>
      <c r="YS31" s="3152"/>
      <c r="YT31" s="3152"/>
      <c r="YU31" s="3152"/>
      <c r="YV31" s="3152"/>
      <c r="YW31" s="3152"/>
      <c r="YX31" s="3152"/>
      <c r="YY31" s="3152"/>
      <c r="YZ31" s="3152"/>
      <c r="ZA31" s="3152"/>
      <c r="ZB31" s="3152"/>
      <c r="ZC31" s="3152"/>
      <c r="ZD31" s="3152"/>
      <c r="ZE31" s="3152"/>
      <c r="ZF31" s="3152"/>
      <c r="ZG31" s="3152"/>
      <c r="ZH31" s="3152"/>
      <c r="ZI31" s="3152"/>
      <c r="ZJ31" s="3152"/>
      <c r="ZK31" s="3152"/>
      <c r="ZL31" s="3152"/>
      <c r="ZM31" s="3152"/>
      <c r="ZN31" s="3152"/>
      <c r="ZO31" s="3152"/>
      <c r="ZP31" s="3152"/>
      <c r="ZQ31" s="3152"/>
      <c r="ZR31" s="3152"/>
      <c r="ZS31" s="3152"/>
      <c r="ZT31" s="3152"/>
      <c r="ZU31" s="3152"/>
      <c r="ZV31" s="3152"/>
      <c r="ZW31" s="3152"/>
      <c r="ZX31" s="3152"/>
      <c r="ZY31" s="3152"/>
      <c r="ZZ31" s="3152"/>
      <c r="AAA31" s="3152"/>
      <c r="AAB31" s="3152"/>
      <c r="AAC31" s="3152"/>
      <c r="AAD31" s="3152"/>
      <c r="AAE31" s="3152"/>
      <c r="AAF31" s="3152"/>
      <c r="AAG31" s="3152"/>
      <c r="AAH31" s="3152"/>
      <c r="AAI31" s="3152"/>
      <c r="AAJ31" s="3152"/>
      <c r="AAK31" s="3152"/>
      <c r="AAL31" s="3152"/>
      <c r="AAM31" s="3152"/>
      <c r="AAN31" s="3152"/>
      <c r="AAO31" s="3152"/>
      <c r="AAP31" s="3152"/>
      <c r="AAQ31" s="3152"/>
      <c r="AAR31" s="3152"/>
      <c r="AAS31" s="3152"/>
      <c r="AAT31" s="3152"/>
      <c r="AAU31" s="3152"/>
      <c r="AAV31" s="3152"/>
      <c r="AAW31" s="3152"/>
      <c r="AAX31" s="3152"/>
      <c r="AAY31" s="3152"/>
      <c r="AAZ31" s="3152"/>
      <c r="ABA31" s="3152"/>
      <c r="ABB31" s="3152"/>
      <c r="ABC31" s="3152"/>
      <c r="ABD31" s="3152"/>
      <c r="ABE31" s="3152"/>
      <c r="ABF31" s="3152"/>
      <c r="ABG31" s="3152"/>
      <c r="ABH31" s="3152"/>
      <c r="ABI31" s="3152"/>
      <c r="ABJ31" s="3152"/>
      <c r="ABK31" s="3152"/>
      <c r="ABL31" s="3152"/>
      <c r="ABM31" s="3152"/>
      <c r="ABN31" s="3152"/>
      <c r="ABO31" s="3152"/>
      <c r="ABP31" s="3152"/>
      <c r="ABQ31" s="3152"/>
      <c r="ABR31" s="3152"/>
      <c r="ABS31" s="3152"/>
      <c r="ABT31" s="3152"/>
      <c r="ABU31" s="3152"/>
      <c r="ABV31" s="3152"/>
      <c r="ABW31" s="3152"/>
      <c r="ABX31" s="3152"/>
      <c r="ABY31" s="3152"/>
      <c r="ABZ31" s="3152"/>
      <c r="ACA31" s="3152"/>
      <c r="ACB31" s="3152"/>
      <c r="ACC31" s="3152"/>
      <c r="ACD31" s="3152"/>
      <c r="ACE31" s="3152"/>
      <c r="ACF31" s="3152"/>
      <c r="ACG31" s="3152"/>
      <c r="ACH31" s="3152"/>
      <c r="ACI31" s="3152"/>
      <c r="ACJ31" s="3152"/>
      <c r="ACK31" s="3152"/>
      <c r="ACL31" s="3152"/>
      <c r="ACM31" s="3152"/>
      <c r="ACN31" s="3152"/>
      <c r="ACO31" s="3152"/>
      <c r="ACP31" s="3152"/>
      <c r="ACQ31" s="3152"/>
      <c r="ACR31" s="3152"/>
      <c r="ACS31" s="3152"/>
      <c r="ACT31" s="3152"/>
      <c r="ACU31" s="3152"/>
      <c r="ACV31" s="3152"/>
      <c r="ACW31" s="3152"/>
      <c r="ACX31" s="3152"/>
      <c r="ACY31" s="3152"/>
      <c r="ACZ31" s="3152"/>
      <c r="ADA31" s="3152"/>
      <c r="ADB31" s="3152"/>
      <c r="ADC31" s="3152"/>
      <c r="ADD31" s="3152"/>
      <c r="ADE31" s="3152"/>
      <c r="ADF31" s="3152"/>
      <c r="ADG31" s="3152"/>
      <c r="ADH31" s="3152"/>
      <c r="ADI31" s="3152"/>
      <c r="ADJ31" s="3152"/>
      <c r="ADK31" s="3152"/>
      <c r="ADL31" s="3152"/>
      <c r="ADM31" s="3152"/>
      <c r="ADN31" s="3152"/>
      <c r="ADO31" s="3152"/>
      <c r="ADP31" s="3152"/>
      <c r="ADQ31" s="3152"/>
      <c r="ADR31" s="3152"/>
      <c r="ADS31" s="3152"/>
      <c r="ADT31" s="3152"/>
      <c r="ADU31" s="3152"/>
      <c r="ADV31" s="3152"/>
      <c r="ADW31" s="3152"/>
      <c r="ADX31" s="3152"/>
      <c r="ADY31" s="3152"/>
      <c r="ADZ31" s="3152"/>
      <c r="AEA31" s="3152"/>
      <c r="AEB31" s="3152"/>
      <c r="AEC31" s="3152"/>
      <c r="AED31" s="3152"/>
      <c r="AEE31" s="3152"/>
      <c r="AEF31" s="3152"/>
      <c r="AEG31" s="3152"/>
      <c r="AEH31" s="3152"/>
      <c r="AEI31" s="3152"/>
      <c r="AEJ31" s="3152"/>
      <c r="AEK31" s="3152"/>
      <c r="AEL31" s="3152"/>
      <c r="AEM31" s="3152"/>
      <c r="AEN31" s="3152"/>
      <c r="AEO31" s="3152"/>
      <c r="AEP31" s="3152"/>
      <c r="AEQ31" s="3152"/>
      <c r="AER31" s="3152"/>
      <c r="AES31" s="3152"/>
      <c r="AET31" s="3152"/>
      <c r="AEU31" s="3152"/>
      <c r="AEV31" s="3152"/>
      <c r="AEW31" s="3152"/>
      <c r="AEX31" s="3152"/>
      <c r="AEY31" s="3152"/>
      <c r="AEZ31" s="3152"/>
      <c r="AFA31" s="3152"/>
      <c r="AFB31" s="3152"/>
      <c r="AFC31" s="3152"/>
      <c r="AFD31" s="3152"/>
      <c r="AFE31" s="3152"/>
      <c r="AFF31" s="3152"/>
      <c r="AFG31" s="3152"/>
      <c r="AFH31" s="3152"/>
      <c r="AFI31" s="3152"/>
      <c r="AFJ31" s="3152"/>
      <c r="AFK31" s="3152"/>
      <c r="AFL31" s="3152"/>
      <c r="AFM31" s="3152"/>
      <c r="AFN31" s="3152"/>
      <c r="AFO31" s="3152"/>
      <c r="AFP31" s="3152"/>
      <c r="AFQ31" s="3152"/>
      <c r="AFR31" s="3152"/>
      <c r="AFS31" s="3152"/>
      <c r="AFT31" s="3152"/>
      <c r="AFU31" s="3152"/>
      <c r="AFV31" s="3152"/>
      <c r="AFW31" s="3152"/>
      <c r="AFX31" s="3152"/>
      <c r="AFY31" s="3152"/>
      <c r="AFZ31" s="3152"/>
      <c r="AGA31" s="3152"/>
      <c r="AGB31" s="3152"/>
      <c r="AGC31" s="3152"/>
      <c r="AGD31" s="3152"/>
      <c r="AGE31" s="3152"/>
      <c r="AGF31" s="3152"/>
      <c r="AGG31" s="3152"/>
      <c r="AGH31" s="3152"/>
      <c r="AGI31" s="3152"/>
      <c r="AGJ31" s="3152"/>
      <c r="AGK31" s="3152"/>
      <c r="AGL31" s="3152"/>
      <c r="AGM31" s="3152"/>
      <c r="AGN31" s="3152"/>
      <c r="AGO31" s="3152"/>
      <c r="AGP31" s="3152"/>
      <c r="AGQ31" s="3152"/>
      <c r="AGR31" s="3152"/>
      <c r="AGS31" s="3152"/>
      <c r="AGT31" s="3152"/>
      <c r="AGU31" s="3152"/>
      <c r="AGV31" s="3152"/>
      <c r="AGW31" s="3152"/>
      <c r="AGX31" s="3152"/>
      <c r="AGY31" s="3152"/>
      <c r="AGZ31" s="3152"/>
      <c r="AHA31" s="3152"/>
      <c r="AHB31" s="3152"/>
      <c r="AHC31" s="3152"/>
      <c r="AHD31" s="3152"/>
      <c r="AHE31" s="3152"/>
      <c r="AHF31" s="3152"/>
      <c r="AHG31" s="3152"/>
      <c r="AHH31" s="3152"/>
      <c r="AHI31" s="3152"/>
      <c r="AHJ31" s="3152"/>
      <c r="AHK31" s="3152"/>
      <c r="AHL31" s="3152"/>
      <c r="AHM31" s="3152"/>
      <c r="AHN31" s="3152"/>
      <c r="AHO31" s="3152"/>
      <c r="AHP31" s="3152"/>
      <c r="AHQ31" s="3152"/>
      <c r="AHR31" s="3152"/>
      <c r="AHS31" s="3152"/>
      <c r="AHT31" s="3152"/>
      <c r="AHU31" s="3152"/>
      <c r="AHV31" s="3152"/>
      <c r="AHW31" s="3152"/>
      <c r="AHX31" s="3152"/>
      <c r="AHY31" s="3152"/>
      <c r="AHZ31" s="3152"/>
      <c r="AIA31" s="3152"/>
      <c r="AIB31" s="3152"/>
      <c r="AIC31" s="3152"/>
      <c r="AID31" s="3152"/>
      <c r="AIE31" s="3152"/>
      <c r="AIF31" s="3152"/>
      <c r="AIG31" s="3152"/>
      <c r="AIH31" s="3152"/>
      <c r="AII31" s="3152"/>
      <c r="AIJ31" s="3152"/>
      <c r="AIK31" s="3152"/>
      <c r="AIL31" s="3152"/>
      <c r="AIM31" s="3152"/>
      <c r="AIN31" s="3152"/>
      <c r="AIO31" s="3152"/>
      <c r="AIP31" s="3152"/>
      <c r="AIQ31" s="3152"/>
      <c r="AIR31" s="3152"/>
      <c r="AIS31" s="3152"/>
      <c r="AIT31" s="3152"/>
      <c r="AIU31" s="3152"/>
      <c r="AIV31" s="3152"/>
      <c r="AIW31" s="3152"/>
      <c r="AIX31" s="3152"/>
      <c r="AIY31" s="3152"/>
      <c r="AIZ31" s="3152"/>
      <c r="AJA31" s="3152"/>
      <c r="AJB31" s="3152"/>
      <c r="AJC31" s="3152"/>
      <c r="AJD31" s="3152"/>
      <c r="AJE31" s="3152"/>
      <c r="AJF31" s="3152"/>
      <c r="AJG31" s="3152"/>
      <c r="AJH31" s="3152"/>
      <c r="AJI31" s="3152"/>
      <c r="AJJ31" s="3152"/>
      <c r="AJK31" s="3152"/>
      <c r="AJL31" s="3152"/>
      <c r="AJM31" s="3152"/>
      <c r="AJN31" s="3152"/>
      <c r="AJO31" s="3152"/>
      <c r="AJP31" s="3152"/>
      <c r="AJQ31" s="3152"/>
      <c r="AJR31" s="3152"/>
      <c r="AJS31" s="3152"/>
      <c r="AJT31" s="3152"/>
      <c r="AJU31" s="3152"/>
      <c r="AJV31" s="3152"/>
      <c r="AJW31" s="3152"/>
      <c r="AJX31" s="3152"/>
      <c r="AJY31" s="3152"/>
      <c r="AJZ31" s="3152"/>
      <c r="AKA31" s="3152"/>
      <c r="AKB31" s="3152"/>
      <c r="AKC31" s="3152"/>
      <c r="AKD31" s="3152"/>
      <c r="AKE31" s="3152"/>
      <c r="AKF31" s="3152"/>
      <c r="AKG31" s="3152"/>
      <c r="AKH31" s="3152"/>
      <c r="AKI31" s="3152"/>
      <c r="AKJ31" s="3152"/>
      <c r="AKK31" s="3152"/>
      <c r="AKL31" s="3152"/>
      <c r="AKM31" s="3152"/>
      <c r="AKN31" s="3152"/>
      <c r="AKO31" s="3152"/>
      <c r="AKP31" s="3152"/>
      <c r="AKQ31" s="3152"/>
      <c r="AKR31" s="3152"/>
      <c r="AKS31" s="3152"/>
      <c r="AKT31" s="3152"/>
      <c r="AKU31" s="3152"/>
      <c r="AKV31" s="3152"/>
      <c r="AKW31" s="3152"/>
      <c r="AKX31" s="3152"/>
      <c r="AKY31" s="3152"/>
      <c r="AKZ31" s="3152"/>
      <c r="ALA31" s="3152"/>
      <c r="ALB31" s="3152"/>
      <c r="ALC31" s="3152"/>
      <c r="ALD31" s="3152"/>
      <c r="ALE31" s="3152"/>
      <c r="ALF31" s="3152"/>
      <c r="ALG31" s="3152"/>
      <c r="ALH31" s="3152"/>
      <c r="ALI31" s="3152"/>
      <c r="ALJ31" s="3152"/>
      <c r="ALK31" s="3152"/>
      <c r="ALL31" s="3152"/>
      <c r="ALM31" s="3152"/>
      <c r="ALN31" s="3152"/>
      <c r="ALO31" s="3152"/>
      <c r="ALP31" s="3152"/>
      <c r="ALQ31" s="3152"/>
      <c r="ALR31" s="3152"/>
      <c r="ALS31" s="3152"/>
      <c r="ALT31" s="3152"/>
      <c r="ALU31" s="3152"/>
      <c r="ALV31" s="3152"/>
      <c r="ALW31" s="3152"/>
      <c r="ALX31" s="3152"/>
      <c r="ALY31" s="3152"/>
      <c r="ALZ31" s="3152"/>
      <c r="AMA31" s="3152"/>
      <c r="AMB31" s="3152"/>
      <c r="AMC31" s="3152"/>
      <c r="AMD31" s="3152"/>
      <c r="AME31" s="3152"/>
      <c r="AMF31" s="3152"/>
      <c r="AMG31" s="3152"/>
      <c r="AMH31" s="3152"/>
      <c r="AMI31" s="3152"/>
      <c r="AMJ31" s="3152"/>
      <c r="AMK31" s="3152"/>
      <c r="AML31" s="3152"/>
      <c r="AMM31" s="3152"/>
      <c r="AMN31" s="3152"/>
      <c r="AMO31" s="3152"/>
      <c r="AMP31" s="3152"/>
      <c r="AMQ31" s="3152"/>
      <c r="AMR31" s="3152"/>
      <c r="AMS31" s="3152"/>
      <c r="AMT31" s="3152"/>
      <c r="AMU31" s="3152"/>
      <c r="AMV31" s="3152"/>
      <c r="AMW31" s="3152"/>
      <c r="AMX31" s="3152"/>
      <c r="AMY31" s="3152"/>
      <c r="AMZ31" s="3152"/>
      <c r="ANA31" s="3152"/>
      <c r="ANB31" s="3152"/>
      <c r="ANC31" s="3152"/>
      <c r="AND31" s="3152"/>
      <c r="ANE31" s="3152"/>
      <c r="ANF31" s="3152"/>
      <c r="ANG31" s="3152"/>
      <c r="ANH31" s="3152"/>
      <c r="ANI31" s="3152"/>
      <c r="ANJ31" s="3152"/>
      <c r="ANK31" s="3152"/>
      <c r="ANL31" s="3152"/>
      <c r="ANM31" s="3152"/>
      <c r="ANN31" s="3152"/>
      <c r="ANO31" s="3152"/>
      <c r="ANP31" s="3152"/>
      <c r="ANQ31" s="3152"/>
      <c r="ANR31" s="3152"/>
      <c r="ANS31" s="3152"/>
      <c r="ANT31" s="3152"/>
      <c r="ANU31" s="3152"/>
      <c r="ANV31" s="3152"/>
      <c r="ANW31" s="3152"/>
      <c r="ANX31" s="3152"/>
      <c r="ANY31" s="3152"/>
      <c r="ANZ31" s="3152"/>
      <c r="AOA31" s="3152"/>
      <c r="AOB31" s="3152"/>
      <c r="AOC31" s="3152"/>
      <c r="AOD31" s="3152"/>
      <c r="AOE31" s="3152"/>
      <c r="AOF31" s="3152"/>
      <c r="AOG31" s="3152"/>
      <c r="AOH31" s="3152"/>
      <c r="AOI31" s="3152"/>
      <c r="AOJ31" s="3152"/>
      <c r="AOK31" s="3152"/>
      <c r="AOL31" s="3152"/>
      <c r="AOM31" s="3152"/>
      <c r="AON31" s="3152"/>
      <c r="AOO31" s="3152"/>
      <c r="AOP31" s="3152"/>
      <c r="AOQ31" s="3152"/>
      <c r="AOR31" s="3152"/>
      <c r="AOS31" s="3152"/>
      <c r="AOT31" s="3152"/>
      <c r="AOU31" s="3152"/>
      <c r="AOV31" s="3152"/>
      <c r="AOW31" s="3152"/>
      <c r="AOX31" s="3152"/>
      <c r="AOY31" s="3152"/>
      <c r="AOZ31" s="3152"/>
      <c r="APA31" s="3152"/>
      <c r="APB31" s="3152"/>
      <c r="APC31" s="3152"/>
      <c r="APD31" s="3152"/>
      <c r="APE31" s="3152"/>
      <c r="APF31" s="3152"/>
      <c r="APG31" s="3152"/>
      <c r="APH31" s="3152"/>
      <c r="API31" s="3152"/>
      <c r="APJ31" s="3152"/>
      <c r="APK31" s="3152"/>
      <c r="APL31" s="3152"/>
      <c r="APM31" s="3152"/>
      <c r="APN31" s="3152"/>
      <c r="APO31" s="3152"/>
      <c r="APP31" s="3152"/>
      <c r="APQ31" s="3152"/>
      <c r="APR31" s="3152"/>
      <c r="APS31" s="3152"/>
      <c r="APT31" s="3152"/>
      <c r="APU31" s="3152"/>
      <c r="APV31" s="3152"/>
      <c r="APW31" s="3152"/>
      <c r="APX31" s="3152"/>
      <c r="APY31" s="3152"/>
      <c r="APZ31" s="3152"/>
      <c r="AQA31" s="3152"/>
      <c r="AQB31" s="3152"/>
      <c r="AQC31" s="3152"/>
      <c r="AQD31" s="3152"/>
      <c r="AQE31" s="3152"/>
      <c r="AQF31" s="3152"/>
      <c r="AQG31" s="3152"/>
      <c r="AQH31" s="3152"/>
      <c r="AQI31" s="3152"/>
      <c r="AQJ31" s="3152"/>
      <c r="AQK31" s="3152"/>
      <c r="AQL31" s="3152"/>
      <c r="AQM31" s="3152"/>
      <c r="AQN31" s="3152"/>
      <c r="AQO31" s="3152"/>
      <c r="AQP31" s="3152"/>
      <c r="AQQ31" s="3152"/>
      <c r="AQR31" s="3152"/>
      <c r="AQS31" s="3152"/>
      <c r="AQT31" s="3152"/>
      <c r="AQU31" s="3152"/>
      <c r="AQV31" s="3152"/>
      <c r="AQW31" s="3152"/>
      <c r="AQX31" s="3152"/>
      <c r="AQY31" s="3152"/>
      <c r="AQZ31" s="3152"/>
      <c r="ARA31" s="3152"/>
      <c r="ARB31" s="3152"/>
      <c r="ARC31" s="3152"/>
      <c r="ARD31" s="3152"/>
      <c r="ARE31" s="3152"/>
      <c r="ARF31" s="3152"/>
      <c r="ARG31" s="3152"/>
      <c r="ARH31" s="3152"/>
      <c r="ARI31" s="3152"/>
      <c r="ARJ31" s="3152"/>
      <c r="ARK31" s="3152"/>
      <c r="ARL31" s="3152"/>
      <c r="ARM31" s="3152"/>
      <c r="ARN31" s="3152"/>
      <c r="ARO31" s="3152"/>
      <c r="ARP31" s="3152"/>
      <c r="ARQ31" s="3152"/>
      <c r="ARR31" s="3152"/>
      <c r="ARS31" s="3152"/>
      <c r="ART31" s="3152"/>
      <c r="ARU31" s="3152"/>
      <c r="ARV31" s="3152"/>
      <c r="ARW31" s="3152"/>
      <c r="ARX31" s="3152"/>
      <c r="ARY31" s="3152"/>
      <c r="ARZ31" s="3152"/>
      <c r="ASA31" s="3152"/>
      <c r="ASB31" s="3152"/>
      <c r="ASC31" s="3152"/>
      <c r="ASD31" s="3152"/>
      <c r="ASE31" s="3152"/>
      <c r="ASF31" s="3152"/>
      <c r="ASG31" s="3152"/>
      <c r="ASH31" s="3152"/>
      <c r="ASI31" s="3152"/>
      <c r="ASJ31" s="3152"/>
      <c r="ASK31" s="3152"/>
      <c r="ASL31" s="3152"/>
      <c r="ASM31" s="3152"/>
      <c r="ASN31" s="3152"/>
      <c r="ASO31" s="3152"/>
      <c r="ASP31" s="3152"/>
      <c r="ASQ31" s="3152"/>
      <c r="ASR31" s="3152"/>
      <c r="ASS31" s="3152"/>
      <c r="AST31" s="3152"/>
      <c r="ASU31" s="3152"/>
      <c r="ASV31" s="3152"/>
      <c r="ASW31" s="3152"/>
      <c r="ASX31" s="3152"/>
      <c r="ASY31" s="3152"/>
      <c r="ASZ31" s="3152"/>
      <c r="ATA31" s="3152"/>
      <c r="ATB31" s="3152"/>
      <c r="ATC31" s="3152"/>
      <c r="ATD31" s="3152"/>
      <c r="ATE31" s="3152"/>
      <c r="ATF31" s="3152"/>
      <c r="ATG31" s="3152"/>
      <c r="ATH31" s="3152"/>
      <c r="ATI31" s="3152"/>
      <c r="ATJ31" s="3152"/>
      <c r="ATK31" s="3152"/>
      <c r="ATL31" s="3152"/>
      <c r="ATM31" s="3152"/>
      <c r="ATN31" s="3152"/>
      <c r="ATO31" s="3152"/>
      <c r="ATP31" s="3152"/>
      <c r="ATQ31" s="3152"/>
      <c r="ATR31" s="3152"/>
      <c r="ATS31" s="3152"/>
      <c r="ATT31" s="3152"/>
      <c r="ATU31" s="3152"/>
      <c r="ATV31" s="3152"/>
      <c r="ATW31" s="3152"/>
      <c r="ATX31" s="3152"/>
      <c r="ATY31" s="3152"/>
      <c r="ATZ31" s="3152"/>
      <c r="AUA31" s="3152"/>
      <c r="AUB31" s="3152"/>
      <c r="AUC31" s="3152"/>
      <c r="AUD31" s="3152"/>
      <c r="AUE31" s="3152"/>
      <c r="AUF31" s="3152"/>
      <c r="AUG31" s="3152"/>
      <c r="AUH31" s="3152"/>
      <c r="AUI31" s="3152"/>
      <c r="AUJ31" s="3152"/>
      <c r="AUK31" s="3152"/>
      <c r="AUL31" s="3152"/>
      <c r="AUM31" s="3152"/>
      <c r="AUN31" s="3152"/>
      <c r="AUO31" s="3152"/>
      <c r="AUP31" s="3152"/>
      <c r="AUQ31" s="3152"/>
      <c r="AUR31" s="3152"/>
      <c r="AUS31" s="3152"/>
      <c r="AUT31" s="3152"/>
      <c r="AUU31" s="3152"/>
      <c r="AUV31" s="3152"/>
      <c r="AUW31" s="3152"/>
      <c r="AUX31" s="3152"/>
      <c r="AUY31" s="3152"/>
      <c r="AUZ31" s="3152"/>
      <c r="AVA31" s="3152"/>
      <c r="AVB31" s="3152"/>
      <c r="AVC31" s="3152"/>
      <c r="AVD31" s="3152"/>
      <c r="AVE31" s="3152"/>
      <c r="AVF31" s="3152"/>
      <c r="AVG31" s="3152"/>
      <c r="AVH31" s="3152"/>
      <c r="AVI31" s="3152"/>
      <c r="AVJ31" s="3152"/>
      <c r="AVK31" s="3152"/>
      <c r="AVL31" s="3152"/>
      <c r="AVM31" s="3152"/>
      <c r="AVN31" s="3152"/>
      <c r="AVO31" s="3152"/>
      <c r="AVP31" s="3152"/>
      <c r="AVQ31" s="3152"/>
      <c r="AVR31" s="3152"/>
      <c r="AVS31" s="3152"/>
      <c r="AVT31" s="3152"/>
      <c r="AVU31" s="3152"/>
      <c r="AVV31" s="3152"/>
      <c r="AVW31" s="3152"/>
      <c r="AVX31" s="3152"/>
      <c r="AVY31" s="3152"/>
      <c r="AVZ31" s="3152"/>
      <c r="AWA31" s="3152"/>
      <c r="AWB31" s="3152"/>
      <c r="AWC31" s="3152"/>
      <c r="AWD31" s="3152"/>
      <c r="AWE31" s="3152"/>
      <c r="AWF31" s="3152"/>
      <c r="AWG31" s="3152"/>
      <c r="AWH31" s="3152"/>
      <c r="AWI31" s="3152"/>
      <c r="AWJ31" s="3152"/>
      <c r="AWK31" s="3152"/>
      <c r="AWL31" s="3152"/>
      <c r="AWM31" s="3152"/>
      <c r="AWN31" s="3152"/>
      <c r="AWO31" s="3152"/>
      <c r="AWP31" s="3152"/>
      <c r="AWQ31" s="3152"/>
      <c r="AWR31" s="3152"/>
      <c r="AWS31" s="3152"/>
      <c r="AWT31" s="3152"/>
      <c r="AWU31" s="3152"/>
      <c r="AWV31" s="3152"/>
      <c r="AWW31" s="3152"/>
      <c r="AWX31" s="3152"/>
      <c r="AWY31" s="3152"/>
      <c r="AWZ31" s="3152"/>
      <c r="AXA31" s="3152"/>
      <c r="AXB31" s="3152"/>
      <c r="AXC31" s="3152"/>
      <c r="AXD31" s="3152"/>
      <c r="AXE31" s="3152"/>
      <c r="AXF31" s="3152"/>
      <c r="AXG31" s="3152"/>
      <c r="AXH31" s="3152"/>
      <c r="AXI31" s="3152"/>
      <c r="AXJ31" s="3152"/>
      <c r="AXK31" s="3152"/>
      <c r="AXL31" s="3152"/>
      <c r="AXM31" s="3152"/>
      <c r="AXN31" s="3152"/>
      <c r="AXO31" s="3152"/>
      <c r="AXP31" s="3152"/>
      <c r="AXQ31" s="3152"/>
      <c r="AXR31" s="3152"/>
      <c r="AXS31" s="3152"/>
      <c r="AXT31" s="3152"/>
      <c r="AXU31" s="3152"/>
      <c r="AXV31" s="3152"/>
      <c r="AXW31" s="3152"/>
      <c r="AXX31" s="3152"/>
      <c r="AXY31" s="3152"/>
      <c r="AXZ31" s="3152"/>
      <c r="AYA31" s="3152"/>
      <c r="AYB31" s="3152"/>
      <c r="AYC31" s="3152"/>
      <c r="AYD31" s="3152"/>
      <c r="AYE31" s="3152"/>
      <c r="AYF31" s="3152"/>
      <c r="AYG31" s="3152"/>
      <c r="AYH31" s="3152"/>
      <c r="AYI31" s="3152"/>
      <c r="AYJ31" s="3152"/>
      <c r="AYK31" s="3152"/>
      <c r="AYL31" s="3152"/>
      <c r="AYM31" s="3152"/>
      <c r="AYN31" s="3152"/>
      <c r="AYO31" s="3152"/>
      <c r="AYP31" s="3152"/>
      <c r="AYQ31" s="3152"/>
      <c r="AYR31" s="3152"/>
      <c r="AYS31" s="3152"/>
      <c r="AYT31" s="3152"/>
      <c r="AYU31" s="3152"/>
      <c r="AYV31" s="3152"/>
      <c r="AYW31" s="3152"/>
      <c r="AYX31" s="3152"/>
      <c r="AYY31" s="3152"/>
      <c r="AYZ31" s="3152"/>
      <c r="AZA31" s="3152"/>
      <c r="AZB31" s="3152"/>
      <c r="AZC31" s="3152"/>
      <c r="AZD31" s="3152"/>
      <c r="AZE31" s="3152"/>
      <c r="AZF31" s="3152"/>
      <c r="AZG31" s="3152"/>
      <c r="AZH31" s="3152"/>
      <c r="AZI31" s="3152"/>
      <c r="AZJ31" s="3152"/>
      <c r="AZK31" s="3152"/>
      <c r="AZL31" s="3152"/>
      <c r="AZM31" s="3152"/>
      <c r="AZN31" s="3152"/>
      <c r="AZO31" s="3152"/>
      <c r="AZP31" s="3152"/>
      <c r="AZQ31" s="3152"/>
      <c r="AZR31" s="3152"/>
      <c r="AZS31" s="3152"/>
      <c r="AZT31" s="3152"/>
      <c r="AZU31" s="3152"/>
      <c r="AZV31" s="3152"/>
      <c r="AZW31" s="3152"/>
      <c r="AZX31" s="3152"/>
      <c r="AZY31" s="3152"/>
      <c r="AZZ31" s="3152"/>
      <c r="BAA31" s="3152"/>
      <c r="BAB31" s="3152"/>
      <c r="BAC31" s="3152"/>
      <c r="BAD31" s="3152"/>
      <c r="BAE31" s="3152"/>
      <c r="BAF31" s="3152"/>
      <c r="BAG31" s="3152"/>
      <c r="BAH31" s="3152"/>
      <c r="BAI31" s="3152"/>
      <c r="BAJ31" s="3152"/>
      <c r="BAK31" s="3152"/>
      <c r="BAL31" s="3152"/>
      <c r="BAM31" s="3152"/>
      <c r="BAN31" s="3152"/>
      <c r="BAO31" s="3152"/>
      <c r="BAP31" s="3152"/>
      <c r="BAQ31" s="3152"/>
      <c r="BAR31" s="3152"/>
      <c r="BAS31" s="3152"/>
      <c r="BAT31" s="3152"/>
      <c r="BAU31" s="3152"/>
      <c r="BAV31" s="3152"/>
      <c r="BAW31" s="3152"/>
      <c r="BAX31" s="3152"/>
      <c r="BAY31" s="3152"/>
      <c r="BAZ31" s="3152"/>
      <c r="BBA31" s="3152"/>
      <c r="BBB31" s="3152"/>
      <c r="BBC31" s="3152"/>
      <c r="BBD31" s="3152"/>
      <c r="BBE31" s="3152"/>
      <c r="BBF31" s="3152"/>
      <c r="BBG31" s="3152"/>
      <c r="BBH31" s="3152"/>
      <c r="BBI31" s="3152"/>
      <c r="BBJ31" s="3152"/>
      <c r="BBK31" s="3152"/>
      <c r="BBL31" s="3152"/>
      <c r="BBM31" s="3152"/>
      <c r="BBN31" s="3152"/>
      <c r="BBO31" s="3152"/>
      <c r="BBP31" s="3152"/>
      <c r="BBQ31" s="3152"/>
      <c r="BBR31" s="3152"/>
      <c r="BBS31" s="3152"/>
      <c r="BBT31" s="3152"/>
      <c r="BBU31" s="3152"/>
      <c r="BBV31" s="3152"/>
      <c r="BBW31" s="3152"/>
      <c r="BBX31" s="3152"/>
      <c r="BBY31" s="3152"/>
      <c r="BBZ31" s="3152"/>
      <c r="BCA31" s="3152"/>
      <c r="BCB31" s="3152"/>
      <c r="BCC31" s="3152"/>
      <c r="BCD31" s="3152"/>
      <c r="BCE31" s="3152"/>
      <c r="BCF31" s="3152"/>
      <c r="BCG31" s="3152"/>
      <c r="BCH31" s="3152"/>
      <c r="BCI31" s="3152"/>
      <c r="BCJ31" s="3152"/>
      <c r="BCK31" s="3152"/>
      <c r="BCL31" s="3152"/>
      <c r="BCM31" s="3152"/>
      <c r="BCN31" s="3152"/>
      <c r="BCO31" s="3152"/>
      <c r="BCP31" s="3152"/>
      <c r="BCQ31" s="3152"/>
      <c r="BCR31" s="3152"/>
      <c r="BCS31" s="3152"/>
      <c r="BCT31" s="3152"/>
      <c r="BCU31" s="3152"/>
      <c r="BCV31" s="3152"/>
      <c r="BCW31" s="3152"/>
      <c r="BCX31" s="3152"/>
      <c r="BCY31" s="3152"/>
      <c r="BCZ31" s="3152"/>
      <c r="BDA31" s="3152"/>
      <c r="BDB31" s="3152"/>
      <c r="BDC31" s="3152"/>
      <c r="BDD31" s="3152"/>
      <c r="BDE31" s="3152"/>
      <c r="BDF31" s="3152"/>
      <c r="BDG31" s="3152"/>
      <c r="BDH31" s="3152"/>
      <c r="BDI31" s="3152"/>
      <c r="BDJ31" s="3152"/>
      <c r="BDK31" s="3152"/>
      <c r="BDL31" s="3152"/>
      <c r="BDM31" s="3152"/>
      <c r="BDN31" s="3152"/>
      <c r="BDO31" s="3152"/>
      <c r="BDP31" s="3152"/>
      <c r="BDQ31" s="3152"/>
      <c r="BDR31" s="3152"/>
      <c r="BDS31" s="3152"/>
      <c r="BDT31" s="3152"/>
      <c r="BDU31" s="3152"/>
      <c r="BDV31" s="3152"/>
      <c r="BDW31" s="3152"/>
      <c r="BDX31" s="3152"/>
      <c r="BDY31" s="3152"/>
      <c r="BDZ31" s="3152"/>
      <c r="BEA31" s="3152"/>
      <c r="BEB31" s="3152"/>
      <c r="BEC31" s="3152"/>
      <c r="BED31" s="3152"/>
      <c r="BEE31" s="3152"/>
      <c r="BEF31" s="3152"/>
      <c r="BEG31" s="3152"/>
      <c r="BEH31" s="3152"/>
      <c r="BEI31" s="3152"/>
      <c r="BEJ31" s="3152"/>
      <c r="BEK31" s="3152"/>
      <c r="BEL31" s="3152"/>
      <c r="BEM31" s="3152"/>
      <c r="BEN31" s="3152"/>
      <c r="BEO31" s="3152"/>
      <c r="BEP31" s="3152"/>
      <c r="BEQ31" s="3152"/>
      <c r="BER31" s="3152"/>
      <c r="BES31" s="3152"/>
      <c r="BET31" s="3152"/>
      <c r="BEU31" s="3152"/>
      <c r="BEV31" s="3152"/>
      <c r="BEW31" s="3152"/>
      <c r="BEX31" s="3152"/>
      <c r="BEY31" s="3152"/>
      <c r="BEZ31" s="3152"/>
      <c r="BFA31" s="3152"/>
      <c r="BFB31" s="3152"/>
      <c r="BFC31" s="3152"/>
      <c r="BFD31" s="3152"/>
      <c r="BFE31" s="3152"/>
      <c r="BFF31" s="3152"/>
      <c r="BFG31" s="3152"/>
      <c r="BFH31" s="3152"/>
      <c r="BFI31" s="3152"/>
      <c r="BFJ31" s="3152"/>
      <c r="BFK31" s="3152"/>
      <c r="BFL31" s="3152"/>
      <c r="BFM31" s="3152"/>
      <c r="BFN31" s="3152"/>
      <c r="BFO31" s="3152"/>
      <c r="BFP31" s="3152"/>
      <c r="BFQ31" s="3152"/>
      <c r="BFR31" s="3152"/>
      <c r="BFS31" s="3152"/>
      <c r="BFT31" s="3152"/>
      <c r="BFU31" s="3152"/>
      <c r="BFV31" s="3152"/>
      <c r="BFW31" s="3152"/>
      <c r="BFX31" s="3152"/>
      <c r="BFY31" s="3152"/>
      <c r="BFZ31" s="3152"/>
      <c r="BGA31" s="3152"/>
      <c r="BGB31" s="3152"/>
      <c r="BGC31" s="3152"/>
      <c r="BGD31" s="3152"/>
      <c r="BGE31" s="3152"/>
      <c r="BGF31" s="3152"/>
      <c r="BGG31" s="3152"/>
      <c r="BGH31" s="3152"/>
      <c r="BGI31" s="3152"/>
      <c r="BGJ31" s="3152"/>
      <c r="BGK31" s="3152"/>
      <c r="BGL31" s="3152"/>
      <c r="BGM31" s="3152"/>
      <c r="BGN31" s="3152"/>
      <c r="BGO31" s="3152"/>
      <c r="BGP31" s="3152"/>
      <c r="BGQ31" s="3152"/>
      <c r="BGR31" s="3152"/>
      <c r="BGS31" s="3152"/>
      <c r="BGT31" s="3152"/>
      <c r="BGU31" s="3152"/>
      <c r="BGV31" s="3152"/>
      <c r="BGW31" s="3152"/>
      <c r="BGX31" s="3152"/>
      <c r="BGY31" s="3152"/>
      <c r="BGZ31" s="3152"/>
      <c r="BHA31" s="3152"/>
      <c r="BHB31" s="3152"/>
      <c r="BHC31" s="3152"/>
      <c r="BHD31" s="3152"/>
      <c r="BHE31" s="3152"/>
      <c r="BHF31" s="3152"/>
      <c r="BHG31" s="3152"/>
      <c r="BHH31" s="3152"/>
      <c r="BHI31" s="3152"/>
      <c r="BHJ31" s="3152"/>
      <c r="BHK31" s="3152"/>
      <c r="BHL31" s="3152"/>
      <c r="BHM31" s="3152"/>
      <c r="BHN31" s="3152"/>
      <c r="BHO31" s="3152"/>
      <c r="BHP31" s="3152"/>
      <c r="BHQ31" s="3152"/>
      <c r="BHR31" s="3152"/>
      <c r="BHS31" s="3152"/>
      <c r="BHT31" s="3152"/>
      <c r="BHU31" s="3152"/>
      <c r="BHV31" s="3152"/>
      <c r="BHW31" s="3152"/>
      <c r="BHX31" s="3152"/>
      <c r="BHY31" s="3152"/>
      <c r="BHZ31" s="3152"/>
      <c r="BIA31" s="3152"/>
      <c r="BIB31" s="3152"/>
      <c r="BIC31" s="3152"/>
      <c r="BID31" s="3152"/>
      <c r="BIE31" s="3152"/>
      <c r="BIF31" s="3152"/>
      <c r="BIG31" s="3152"/>
      <c r="BIH31" s="3152"/>
      <c r="BII31" s="3152"/>
      <c r="BIJ31" s="3152"/>
      <c r="BIK31" s="3152"/>
      <c r="BIL31" s="3152"/>
      <c r="BIM31" s="3152"/>
      <c r="BIN31" s="3152"/>
      <c r="BIO31" s="3152"/>
      <c r="BIP31" s="3152"/>
      <c r="BIQ31" s="3152"/>
      <c r="BIR31" s="3152"/>
      <c r="BIS31" s="3152"/>
      <c r="BIT31" s="3152"/>
      <c r="BIU31" s="3152"/>
      <c r="BIV31" s="3152"/>
      <c r="BIW31" s="3152"/>
      <c r="BIX31" s="3152"/>
      <c r="BIY31" s="3152"/>
      <c r="BIZ31" s="3152"/>
      <c r="BJA31" s="3152"/>
      <c r="BJB31" s="3152"/>
      <c r="BJC31" s="3152"/>
      <c r="BJD31" s="3152"/>
      <c r="BJE31" s="3152"/>
      <c r="BJF31" s="3152"/>
      <c r="BJG31" s="3152"/>
      <c r="BJH31" s="3152"/>
      <c r="BJI31" s="3152"/>
      <c r="BJJ31" s="3152"/>
      <c r="BJK31" s="3152"/>
      <c r="BJL31" s="3152"/>
      <c r="BJM31" s="3152"/>
      <c r="BJN31" s="3152"/>
      <c r="BJO31" s="3152"/>
      <c r="BJP31" s="3152"/>
      <c r="BJQ31" s="3152"/>
      <c r="BJR31" s="3152"/>
      <c r="BJS31" s="3152"/>
      <c r="BJT31" s="3152"/>
      <c r="BJU31" s="3152"/>
      <c r="BJV31" s="3152"/>
      <c r="BJW31" s="3152"/>
      <c r="BJX31" s="3152"/>
      <c r="BJY31" s="3152"/>
      <c r="BJZ31" s="3152"/>
      <c r="BKA31" s="3152"/>
      <c r="BKB31" s="3152"/>
      <c r="BKC31" s="3152"/>
      <c r="BKD31" s="3152"/>
      <c r="BKE31" s="3152"/>
      <c r="BKF31" s="3152"/>
      <c r="BKG31" s="3152"/>
      <c r="BKH31" s="3152"/>
      <c r="BKI31" s="3152"/>
      <c r="BKJ31" s="3152"/>
      <c r="BKK31" s="3152"/>
      <c r="BKL31" s="3152"/>
      <c r="BKM31" s="3152"/>
      <c r="BKN31" s="3152"/>
      <c r="BKO31" s="3152"/>
      <c r="BKP31" s="3152"/>
      <c r="BKQ31" s="3152"/>
      <c r="BKR31" s="3152"/>
      <c r="BKS31" s="3152"/>
      <c r="BKT31" s="3152"/>
      <c r="BKU31" s="3152"/>
      <c r="BKV31" s="3152"/>
      <c r="BKW31" s="3152"/>
      <c r="BKX31" s="3152"/>
      <c r="BKY31" s="3152"/>
      <c r="BKZ31" s="3152"/>
      <c r="BLA31" s="3152"/>
      <c r="BLB31" s="3152"/>
      <c r="BLC31" s="3152"/>
      <c r="BLD31" s="3152"/>
      <c r="BLE31" s="3152"/>
      <c r="BLF31" s="3152"/>
      <c r="BLG31" s="3152"/>
      <c r="BLH31" s="3152"/>
      <c r="BLI31" s="3152"/>
      <c r="BLJ31" s="3152"/>
      <c r="BLK31" s="3152"/>
      <c r="BLL31" s="3152"/>
      <c r="BLM31" s="3152"/>
      <c r="BLN31" s="3152"/>
      <c r="BLO31" s="3152"/>
      <c r="BLP31" s="3152"/>
      <c r="BLQ31" s="3152"/>
      <c r="BLR31" s="3152"/>
      <c r="BLS31" s="3152"/>
      <c r="BLT31" s="3152"/>
      <c r="BLU31" s="3152"/>
      <c r="BLV31" s="3152"/>
      <c r="BLW31" s="3152"/>
      <c r="BLX31" s="3152"/>
      <c r="BLY31" s="3152"/>
      <c r="BLZ31" s="3152"/>
      <c r="BMA31" s="3152"/>
      <c r="BMB31" s="3152"/>
      <c r="BMC31" s="3152"/>
      <c r="BMD31" s="3152"/>
      <c r="BME31" s="3152"/>
      <c r="BMF31" s="3152"/>
      <c r="BMG31" s="3152"/>
      <c r="BMH31" s="3152"/>
      <c r="BMI31" s="3152"/>
      <c r="BMJ31" s="3152"/>
      <c r="BMK31" s="3152"/>
      <c r="BML31" s="3152"/>
      <c r="BMM31" s="3152"/>
      <c r="BMN31" s="3152"/>
      <c r="BMO31" s="3152"/>
      <c r="BMP31" s="3152"/>
      <c r="BMQ31" s="3152"/>
      <c r="BMR31" s="3152"/>
      <c r="BMS31" s="3152"/>
      <c r="BMT31" s="3152"/>
      <c r="BMU31" s="3152"/>
      <c r="BMV31" s="3152"/>
      <c r="BMW31" s="3152"/>
      <c r="BMX31" s="3152"/>
      <c r="BMY31" s="3152"/>
      <c r="BMZ31" s="3152"/>
      <c r="BNA31" s="3152"/>
      <c r="BNB31" s="3152"/>
      <c r="BNC31" s="3152"/>
      <c r="BND31" s="3152"/>
      <c r="BNE31" s="3152"/>
      <c r="BNF31" s="3152"/>
      <c r="BNG31" s="3152"/>
      <c r="BNH31" s="3152"/>
      <c r="BNI31" s="3152"/>
      <c r="BNJ31" s="3152"/>
      <c r="BNK31" s="3152"/>
      <c r="BNL31" s="3152"/>
      <c r="BNM31" s="3152"/>
      <c r="BNN31" s="3152"/>
      <c r="BNO31" s="3152"/>
      <c r="BNP31" s="3152"/>
      <c r="BNQ31" s="3152"/>
      <c r="BNR31" s="3152"/>
      <c r="BNS31" s="3152"/>
      <c r="BNT31" s="3152"/>
      <c r="BNU31" s="3152"/>
      <c r="BNV31" s="3152"/>
      <c r="BNW31" s="3152"/>
      <c r="BNX31" s="3152"/>
      <c r="BNY31" s="3152"/>
      <c r="BNZ31" s="3152"/>
      <c r="BOA31" s="3152"/>
      <c r="BOB31" s="3152"/>
      <c r="BOC31" s="3152"/>
      <c r="BOD31" s="3152"/>
      <c r="BOE31" s="3152"/>
      <c r="BOF31" s="3152"/>
      <c r="BOG31" s="3152"/>
      <c r="BOH31" s="3152"/>
      <c r="BOI31" s="3152"/>
      <c r="BOJ31" s="3152"/>
      <c r="BOK31" s="3152"/>
      <c r="BOL31" s="3152"/>
      <c r="BOM31" s="3152"/>
      <c r="BON31" s="3152"/>
      <c r="BOO31" s="3152"/>
      <c r="BOP31" s="3152"/>
      <c r="BOQ31" s="3152"/>
      <c r="BOR31" s="3152"/>
      <c r="BOS31" s="3152"/>
      <c r="BOT31" s="3152"/>
      <c r="BOU31" s="3152"/>
      <c r="BOV31" s="3152"/>
      <c r="BOW31" s="3152"/>
      <c r="BOX31" s="3152"/>
      <c r="BOY31" s="3152"/>
      <c r="BOZ31" s="3152"/>
      <c r="BPA31" s="3152"/>
      <c r="BPB31" s="3152"/>
      <c r="BPC31" s="3152"/>
      <c r="BPD31" s="3152"/>
      <c r="BPE31" s="3152"/>
      <c r="BPF31" s="3152"/>
      <c r="BPG31" s="3152"/>
      <c r="BPH31" s="3152"/>
      <c r="BPI31" s="3152"/>
      <c r="BPJ31" s="3152"/>
      <c r="BPK31" s="3152"/>
      <c r="BPL31" s="3152"/>
      <c r="BPM31" s="3152"/>
      <c r="BPN31" s="3152"/>
      <c r="BPO31" s="3152"/>
      <c r="BPP31" s="3152"/>
      <c r="BPQ31" s="3152"/>
      <c r="BPR31" s="3152"/>
      <c r="BPS31" s="3152"/>
      <c r="BPT31" s="3152"/>
      <c r="BPU31" s="3152"/>
      <c r="BPV31" s="3152"/>
      <c r="BPW31" s="3152"/>
      <c r="BPX31" s="3152"/>
      <c r="BPY31" s="3152"/>
      <c r="BPZ31" s="3152"/>
      <c r="BQA31" s="3152"/>
      <c r="BQB31" s="3152"/>
      <c r="BQC31" s="3152"/>
      <c r="BQD31" s="3152"/>
      <c r="BQE31" s="3152"/>
      <c r="BQF31" s="3152"/>
      <c r="BQG31" s="3152"/>
      <c r="BQH31" s="3152"/>
      <c r="BQI31" s="3152"/>
      <c r="BQJ31" s="3152"/>
      <c r="BQK31" s="3152"/>
      <c r="BQL31" s="3152"/>
      <c r="BQM31" s="3152"/>
      <c r="BQN31" s="3152"/>
      <c r="BQO31" s="3152"/>
      <c r="BQP31" s="3152"/>
      <c r="BQQ31" s="3152"/>
      <c r="BQR31" s="3152"/>
      <c r="BQS31" s="3152"/>
      <c r="BQT31" s="3152"/>
      <c r="BQU31" s="3152"/>
      <c r="BQV31" s="3152"/>
      <c r="BQW31" s="3152"/>
      <c r="BQX31" s="3152"/>
      <c r="BQY31" s="3152"/>
      <c r="BQZ31" s="3152"/>
      <c r="BRA31" s="3152"/>
      <c r="BRB31" s="3152"/>
      <c r="BRC31" s="3152"/>
      <c r="BRD31" s="3152"/>
      <c r="BRE31" s="3152"/>
      <c r="BRF31" s="3152"/>
      <c r="BRG31" s="3152"/>
      <c r="BRH31" s="3152"/>
      <c r="BRI31" s="3152"/>
      <c r="BRJ31" s="3152"/>
      <c r="BRK31" s="3152"/>
      <c r="BRL31" s="3152"/>
      <c r="BRM31" s="3152"/>
      <c r="BRN31" s="3152"/>
      <c r="BRO31" s="3152"/>
      <c r="BRP31" s="3152"/>
      <c r="BRQ31" s="3152"/>
      <c r="BRR31" s="3152"/>
      <c r="BRS31" s="3152"/>
      <c r="BRT31" s="3152"/>
      <c r="BRU31" s="3152"/>
      <c r="BRV31" s="3152"/>
      <c r="BRW31" s="3152"/>
      <c r="BRX31" s="3152"/>
      <c r="BRY31" s="3152"/>
      <c r="BRZ31" s="3152"/>
      <c r="BSA31" s="3152"/>
      <c r="BSB31" s="3152"/>
      <c r="BSC31" s="3152"/>
      <c r="BSD31" s="3152"/>
      <c r="BSE31" s="3152"/>
      <c r="BSF31" s="3152"/>
      <c r="BSG31" s="3152"/>
      <c r="BSH31" s="3152"/>
      <c r="BSI31" s="3152"/>
      <c r="BSJ31" s="3152"/>
      <c r="BSK31" s="3152"/>
      <c r="BSL31" s="3152"/>
      <c r="BSM31" s="3152"/>
      <c r="BSN31" s="3152"/>
      <c r="BSO31" s="3152"/>
      <c r="BSP31" s="3152"/>
      <c r="BSQ31" s="3152"/>
      <c r="BSR31" s="3152"/>
      <c r="BSS31" s="3152"/>
      <c r="BST31" s="3152"/>
      <c r="BSU31" s="3152"/>
      <c r="BSV31" s="3152"/>
      <c r="BSW31" s="3152"/>
      <c r="BSX31" s="3152"/>
      <c r="BSY31" s="3152"/>
      <c r="BSZ31" s="3152"/>
      <c r="BTA31" s="3152"/>
      <c r="BTB31" s="3152"/>
      <c r="BTC31" s="3152"/>
      <c r="BTD31" s="3152"/>
      <c r="BTE31" s="3152"/>
      <c r="BTF31" s="3152"/>
      <c r="BTG31" s="3152"/>
      <c r="BTH31" s="3152"/>
      <c r="BTI31" s="3152"/>
      <c r="BTJ31" s="3152"/>
      <c r="BTK31" s="3152"/>
      <c r="BTL31" s="3152"/>
      <c r="BTM31" s="3152"/>
      <c r="BTN31" s="3152"/>
      <c r="BTO31" s="3152"/>
      <c r="BTP31" s="3152"/>
      <c r="BTQ31" s="3152"/>
      <c r="BTR31" s="3152"/>
      <c r="BTS31" s="3152"/>
      <c r="BTT31" s="3152"/>
      <c r="BTU31" s="3152"/>
      <c r="BTV31" s="3152"/>
      <c r="BTW31" s="3152"/>
      <c r="BTX31" s="3152"/>
      <c r="BTY31" s="3152"/>
      <c r="BTZ31" s="3152"/>
      <c r="BUA31" s="3152"/>
      <c r="BUB31" s="3152"/>
      <c r="BUC31" s="3152"/>
      <c r="BUD31" s="3152"/>
      <c r="BUE31" s="3152"/>
      <c r="BUF31" s="3152"/>
      <c r="BUG31" s="3152"/>
      <c r="BUH31" s="3152"/>
      <c r="BUI31" s="3152"/>
      <c r="BUJ31" s="3152"/>
      <c r="BUK31" s="3152"/>
      <c r="BUL31" s="3152"/>
      <c r="BUM31" s="3152"/>
      <c r="BUN31" s="3152"/>
      <c r="BUO31" s="3152"/>
      <c r="BUP31" s="3152"/>
      <c r="BUQ31" s="3152"/>
      <c r="BUR31" s="3152"/>
      <c r="BUS31" s="3152"/>
      <c r="BUT31" s="3152"/>
      <c r="BUU31" s="3152"/>
      <c r="BUV31" s="3152"/>
      <c r="BUW31" s="3152"/>
      <c r="BUX31" s="3152"/>
      <c r="BUY31" s="3152"/>
      <c r="BUZ31" s="3152"/>
      <c r="BVA31" s="3152"/>
      <c r="BVB31" s="3152"/>
      <c r="BVC31" s="3152"/>
      <c r="BVD31" s="3152"/>
      <c r="BVE31" s="3152"/>
      <c r="BVF31" s="3152"/>
      <c r="BVG31" s="3152"/>
      <c r="BVH31" s="3152"/>
      <c r="BVI31" s="3152"/>
      <c r="BVJ31" s="3152"/>
      <c r="BVK31" s="3152"/>
      <c r="BVL31" s="3152"/>
      <c r="BVM31" s="3152"/>
      <c r="BVN31" s="3152"/>
      <c r="BVO31" s="3152"/>
      <c r="BVP31" s="3152"/>
      <c r="BVQ31" s="3152"/>
      <c r="BVR31" s="3152"/>
      <c r="BVS31" s="3152"/>
      <c r="BVT31" s="3152"/>
      <c r="BVU31" s="3152"/>
      <c r="BVV31" s="3152"/>
      <c r="BVW31" s="3152"/>
      <c r="BVX31" s="3152"/>
      <c r="BVY31" s="3152"/>
      <c r="BVZ31" s="3152"/>
      <c r="BWA31" s="3152"/>
      <c r="BWB31" s="3152"/>
      <c r="BWC31" s="3152"/>
      <c r="BWD31" s="3152"/>
      <c r="BWE31" s="3152"/>
      <c r="BWF31" s="3152"/>
      <c r="BWG31" s="3152"/>
      <c r="BWH31" s="3152"/>
      <c r="BWI31" s="3152"/>
      <c r="BWJ31" s="3152"/>
      <c r="BWK31" s="3152"/>
      <c r="BWL31" s="3152"/>
      <c r="BWM31" s="3152"/>
      <c r="BWN31" s="3152"/>
      <c r="BWO31" s="3152"/>
      <c r="BWP31" s="3152"/>
      <c r="BWQ31" s="3152"/>
      <c r="BWR31" s="3152"/>
      <c r="BWS31" s="3152"/>
      <c r="BWT31" s="3152"/>
      <c r="BWU31" s="3152"/>
      <c r="BWV31" s="3152"/>
      <c r="BWW31" s="3152"/>
      <c r="BWX31" s="3152"/>
      <c r="BWY31" s="3152"/>
      <c r="BWZ31" s="3152"/>
      <c r="BXA31" s="3152"/>
      <c r="BXB31" s="3152"/>
      <c r="BXC31" s="3152"/>
      <c r="BXD31" s="3152"/>
      <c r="BXE31" s="3152"/>
      <c r="BXF31" s="3152"/>
      <c r="BXG31" s="3152"/>
      <c r="BXH31" s="3152"/>
      <c r="BXI31" s="3152"/>
      <c r="BXJ31" s="3152"/>
      <c r="BXK31" s="3152"/>
      <c r="BXL31" s="3152"/>
      <c r="BXM31" s="3152"/>
      <c r="BXN31" s="3152"/>
      <c r="BXO31" s="3152"/>
      <c r="BXP31" s="3152"/>
      <c r="BXQ31" s="3152"/>
      <c r="BXR31" s="3152"/>
      <c r="BXS31" s="3152"/>
      <c r="BXT31" s="3152"/>
      <c r="BXU31" s="3152"/>
      <c r="BXV31" s="3152"/>
      <c r="BXW31" s="3152"/>
      <c r="BXX31" s="3152"/>
      <c r="BXY31" s="3152"/>
      <c r="BXZ31" s="3152"/>
      <c r="BYA31" s="3152"/>
      <c r="BYB31" s="3152"/>
      <c r="BYC31" s="3152"/>
      <c r="BYD31" s="3152"/>
      <c r="BYE31" s="3152"/>
      <c r="BYF31" s="3152"/>
      <c r="BYG31" s="3152"/>
      <c r="BYH31" s="3152"/>
      <c r="BYI31" s="3152"/>
      <c r="BYJ31" s="3152"/>
      <c r="BYK31" s="3152"/>
      <c r="BYL31" s="3152"/>
      <c r="BYM31" s="3152"/>
      <c r="BYN31" s="3152"/>
      <c r="BYO31" s="3152"/>
      <c r="BYP31" s="3152"/>
      <c r="BYQ31" s="3152"/>
      <c r="BYR31" s="3152"/>
      <c r="BYS31" s="3152"/>
      <c r="BYT31" s="3152"/>
      <c r="BYU31" s="3152"/>
      <c r="BYV31" s="3152"/>
      <c r="BYW31" s="3152"/>
      <c r="BYX31" s="3152"/>
      <c r="BYY31" s="3152"/>
      <c r="BYZ31" s="3152"/>
      <c r="BZA31" s="3152"/>
      <c r="BZB31" s="3152"/>
      <c r="BZC31" s="3152"/>
      <c r="BZD31" s="3152"/>
      <c r="BZE31" s="3152"/>
      <c r="BZF31" s="3152"/>
      <c r="BZG31" s="3152"/>
      <c r="BZH31" s="3152"/>
      <c r="BZI31" s="3152"/>
      <c r="BZJ31" s="3152"/>
      <c r="BZK31" s="3152"/>
      <c r="BZL31" s="3152"/>
      <c r="BZM31" s="3152"/>
      <c r="BZN31" s="3152"/>
      <c r="BZO31" s="3152"/>
      <c r="BZP31" s="3152"/>
      <c r="BZQ31" s="3152"/>
      <c r="BZR31" s="3152"/>
      <c r="BZS31" s="3152"/>
      <c r="BZT31" s="3152"/>
      <c r="BZU31" s="3152"/>
      <c r="BZV31" s="3152"/>
      <c r="BZW31" s="3152"/>
      <c r="BZX31" s="3152"/>
      <c r="BZY31" s="3152"/>
      <c r="BZZ31" s="3152"/>
      <c r="CAA31" s="3152"/>
      <c r="CAB31" s="3152"/>
      <c r="CAC31" s="3152"/>
      <c r="CAD31" s="3152"/>
      <c r="CAE31" s="3152"/>
      <c r="CAF31" s="3152"/>
      <c r="CAG31" s="3152"/>
      <c r="CAH31" s="3152"/>
      <c r="CAI31" s="3152"/>
      <c r="CAJ31" s="3152"/>
      <c r="CAK31" s="3152"/>
      <c r="CAL31" s="3152"/>
      <c r="CAM31" s="3152"/>
      <c r="CAN31" s="3152"/>
      <c r="CAO31" s="3152"/>
      <c r="CAP31" s="3152"/>
      <c r="CAQ31" s="3152"/>
      <c r="CAR31" s="3152"/>
      <c r="CAS31" s="3152"/>
      <c r="CAT31" s="3152"/>
      <c r="CAU31" s="3152"/>
      <c r="CAV31" s="3152"/>
      <c r="CAW31" s="3152"/>
      <c r="CAX31" s="3152"/>
      <c r="CAY31" s="3152"/>
      <c r="CAZ31" s="3152"/>
      <c r="CBA31" s="3152"/>
      <c r="CBB31" s="3152"/>
      <c r="CBC31" s="3152"/>
      <c r="CBD31" s="3152"/>
      <c r="CBE31" s="3152"/>
      <c r="CBF31" s="3152"/>
      <c r="CBG31" s="3152"/>
      <c r="CBH31" s="3152"/>
      <c r="CBI31" s="3152"/>
      <c r="CBJ31" s="3152"/>
      <c r="CBK31" s="3152"/>
      <c r="CBL31" s="3152"/>
      <c r="CBM31" s="3152"/>
      <c r="CBN31" s="3152"/>
      <c r="CBO31" s="3152"/>
      <c r="CBP31" s="3152"/>
      <c r="CBQ31" s="3152"/>
      <c r="CBR31" s="3152"/>
      <c r="CBS31" s="3152"/>
      <c r="CBT31" s="3152"/>
      <c r="CBU31" s="3152"/>
      <c r="CBV31" s="3152"/>
      <c r="CBW31" s="3152"/>
      <c r="CBX31" s="3152"/>
      <c r="CBY31" s="3152"/>
      <c r="CBZ31" s="3152"/>
      <c r="CCA31" s="3152"/>
      <c r="CCB31" s="3152"/>
      <c r="CCC31" s="3152"/>
      <c r="CCD31" s="3152"/>
      <c r="CCE31" s="3152"/>
      <c r="CCF31" s="3152"/>
      <c r="CCG31" s="3152"/>
      <c r="CCH31" s="3152"/>
      <c r="CCI31" s="3152"/>
      <c r="CCJ31" s="3152"/>
      <c r="CCK31" s="3152"/>
      <c r="CCL31" s="3152"/>
      <c r="CCM31" s="3152"/>
      <c r="CCN31" s="3152"/>
      <c r="CCO31" s="3152"/>
      <c r="CCP31" s="3152"/>
      <c r="CCQ31" s="3152"/>
      <c r="CCR31" s="3152"/>
      <c r="CCS31" s="3152"/>
      <c r="CCT31" s="3152"/>
      <c r="CCU31" s="3152"/>
      <c r="CCV31" s="3152"/>
      <c r="CCW31" s="3152"/>
      <c r="CCX31" s="3152"/>
      <c r="CCY31" s="3152"/>
      <c r="CCZ31" s="3152"/>
      <c r="CDA31" s="3152"/>
      <c r="CDB31" s="3152"/>
      <c r="CDC31" s="3152"/>
      <c r="CDD31" s="3152"/>
      <c r="CDE31" s="3152"/>
      <c r="CDF31" s="3152"/>
      <c r="CDG31" s="3152"/>
      <c r="CDH31" s="3152"/>
      <c r="CDI31" s="3152"/>
      <c r="CDJ31" s="3152"/>
      <c r="CDK31" s="3152"/>
      <c r="CDL31" s="3152"/>
      <c r="CDM31" s="3152"/>
      <c r="CDN31" s="3152"/>
      <c r="CDO31" s="3152"/>
      <c r="CDP31" s="3152"/>
      <c r="CDQ31" s="3152"/>
      <c r="CDR31" s="3152"/>
      <c r="CDS31" s="3152"/>
      <c r="CDT31" s="3152"/>
      <c r="CDU31" s="3152"/>
      <c r="CDV31" s="3152"/>
      <c r="CDW31" s="3152"/>
      <c r="CDX31" s="3152"/>
      <c r="CDY31" s="3152"/>
      <c r="CDZ31" s="3152"/>
      <c r="CEA31" s="3152"/>
      <c r="CEB31" s="3152"/>
      <c r="CEC31" s="3152"/>
      <c r="CED31" s="3152"/>
      <c r="CEE31" s="3152"/>
      <c r="CEF31" s="3152"/>
      <c r="CEG31" s="3152"/>
      <c r="CEH31" s="3152"/>
      <c r="CEI31" s="3152"/>
      <c r="CEJ31" s="3152"/>
      <c r="CEK31" s="3152"/>
      <c r="CEL31" s="3152"/>
      <c r="CEM31" s="3152"/>
      <c r="CEN31" s="3152"/>
      <c r="CEO31" s="3152"/>
      <c r="CEP31" s="3152"/>
      <c r="CEQ31" s="3152"/>
      <c r="CER31" s="3152"/>
      <c r="CES31" s="3152"/>
      <c r="CET31" s="3152"/>
      <c r="CEU31" s="3152"/>
      <c r="CEV31" s="3152"/>
      <c r="CEW31" s="3152"/>
      <c r="CEX31" s="3152"/>
      <c r="CEY31" s="3152"/>
      <c r="CEZ31" s="3152"/>
      <c r="CFA31" s="3152"/>
      <c r="CFB31" s="3152"/>
      <c r="CFC31" s="3152"/>
      <c r="CFD31" s="3152"/>
      <c r="CFE31" s="3152"/>
      <c r="CFF31" s="3152"/>
      <c r="CFG31" s="3152"/>
      <c r="CFH31" s="3152"/>
      <c r="CFI31" s="3152"/>
      <c r="CFJ31" s="3152"/>
      <c r="CFK31" s="3152"/>
      <c r="CFL31" s="3152"/>
      <c r="CFM31" s="3152"/>
      <c r="CFN31" s="3152"/>
      <c r="CFO31" s="3152"/>
      <c r="CFP31" s="3152"/>
      <c r="CFQ31" s="3152"/>
      <c r="CFR31" s="3152"/>
      <c r="CFS31" s="3152"/>
      <c r="CFT31" s="3152"/>
      <c r="CFU31" s="3152"/>
      <c r="CFV31" s="3152"/>
      <c r="CFW31" s="3152"/>
      <c r="CFX31" s="3152"/>
      <c r="CFY31" s="3152"/>
      <c r="CFZ31" s="3152"/>
      <c r="CGA31" s="3152"/>
      <c r="CGB31" s="3152"/>
      <c r="CGC31" s="3152"/>
      <c r="CGD31" s="3152"/>
      <c r="CGE31" s="3152"/>
      <c r="CGF31" s="3152"/>
      <c r="CGG31" s="3152"/>
      <c r="CGH31" s="3152"/>
      <c r="CGI31" s="3152"/>
      <c r="CGJ31" s="3152"/>
      <c r="CGK31" s="3152"/>
      <c r="CGL31" s="3152"/>
      <c r="CGM31" s="3152"/>
      <c r="CGN31" s="3152"/>
      <c r="CGO31" s="3152"/>
      <c r="CGP31" s="3152"/>
      <c r="CGQ31" s="3152"/>
      <c r="CGR31" s="3152"/>
      <c r="CGS31" s="3152"/>
      <c r="CGT31" s="3152"/>
      <c r="CGU31" s="3152"/>
      <c r="CGV31" s="3152"/>
      <c r="CGW31" s="3152"/>
      <c r="CGX31" s="3152"/>
      <c r="CGY31" s="3152"/>
      <c r="CGZ31" s="3152"/>
      <c r="CHA31" s="3152"/>
      <c r="CHB31" s="3152"/>
      <c r="CHC31" s="3152"/>
      <c r="CHD31" s="3152"/>
      <c r="CHE31" s="3152"/>
      <c r="CHF31" s="3152"/>
      <c r="CHG31" s="3152"/>
      <c r="CHH31" s="3152"/>
      <c r="CHI31" s="3152"/>
      <c r="CHJ31" s="3152"/>
      <c r="CHK31" s="3152"/>
      <c r="CHL31" s="3152"/>
      <c r="CHM31" s="3152"/>
      <c r="CHN31" s="3152"/>
      <c r="CHO31" s="3152"/>
      <c r="CHP31" s="3152"/>
      <c r="CHQ31" s="3152"/>
      <c r="CHR31" s="3152"/>
      <c r="CHS31" s="3152"/>
      <c r="CHT31" s="3152"/>
      <c r="CHU31" s="3152"/>
      <c r="CHV31" s="3152"/>
      <c r="CHW31" s="3152"/>
      <c r="CHX31" s="3152"/>
      <c r="CHY31" s="3152"/>
      <c r="CHZ31" s="3152"/>
      <c r="CIA31" s="3152"/>
      <c r="CIB31" s="3152"/>
      <c r="CIC31" s="3152"/>
      <c r="CID31" s="3152"/>
      <c r="CIE31" s="3152"/>
      <c r="CIF31" s="3152"/>
      <c r="CIG31" s="3152"/>
      <c r="CIH31" s="3152"/>
      <c r="CII31" s="3152"/>
      <c r="CIJ31" s="3152"/>
      <c r="CIK31" s="3152"/>
      <c r="CIL31" s="3152"/>
      <c r="CIM31" s="3152"/>
      <c r="CIN31" s="3152"/>
      <c r="CIO31" s="3152"/>
      <c r="CIP31" s="3152"/>
      <c r="CIQ31" s="3152"/>
      <c r="CIR31" s="3152"/>
      <c r="CIS31" s="3152"/>
      <c r="CIT31" s="3152"/>
      <c r="CIU31" s="3152"/>
      <c r="CIV31" s="3152"/>
      <c r="CIW31" s="3152"/>
      <c r="CIX31" s="3152"/>
      <c r="CIY31" s="3152"/>
      <c r="CIZ31" s="3152"/>
      <c r="CJA31" s="3152"/>
      <c r="CJB31" s="3152"/>
      <c r="CJC31" s="3152"/>
      <c r="CJD31" s="3152"/>
      <c r="CJE31" s="3152"/>
      <c r="CJF31" s="3152"/>
      <c r="CJG31" s="3152"/>
      <c r="CJH31" s="3152"/>
      <c r="CJI31" s="3152"/>
      <c r="CJJ31" s="3152"/>
      <c r="CJK31" s="3152"/>
      <c r="CJL31" s="3152"/>
      <c r="CJM31" s="3152"/>
      <c r="CJN31" s="3152"/>
      <c r="CJO31" s="3152"/>
      <c r="CJP31" s="3152"/>
      <c r="CJQ31" s="3152"/>
      <c r="CJR31" s="3152"/>
      <c r="CJS31" s="3152"/>
      <c r="CJT31" s="3152"/>
      <c r="CJU31" s="3152"/>
      <c r="CJV31" s="3152"/>
      <c r="CJW31" s="3152"/>
      <c r="CJX31" s="3152"/>
      <c r="CJY31" s="3152"/>
      <c r="CJZ31" s="3152"/>
      <c r="CKA31" s="3152"/>
      <c r="CKB31" s="3152"/>
      <c r="CKC31" s="3152"/>
      <c r="CKD31" s="3152"/>
      <c r="CKE31" s="3152"/>
      <c r="CKF31" s="3152"/>
      <c r="CKG31" s="3152"/>
      <c r="CKH31" s="3152"/>
      <c r="CKI31" s="3152"/>
      <c r="CKJ31" s="3152"/>
      <c r="CKK31" s="3152"/>
      <c r="CKL31" s="3152"/>
      <c r="CKM31" s="3152"/>
      <c r="CKN31" s="3152"/>
      <c r="CKO31" s="3152"/>
      <c r="CKP31" s="3152"/>
      <c r="CKQ31" s="3152"/>
      <c r="CKR31" s="3152"/>
      <c r="CKS31" s="3152"/>
      <c r="CKT31" s="3152"/>
      <c r="CKU31" s="3152"/>
      <c r="CKV31" s="3152"/>
      <c r="CKW31" s="3152"/>
      <c r="CKX31" s="3152"/>
      <c r="CKY31" s="3152"/>
      <c r="CKZ31" s="3152"/>
      <c r="CLA31" s="3152"/>
      <c r="CLB31" s="3152"/>
      <c r="CLC31" s="3152"/>
      <c r="CLD31" s="3152"/>
      <c r="CLE31" s="3152"/>
      <c r="CLF31" s="3152"/>
      <c r="CLG31" s="3152"/>
      <c r="CLH31" s="3152"/>
      <c r="CLI31" s="3152"/>
      <c r="CLJ31" s="3152"/>
      <c r="CLK31" s="3152"/>
      <c r="CLL31" s="3152"/>
      <c r="CLM31" s="3152"/>
      <c r="CLN31" s="3152"/>
      <c r="CLO31" s="3152"/>
      <c r="CLP31" s="3152"/>
      <c r="CLQ31" s="3152"/>
      <c r="CLR31" s="3152"/>
      <c r="CLS31" s="3152"/>
      <c r="CLT31" s="3152"/>
      <c r="CLU31" s="3152"/>
      <c r="CLV31" s="3152"/>
      <c r="CLW31" s="3152"/>
    </row>
    <row r="32" spans="1:2363" ht="16.5" customHeight="1" x14ac:dyDescent="0.25">
      <c r="A32" s="3876"/>
      <c r="B32" s="3883" t="s">
        <v>678</v>
      </c>
      <c r="C32" s="2982">
        <v>1</v>
      </c>
      <c r="D32" s="2601"/>
      <c r="E32" s="1803"/>
      <c r="F32" s="1799"/>
      <c r="G32" s="1800"/>
      <c r="H32" s="1801"/>
      <c r="I32" s="1799"/>
      <c r="J32" s="1799"/>
      <c r="K32" s="1801"/>
      <c r="L32" s="1799"/>
      <c r="M32" s="1799"/>
      <c r="N32" s="1799"/>
      <c r="O32" s="2281"/>
      <c r="P32" s="1842"/>
      <c r="Q32" s="3053"/>
      <c r="R32" s="1816"/>
      <c r="S32" s="3055"/>
      <c r="T32" s="3118"/>
      <c r="U32" s="3056"/>
      <c r="V32" s="2616"/>
      <c r="W32" s="2094"/>
      <c r="X32" s="2094"/>
      <c r="Y32" s="3054"/>
      <c r="Z32" s="3188"/>
      <c r="AA32" s="1894">
        <v>0</v>
      </c>
      <c r="AB32" s="1894">
        <v>0</v>
      </c>
      <c r="AC32" s="2082">
        <f t="shared" ref="AC32" si="52">AA32-AB32</f>
        <v>0</v>
      </c>
      <c r="AD32" s="1897">
        <v>0</v>
      </c>
      <c r="AE32" s="1897">
        <v>0</v>
      </c>
      <c r="AF32" s="1893">
        <v>0</v>
      </c>
      <c r="AG32" s="2866">
        <v>0</v>
      </c>
      <c r="AH32" s="1993">
        <f>AD32+AF32+AG32+AE32</f>
        <v>0</v>
      </c>
      <c r="AI32" s="1894">
        <v>0</v>
      </c>
      <c r="AJ32" s="1848">
        <v>0</v>
      </c>
      <c r="AK32" s="2451">
        <f t="shared" ref="AK32" si="53">AI32+AJ32</f>
        <v>0</v>
      </c>
      <c r="AL32" s="2515">
        <v>0</v>
      </c>
      <c r="AM32" s="2515">
        <v>0</v>
      </c>
      <c r="AN32" s="2694">
        <f>AL32-AM32</f>
        <v>0</v>
      </c>
      <c r="AO32" s="2160"/>
      <c r="AP32" s="2166"/>
      <c r="AQ32" s="2172"/>
      <c r="AR32" s="2172"/>
      <c r="AS32" s="2157"/>
      <c r="AT32" s="2491"/>
      <c r="AU32" s="3037"/>
      <c r="AV32" s="2173"/>
      <c r="AW32" s="2159"/>
      <c r="AX32" s="2515"/>
      <c r="AY32" s="2515"/>
      <c r="AZ32" s="2694"/>
      <c r="BA32" s="3082"/>
      <c r="BB32" s="3086"/>
      <c r="BC32" s="3084"/>
      <c r="BD32" s="3084"/>
      <c r="BE32" s="3087"/>
      <c r="BF32" s="3185"/>
      <c r="BG32" s="3037"/>
      <c r="BH32" s="2173"/>
      <c r="BI32" s="2159"/>
      <c r="BJ32" s="2607">
        <v>0</v>
      </c>
      <c r="BK32" s="2328">
        <v>0</v>
      </c>
      <c r="BL32" s="2608">
        <v>0</v>
      </c>
      <c r="BM32" s="2658">
        <v>0</v>
      </c>
      <c r="BN32" s="2101">
        <v>0</v>
      </c>
      <c r="BO32" s="2101">
        <v>0</v>
      </c>
      <c r="BP32" s="2101">
        <v>0</v>
      </c>
      <c r="BQ32" s="3046">
        <f>BM32+BN32+BO32+BP32</f>
        <v>0</v>
      </c>
      <c r="BR32" s="2656">
        <v>0</v>
      </c>
      <c r="BS32" s="2656">
        <v>0</v>
      </c>
      <c r="BT32" s="3189">
        <f t="shared" ref="BT32:BT33" si="54">BR32+BS32</f>
        <v>0</v>
      </c>
      <c r="BU32" s="3193"/>
      <c r="BV32" s="3058"/>
      <c r="BW32" s="3058"/>
      <c r="BX32" s="3058"/>
      <c r="BY32" s="3147"/>
      <c r="BZ32" s="3147"/>
      <c r="CA32" s="3147"/>
      <c r="CB32" s="3147"/>
      <c r="CC32" s="3147"/>
      <c r="CD32" s="3147"/>
      <c r="CE32" s="3147"/>
      <c r="CF32" s="3147"/>
      <c r="CG32" s="3147"/>
      <c r="CH32" s="1050"/>
      <c r="CI32" s="2854"/>
      <c r="CJ32" s="2854"/>
      <c r="CK32" s="2854"/>
      <c r="CL32" s="2854"/>
      <c r="CM32" s="2854"/>
      <c r="CN32" s="2854"/>
      <c r="CO32" s="2854"/>
      <c r="CP32" s="2854"/>
      <c r="CQ32" s="2854"/>
      <c r="CR32" s="2854"/>
      <c r="CS32" s="2854"/>
      <c r="CT32" s="2854"/>
      <c r="CU32" s="2854"/>
      <c r="CV32" s="2854"/>
      <c r="CW32" s="175"/>
      <c r="CX32" s="2854"/>
      <c r="CY32" s="2854"/>
      <c r="CZ32" s="2854"/>
      <c r="DA32" s="2854"/>
      <c r="DB32" s="2854"/>
      <c r="DC32" s="2854"/>
      <c r="DD32" s="2854"/>
      <c r="DE32" s="2854"/>
      <c r="DF32" s="2854"/>
      <c r="DG32" s="2854"/>
      <c r="DH32" s="2854"/>
      <c r="DI32" s="2854"/>
      <c r="DJ32" s="2854"/>
      <c r="DK32" s="2854"/>
      <c r="DL32" s="2854"/>
      <c r="DM32" s="2854"/>
      <c r="DN32" s="2854"/>
      <c r="DO32" s="2854"/>
      <c r="DP32" s="2854"/>
      <c r="DQ32" s="2854"/>
      <c r="DR32" s="2854"/>
      <c r="DS32" s="2854"/>
      <c r="DT32" s="2854"/>
      <c r="DU32" s="2854"/>
      <c r="DV32" s="2854"/>
      <c r="DW32" s="2854"/>
      <c r="DX32" s="2854"/>
      <c r="DY32" s="2854"/>
      <c r="DZ32" s="2854"/>
      <c r="EA32" s="2854"/>
      <c r="EB32" s="2854"/>
      <c r="EC32" s="2854"/>
      <c r="ED32" s="2854"/>
      <c r="EE32" s="2854"/>
      <c r="EF32" s="2854"/>
      <c r="EG32" s="2854"/>
      <c r="EH32" s="2854"/>
      <c r="EI32" s="2854"/>
      <c r="EJ32" s="2854"/>
      <c r="EK32" s="2854"/>
      <c r="EL32" s="2854"/>
      <c r="EM32" s="2854"/>
      <c r="EN32" s="2854"/>
      <c r="EO32" s="2854"/>
      <c r="EP32" s="2854"/>
      <c r="EQ32" s="2854"/>
      <c r="ER32" s="2854"/>
      <c r="ES32" s="2854"/>
      <c r="ET32" s="2854"/>
      <c r="EU32" s="2854"/>
      <c r="EV32" s="2854"/>
      <c r="EW32" s="2854"/>
      <c r="EX32" s="2854"/>
      <c r="EY32" s="2854"/>
      <c r="EZ32" s="2854"/>
      <c r="FA32" s="2854"/>
      <c r="FB32" s="2854"/>
      <c r="FC32" s="2854"/>
      <c r="FD32" s="2854"/>
      <c r="FE32" s="2854"/>
      <c r="FF32" s="2854"/>
      <c r="FG32" s="2854"/>
      <c r="FH32" s="2854"/>
      <c r="FI32" s="2854"/>
      <c r="FJ32" s="2854"/>
      <c r="FK32" s="2854"/>
      <c r="FL32" s="2854"/>
      <c r="FM32" s="2854"/>
      <c r="FN32" s="2854"/>
      <c r="FO32" s="2854"/>
      <c r="FP32" s="2854"/>
      <c r="FQ32" s="2854"/>
      <c r="FR32" s="2854"/>
      <c r="FS32" s="2854"/>
      <c r="FT32" s="2854"/>
      <c r="FU32" s="2854"/>
      <c r="FV32" s="2854"/>
      <c r="FW32" s="2854"/>
      <c r="FX32" s="2854"/>
      <c r="FY32" s="2854"/>
      <c r="FZ32" s="2854"/>
      <c r="GA32" s="2854"/>
      <c r="GB32" s="2854"/>
      <c r="GC32" s="2854"/>
      <c r="GD32" s="2854"/>
      <c r="GE32" s="2854"/>
      <c r="GF32" s="2854"/>
      <c r="GG32" s="2854"/>
      <c r="GH32" s="2854"/>
      <c r="GI32" s="2854"/>
      <c r="GJ32" s="2854"/>
      <c r="GK32" s="2854"/>
      <c r="GL32" s="2854"/>
      <c r="GM32" s="2854"/>
      <c r="GN32" s="2854"/>
      <c r="GO32" s="2854"/>
      <c r="GP32" s="2854"/>
      <c r="GQ32" s="2854"/>
      <c r="GR32" s="2854"/>
      <c r="GS32" s="2854"/>
      <c r="GT32" s="2854"/>
      <c r="GU32" s="2854"/>
      <c r="GV32" s="2854"/>
      <c r="GW32" s="2854"/>
      <c r="GX32" s="2854"/>
      <c r="GY32" s="2854"/>
      <c r="GZ32" s="2854"/>
      <c r="HA32" s="2854"/>
      <c r="HB32" s="2854"/>
      <c r="HC32" s="2854"/>
      <c r="HD32" s="2854"/>
      <c r="HE32" s="2854"/>
      <c r="HF32" s="2854"/>
      <c r="HG32" s="2854"/>
      <c r="HH32" s="2854"/>
      <c r="HI32" s="2854"/>
      <c r="HJ32" s="2854"/>
      <c r="HK32" s="2854"/>
      <c r="HL32" s="2854"/>
      <c r="HM32" s="2854"/>
      <c r="HN32" s="2854"/>
      <c r="HO32" s="2854"/>
      <c r="HP32" s="2854"/>
      <c r="HQ32" s="2854"/>
      <c r="HR32" s="2854"/>
      <c r="HS32" s="2854"/>
      <c r="HT32" s="2854"/>
      <c r="HU32" s="2854"/>
      <c r="HV32" s="2854"/>
      <c r="HW32" s="2854"/>
      <c r="HX32" s="2854"/>
      <c r="HY32" s="2854"/>
      <c r="HZ32" s="2854"/>
      <c r="IA32" s="2854"/>
      <c r="IB32" s="2854"/>
      <c r="IC32" s="2854"/>
      <c r="ID32" s="2854"/>
      <c r="IE32" s="2854"/>
      <c r="IF32" s="2854"/>
      <c r="IG32" s="2854"/>
      <c r="IH32" s="2854"/>
      <c r="II32" s="2854"/>
      <c r="IJ32" s="2854"/>
      <c r="IK32" s="2854"/>
      <c r="IL32" s="2854"/>
      <c r="IM32" s="2854"/>
      <c r="IN32" s="2854"/>
      <c r="IO32" s="2854"/>
      <c r="IP32" s="2854"/>
      <c r="IQ32" s="2854"/>
      <c r="IR32" s="2854"/>
      <c r="IS32" s="2854"/>
      <c r="IT32" s="2854"/>
      <c r="IU32" s="2854"/>
      <c r="IV32" s="2854"/>
      <c r="IW32" s="2854"/>
      <c r="IX32" s="2854"/>
      <c r="IY32" s="2854"/>
      <c r="IZ32" s="2854"/>
      <c r="JA32" s="2854"/>
      <c r="JB32" s="2854"/>
      <c r="JC32" s="2854"/>
      <c r="JD32" s="2854"/>
      <c r="JE32" s="2854"/>
      <c r="JF32" s="2854"/>
      <c r="JG32" s="2854"/>
      <c r="JH32" s="2854"/>
      <c r="JI32" s="2854"/>
      <c r="JJ32" s="2854"/>
      <c r="JK32" s="2854"/>
      <c r="JL32" s="2854"/>
      <c r="JM32" s="2854"/>
      <c r="JN32" s="2854"/>
      <c r="JO32" s="2854"/>
      <c r="JP32" s="2854"/>
      <c r="JQ32" s="2854"/>
      <c r="JR32" s="2854"/>
      <c r="JS32" s="2854"/>
      <c r="JT32" s="2854"/>
      <c r="JU32" s="2854"/>
      <c r="JV32" s="2854"/>
      <c r="JW32" s="2854"/>
      <c r="JX32" s="2854"/>
      <c r="JY32" s="2854"/>
      <c r="JZ32" s="2854"/>
      <c r="KA32" s="2854"/>
      <c r="KB32" s="2854"/>
      <c r="KC32" s="2854"/>
      <c r="KD32" s="2854"/>
      <c r="KE32" s="2854"/>
      <c r="KF32" s="2854"/>
      <c r="KG32" s="2854"/>
      <c r="KH32" s="2854"/>
      <c r="KI32" s="2854"/>
      <c r="KJ32" s="2854"/>
      <c r="KK32" s="2854"/>
      <c r="KL32" s="2854"/>
      <c r="KM32" s="2854"/>
      <c r="KN32" s="2854"/>
      <c r="KO32" s="2854"/>
      <c r="KP32" s="2854"/>
      <c r="KQ32" s="2854"/>
      <c r="KR32" s="2854"/>
      <c r="KS32" s="2854"/>
      <c r="KT32" s="2854"/>
      <c r="KU32" s="2854"/>
      <c r="KV32" s="2854"/>
      <c r="KW32" s="2854"/>
      <c r="KX32" s="2854"/>
      <c r="KY32" s="2854"/>
      <c r="KZ32" s="2854"/>
      <c r="LA32" s="2854"/>
      <c r="LB32" s="2854"/>
      <c r="LC32" s="2854"/>
      <c r="LD32" s="2854"/>
      <c r="LE32" s="2854"/>
      <c r="LF32" s="2854"/>
      <c r="LG32" s="2854"/>
      <c r="LH32" s="2854"/>
      <c r="LI32" s="2854"/>
      <c r="LJ32" s="2854"/>
      <c r="LK32" s="2854"/>
      <c r="LL32" s="2854"/>
      <c r="LM32" s="2854"/>
      <c r="LN32" s="2854"/>
      <c r="LO32" s="2854"/>
      <c r="LP32" s="2854"/>
      <c r="LQ32" s="2854"/>
      <c r="LR32" s="2854"/>
      <c r="LS32" s="2854"/>
      <c r="LT32" s="2854"/>
      <c r="LU32" s="2854"/>
      <c r="LV32" s="2854"/>
      <c r="LW32" s="2854"/>
      <c r="LX32" s="2854"/>
      <c r="LY32" s="2854"/>
      <c r="LZ32" s="2854"/>
      <c r="MA32" s="2854"/>
      <c r="MB32" s="2854"/>
      <c r="MC32" s="2854"/>
      <c r="MD32" s="2854"/>
      <c r="ME32" s="2854"/>
      <c r="MF32" s="2854"/>
      <c r="MG32" s="2854"/>
      <c r="MH32" s="2854"/>
      <c r="MI32" s="2854"/>
      <c r="MJ32" s="2854"/>
      <c r="MK32" s="2854"/>
      <c r="ML32" s="2854"/>
      <c r="MM32" s="2854"/>
      <c r="MN32" s="2854"/>
      <c r="MO32" s="2854"/>
      <c r="MP32" s="2854"/>
      <c r="MQ32" s="2854"/>
      <c r="MR32" s="2854"/>
      <c r="MS32" s="2854"/>
      <c r="MT32" s="2854"/>
      <c r="MU32" s="2854"/>
      <c r="MV32" s="2854"/>
      <c r="MW32" s="2854"/>
      <c r="MX32" s="2854"/>
      <c r="MY32" s="2854"/>
      <c r="MZ32" s="2854"/>
      <c r="NA32" s="2854"/>
      <c r="NB32" s="2854"/>
      <c r="NC32" s="2854"/>
      <c r="ND32" s="2854"/>
      <c r="NE32" s="2854"/>
      <c r="NF32" s="2854"/>
      <c r="NG32" s="2854"/>
      <c r="NH32" s="2854"/>
      <c r="NI32" s="2854"/>
      <c r="NJ32" s="2854"/>
      <c r="NK32" s="2854"/>
      <c r="NL32" s="2854"/>
      <c r="NM32" s="2854"/>
      <c r="NN32" s="2854"/>
      <c r="NO32" s="2854"/>
      <c r="NP32" s="2854"/>
      <c r="NQ32" s="2854"/>
      <c r="NR32" s="2854"/>
      <c r="NS32" s="2854"/>
      <c r="NT32" s="2854"/>
      <c r="NU32" s="2854"/>
      <c r="NV32" s="2854"/>
      <c r="NW32" s="2854"/>
      <c r="NX32" s="2854"/>
      <c r="NY32" s="2854"/>
      <c r="NZ32" s="2854"/>
      <c r="OA32" s="2854"/>
      <c r="OB32" s="2854"/>
      <c r="OC32" s="2854"/>
      <c r="OD32" s="2854"/>
      <c r="OE32" s="2854"/>
      <c r="OF32" s="2854"/>
      <c r="OG32" s="2854"/>
      <c r="OH32" s="2854"/>
      <c r="OI32" s="2854"/>
      <c r="OJ32" s="2854"/>
      <c r="OK32" s="2854"/>
      <c r="OL32" s="2854"/>
      <c r="OM32" s="2854"/>
      <c r="ON32" s="2854"/>
      <c r="OO32" s="2854"/>
      <c r="OP32" s="2854"/>
      <c r="OQ32" s="2854"/>
      <c r="OR32" s="2854"/>
      <c r="OS32" s="2854"/>
      <c r="OT32" s="2854"/>
      <c r="OU32" s="2854"/>
      <c r="OV32" s="2854"/>
      <c r="OW32" s="2854"/>
      <c r="OX32" s="2854"/>
      <c r="OY32" s="2854"/>
      <c r="OZ32" s="2854"/>
      <c r="PA32" s="2854"/>
      <c r="PB32" s="2854"/>
      <c r="PC32" s="2854"/>
      <c r="PD32" s="2854"/>
      <c r="PE32" s="2854"/>
      <c r="PF32" s="2854"/>
      <c r="PG32" s="2854"/>
      <c r="PH32" s="2854"/>
      <c r="PI32" s="2854"/>
      <c r="PJ32" s="2854"/>
      <c r="PK32" s="2854"/>
      <c r="PL32" s="2854"/>
      <c r="PM32" s="2854"/>
      <c r="PN32" s="2854"/>
      <c r="PO32" s="2854"/>
      <c r="PP32" s="2854"/>
      <c r="PQ32" s="2854"/>
      <c r="PR32" s="2854"/>
      <c r="PS32" s="2854"/>
      <c r="PT32" s="2854"/>
      <c r="PU32" s="2854"/>
      <c r="PV32" s="2854"/>
      <c r="PW32" s="2854"/>
      <c r="PX32" s="2854"/>
      <c r="PY32" s="2854"/>
      <c r="PZ32" s="2854"/>
      <c r="QA32" s="2854"/>
      <c r="QB32" s="2854"/>
      <c r="QC32" s="2854"/>
      <c r="QD32" s="2854"/>
      <c r="QE32" s="2854"/>
      <c r="QF32" s="2854"/>
      <c r="QG32" s="2854"/>
      <c r="QH32" s="2854"/>
      <c r="QI32" s="2854"/>
      <c r="QJ32" s="2854"/>
      <c r="QK32" s="2854"/>
      <c r="QL32" s="2854"/>
      <c r="QM32" s="2854"/>
      <c r="QN32" s="2854"/>
      <c r="QO32" s="2854"/>
      <c r="QP32" s="2854"/>
      <c r="QQ32" s="2854"/>
      <c r="QR32" s="2854"/>
      <c r="QS32" s="2854"/>
      <c r="QT32" s="2854"/>
      <c r="QU32" s="2854"/>
      <c r="QV32" s="2854"/>
      <c r="QW32" s="2854"/>
      <c r="QX32" s="2854"/>
      <c r="QY32" s="2854"/>
      <c r="QZ32" s="2854"/>
      <c r="RA32" s="2854"/>
      <c r="RB32" s="2854"/>
      <c r="RC32" s="2854"/>
      <c r="RD32" s="2854"/>
      <c r="RE32" s="2854"/>
      <c r="RF32" s="2854"/>
      <c r="RG32" s="2854"/>
      <c r="RH32" s="2854"/>
      <c r="RI32" s="2854"/>
      <c r="RJ32" s="2854"/>
      <c r="RK32" s="2854"/>
      <c r="RL32" s="2854"/>
      <c r="RM32" s="2854"/>
      <c r="RN32" s="2854"/>
      <c r="RO32" s="2854"/>
      <c r="RP32" s="2854"/>
      <c r="RQ32" s="2854"/>
      <c r="RR32" s="2854"/>
      <c r="RS32" s="2854"/>
      <c r="RT32" s="2854"/>
      <c r="RU32" s="2854"/>
      <c r="RV32" s="2854"/>
      <c r="RW32" s="2854"/>
      <c r="RX32" s="2854"/>
      <c r="RY32" s="2854"/>
      <c r="RZ32" s="2854"/>
      <c r="SA32" s="2854"/>
      <c r="SB32" s="2854"/>
      <c r="SC32" s="2854"/>
      <c r="SD32" s="2854"/>
      <c r="SE32" s="2854"/>
      <c r="SF32" s="2854"/>
      <c r="SG32" s="2854"/>
      <c r="SH32" s="2854"/>
      <c r="SI32" s="2854"/>
      <c r="SJ32" s="2854"/>
      <c r="SK32" s="2854"/>
      <c r="SL32" s="2854"/>
      <c r="SM32" s="2854"/>
      <c r="SN32" s="2854"/>
      <c r="SO32" s="2854"/>
      <c r="SP32" s="2854"/>
      <c r="SQ32" s="2854"/>
      <c r="SR32" s="2854"/>
      <c r="SS32" s="2854"/>
      <c r="ST32" s="2854"/>
      <c r="SU32" s="2854"/>
      <c r="SV32" s="2854"/>
      <c r="SW32" s="2854"/>
      <c r="SX32" s="2854"/>
      <c r="SY32" s="2854"/>
      <c r="SZ32" s="2854"/>
      <c r="TA32" s="2854"/>
      <c r="TB32" s="2854"/>
      <c r="TC32" s="2854"/>
      <c r="TD32" s="2854"/>
      <c r="TE32" s="2854"/>
      <c r="TF32" s="2854"/>
      <c r="TG32" s="2854"/>
      <c r="TH32" s="2854"/>
      <c r="TI32" s="2854"/>
      <c r="TJ32" s="2854"/>
      <c r="TK32" s="2854"/>
      <c r="TL32" s="2854"/>
      <c r="TM32" s="2854"/>
      <c r="TN32" s="2854"/>
      <c r="TO32" s="2854"/>
      <c r="TP32" s="2854"/>
      <c r="TQ32" s="2854"/>
      <c r="TR32" s="2854"/>
      <c r="TS32" s="2854"/>
      <c r="TT32" s="2854"/>
      <c r="TU32" s="3783"/>
      <c r="TV32" s="3783"/>
      <c r="TW32" s="3783"/>
      <c r="TX32" s="3783"/>
      <c r="TY32" s="3783"/>
      <c r="TZ32" s="3783"/>
      <c r="UA32" s="3783"/>
      <c r="UB32" s="3783"/>
      <c r="UC32" s="3783"/>
      <c r="UD32" s="3783"/>
      <c r="UE32" s="3783"/>
      <c r="UF32" s="3783"/>
      <c r="UG32" s="3783"/>
      <c r="UH32" s="3783"/>
      <c r="UI32" s="3783"/>
      <c r="UJ32" s="3783"/>
      <c r="UK32" s="3783"/>
      <c r="UL32" s="3783"/>
      <c r="UM32" s="3783"/>
      <c r="UN32" s="3783"/>
      <c r="UO32" s="3783"/>
      <c r="UP32" s="2854"/>
      <c r="UQ32" s="2854"/>
      <c r="UR32" s="2854"/>
      <c r="US32" s="2854"/>
      <c r="UT32" s="2854"/>
      <c r="UU32" s="2854"/>
      <c r="UV32" s="2854"/>
      <c r="UW32" s="2854"/>
      <c r="UX32" s="2854"/>
      <c r="UY32" s="2854"/>
      <c r="UZ32" s="2854"/>
      <c r="VA32" s="2854"/>
      <c r="VB32" s="2854"/>
      <c r="VC32" s="2854"/>
      <c r="VD32" s="2854"/>
      <c r="VE32" s="2854"/>
      <c r="VF32" s="2854"/>
      <c r="VG32" s="2854"/>
      <c r="VH32" s="2854"/>
      <c r="VI32" s="2854"/>
      <c r="VJ32" s="2854"/>
      <c r="VK32" s="2854"/>
      <c r="VL32" s="2854"/>
      <c r="VM32" s="2854"/>
      <c r="VN32" s="2854"/>
      <c r="VO32" s="2854"/>
      <c r="VP32" s="2854"/>
      <c r="VQ32" s="2854"/>
      <c r="VR32" s="2854"/>
      <c r="VS32" s="2854"/>
      <c r="VT32" s="2854"/>
      <c r="VU32" s="2854"/>
      <c r="VV32" s="2854"/>
      <c r="VW32" s="2854"/>
      <c r="VX32" s="2854"/>
      <c r="VY32" s="2854"/>
      <c r="VZ32" s="2854"/>
      <c r="WA32" s="2854"/>
      <c r="WB32" s="2854"/>
      <c r="WC32" s="2854"/>
      <c r="WD32" s="2854"/>
      <c r="WE32" s="2854"/>
      <c r="WF32" s="2854"/>
      <c r="WG32" s="2854"/>
      <c r="WH32" s="2854"/>
      <c r="WI32" s="2854"/>
      <c r="WJ32" s="2854"/>
      <c r="WK32" s="2854"/>
      <c r="WL32" s="2854"/>
      <c r="WM32" s="2854"/>
      <c r="WN32" s="2854"/>
      <c r="WO32" s="2854"/>
      <c r="WP32" s="2854"/>
      <c r="WQ32" s="2854"/>
      <c r="WR32" s="2854"/>
      <c r="WS32" s="2854"/>
      <c r="WT32" s="2854"/>
      <c r="WU32" s="2854"/>
      <c r="WV32" s="2854"/>
      <c r="WW32" s="2854"/>
      <c r="WX32" s="2854"/>
      <c r="WY32" s="2854"/>
      <c r="WZ32" s="2854"/>
      <c r="XA32" s="2854"/>
      <c r="XB32" s="2854"/>
      <c r="XC32" s="2854"/>
      <c r="XD32" s="2854"/>
      <c r="XE32" s="2854"/>
      <c r="XF32" s="2854"/>
      <c r="XG32" s="2854"/>
      <c r="XH32" s="2854"/>
      <c r="XI32" s="2854"/>
      <c r="XJ32" s="2854"/>
      <c r="XK32" s="2854"/>
      <c r="XL32" s="2854"/>
      <c r="XM32" s="2854"/>
      <c r="XN32" s="2854"/>
      <c r="XO32" s="2854"/>
      <c r="XP32" s="2854"/>
      <c r="XQ32" s="2854"/>
      <c r="XR32" s="2854"/>
      <c r="XS32" s="2854"/>
      <c r="XT32" s="2854"/>
      <c r="XU32" s="2854"/>
      <c r="XV32" s="2854"/>
      <c r="XW32" s="2854"/>
      <c r="XX32" s="2854"/>
      <c r="XY32" s="2854"/>
      <c r="XZ32" s="2854"/>
      <c r="YA32" s="2854"/>
      <c r="YB32" s="2854"/>
      <c r="YC32" s="2854"/>
      <c r="YD32" s="2854"/>
      <c r="YE32" s="2854"/>
      <c r="YF32" s="2854"/>
      <c r="YG32" s="2854"/>
      <c r="YH32" s="2854"/>
      <c r="YI32" s="2854"/>
      <c r="YJ32" s="2854"/>
      <c r="YK32" s="2854"/>
      <c r="YL32" s="2854"/>
      <c r="YM32" s="2854"/>
      <c r="YN32" s="2854"/>
      <c r="YO32" s="2854"/>
      <c r="YP32" s="2854"/>
      <c r="YQ32" s="2854"/>
      <c r="YR32" s="2854"/>
      <c r="YS32" s="2854"/>
      <c r="YT32" s="2854"/>
      <c r="YU32" s="2854"/>
      <c r="YV32" s="2854"/>
      <c r="YW32" s="2854"/>
      <c r="YX32" s="2854"/>
      <c r="YY32" s="2854"/>
      <c r="YZ32" s="2854"/>
      <c r="ZA32" s="2854"/>
      <c r="ZB32" s="2854"/>
      <c r="ZC32" s="2854"/>
      <c r="ZD32" s="2854"/>
      <c r="ZE32" s="2854"/>
      <c r="ZF32" s="2854"/>
      <c r="ZG32" s="2854"/>
      <c r="ZH32" s="2854"/>
      <c r="ZI32" s="2854"/>
      <c r="ZJ32" s="2854"/>
      <c r="ZK32" s="2854"/>
      <c r="ZL32" s="2854"/>
      <c r="ZM32" s="2854"/>
      <c r="ZN32" s="2854"/>
      <c r="ZO32" s="2854"/>
      <c r="ZP32" s="2854"/>
      <c r="ZQ32" s="2854"/>
      <c r="ZR32" s="2854"/>
      <c r="ZS32" s="2854"/>
      <c r="ZT32" s="2854"/>
      <c r="ZU32" s="2854"/>
      <c r="ZV32" s="2854"/>
      <c r="ZW32" s="2854"/>
      <c r="ZX32" s="2854"/>
      <c r="ZY32" s="2854"/>
      <c r="ZZ32" s="2854"/>
      <c r="AAA32" s="2854"/>
      <c r="AAB32" s="2854"/>
      <c r="AAC32" s="2854"/>
      <c r="AAD32" s="2854"/>
      <c r="AAE32" s="2854"/>
      <c r="AAF32" s="2854"/>
      <c r="AAG32" s="2854"/>
      <c r="AAH32" s="2854"/>
      <c r="AAI32" s="2854"/>
      <c r="AAJ32" s="2854"/>
      <c r="AAK32" s="2854"/>
      <c r="AAL32" s="2854"/>
      <c r="AAM32" s="2854"/>
      <c r="AAN32" s="2854"/>
      <c r="AAO32" s="2854"/>
      <c r="AAP32" s="2854"/>
      <c r="AAQ32" s="2854"/>
      <c r="AAR32" s="2854"/>
      <c r="AAS32" s="2854"/>
      <c r="AAT32" s="2854"/>
      <c r="AAU32" s="2854"/>
      <c r="AAV32" s="2854"/>
      <c r="AAW32" s="2854"/>
      <c r="AAX32" s="2854"/>
      <c r="AAY32" s="2854"/>
      <c r="AAZ32" s="2854"/>
      <c r="ABA32" s="2854"/>
      <c r="ABB32" s="2854"/>
      <c r="ABC32" s="2854"/>
      <c r="ABD32" s="2854"/>
      <c r="ABE32" s="2854"/>
      <c r="ABF32" s="2854"/>
      <c r="ABG32" s="2854"/>
      <c r="ABH32" s="2854"/>
      <c r="ABI32" s="2854"/>
      <c r="ABJ32" s="2854"/>
      <c r="ABK32" s="2854"/>
      <c r="ABL32" s="2854"/>
      <c r="ABM32" s="2854"/>
      <c r="ABN32" s="2854"/>
      <c r="ABO32" s="2854"/>
      <c r="ABP32" s="2854"/>
      <c r="ABQ32" s="2854"/>
      <c r="ABR32" s="2854"/>
      <c r="ABS32" s="2854"/>
      <c r="ABT32" s="2854"/>
      <c r="ABU32" s="2854"/>
      <c r="ABV32" s="2854"/>
      <c r="ABW32" s="2854"/>
      <c r="ABX32" s="2854"/>
      <c r="ABY32" s="2854"/>
      <c r="ABZ32" s="2854"/>
      <c r="ACA32" s="2854"/>
      <c r="ACB32" s="2854"/>
      <c r="ACC32" s="2854"/>
      <c r="ACD32" s="2854"/>
      <c r="ACE32" s="2854"/>
      <c r="ACF32" s="2854"/>
      <c r="ACG32" s="2854"/>
      <c r="ACH32" s="2854"/>
      <c r="ACI32" s="2854"/>
      <c r="ACJ32" s="2854"/>
      <c r="ACK32" s="2854"/>
      <c r="ACL32" s="2854"/>
      <c r="ACM32" s="2854"/>
      <c r="ACN32" s="2854"/>
      <c r="ACO32" s="2854"/>
      <c r="ACP32" s="2854"/>
      <c r="ACQ32" s="2854"/>
      <c r="ACR32" s="2854"/>
      <c r="ACS32" s="2854"/>
      <c r="ACT32" s="2854"/>
      <c r="ACU32" s="2854"/>
      <c r="ACV32" s="2854"/>
      <c r="ACW32" s="2854"/>
      <c r="ACX32" s="2854"/>
      <c r="ACY32" s="2854"/>
      <c r="ACZ32" s="2854"/>
      <c r="ADA32" s="2854"/>
      <c r="ADB32" s="2854"/>
      <c r="ADC32" s="2854"/>
      <c r="ADD32" s="2854"/>
      <c r="ADE32" s="2854"/>
      <c r="ADF32" s="2854"/>
      <c r="ADG32" s="2854"/>
      <c r="ADH32" s="2854"/>
      <c r="ADI32" s="2854"/>
      <c r="ADJ32" s="2854"/>
      <c r="ADK32" s="2854"/>
      <c r="ADL32" s="2854"/>
      <c r="ADM32" s="2854"/>
      <c r="ADN32" s="2854"/>
      <c r="ADO32" s="2854"/>
      <c r="ADP32" s="2854"/>
      <c r="ADQ32" s="2854"/>
      <c r="ADR32" s="2854"/>
      <c r="ADS32" s="2854"/>
      <c r="ADT32" s="2854"/>
      <c r="ADU32" s="2854"/>
      <c r="ADV32" s="2854"/>
      <c r="ADW32" s="2854"/>
      <c r="ADX32" s="2854"/>
      <c r="ADY32" s="2854"/>
      <c r="ADZ32" s="2854"/>
      <c r="AEA32" s="2854"/>
      <c r="AEB32" s="2854"/>
      <c r="AEC32" s="2854"/>
      <c r="AED32" s="2854"/>
      <c r="AEE32" s="2854"/>
      <c r="AEF32" s="2854"/>
      <c r="AEG32" s="2854"/>
      <c r="AEH32" s="2854"/>
      <c r="AEI32" s="2854"/>
      <c r="AEJ32" s="2854"/>
      <c r="AEK32" s="2854"/>
      <c r="AEL32" s="2854"/>
      <c r="AEM32" s="2854"/>
      <c r="AEN32" s="2854"/>
      <c r="AEO32" s="2854"/>
      <c r="AEP32" s="2854"/>
      <c r="AEQ32" s="2854"/>
      <c r="AER32" s="2854"/>
      <c r="AES32" s="2854"/>
      <c r="AET32" s="2854"/>
      <c r="AEU32" s="2854"/>
      <c r="AEV32" s="2854"/>
      <c r="AEW32" s="2854"/>
      <c r="AEX32" s="2854"/>
      <c r="AEY32" s="2854"/>
      <c r="AEZ32" s="2854"/>
      <c r="AFA32" s="2854"/>
      <c r="AFB32" s="2854"/>
      <c r="AFC32" s="2854"/>
      <c r="AFD32" s="2854"/>
      <c r="AFE32" s="2854"/>
      <c r="AFF32" s="2854"/>
      <c r="AFG32" s="2854"/>
      <c r="AFH32" s="2854"/>
      <c r="AFI32" s="2854"/>
      <c r="AFJ32" s="2854"/>
      <c r="AFK32" s="2854"/>
      <c r="AFL32" s="2854"/>
      <c r="AFM32" s="2854"/>
      <c r="AFN32" s="2854"/>
      <c r="AFO32" s="2854"/>
      <c r="AFP32" s="2854"/>
      <c r="AFQ32" s="2854"/>
      <c r="AFR32" s="2854"/>
      <c r="AFS32" s="2854"/>
      <c r="AFT32" s="2854"/>
      <c r="AFU32" s="2854"/>
      <c r="AFV32" s="2854"/>
      <c r="AFW32" s="2854"/>
      <c r="AFX32" s="2854"/>
      <c r="AFY32" s="2854"/>
      <c r="AFZ32" s="2854"/>
      <c r="AGA32" s="2854"/>
      <c r="AGB32" s="2854"/>
      <c r="AGC32" s="2854"/>
      <c r="AGD32" s="2854"/>
      <c r="AGE32" s="2854"/>
      <c r="AGF32" s="2854"/>
      <c r="AGG32" s="2854"/>
      <c r="AGH32" s="2854"/>
      <c r="AGI32" s="2854"/>
      <c r="AGJ32" s="2854"/>
      <c r="AGK32" s="2854"/>
      <c r="AGL32" s="2854"/>
      <c r="AGM32" s="2854"/>
      <c r="AGN32" s="2854"/>
      <c r="AGO32" s="2854"/>
      <c r="AGP32" s="2854"/>
      <c r="AGQ32" s="2854"/>
      <c r="AGR32" s="2854"/>
      <c r="AGS32" s="2854"/>
      <c r="AGT32" s="2854"/>
      <c r="AGU32" s="2854"/>
      <c r="AGV32" s="2854"/>
      <c r="AGW32" s="2854"/>
      <c r="AGX32" s="2854"/>
      <c r="AGY32" s="2854"/>
      <c r="AGZ32" s="2854"/>
      <c r="AHA32" s="2854"/>
      <c r="AHB32" s="2854"/>
      <c r="AHC32" s="2854"/>
      <c r="AHD32" s="2854"/>
      <c r="AHE32" s="2854"/>
      <c r="AHF32" s="2854"/>
      <c r="AHG32" s="2854"/>
      <c r="AHH32" s="2854"/>
      <c r="AHI32" s="2854"/>
      <c r="AHJ32" s="2854"/>
      <c r="AHK32" s="2854"/>
      <c r="AHL32" s="2854"/>
      <c r="AHM32" s="2854"/>
      <c r="AHN32" s="2854"/>
      <c r="AHO32" s="2854"/>
      <c r="AHP32" s="2854"/>
      <c r="AHQ32" s="2854"/>
      <c r="AHR32" s="2854"/>
      <c r="AHS32" s="2854"/>
      <c r="AHT32" s="2854"/>
      <c r="AHU32" s="2854"/>
      <c r="AHV32" s="2854"/>
      <c r="AHW32" s="2854"/>
      <c r="AHX32" s="2854"/>
      <c r="AHY32" s="2854"/>
      <c r="AHZ32" s="2854"/>
      <c r="AIA32" s="2854"/>
      <c r="AIB32" s="2854"/>
      <c r="AIC32" s="2854"/>
      <c r="AID32" s="2854"/>
      <c r="AIE32" s="2854"/>
      <c r="AIF32" s="2854"/>
      <c r="AIG32" s="2854"/>
      <c r="AIH32" s="2854"/>
      <c r="AII32" s="2854"/>
      <c r="AIJ32" s="2854"/>
      <c r="AIK32" s="2854"/>
      <c r="AIL32" s="2854"/>
      <c r="AIM32" s="2854"/>
      <c r="AIN32" s="2854"/>
      <c r="AIO32" s="2854"/>
      <c r="AIP32" s="2854"/>
      <c r="AIQ32" s="2854"/>
      <c r="AIR32" s="2854"/>
      <c r="AIS32" s="2854"/>
      <c r="AIT32" s="2854"/>
      <c r="AIU32" s="2854"/>
      <c r="AIV32" s="2854"/>
      <c r="AIW32" s="2854"/>
      <c r="AIX32" s="2854"/>
      <c r="AIY32" s="2854"/>
      <c r="AIZ32" s="2854"/>
      <c r="AJA32" s="2854"/>
      <c r="AJB32" s="2854"/>
      <c r="AJC32" s="2854"/>
      <c r="AJD32" s="2854"/>
      <c r="AJE32" s="2854"/>
      <c r="AJF32" s="2854"/>
      <c r="AJG32" s="2854"/>
      <c r="AJH32" s="2854"/>
      <c r="AJI32" s="2854"/>
      <c r="AJJ32" s="2854"/>
      <c r="AJK32" s="2854"/>
      <c r="AJL32" s="2854"/>
      <c r="AJM32" s="2854"/>
      <c r="AJN32" s="2854"/>
      <c r="AJO32" s="2854"/>
      <c r="AJP32" s="2854"/>
      <c r="AJQ32" s="2854"/>
      <c r="AJR32" s="2854"/>
      <c r="AJS32" s="2854"/>
      <c r="AJT32" s="2854"/>
      <c r="AJU32" s="2854"/>
      <c r="AJV32" s="2854"/>
      <c r="AJW32" s="2854"/>
      <c r="AJX32" s="2854"/>
      <c r="AJY32" s="2854"/>
      <c r="AJZ32" s="2854"/>
      <c r="AKA32" s="2854"/>
      <c r="AKB32" s="2854"/>
      <c r="AKC32" s="2854"/>
      <c r="AKD32" s="2854"/>
      <c r="AKE32" s="2854"/>
      <c r="AKF32" s="2854"/>
      <c r="AKG32" s="2854"/>
      <c r="AKH32" s="2854"/>
      <c r="AKI32" s="2854"/>
      <c r="AKJ32" s="2854"/>
      <c r="AKK32" s="2854"/>
      <c r="AKL32" s="2854"/>
      <c r="AKM32" s="2854"/>
      <c r="AKN32" s="2854"/>
      <c r="AKO32" s="2854"/>
      <c r="AKP32" s="2854"/>
      <c r="AKQ32" s="2854"/>
      <c r="AKR32" s="2854"/>
      <c r="AKS32" s="2854"/>
      <c r="AKT32" s="2854"/>
      <c r="AKU32" s="2854"/>
      <c r="AKV32" s="2854"/>
      <c r="AKW32" s="2854"/>
      <c r="AKX32" s="2854"/>
      <c r="AKY32" s="2854"/>
      <c r="AKZ32" s="2854"/>
      <c r="ALA32" s="2854"/>
      <c r="ALB32" s="2854"/>
      <c r="ALC32" s="2854"/>
      <c r="ALD32" s="2854"/>
      <c r="ALE32" s="2854"/>
      <c r="ALF32" s="2854"/>
      <c r="ALG32" s="2854"/>
      <c r="ALH32" s="2854"/>
      <c r="ALI32" s="2854"/>
      <c r="ALJ32" s="2854"/>
      <c r="ALK32" s="2854"/>
      <c r="ALL32" s="2854"/>
      <c r="ALM32" s="2854"/>
      <c r="ALN32" s="2854"/>
      <c r="ALO32" s="2854"/>
      <c r="ALP32" s="2854"/>
      <c r="ALQ32" s="2854"/>
      <c r="ALR32" s="2854"/>
      <c r="ALS32" s="2854"/>
      <c r="ALT32" s="2854"/>
      <c r="ALU32" s="2854"/>
      <c r="ALV32" s="2854"/>
      <c r="ALW32" s="2854"/>
      <c r="ALX32" s="2854"/>
      <c r="ALY32" s="2854"/>
      <c r="ALZ32" s="2854"/>
      <c r="AMA32" s="2854"/>
      <c r="AMB32" s="2854"/>
      <c r="AMC32" s="2854"/>
      <c r="AMD32" s="2854"/>
      <c r="AME32" s="2854"/>
      <c r="AMF32" s="2854"/>
      <c r="AMG32" s="2854"/>
      <c r="AMH32" s="2854"/>
      <c r="AMI32" s="2854"/>
      <c r="AMJ32" s="2854"/>
      <c r="AMK32" s="2854"/>
      <c r="AML32" s="2854"/>
      <c r="AMM32" s="2854"/>
      <c r="AMN32" s="2854"/>
      <c r="AMO32" s="2854"/>
      <c r="AMP32" s="2854"/>
      <c r="AMQ32" s="2854"/>
      <c r="AMR32" s="2854"/>
      <c r="AMS32" s="2854"/>
      <c r="AMT32" s="2854"/>
      <c r="AMU32" s="2854"/>
      <c r="AMV32" s="2854"/>
      <c r="AMW32" s="2854"/>
      <c r="AMX32" s="2854"/>
      <c r="AMY32" s="2854"/>
      <c r="AMZ32" s="2854"/>
      <c r="ANA32" s="2854"/>
      <c r="ANB32" s="2854"/>
      <c r="ANC32" s="2854"/>
      <c r="AND32" s="2854"/>
      <c r="ANE32" s="2854"/>
      <c r="ANF32" s="2854"/>
      <c r="ANG32" s="2854"/>
      <c r="ANH32" s="2854"/>
      <c r="ANI32" s="2854"/>
      <c r="ANJ32" s="2854"/>
      <c r="ANK32" s="2854"/>
      <c r="ANL32" s="2854"/>
      <c r="ANM32" s="2854"/>
      <c r="ANN32" s="2854"/>
      <c r="ANO32" s="2854"/>
      <c r="ANP32" s="2854"/>
      <c r="ANQ32" s="2854"/>
      <c r="ANR32" s="2854"/>
      <c r="ANS32" s="2854"/>
      <c r="ANT32" s="2854"/>
      <c r="ANU32" s="2854"/>
      <c r="ANV32" s="2854"/>
      <c r="ANW32" s="2854"/>
      <c r="ANX32" s="2854"/>
      <c r="ANY32" s="2854"/>
      <c r="ANZ32" s="2854"/>
      <c r="AOA32" s="2854"/>
      <c r="AOB32" s="2854"/>
      <c r="AOC32" s="2854"/>
      <c r="AOD32" s="2854"/>
      <c r="AOE32" s="2854"/>
      <c r="AOF32" s="2854"/>
      <c r="AOG32" s="2854"/>
      <c r="AOH32" s="2854"/>
      <c r="AOI32" s="2854"/>
      <c r="AOJ32" s="2854"/>
      <c r="AOK32" s="2854"/>
      <c r="AOL32" s="2854"/>
      <c r="AOM32" s="2854"/>
      <c r="AON32" s="2854"/>
      <c r="AOO32" s="2854"/>
      <c r="AOP32" s="2854"/>
      <c r="AOQ32" s="2854"/>
      <c r="AOR32" s="2854"/>
      <c r="AOS32" s="2854"/>
      <c r="AOT32" s="2854"/>
      <c r="AOU32" s="2854"/>
      <c r="AOV32" s="2854"/>
      <c r="AOW32" s="2854"/>
      <c r="AOX32" s="2854"/>
      <c r="AOY32" s="2854"/>
      <c r="AOZ32" s="2854"/>
      <c r="APA32" s="2854"/>
      <c r="APB32" s="2854"/>
      <c r="APC32" s="2854"/>
      <c r="APD32" s="2854"/>
      <c r="APE32" s="2854"/>
      <c r="APF32" s="2854"/>
      <c r="APG32" s="2854"/>
      <c r="APH32" s="2854"/>
      <c r="API32" s="2854"/>
      <c r="APJ32" s="2854"/>
      <c r="APK32" s="2854"/>
      <c r="APL32" s="2854"/>
      <c r="APM32" s="2854"/>
      <c r="APN32" s="2854"/>
      <c r="APO32" s="2854"/>
      <c r="APP32" s="2854"/>
      <c r="APQ32" s="2854"/>
      <c r="APR32" s="2854"/>
      <c r="APS32" s="2854"/>
      <c r="APT32" s="2854"/>
      <c r="APU32" s="2854"/>
      <c r="APV32" s="2854"/>
      <c r="APW32" s="2854"/>
      <c r="APX32" s="2854"/>
      <c r="APY32" s="2854"/>
      <c r="APZ32" s="2854"/>
      <c r="AQA32" s="2854"/>
      <c r="AQB32" s="2854"/>
      <c r="AQC32" s="2854"/>
      <c r="AQD32" s="2854"/>
      <c r="AQE32" s="2854"/>
      <c r="AQF32" s="2854"/>
      <c r="AQG32" s="2854"/>
      <c r="AQH32" s="2854"/>
      <c r="AQI32" s="2854"/>
      <c r="AQJ32" s="2854"/>
      <c r="AQK32" s="2854"/>
      <c r="AQL32" s="2854"/>
      <c r="AQM32" s="2854"/>
      <c r="AQN32" s="2854"/>
      <c r="AQO32" s="2854"/>
      <c r="AQP32" s="2854"/>
      <c r="AQQ32" s="2854"/>
      <c r="AQR32" s="2854"/>
      <c r="AQS32" s="2854"/>
      <c r="AQT32" s="2854"/>
      <c r="AQU32" s="2854"/>
      <c r="AQV32" s="2854"/>
      <c r="AQW32" s="2854"/>
      <c r="AQX32" s="2854"/>
      <c r="AQY32" s="2854"/>
      <c r="AQZ32" s="2854"/>
      <c r="ARA32" s="2854"/>
      <c r="ARB32" s="2854"/>
      <c r="ARC32" s="2854"/>
      <c r="ARD32" s="2854"/>
      <c r="ARE32" s="2854"/>
      <c r="ARF32" s="2854"/>
      <c r="ARG32" s="2854"/>
      <c r="ARH32" s="2854"/>
      <c r="ARI32" s="2854"/>
      <c r="ARJ32" s="2854"/>
      <c r="ARK32" s="2854"/>
      <c r="ARL32" s="2854"/>
      <c r="ARM32" s="2854"/>
      <c r="ARN32" s="2854"/>
      <c r="ARO32" s="2854"/>
      <c r="ARP32" s="2854"/>
      <c r="ARQ32" s="2854"/>
      <c r="ARR32" s="2854"/>
      <c r="ARS32" s="2854"/>
      <c r="ART32" s="2854"/>
      <c r="ARU32" s="2854"/>
      <c r="ARV32" s="2854"/>
      <c r="ARW32" s="2854"/>
      <c r="ARX32" s="2854"/>
      <c r="ARY32" s="2854"/>
      <c r="ARZ32" s="2854"/>
      <c r="ASA32" s="2854"/>
      <c r="ASB32" s="2854"/>
      <c r="ASC32" s="2854"/>
      <c r="ASD32" s="2854"/>
      <c r="ASE32" s="2854"/>
      <c r="ASF32" s="2854"/>
      <c r="ASG32" s="2854"/>
      <c r="ASH32" s="2854"/>
      <c r="ASI32" s="2854"/>
      <c r="ASJ32" s="2854"/>
      <c r="ASK32" s="2854"/>
      <c r="ASL32" s="2854"/>
      <c r="ASM32" s="2854"/>
      <c r="ASN32" s="2854"/>
      <c r="ASO32" s="2854"/>
      <c r="ASP32" s="2854"/>
      <c r="ASQ32" s="2854"/>
      <c r="ASR32" s="2854"/>
      <c r="ASS32" s="2854"/>
      <c r="AST32" s="2854"/>
      <c r="ASU32" s="2854"/>
      <c r="ASV32" s="2854"/>
      <c r="ASW32" s="2854"/>
      <c r="ASX32" s="2854"/>
      <c r="ASY32" s="2854"/>
      <c r="ASZ32" s="2854"/>
      <c r="ATA32" s="2854"/>
      <c r="ATB32" s="2854"/>
      <c r="ATC32" s="2854"/>
      <c r="ATD32" s="2854"/>
      <c r="ATE32" s="2854"/>
      <c r="ATF32" s="2854"/>
      <c r="ATG32" s="2854"/>
      <c r="ATH32" s="2854"/>
      <c r="ATI32" s="2854"/>
      <c r="ATJ32" s="2854"/>
      <c r="ATK32" s="2854"/>
      <c r="ATL32" s="2854"/>
      <c r="ATM32" s="2854"/>
      <c r="ATN32" s="2854"/>
      <c r="ATO32" s="2854"/>
      <c r="ATP32" s="2854"/>
      <c r="ATQ32" s="2854"/>
      <c r="ATR32" s="2854"/>
      <c r="ATS32" s="2854"/>
      <c r="ATT32" s="2854"/>
      <c r="ATU32" s="2854"/>
      <c r="ATV32" s="2854"/>
      <c r="ATW32" s="2854"/>
      <c r="ATX32" s="2854"/>
      <c r="ATY32" s="2854"/>
      <c r="ATZ32" s="2854"/>
      <c r="AUA32" s="2854"/>
      <c r="AUB32" s="2854"/>
      <c r="AUC32" s="2854"/>
      <c r="AUD32" s="2854"/>
      <c r="AUE32" s="2854"/>
      <c r="AUF32" s="2854"/>
      <c r="AUG32" s="2854"/>
      <c r="AUH32" s="2854"/>
      <c r="AUI32" s="2854"/>
      <c r="AUJ32" s="2854"/>
      <c r="AUK32" s="2854"/>
      <c r="AUL32" s="2854"/>
      <c r="AUM32" s="2854"/>
      <c r="AUN32" s="2854"/>
      <c r="AUO32" s="2854"/>
      <c r="AUP32" s="2854"/>
      <c r="AUQ32" s="2854"/>
      <c r="AUR32" s="2854"/>
      <c r="AUS32" s="2854"/>
      <c r="AUT32" s="2854"/>
      <c r="AUU32" s="2854"/>
      <c r="AUV32" s="2854"/>
      <c r="AUW32" s="2854"/>
      <c r="AUX32" s="2854"/>
      <c r="AUY32" s="2854"/>
      <c r="AUZ32" s="2854"/>
      <c r="AVA32" s="2854"/>
      <c r="AVB32" s="2854"/>
      <c r="AVC32" s="2854"/>
      <c r="AVD32" s="2854"/>
      <c r="AVE32" s="2854"/>
      <c r="AVF32" s="2854"/>
      <c r="AVG32" s="2854"/>
      <c r="AVH32" s="2854"/>
      <c r="AVI32" s="2854"/>
      <c r="AVJ32" s="2854"/>
      <c r="AVK32" s="2854"/>
      <c r="AVL32" s="2854"/>
      <c r="AVM32" s="2854"/>
      <c r="AVN32" s="2854"/>
      <c r="AVO32" s="2854"/>
      <c r="AVP32" s="2854"/>
      <c r="AVQ32" s="2854"/>
      <c r="AVR32" s="2854"/>
      <c r="AVS32" s="2854"/>
      <c r="AVT32" s="2854"/>
      <c r="AVU32" s="2854"/>
      <c r="AVV32" s="2854"/>
      <c r="AVW32" s="2854"/>
      <c r="AVX32" s="2854"/>
      <c r="AVY32" s="2854"/>
      <c r="AVZ32" s="2854"/>
      <c r="AWA32" s="2854"/>
      <c r="AWB32" s="2854"/>
      <c r="AWC32" s="2854"/>
      <c r="AWD32" s="2854"/>
      <c r="AWE32" s="2854"/>
      <c r="AWF32" s="2854"/>
      <c r="AWG32" s="2854"/>
      <c r="AWH32" s="2854"/>
      <c r="AWI32" s="2854"/>
      <c r="AWJ32" s="2854"/>
      <c r="AWK32" s="2854"/>
      <c r="AWL32" s="2854"/>
      <c r="AWM32" s="2854"/>
      <c r="AWN32" s="2854"/>
      <c r="AWO32" s="2854"/>
      <c r="AWP32" s="2854"/>
      <c r="AWQ32" s="2854"/>
      <c r="AWR32" s="2854"/>
      <c r="AWS32" s="2854"/>
      <c r="AWT32" s="2854"/>
      <c r="AWU32" s="2854"/>
      <c r="AWV32" s="2854"/>
      <c r="AWW32" s="2854"/>
      <c r="AWX32" s="2854"/>
      <c r="AWY32" s="2854"/>
      <c r="AWZ32" s="2854"/>
      <c r="AXA32" s="2854"/>
      <c r="AXB32" s="2854"/>
      <c r="AXC32" s="2854"/>
      <c r="AXD32" s="2854"/>
      <c r="AXE32" s="2854"/>
      <c r="AXF32" s="2854"/>
      <c r="AXG32" s="2854"/>
      <c r="AXH32" s="2854"/>
      <c r="AXI32" s="2854"/>
      <c r="AXJ32" s="2854"/>
      <c r="AXK32" s="2854"/>
      <c r="AXL32" s="2854"/>
      <c r="AXM32" s="2854"/>
      <c r="AXN32" s="2854"/>
      <c r="AXO32" s="2854"/>
      <c r="AXP32" s="2854"/>
      <c r="AXQ32" s="2854"/>
      <c r="AXR32" s="2854"/>
      <c r="AXS32" s="2854"/>
      <c r="AXT32" s="2854"/>
      <c r="AXU32" s="2854"/>
      <c r="AXV32" s="2854"/>
      <c r="AXW32" s="2854"/>
      <c r="AXX32" s="2854"/>
      <c r="AXY32" s="2854"/>
      <c r="AXZ32" s="2854"/>
      <c r="AYA32" s="2854"/>
      <c r="AYB32" s="2854"/>
      <c r="AYC32" s="2854"/>
      <c r="AYD32" s="2854"/>
      <c r="AYE32" s="2854"/>
      <c r="AYF32" s="2854"/>
      <c r="AYG32" s="2854"/>
      <c r="AYH32" s="2854"/>
      <c r="AYI32" s="2854"/>
      <c r="AYJ32" s="2854"/>
      <c r="AYK32" s="2854"/>
      <c r="AYL32" s="2854"/>
      <c r="AYM32" s="2854"/>
      <c r="AYN32" s="2854"/>
      <c r="AYO32" s="2854"/>
      <c r="AYP32" s="2854"/>
      <c r="AYQ32" s="2854"/>
      <c r="AYR32" s="2854"/>
      <c r="AYS32" s="2854"/>
      <c r="AYT32" s="2854"/>
      <c r="AYU32" s="2854"/>
      <c r="AYV32" s="2854"/>
      <c r="AYW32" s="2854"/>
      <c r="AYX32" s="2854"/>
      <c r="AYY32" s="2854"/>
      <c r="AYZ32" s="2854"/>
      <c r="AZA32" s="2854"/>
      <c r="AZB32" s="2854"/>
      <c r="AZC32" s="2854"/>
      <c r="AZD32" s="2854"/>
      <c r="AZE32" s="2854"/>
      <c r="AZF32" s="2854"/>
      <c r="AZG32" s="2854"/>
      <c r="AZH32" s="2854"/>
      <c r="AZI32" s="2854"/>
      <c r="AZJ32" s="2854"/>
      <c r="AZK32" s="2854"/>
      <c r="AZL32" s="2854"/>
      <c r="AZM32" s="2854"/>
      <c r="AZN32" s="2854"/>
      <c r="AZO32" s="2854"/>
      <c r="AZP32" s="2854"/>
      <c r="AZQ32" s="2854"/>
      <c r="AZR32" s="2854"/>
      <c r="AZS32" s="2854"/>
      <c r="AZT32" s="2854"/>
      <c r="AZU32" s="2854"/>
      <c r="AZV32" s="2854"/>
      <c r="AZW32" s="2854"/>
      <c r="AZX32" s="2854"/>
      <c r="AZY32" s="2854"/>
      <c r="AZZ32" s="2854"/>
      <c r="BAA32" s="2854"/>
      <c r="BAB32" s="2854"/>
      <c r="BAC32" s="2854"/>
      <c r="BAD32" s="2854"/>
      <c r="BAE32" s="2854"/>
      <c r="BAF32" s="2854"/>
      <c r="BAG32" s="2854"/>
      <c r="BAH32" s="2854"/>
      <c r="BAI32" s="2854"/>
      <c r="BAJ32" s="2854"/>
      <c r="BAK32" s="2854"/>
      <c r="BAL32" s="2854"/>
      <c r="BAM32" s="2854"/>
      <c r="BAN32" s="2854"/>
      <c r="BAO32" s="2854"/>
      <c r="BAP32" s="2854"/>
      <c r="BAQ32" s="2854"/>
      <c r="BAR32" s="2854"/>
      <c r="BAS32" s="2854"/>
      <c r="BAT32" s="2854"/>
      <c r="BAU32" s="2854"/>
      <c r="BAV32" s="2854"/>
      <c r="BAW32" s="2854"/>
      <c r="BAX32" s="2854"/>
      <c r="BAY32" s="2854"/>
      <c r="BAZ32" s="2854"/>
      <c r="BBA32" s="2854"/>
      <c r="BBB32" s="2854"/>
      <c r="BBC32" s="2854"/>
      <c r="BBD32" s="2854"/>
      <c r="BBE32" s="2854"/>
      <c r="BBF32" s="2854"/>
      <c r="BBG32" s="2854"/>
      <c r="BBH32" s="2854"/>
      <c r="BBI32" s="2854"/>
      <c r="BBJ32" s="2854"/>
      <c r="BBK32" s="2854"/>
      <c r="BBL32" s="2854"/>
      <c r="BBM32" s="2854"/>
      <c r="BBN32" s="2854"/>
      <c r="BBO32" s="2854"/>
      <c r="BBP32" s="2854"/>
      <c r="BBQ32" s="2854"/>
      <c r="BBR32" s="2854"/>
      <c r="BBS32" s="2854"/>
      <c r="BBT32" s="2854"/>
      <c r="BBU32" s="2854"/>
      <c r="BBV32" s="2854"/>
      <c r="BBW32" s="2854"/>
      <c r="BBX32" s="2854"/>
      <c r="BBY32" s="2854"/>
      <c r="BBZ32" s="2854"/>
      <c r="BCA32" s="2854"/>
      <c r="BCB32" s="2854"/>
      <c r="BCC32" s="2854"/>
      <c r="BCD32" s="2854"/>
      <c r="BCE32" s="2854"/>
      <c r="BCF32" s="2854"/>
      <c r="BCG32" s="2854"/>
      <c r="BCH32" s="2854"/>
      <c r="BCI32" s="2854"/>
      <c r="BCJ32" s="2854"/>
      <c r="BCK32" s="2854"/>
      <c r="BCL32" s="2854"/>
      <c r="BCM32" s="2854"/>
      <c r="BCN32" s="2854"/>
      <c r="BCO32" s="2854"/>
      <c r="BCP32" s="2854"/>
      <c r="BCQ32" s="2854"/>
      <c r="BCR32" s="2854"/>
      <c r="BCS32" s="2854"/>
      <c r="BCT32" s="2854"/>
      <c r="BCU32" s="2854"/>
      <c r="BCV32" s="2854"/>
      <c r="BCW32" s="2854"/>
      <c r="BCX32" s="2854"/>
      <c r="BCY32" s="2854"/>
      <c r="BCZ32" s="2854"/>
      <c r="BDA32" s="2854"/>
      <c r="BDB32" s="2854"/>
      <c r="BDC32" s="2854"/>
      <c r="BDD32" s="2854"/>
      <c r="BDE32" s="2854"/>
      <c r="BDF32" s="2854"/>
      <c r="BDG32" s="2854"/>
      <c r="BDH32" s="2854"/>
      <c r="BDI32" s="2854"/>
      <c r="BDJ32" s="2854"/>
      <c r="BDK32" s="2854"/>
      <c r="BDL32" s="2854"/>
      <c r="BDM32" s="2854"/>
      <c r="BDN32" s="2854"/>
      <c r="BDO32" s="2854"/>
      <c r="BDP32" s="2854"/>
      <c r="BDQ32" s="2854"/>
      <c r="BDR32" s="2854"/>
      <c r="BDS32" s="2854"/>
      <c r="BDT32" s="2854"/>
      <c r="BDU32" s="2854"/>
      <c r="BDV32" s="2854"/>
      <c r="BDW32" s="2854"/>
      <c r="BDX32" s="2854"/>
      <c r="BDY32" s="2854"/>
      <c r="BDZ32" s="2854"/>
      <c r="BEA32" s="2854"/>
      <c r="BEB32" s="2854"/>
      <c r="BEC32" s="2854"/>
      <c r="BED32" s="2854"/>
      <c r="BEE32" s="2854"/>
      <c r="BEF32" s="2854"/>
      <c r="BEG32" s="2854"/>
      <c r="BEH32" s="2854"/>
      <c r="BEI32" s="2854"/>
      <c r="BEJ32" s="2854"/>
      <c r="BEK32" s="2854"/>
      <c r="BEL32" s="2854"/>
      <c r="BEM32" s="2854"/>
      <c r="BEN32" s="2854"/>
      <c r="BEO32" s="2854"/>
      <c r="BEP32" s="2854"/>
      <c r="BEQ32" s="2854"/>
      <c r="BER32" s="2854"/>
      <c r="BES32" s="2854"/>
      <c r="BET32" s="2854"/>
      <c r="BEU32" s="2854"/>
      <c r="BEV32" s="2854"/>
      <c r="BEW32" s="2854"/>
      <c r="BEX32" s="2854"/>
      <c r="BEY32" s="2854"/>
      <c r="BEZ32" s="2854"/>
      <c r="BFA32" s="2854"/>
      <c r="BFB32" s="2854"/>
      <c r="BFC32" s="2854"/>
      <c r="BFD32" s="2854"/>
      <c r="BFE32" s="2854"/>
      <c r="BFF32" s="2854"/>
      <c r="BFG32" s="2854"/>
      <c r="BFH32" s="2854"/>
      <c r="BFI32" s="2854"/>
      <c r="BFJ32" s="2854"/>
      <c r="BFK32" s="2854"/>
      <c r="BFL32" s="2854"/>
      <c r="BFM32" s="2854"/>
      <c r="BFN32" s="2854"/>
      <c r="BFO32" s="2854"/>
      <c r="BFP32" s="2854"/>
      <c r="BFQ32" s="2854"/>
      <c r="BFR32" s="2854"/>
      <c r="BFS32" s="2854"/>
      <c r="BFT32" s="2854"/>
      <c r="BFU32" s="2854"/>
      <c r="BFV32" s="2854"/>
      <c r="BFW32" s="2854"/>
      <c r="BFX32" s="2854"/>
      <c r="BFY32" s="2854"/>
      <c r="BFZ32" s="2854"/>
      <c r="BGA32" s="2854"/>
      <c r="BGB32" s="2854"/>
      <c r="BGC32" s="2854"/>
      <c r="BGD32" s="2854"/>
      <c r="BGE32" s="2854"/>
      <c r="BGF32" s="2854"/>
      <c r="BGG32" s="2854"/>
      <c r="BGH32" s="2854"/>
      <c r="BGI32" s="2854"/>
      <c r="BGJ32" s="2854"/>
      <c r="BGK32" s="2854"/>
      <c r="BGL32" s="2854"/>
      <c r="BGM32" s="2854"/>
      <c r="BGN32" s="2854"/>
      <c r="BGO32" s="2854"/>
      <c r="BGP32" s="2854"/>
      <c r="BGQ32" s="2854"/>
      <c r="BGR32" s="2854"/>
      <c r="BGS32" s="2854"/>
      <c r="BGT32" s="2854"/>
      <c r="BGU32" s="2854"/>
      <c r="BGV32" s="2854"/>
      <c r="BGW32" s="2854"/>
      <c r="BGX32" s="2854"/>
      <c r="BGY32" s="2854"/>
      <c r="BGZ32" s="2854"/>
      <c r="BHA32" s="2854"/>
      <c r="BHB32" s="2854"/>
      <c r="BHC32" s="2854"/>
      <c r="BHD32" s="2854"/>
      <c r="BHE32" s="2854"/>
      <c r="BHF32" s="2854"/>
      <c r="BHG32" s="2854"/>
      <c r="BHH32" s="2854"/>
      <c r="BHI32" s="2854"/>
      <c r="BHJ32" s="2854"/>
      <c r="BHK32" s="2854"/>
      <c r="BHL32" s="2854"/>
      <c r="BHM32" s="2854"/>
      <c r="BHN32" s="2854"/>
      <c r="BHO32" s="2854"/>
      <c r="BHP32" s="2854"/>
      <c r="BHQ32" s="2854"/>
      <c r="BHR32" s="2854"/>
      <c r="BHS32" s="2854"/>
      <c r="BHT32" s="2854"/>
      <c r="BHU32" s="2854"/>
      <c r="BHV32" s="2854"/>
      <c r="BHW32" s="2854"/>
      <c r="BHX32" s="2854"/>
      <c r="BHY32" s="2854"/>
      <c r="BHZ32" s="2854"/>
      <c r="BIA32" s="2854"/>
      <c r="BIB32" s="2854"/>
      <c r="BIC32" s="2854"/>
      <c r="BID32" s="2854"/>
      <c r="BIE32" s="2854"/>
      <c r="BIF32" s="2854"/>
      <c r="BIG32" s="2854"/>
      <c r="BIH32" s="2854"/>
      <c r="BII32" s="2854"/>
      <c r="BIJ32" s="2854"/>
      <c r="BIK32" s="2854"/>
      <c r="BIL32" s="2854"/>
      <c r="BIM32" s="2854"/>
      <c r="BIN32" s="2854"/>
      <c r="BIO32" s="2854"/>
      <c r="BIP32" s="2854"/>
      <c r="BIQ32" s="2854"/>
      <c r="BIR32" s="2854"/>
      <c r="BIS32" s="2854"/>
      <c r="BIT32" s="2854"/>
      <c r="BIU32" s="2854"/>
      <c r="BIV32" s="2854"/>
      <c r="BIW32" s="2854"/>
      <c r="BIX32" s="2854"/>
      <c r="BIY32" s="2854"/>
      <c r="BIZ32" s="2854"/>
      <c r="BJA32" s="2854"/>
      <c r="BJB32" s="2854"/>
      <c r="BJC32" s="2854"/>
      <c r="BJD32" s="2854"/>
      <c r="BJE32" s="2854"/>
      <c r="BJF32" s="2854"/>
      <c r="BJG32" s="2854"/>
      <c r="BJH32" s="2854"/>
      <c r="BJI32" s="2854"/>
      <c r="BJJ32" s="2854"/>
      <c r="BJK32" s="2854"/>
      <c r="BJL32" s="2854"/>
      <c r="BJM32" s="2854"/>
      <c r="BJN32" s="2854"/>
      <c r="BJO32" s="2854"/>
      <c r="BJP32" s="2854"/>
      <c r="BJQ32" s="2854"/>
      <c r="BJR32" s="2854"/>
      <c r="BJS32" s="2854"/>
      <c r="BJT32" s="2854"/>
      <c r="BJU32" s="2854"/>
      <c r="BJV32" s="2854"/>
      <c r="BJW32" s="2854"/>
      <c r="BJX32" s="2854"/>
      <c r="BJY32" s="2854"/>
      <c r="BJZ32" s="2854"/>
      <c r="BKA32" s="2854"/>
      <c r="BKB32" s="2854"/>
      <c r="BKC32" s="2854"/>
      <c r="BKD32" s="2854"/>
      <c r="BKE32" s="2854"/>
      <c r="BKF32" s="2854"/>
      <c r="BKG32" s="2854"/>
      <c r="BKH32" s="2854"/>
      <c r="BKI32" s="2854"/>
      <c r="BKJ32" s="2854"/>
      <c r="BKK32" s="2854"/>
      <c r="BKL32" s="2854"/>
      <c r="BKM32" s="2854"/>
      <c r="BKN32" s="2854"/>
      <c r="BKO32" s="2854"/>
      <c r="BKP32" s="2854"/>
      <c r="BKQ32" s="2854"/>
      <c r="BKR32" s="2854"/>
      <c r="BKS32" s="2854"/>
      <c r="BKT32" s="2854"/>
      <c r="BKU32" s="2854"/>
      <c r="BKV32" s="2854"/>
      <c r="BKW32" s="2854"/>
      <c r="BKX32" s="2854"/>
      <c r="BKY32" s="2854"/>
      <c r="BKZ32" s="2854"/>
      <c r="BLA32" s="2854"/>
      <c r="BLB32" s="2854"/>
      <c r="BLC32" s="2854"/>
      <c r="BLD32" s="2854"/>
      <c r="BLE32" s="2854"/>
      <c r="BLF32" s="2854"/>
      <c r="BLG32" s="2854"/>
      <c r="BLH32" s="2854"/>
      <c r="BLI32" s="2854"/>
      <c r="BLJ32" s="2854"/>
      <c r="BLK32" s="2854"/>
      <c r="BLL32" s="2854"/>
      <c r="BLM32" s="2854"/>
      <c r="BLN32" s="2854"/>
      <c r="BLO32" s="2854"/>
      <c r="BLP32" s="2854"/>
      <c r="BLQ32" s="2854"/>
      <c r="BLR32" s="2854"/>
      <c r="BLS32" s="2854"/>
      <c r="BLT32" s="2854"/>
      <c r="BLU32" s="2854"/>
      <c r="BLV32" s="2854"/>
      <c r="BLW32" s="2854"/>
      <c r="BLX32" s="2854"/>
      <c r="BLY32" s="2854"/>
      <c r="BLZ32" s="2854"/>
      <c r="BMA32" s="2854"/>
      <c r="BMB32" s="2854"/>
      <c r="BMC32" s="2854"/>
      <c r="BMD32" s="2854"/>
      <c r="BME32" s="2854"/>
      <c r="BMF32" s="2854"/>
      <c r="BMG32" s="2854"/>
      <c r="BMH32" s="2854"/>
      <c r="BMI32" s="2854"/>
      <c r="BMJ32" s="2854"/>
      <c r="BMK32" s="2854"/>
      <c r="BML32" s="2854"/>
      <c r="BMM32" s="2854"/>
      <c r="BMN32" s="2854"/>
      <c r="BMO32" s="2854"/>
      <c r="BMP32" s="2854"/>
      <c r="BMQ32" s="2854"/>
      <c r="BMR32" s="2854"/>
      <c r="BMS32" s="2854"/>
      <c r="BMT32" s="2854"/>
      <c r="BMU32" s="2854"/>
      <c r="BMV32" s="2854"/>
      <c r="BMW32" s="2854"/>
      <c r="BMX32" s="2854"/>
      <c r="BMY32" s="2854"/>
      <c r="BMZ32" s="2854"/>
      <c r="BNA32" s="2854"/>
      <c r="BNB32" s="2854"/>
      <c r="BNC32" s="2854"/>
      <c r="BND32" s="2854"/>
      <c r="BNE32" s="2854"/>
      <c r="BNF32" s="2854"/>
      <c r="BNG32" s="2854"/>
      <c r="BNH32" s="2854"/>
      <c r="BNI32" s="2854"/>
      <c r="BNJ32" s="2854"/>
      <c r="BNK32" s="2854"/>
      <c r="BNL32" s="2854"/>
      <c r="BNM32" s="2854"/>
      <c r="BNN32" s="2854"/>
      <c r="BNO32" s="2854"/>
      <c r="BNP32" s="2854"/>
      <c r="BNQ32" s="2854"/>
      <c r="BNR32" s="2854"/>
      <c r="BNS32" s="2854"/>
      <c r="BNT32" s="2854"/>
      <c r="BNU32" s="2854"/>
      <c r="BNV32" s="2854"/>
      <c r="BNW32" s="2854"/>
      <c r="BNX32" s="2854"/>
      <c r="BNY32" s="2854"/>
      <c r="BNZ32" s="2854"/>
      <c r="BOA32" s="2854"/>
      <c r="BOB32" s="2854"/>
      <c r="BOC32" s="2854"/>
      <c r="BOD32" s="2854"/>
      <c r="BOE32" s="2854"/>
      <c r="BOF32" s="2854"/>
      <c r="BOG32" s="2854"/>
      <c r="BOH32" s="2854"/>
      <c r="BOI32" s="2854"/>
      <c r="BOJ32" s="2854"/>
      <c r="BOK32" s="2854"/>
      <c r="BOL32" s="2854"/>
      <c r="BOM32" s="2854"/>
      <c r="BON32" s="2854"/>
      <c r="BOO32" s="2854"/>
      <c r="BOP32" s="2854"/>
      <c r="BOQ32" s="2854"/>
      <c r="BOR32" s="2854"/>
      <c r="BOS32" s="2854"/>
      <c r="BOT32" s="2854"/>
      <c r="BOU32" s="2854"/>
      <c r="BOV32" s="2854"/>
      <c r="BOW32" s="2854"/>
      <c r="BOX32" s="2854"/>
      <c r="BOY32" s="2854"/>
      <c r="BOZ32" s="2854"/>
      <c r="BPA32" s="2854"/>
      <c r="BPB32" s="2854"/>
      <c r="BPC32" s="2854"/>
      <c r="BPD32" s="2854"/>
      <c r="BPE32" s="2854"/>
      <c r="BPF32" s="2854"/>
      <c r="BPG32" s="2854"/>
      <c r="BPH32" s="2854"/>
      <c r="BPI32" s="2854"/>
      <c r="BPJ32" s="2854"/>
      <c r="BPK32" s="2854"/>
      <c r="BPL32" s="2854"/>
      <c r="BPM32" s="2854"/>
      <c r="BPN32" s="2854"/>
      <c r="BPO32" s="2854"/>
      <c r="BPP32" s="2854"/>
      <c r="BPQ32" s="2854"/>
      <c r="BPR32" s="2854"/>
      <c r="BPS32" s="2854"/>
      <c r="BPT32" s="2854"/>
      <c r="BPU32" s="2854"/>
      <c r="BPV32" s="2854"/>
      <c r="BPW32" s="2854"/>
      <c r="BPX32" s="2854"/>
      <c r="BPY32" s="2854"/>
      <c r="BPZ32" s="2854"/>
      <c r="BQA32" s="2854"/>
      <c r="BQB32" s="2854"/>
      <c r="BQC32" s="2854"/>
      <c r="BQD32" s="2854"/>
      <c r="BQE32" s="2854"/>
      <c r="BQF32" s="2854"/>
      <c r="BQG32" s="2854"/>
      <c r="BQH32" s="2854"/>
      <c r="BQI32" s="2854"/>
      <c r="BQJ32" s="2854"/>
      <c r="BQK32" s="2854"/>
      <c r="BQL32" s="2854"/>
      <c r="BQM32" s="2854"/>
      <c r="BQN32" s="2854"/>
      <c r="BQO32" s="2854"/>
      <c r="BQP32" s="2854"/>
      <c r="BQQ32" s="2854"/>
      <c r="BQR32" s="2854"/>
      <c r="BQS32" s="2854"/>
      <c r="BQT32" s="2854"/>
      <c r="BQU32" s="2854"/>
      <c r="BQV32" s="2854"/>
      <c r="BQW32" s="2854"/>
      <c r="BQX32" s="2854"/>
      <c r="BQY32" s="2854"/>
      <c r="BQZ32" s="2854"/>
      <c r="BRA32" s="2854"/>
      <c r="BRB32" s="2854"/>
      <c r="BRC32" s="2854"/>
      <c r="BRD32" s="2854"/>
      <c r="BRE32" s="2854"/>
      <c r="BRF32" s="2854"/>
      <c r="BRG32" s="2854"/>
      <c r="BRH32" s="2854"/>
      <c r="BRI32" s="2854"/>
      <c r="BRJ32" s="2854"/>
      <c r="BRK32" s="2854"/>
      <c r="BRL32" s="2854"/>
      <c r="BRM32" s="2854"/>
      <c r="BRN32" s="2854"/>
      <c r="BRO32" s="2854"/>
      <c r="BRP32" s="2854"/>
      <c r="BRQ32" s="2854"/>
      <c r="BRR32" s="2854"/>
      <c r="BRS32" s="2854"/>
      <c r="BRT32" s="2854"/>
      <c r="BRU32" s="2854"/>
      <c r="BRV32" s="2854"/>
      <c r="BRW32" s="2854"/>
      <c r="BRX32" s="2854"/>
      <c r="BRY32" s="2854"/>
      <c r="BRZ32" s="2854"/>
      <c r="BSA32" s="2854"/>
      <c r="BSB32" s="2854"/>
      <c r="BSC32" s="2854"/>
      <c r="BSD32" s="2854"/>
      <c r="BSE32" s="2854"/>
      <c r="BSF32" s="2854"/>
      <c r="BSG32" s="2854"/>
      <c r="BSH32" s="2854"/>
      <c r="BSI32" s="2854"/>
      <c r="BSJ32" s="2854"/>
      <c r="BSK32" s="2854"/>
      <c r="BSL32" s="2854"/>
      <c r="BSM32" s="2854"/>
      <c r="BSN32" s="2854"/>
      <c r="BSO32" s="2854"/>
      <c r="BSP32" s="2854"/>
      <c r="BSQ32" s="2854"/>
      <c r="BSR32" s="2854"/>
      <c r="BSS32" s="2854"/>
      <c r="BST32" s="2854"/>
      <c r="BSU32" s="2854"/>
      <c r="BSV32" s="2854"/>
      <c r="BSW32" s="2854"/>
      <c r="BSX32" s="2854"/>
      <c r="BSY32" s="2854"/>
      <c r="BSZ32" s="2854"/>
      <c r="BTA32" s="2854"/>
      <c r="BTB32" s="2854"/>
      <c r="BTC32" s="2854"/>
      <c r="BTD32" s="2854"/>
      <c r="BTE32" s="2854"/>
      <c r="BTF32" s="2854"/>
      <c r="BTG32" s="2854"/>
      <c r="BTH32" s="2854"/>
      <c r="BTI32" s="2854"/>
      <c r="BTJ32" s="2854"/>
      <c r="BTK32" s="2854"/>
      <c r="BTL32" s="2854"/>
      <c r="BTM32" s="2854"/>
      <c r="BTN32" s="2854"/>
      <c r="BTO32" s="2854"/>
      <c r="BTP32" s="2854"/>
      <c r="BTQ32" s="2854"/>
      <c r="BTR32" s="2854"/>
      <c r="BTS32" s="2854"/>
      <c r="BTT32" s="2854"/>
      <c r="BTU32" s="2854"/>
      <c r="BTV32" s="2854"/>
      <c r="BTW32" s="2854"/>
      <c r="BTX32" s="2854"/>
      <c r="BTY32" s="2854"/>
      <c r="BTZ32" s="2854"/>
      <c r="BUA32" s="2854"/>
      <c r="BUB32" s="2854"/>
      <c r="BUC32" s="2854"/>
      <c r="BUD32" s="2854"/>
      <c r="BUE32" s="2854"/>
      <c r="BUF32" s="2854"/>
      <c r="BUG32" s="2854"/>
      <c r="BUH32" s="2854"/>
      <c r="BUI32" s="2854"/>
      <c r="BUJ32" s="2854"/>
      <c r="BUK32" s="2854"/>
      <c r="BUL32" s="2854"/>
      <c r="BUM32" s="2854"/>
      <c r="BUN32" s="2854"/>
      <c r="BUO32" s="2854"/>
      <c r="BUP32" s="2854"/>
      <c r="BUQ32" s="2854"/>
      <c r="BUR32" s="2854"/>
      <c r="BUS32" s="2854"/>
      <c r="BUT32" s="2854"/>
      <c r="BUU32" s="2854"/>
      <c r="BUV32" s="2854"/>
      <c r="BUW32" s="2854"/>
      <c r="BUX32" s="2854"/>
      <c r="BUY32" s="2854"/>
      <c r="BUZ32" s="2854"/>
      <c r="BVA32" s="2854"/>
      <c r="BVB32" s="2854"/>
      <c r="BVC32" s="2854"/>
      <c r="BVD32" s="2854"/>
      <c r="BVE32" s="2854"/>
      <c r="BVF32" s="2854"/>
      <c r="BVG32" s="2854"/>
      <c r="BVH32" s="2854"/>
      <c r="BVI32" s="2854"/>
      <c r="BVJ32" s="2854"/>
      <c r="BVK32" s="2854"/>
      <c r="BVL32" s="2854"/>
      <c r="BVM32" s="2854"/>
      <c r="BVN32" s="2854"/>
      <c r="BVO32" s="2854"/>
      <c r="BVP32" s="2854"/>
      <c r="BVQ32" s="2854"/>
      <c r="BVR32" s="2854"/>
      <c r="BVS32" s="2854"/>
      <c r="BVT32" s="2854"/>
      <c r="BVU32" s="2854"/>
      <c r="BVV32" s="2854"/>
      <c r="BVW32" s="2854"/>
      <c r="BVX32" s="2854"/>
      <c r="BVY32" s="2854"/>
      <c r="BVZ32" s="2854"/>
      <c r="BWA32" s="2854"/>
      <c r="BWB32" s="2854"/>
      <c r="BWC32" s="2854"/>
      <c r="BWD32" s="2854"/>
      <c r="BWE32" s="2854"/>
      <c r="BWF32" s="2854"/>
      <c r="BWG32" s="2854"/>
      <c r="BWH32" s="2854"/>
      <c r="BWI32" s="2854"/>
      <c r="BWJ32" s="2854"/>
      <c r="BWK32" s="2854"/>
      <c r="BWL32" s="2854"/>
      <c r="BWM32" s="2854"/>
      <c r="BWN32" s="2854"/>
      <c r="BWO32" s="2854"/>
      <c r="BWP32" s="2854"/>
      <c r="BWQ32" s="2854"/>
      <c r="BWR32" s="2854"/>
      <c r="BWS32" s="2854"/>
      <c r="BWT32" s="2854"/>
      <c r="BWU32" s="2854"/>
      <c r="BWV32" s="2854"/>
      <c r="BWW32" s="2854"/>
      <c r="BWX32" s="2854"/>
      <c r="BWY32" s="2854"/>
      <c r="BWZ32" s="2854"/>
      <c r="BXA32" s="2854"/>
      <c r="BXB32" s="2854"/>
      <c r="BXC32" s="2854"/>
      <c r="BXD32" s="2854"/>
      <c r="BXE32" s="2854"/>
      <c r="BXF32" s="2854"/>
      <c r="BXG32" s="2854"/>
      <c r="BXH32" s="2854"/>
      <c r="BXI32" s="2854"/>
      <c r="BXJ32" s="2854"/>
      <c r="BXK32" s="2854"/>
      <c r="BXL32" s="2854"/>
      <c r="BXM32" s="2854"/>
      <c r="BXN32" s="2854"/>
      <c r="BXO32" s="2854"/>
      <c r="BXP32" s="2854"/>
      <c r="BXQ32" s="2854"/>
      <c r="BXR32" s="2854"/>
      <c r="BXS32" s="2854"/>
      <c r="BXT32" s="2854"/>
      <c r="BXU32" s="2854"/>
      <c r="BXV32" s="2854"/>
      <c r="BXW32" s="2854"/>
      <c r="BXX32" s="2854"/>
      <c r="BXY32" s="2854"/>
      <c r="BXZ32" s="2854"/>
      <c r="BYA32" s="2854"/>
      <c r="BYB32" s="2854"/>
      <c r="BYC32" s="2854"/>
      <c r="BYD32" s="2854"/>
      <c r="BYE32" s="2854"/>
      <c r="BYF32" s="2854"/>
      <c r="BYG32" s="2854"/>
      <c r="BYH32" s="2854"/>
      <c r="BYI32" s="2854"/>
      <c r="BYJ32" s="2854"/>
      <c r="BYK32" s="2854"/>
      <c r="BYL32" s="2854"/>
      <c r="BYM32" s="2854"/>
      <c r="BYN32" s="2854"/>
      <c r="BYO32" s="2854"/>
      <c r="BYP32" s="2854"/>
      <c r="BYQ32" s="2854"/>
      <c r="BYR32" s="2854"/>
      <c r="BYS32" s="2854"/>
      <c r="BYT32" s="2854"/>
      <c r="BYU32" s="2854"/>
      <c r="BYV32" s="2854"/>
      <c r="BYW32" s="2854"/>
      <c r="BYX32" s="2854"/>
      <c r="BYY32" s="2854"/>
      <c r="BYZ32" s="2854"/>
      <c r="BZA32" s="2854"/>
      <c r="BZB32" s="2854"/>
      <c r="BZC32" s="2854"/>
      <c r="BZD32" s="2854"/>
      <c r="BZE32" s="2854"/>
      <c r="BZF32" s="2854"/>
      <c r="BZG32" s="2854"/>
      <c r="BZH32" s="2854"/>
      <c r="BZI32" s="2854"/>
      <c r="BZJ32" s="2854"/>
      <c r="BZK32" s="2854"/>
      <c r="BZL32" s="2854"/>
      <c r="BZM32" s="2854"/>
      <c r="BZN32" s="2854"/>
      <c r="BZO32" s="2854"/>
      <c r="BZP32" s="2854"/>
      <c r="BZQ32" s="2854"/>
      <c r="BZR32" s="2854"/>
      <c r="BZS32" s="2854"/>
      <c r="BZT32" s="2854"/>
      <c r="BZU32" s="2854"/>
      <c r="BZV32" s="2854"/>
      <c r="BZW32" s="2854"/>
      <c r="BZX32" s="2854"/>
      <c r="BZY32" s="2854"/>
      <c r="BZZ32" s="2854"/>
      <c r="CAA32" s="2854"/>
      <c r="CAB32" s="2854"/>
      <c r="CAC32" s="2854"/>
      <c r="CAD32" s="2854"/>
      <c r="CAE32" s="2854"/>
      <c r="CAF32" s="2854"/>
      <c r="CAG32" s="2854"/>
      <c r="CAH32" s="2854"/>
      <c r="CAI32" s="2854"/>
      <c r="CAJ32" s="2854"/>
      <c r="CAK32" s="2854"/>
      <c r="CAL32" s="2854"/>
      <c r="CAM32" s="2854"/>
      <c r="CAN32" s="2854"/>
      <c r="CAO32" s="2854"/>
      <c r="CAP32" s="2854"/>
      <c r="CAQ32" s="2854"/>
      <c r="CAR32" s="2854"/>
      <c r="CAS32" s="2854"/>
      <c r="CAT32" s="2854"/>
      <c r="CAU32" s="2854"/>
      <c r="CAV32" s="2854"/>
      <c r="CAW32" s="2854"/>
      <c r="CAX32" s="2854"/>
      <c r="CAY32" s="2854"/>
      <c r="CAZ32" s="2854"/>
      <c r="CBA32" s="2854"/>
      <c r="CBB32" s="2854"/>
      <c r="CBC32" s="2854"/>
      <c r="CBD32" s="2854"/>
      <c r="CBE32" s="2854"/>
      <c r="CBF32" s="2854"/>
      <c r="CBG32" s="2854"/>
      <c r="CBH32" s="2854"/>
      <c r="CBI32" s="2854"/>
      <c r="CBJ32" s="2854"/>
      <c r="CBK32" s="2854"/>
      <c r="CBL32" s="2854"/>
      <c r="CBM32" s="2854"/>
      <c r="CBN32" s="2854"/>
      <c r="CBO32" s="2854"/>
      <c r="CBP32" s="2854"/>
      <c r="CBQ32" s="2854"/>
      <c r="CBR32" s="2854"/>
      <c r="CBS32" s="2854"/>
      <c r="CBT32" s="2854"/>
      <c r="CBU32" s="2854"/>
      <c r="CBV32" s="2854"/>
      <c r="CBW32" s="2854"/>
      <c r="CBX32" s="2854"/>
      <c r="CBY32" s="2854"/>
      <c r="CBZ32" s="2854"/>
      <c r="CCA32" s="2854"/>
      <c r="CCB32" s="2854"/>
      <c r="CCC32" s="2854"/>
      <c r="CCD32" s="2854"/>
      <c r="CCE32" s="2854"/>
      <c r="CCF32" s="2854"/>
      <c r="CCG32" s="2854"/>
      <c r="CCH32" s="2854"/>
      <c r="CCI32" s="2854"/>
      <c r="CCJ32" s="2854"/>
      <c r="CCK32" s="2854"/>
      <c r="CCL32" s="2854"/>
      <c r="CCM32" s="2854"/>
      <c r="CCN32" s="2854"/>
      <c r="CCO32" s="2854"/>
      <c r="CCP32" s="2854"/>
      <c r="CCQ32" s="2854"/>
      <c r="CCR32" s="2854"/>
      <c r="CCS32" s="2854"/>
      <c r="CCT32" s="2854"/>
      <c r="CCU32" s="2854"/>
      <c r="CCV32" s="2854"/>
      <c r="CCW32" s="2854"/>
      <c r="CCX32" s="2854"/>
      <c r="CCY32" s="2854"/>
      <c r="CCZ32" s="2854"/>
      <c r="CDA32" s="2854"/>
      <c r="CDB32" s="2854"/>
      <c r="CDC32" s="2854"/>
      <c r="CDD32" s="2854"/>
      <c r="CDE32" s="2854"/>
      <c r="CDF32" s="2854"/>
      <c r="CDG32" s="2854"/>
      <c r="CDH32" s="2854"/>
      <c r="CDI32" s="2854"/>
      <c r="CDJ32" s="2854"/>
      <c r="CDK32" s="2854"/>
      <c r="CDL32" s="2854"/>
      <c r="CDM32" s="2854"/>
      <c r="CDN32" s="2854"/>
      <c r="CDO32" s="2854"/>
      <c r="CDP32" s="2854"/>
      <c r="CDQ32" s="2854"/>
      <c r="CDR32" s="2854"/>
      <c r="CDS32" s="2854"/>
      <c r="CDT32" s="2854"/>
      <c r="CDU32" s="2854"/>
      <c r="CDV32" s="2854"/>
      <c r="CDW32" s="2854"/>
      <c r="CDX32" s="2854"/>
      <c r="CDY32" s="2854"/>
      <c r="CDZ32" s="2854"/>
      <c r="CEA32" s="2854"/>
      <c r="CEB32" s="2854"/>
      <c r="CEC32" s="2854"/>
      <c r="CED32" s="2854"/>
      <c r="CEE32" s="2854"/>
      <c r="CEF32" s="2854"/>
      <c r="CEG32" s="2854"/>
      <c r="CEH32" s="2854"/>
      <c r="CEI32" s="2854"/>
      <c r="CEJ32" s="2854"/>
      <c r="CEK32" s="2854"/>
      <c r="CEL32" s="2854"/>
      <c r="CEM32" s="2854"/>
      <c r="CEN32" s="2854"/>
      <c r="CEO32" s="2854"/>
      <c r="CEP32" s="2854"/>
      <c r="CEQ32" s="2854"/>
      <c r="CER32" s="2854"/>
      <c r="CES32" s="2854"/>
      <c r="CET32" s="2854"/>
      <c r="CEU32" s="2854"/>
      <c r="CEV32" s="2854"/>
      <c r="CEW32" s="2854"/>
      <c r="CEX32" s="2854"/>
      <c r="CEY32" s="2854"/>
      <c r="CEZ32" s="2854"/>
      <c r="CFA32" s="2854"/>
      <c r="CFB32" s="2854"/>
      <c r="CFC32" s="2854"/>
      <c r="CFD32" s="2854"/>
      <c r="CFE32" s="2854"/>
      <c r="CFF32" s="2854"/>
      <c r="CFG32" s="2854"/>
      <c r="CFH32" s="2854"/>
      <c r="CFI32" s="2854"/>
      <c r="CFJ32" s="2854"/>
      <c r="CFK32" s="2854"/>
      <c r="CFL32" s="2854"/>
      <c r="CFM32" s="2854"/>
      <c r="CFN32" s="2854"/>
      <c r="CFO32" s="2854"/>
      <c r="CFP32" s="2854"/>
      <c r="CFQ32" s="2854"/>
      <c r="CFR32" s="2854"/>
      <c r="CFS32" s="2854"/>
      <c r="CFT32" s="2854"/>
      <c r="CFU32" s="2854"/>
      <c r="CFV32" s="2854"/>
      <c r="CFW32" s="2854"/>
      <c r="CFX32" s="2854"/>
      <c r="CFY32" s="2854"/>
      <c r="CFZ32" s="2854"/>
      <c r="CGA32" s="2854"/>
      <c r="CGB32" s="2854"/>
      <c r="CGC32" s="2854"/>
      <c r="CGD32" s="2854"/>
      <c r="CGE32" s="2854"/>
      <c r="CGF32" s="2854"/>
      <c r="CGG32" s="2854"/>
      <c r="CGH32" s="2854"/>
      <c r="CGI32" s="2854"/>
      <c r="CGJ32" s="2854"/>
      <c r="CGK32" s="2854"/>
      <c r="CGL32" s="2854"/>
      <c r="CGM32" s="2854"/>
      <c r="CGN32" s="2854"/>
      <c r="CGO32" s="2854"/>
      <c r="CGP32" s="2854"/>
      <c r="CGQ32" s="2854"/>
      <c r="CGR32" s="2854"/>
      <c r="CGS32" s="2854"/>
      <c r="CGT32" s="2854"/>
      <c r="CGU32" s="2854"/>
      <c r="CGV32" s="2854"/>
      <c r="CGW32" s="2854"/>
      <c r="CGX32" s="2854"/>
      <c r="CGY32" s="2854"/>
      <c r="CGZ32" s="2854"/>
      <c r="CHA32" s="2854"/>
      <c r="CHB32" s="2854"/>
      <c r="CHC32" s="2854"/>
      <c r="CHD32" s="2854"/>
      <c r="CHE32" s="2854"/>
      <c r="CHF32" s="2854"/>
      <c r="CHG32" s="2854"/>
      <c r="CHH32" s="2854"/>
      <c r="CHI32" s="2854"/>
      <c r="CHJ32" s="2854"/>
      <c r="CHK32" s="2854"/>
      <c r="CHL32" s="2854"/>
      <c r="CHM32" s="2854"/>
      <c r="CHN32" s="2854"/>
      <c r="CHO32" s="2854"/>
      <c r="CHP32" s="2854"/>
      <c r="CHQ32" s="2854"/>
      <c r="CHR32" s="2854"/>
      <c r="CHS32" s="2854"/>
      <c r="CHT32" s="2854"/>
      <c r="CHU32" s="2854"/>
      <c r="CHV32" s="2854"/>
      <c r="CHW32" s="2854"/>
      <c r="CHX32" s="2854"/>
      <c r="CHY32" s="2854"/>
      <c r="CHZ32" s="2854"/>
      <c r="CIA32" s="2854"/>
      <c r="CIB32" s="2854"/>
      <c r="CIC32" s="2854"/>
      <c r="CID32" s="2854"/>
      <c r="CIE32" s="2854"/>
      <c r="CIF32" s="2854"/>
      <c r="CIG32" s="2854"/>
      <c r="CIH32" s="2854"/>
      <c r="CII32" s="2854"/>
      <c r="CIJ32" s="2854"/>
      <c r="CIK32" s="2854"/>
      <c r="CIL32" s="2854"/>
      <c r="CIM32" s="2854"/>
      <c r="CIN32" s="2854"/>
      <c r="CIO32" s="2854"/>
      <c r="CIP32" s="2854"/>
      <c r="CIQ32" s="2854"/>
      <c r="CIR32" s="2854"/>
      <c r="CIS32" s="2854"/>
      <c r="CIT32" s="2854"/>
      <c r="CIU32" s="2854"/>
      <c r="CIV32" s="2854"/>
      <c r="CIW32" s="2854"/>
      <c r="CIX32" s="2854"/>
      <c r="CIY32" s="2854"/>
      <c r="CIZ32" s="2854"/>
      <c r="CJA32" s="2854"/>
      <c r="CJB32" s="2854"/>
      <c r="CJC32" s="2854"/>
      <c r="CJD32" s="2854"/>
      <c r="CJE32" s="2854"/>
      <c r="CJF32" s="2854"/>
      <c r="CJG32" s="2854"/>
      <c r="CJH32" s="2854"/>
      <c r="CJI32" s="2854"/>
      <c r="CJJ32" s="2854"/>
      <c r="CJK32" s="2854"/>
      <c r="CJL32" s="2854"/>
      <c r="CJM32" s="2854"/>
      <c r="CJN32" s="2854"/>
      <c r="CJO32" s="2854"/>
      <c r="CJP32" s="2854"/>
      <c r="CJQ32" s="2854"/>
      <c r="CJR32" s="2854"/>
      <c r="CJS32" s="2854"/>
      <c r="CJT32" s="2854"/>
      <c r="CJU32" s="2854"/>
      <c r="CJV32" s="2854"/>
      <c r="CJW32" s="2854"/>
      <c r="CJX32" s="2854"/>
      <c r="CJY32" s="2854"/>
      <c r="CJZ32" s="2854"/>
      <c r="CKA32" s="2854"/>
      <c r="CKB32" s="2854"/>
      <c r="CKC32" s="2854"/>
      <c r="CKD32" s="2854"/>
      <c r="CKE32" s="2854"/>
      <c r="CKF32" s="2854"/>
      <c r="CKG32" s="2854"/>
      <c r="CKH32" s="2854"/>
      <c r="CKI32" s="2854"/>
      <c r="CKJ32" s="2854"/>
      <c r="CKK32" s="2854"/>
      <c r="CKL32" s="2854"/>
      <c r="CKM32" s="2854"/>
      <c r="CKN32" s="2854"/>
      <c r="CKO32" s="2854"/>
      <c r="CKP32" s="2854"/>
      <c r="CKQ32" s="2854"/>
      <c r="CKR32" s="2854"/>
      <c r="CKS32" s="2854"/>
      <c r="CKT32" s="2854"/>
      <c r="CKU32" s="2854"/>
      <c r="CKV32" s="2854"/>
      <c r="CKW32" s="2854"/>
      <c r="CKX32" s="2854"/>
      <c r="CKY32" s="2854"/>
      <c r="CKZ32" s="2854"/>
      <c r="CLA32" s="2854"/>
      <c r="CLB32" s="2854"/>
      <c r="CLC32" s="2854"/>
      <c r="CLD32" s="2854"/>
      <c r="CLE32" s="2854"/>
      <c r="CLF32" s="2854"/>
      <c r="CLG32" s="2854"/>
      <c r="CLH32" s="2854"/>
      <c r="CLI32" s="2854"/>
      <c r="CLJ32" s="2854"/>
      <c r="CLK32" s="2854"/>
      <c r="CLL32" s="2854"/>
      <c r="CLM32" s="2854"/>
      <c r="CLN32" s="2854"/>
      <c r="CLO32" s="2854"/>
      <c r="CLP32" s="2854"/>
      <c r="CLQ32" s="2854"/>
      <c r="CLR32" s="2854"/>
      <c r="CLS32" s="2854"/>
      <c r="CLT32" s="2854"/>
      <c r="CLU32" s="2854"/>
      <c r="CLV32" s="2854"/>
      <c r="CLW32" s="2854"/>
    </row>
    <row r="33" spans="1:2363" ht="16.5" customHeight="1" x14ac:dyDescent="0.25">
      <c r="A33" s="3877"/>
      <c r="B33" s="3884"/>
      <c r="C33" s="2992">
        <v>2</v>
      </c>
      <c r="D33" s="2990"/>
      <c r="E33" s="3005"/>
      <c r="F33" s="1790"/>
      <c r="G33" s="2983"/>
      <c r="H33" s="1791"/>
      <c r="I33" s="1790"/>
      <c r="J33" s="1790"/>
      <c r="K33" s="1791"/>
      <c r="L33" s="1790"/>
      <c r="M33" s="1790"/>
      <c r="N33" s="1799">
        <f>F33+I33+L33</f>
        <v>0</v>
      </c>
      <c r="O33" s="2281">
        <f>F33+I33</f>
        <v>0</v>
      </c>
      <c r="P33" s="2114"/>
      <c r="Q33" s="2114"/>
      <c r="R33" s="2984"/>
      <c r="S33" s="2985"/>
      <c r="T33" s="2986"/>
      <c r="U33" s="2114"/>
      <c r="V33" s="2616"/>
      <c r="W33" s="2987"/>
      <c r="X33" s="2988"/>
      <c r="Y33" s="3009"/>
      <c r="Z33" s="3575"/>
      <c r="AA33" s="1837">
        <v>0</v>
      </c>
      <c r="AB33" s="1837">
        <v>0</v>
      </c>
      <c r="AC33" s="3184">
        <v>0</v>
      </c>
      <c r="AD33" s="1895">
        <v>0</v>
      </c>
      <c r="AE33" s="1895">
        <v>0</v>
      </c>
      <c r="AF33" s="1895">
        <v>0</v>
      </c>
      <c r="AG33" s="1895">
        <v>0</v>
      </c>
      <c r="AH33" s="1993">
        <v>0</v>
      </c>
      <c r="AI33" s="2124">
        <v>0</v>
      </c>
      <c r="AJ33" s="2124">
        <v>0</v>
      </c>
      <c r="AK33" s="2451">
        <f>AI33+AJ33</f>
        <v>0</v>
      </c>
      <c r="AL33" s="2989">
        <v>0</v>
      </c>
      <c r="AM33" s="3031">
        <v>0</v>
      </c>
      <c r="AN33" s="2697">
        <v>0</v>
      </c>
      <c r="AO33" s="3033">
        <v>0</v>
      </c>
      <c r="AP33" s="3035">
        <v>0</v>
      </c>
      <c r="AQ33" s="3035">
        <v>0</v>
      </c>
      <c r="AR33" s="2176">
        <v>0</v>
      </c>
      <c r="AS33" s="2157">
        <f>AO33+AQ33+AR33+AP33</f>
        <v>0</v>
      </c>
      <c r="AT33" s="2989">
        <v>0</v>
      </c>
      <c r="AU33" s="3036">
        <v>0</v>
      </c>
      <c r="AV33" s="2179">
        <v>0</v>
      </c>
      <c r="AW33" s="2159">
        <v>0</v>
      </c>
      <c r="AX33" s="2989"/>
      <c r="AY33" s="3031"/>
      <c r="AZ33" s="2099">
        <v>0</v>
      </c>
      <c r="BA33" s="3089">
        <v>0</v>
      </c>
      <c r="BB33" s="3090">
        <v>0</v>
      </c>
      <c r="BC33" s="3090">
        <v>0</v>
      </c>
      <c r="BD33" s="3089">
        <v>0</v>
      </c>
      <c r="BE33" s="3087">
        <f>+BA33+BB33+BC33+BD33+AZ33</f>
        <v>0</v>
      </c>
      <c r="BF33" s="2669"/>
      <c r="BG33" s="3036">
        <v>0</v>
      </c>
      <c r="BH33" s="2179">
        <v>0</v>
      </c>
      <c r="BI33" s="2159">
        <f>BG33+BH33</f>
        <v>0</v>
      </c>
      <c r="BJ33" s="2607">
        <f>AA33+AL33</f>
        <v>0</v>
      </c>
      <c r="BK33" s="2328">
        <v>0</v>
      </c>
      <c r="BL33" s="3038">
        <v>0</v>
      </c>
      <c r="BM33" s="3186">
        <f>+AD33+AO33+BA33</f>
        <v>0</v>
      </c>
      <c r="BN33" s="3044">
        <v>0</v>
      </c>
      <c r="BO33" s="2101">
        <f>+AQ33+AF33</f>
        <v>0</v>
      </c>
      <c r="BP33" s="3043">
        <v>0</v>
      </c>
      <c r="BQ33" s="3046">
        <f>BM33+BN33+BO33+BP33</f>
        <v>0</v>
      </c>
      <c r="BR33" s="3040">
        <f>AI33+AU33</f>
        <v>0</v>
      </c>
      <c r="BS33" s="3040">
        <f>+BH33+AV33+AJ33</f>
        <v>0</v>
      </c>
      <c r="BT33" s="2456">
        <f t="shared" si="54"/>
        <v>0</v>
      </c>
      <c r="BU33" s="3147"/>
      <c r="BV33" s="3058"/>
      <c r="BW33" s="3058"/>
      <c r="BX33" s="3058"/>
      <c r="BY33" s="3147"/>
      <c r="BZ33" s="3147"/>
      <c r="CA33" s="3147"/>
      <c r="CB33" s="3147"/>
      <c r="CC33" s="3147"/>
      <c r="CD33" s="3147"/>
      <c r="CE33" s="3147"/>
      <c r="CF33" s="3147"/>
      <c r="CG33" s="3147"/>
      <c r="CH33" s="1050"/>
      <c r="CI33" s="2854"/>
      <c r="CJ33" s="2854"/>
      <c r="CK33" s="2854"/>
      <c r="CL33" s="2854"/>
      <c r="CM33" s="2854"/>
      <c r="CN33" s="2854"/>
      <c r="CO33" s="2854"/>
      <c r="CP33" s="2854"/>
      <c r="CQ33" s="2854"/>
      <c r="CR33" s="2854"/>
      <c r="CS33" s="2854"/>
      <c r="CT33" s="2854"/>
      <c r="CU33" s="2854"/>
      <c r="CV33" s="2854"/>
      <c r="CW33" s="175"/>
      <c r="CX33" s="2854"/>
      <c r="CY33" s="2854"/>
      <c r="CZ33" s="2854"/>
      <c r="DA33" s="2854"/>
      <c r="DB33" s="2854"/>
      <c r="DC33" s="2854"/>
      <c r="DD33" s="2854"/>
      <c r="DE33" s="2854"/>
      <c r="DF33" s="2854"/>
      <c r="DG33" s="2854"/>
      <c r="DH33" s="2854"/>
      <c r="DI33" s="2854"/>
      <c r="DJ33" s="2854"/>
      <c r="DK33" s="2854"/>
      <c r="DL33" s="2854"/>
      <c r="DM33" s="2854"/>
      <c r="DN33" s="2854"/>
      <c r="DO33" s="2854"/>
      <c r="DP33" s="2854"/>
      <c r="DQ33" s="2854"/>
      <c r="DR33" s="2854"/>
      <c r="DS33" s="2854"/>
      <c r="DT33" s="2854"/>
      <c r="DU33" s="2854"/>
      <c r="DV33" s="2854"/>
      <c r="DW33" s="2854"/>
      <c r="DX33" s="2854"/>
      <c r="DY33" s="2854"/>
      <c r="DZ33" s="2854"/>
      <c r="EA33" s="2854"/>
      <c r="EB33" s="2854"/>
      <c r="EC33" s="2854"/>
      <c r="ED33" s="2854"/>
      <c r="EE33" s="2854"/>
      <c r="EF33" s="2854"/>
      <c r="EG33" s="2854"/>
      <c r="EH33" s="2854"/>
      <c r="EI33" s="2854"/>
      <c r="EJ33" s="2854"/>
      <c r="EK33" s="2854"/>
      <c r="EL33" s="2854"/>
      <c r="EM33" s="2854"/>
      <c r="EN33" s="2854"/>
      <c r="EO33" s="2854"/>
      <c r="EP33" s="2854"/>
      <c r="EQ33" s="2854"/>
      <c r="ER33" s="2854"/>
      <c r="ES33" s="2854"/>
      <c r="ET33" s="2854"/>
      <c r="EU33" s="2854"/>
      <c r="EV33" s="2854"/>
      <c r="EW33" s="2854"/>
      <c r="EX33" s="2854"/>
      <c r="EY33" s="2854"/>
      <c r="EZ33" s="2854"/>
      <c r="FA33" s="2854"/>
      <c r="FB33" s="2854"/>
      <c r="FC33" s="2854"/>
      <c r="FD33" s="2854"/>
      <c r="FE33" s="2854"/>
      <c r="FF33" s="2854"/>
      <c r="FG33" s="2854"/>
      <c r="FH33" s="2854"/>
      <c r="FI33" s="2854"/>
      <c r="FJ33" s="2854"/>
      <c r="FK33" s="2854"/>
      <c r="FL33" s="2854"/>
      <c r="FM33" s="2854"/>
      <c r="FN33" s="2854"/>
      <c r="FO33" s="2854"/>
      <c r="FP33" s="2854"/>
      <c r="FQ33" s="2854"/>
      <c r="FR33" s="2854"/>
      <c r="FS33" s="2854"/>
      <c r="FT33" s="2854"/>
      <c r="FU33" s="2854"/>
      <c r="FV33" s="2854"/>
      <c r="FW33" s="2854"/>
      <c r="FX33" s="2854"/>
      <c r="FY33" s="2854"/>
      <c r="FZ33" s="2854"/>
      <c r="GA33" s="2854"/>
      <c r="GB33" s="2854"/>
      <c r="GC33" s="2854"/>
      <c r="GD33" s="2854"/>
      <c r="GE33" s="2854"/>
      <c r="GF33" s="2854"/>
      <c r="GG33" s="2854"/>
      <c r="GH33" s="2854"/>
      <c r="GI33" s="2854"/>
      <c r="GJ33" s="2854"/>
      <c r="GK33" s="2854"/>
      <c r="GL33" s="2854"/>
      <c r="GM33" s="2854"/>
      <c r="GN33" s="2854"/>
      <c r="GO33" s="2854"/>
      <c r="GP33" s="2854"/>
      <c r="GQ33" s="2854"/>
      <c r="GR33" s="2854"/>
      <c r="GS33" s="2854"/>
      <c r="GT33" s="2854"/>
      <c r="GU33" s="2854"/>
      <c r="GV33" s="2854"/>
      <c r="GW33" s="2854"/>
      <c r="GX33" s="2854"/>
      <c r="GY33" s="2854"/>
      <c r="GZ33" s="2854"/>
      <c r="HA33" s="2854"/>
      <c r="HB33" s="2854"/>
      <c r="HC33" s="2854"/>
      <c r="HD33" s="2854"/>
      <c r="HE33" s="2854"/>
      <c r="HF33" s="2854"/>
      <c r="HG33" s="2854"/>
      <c r="HH33" s="2854"/>
      <c r="HI33" s="2854"/>
      <c r="HJ33" s="2854"/>
      <c r="HK33" s="2854"/>
      <c r="HL33" s="2854"/>
      <c r="HM33" s="2854"/>
      <c r="HN33" s="2854"/>
      <c r="HO33" s="2854"/>
      <c r="HP33" s="2854"/>
      <c r="HQ33" s="2854"/>
      <c r="HR33" s="2854"/>
      <c r="HS33" s="2854"/>
      <c r="HT33" s="2854"/>
      <c r="HU33" s="2854"/>
      <c r="HV33" s="2854"/>
      <c r="HW33" s="2854"/>
      <c r="HX33" s="2854"/>
      <c r="HY33" s="2854"/>
      <c r="HZ33" s="2854"/>
      <c r="IA33" s="2854"/>
      <c r="IB33" s="2854"/>
      <c r="IC33" s="2854"/>
      <c r="ID33" s="2854"/>
      <c r="IE33" s="2854"/>
      <c r="IF33" s="2854"/>
      <c r="IG33" s="2854"/>
      <c r="IH33" s="2854"/>
      <c r="II33" s="2854"/>
      <c r="IJ33" s="2854"/>
      <c r="IK33" s="2854"/>
      <c r="IL33" s="2854"/>
      <c r="IM33" s="2854"/>
      <c r="IN33" s="2854"/>
      <c r="IO33" s="2854"/>
      <c r="IP33" s="2854"/>
      <c r="IQ33" s="2854"/>
      <c r="IR33" s="2854"/>
      <c r="IS33" s="2854"/>
      <c r="IT33" s="2854"/>
      <c r="IU33" s="2854"/>
      <c r="IV33" s="2854"/>
      <c r="IW33" s="2854"/>
      <c r="IX33" s="2854"/>
      <c r="IY33" s="2854"/>
      <c r="IZ33" s="2854"/>
      <c r="JA33" s="2854"/>
      <c r="JB33" s="2854"/>
      <c r="JC33" s="2854"/>
      <c r="JD33" s="2854"/>
      <c r="JE33" s="2854"/>
      <c r="JF33" s="2854"/>
      <c r="JG33" s="2854"/>
      <c r="JH33" s="2854"/>
      <c r="JI33" s="2854"/>
      <c r="JJ33" s="2854"/>
      <c r="JK33" s="2854"/>
      <c r="JL33" s="2854"/>
      <c r="JM33" s="2854"/>
      <c r="JN33" s="2854"/>
      <c r="JO33" s="2854"/>
      <c r="JP33" s="2854"/>
      <c r="JQ33" s="2854"/>
      <c r="JR33" s="2854"/>
      <c r="JS33" s="2854"/>
      <c r="JT33" s="2854"/>
      <c r="JU33" s="2854"/>
      <c r="JV33" s="2854"/>
      <c r="JW33" s="2854"/>
      <c r="JX33" s="2854"/>
      <c r="JY33" s="2854"/>
      <c r="JZ33" s="2854"/>
      <c r="KA33" s="2854"/>
      <c r="KB33" s="2854"/>
      <c r="KC33" s="2854"/>
      <c r="KD33" s="2854"/>
      <c r="KE33" s="2854"/>
      <c r="KF33" s="2854"/>
      <c r="KG33" s="2854"/>
      <c r="KH33" s="2854"/>
      <c r="KI33" s="2854"/>
      <c r="KJ33" s="2854"/>
      <c r="KK33" s="2854"/>
      <c r="KL33" s="2854"/>
      <c r="KM33" s="2854"/>
      <c r="KN33" s="2854"/>
      <c r="KO33" s="2854"/>
      <c r="KP33" s="2854"/>
      <c r="KQ33" s="2854"/>
      <c r="KR33" s="2854"/>
      <c r="KS33" s="2854"/>
      <c r="KT33" s="2854"/>
      <c r="KU33" s="2854"/>
      <c r="KV33" s="2854"/>
      <c r="KW33" s="2854"/>
      <c r="KX33" s="2854"/>
      <c r="KY33" s="2854"/>
      <c r="KZ33" s="2854"/>
      <c r="LA33" s="2854"/>
      <c r="LB33" s="2854"/>
      <c r="LC33" s="2854"/>
      <c r="LD33" s="2854"/>
      <c r="LE33" s="2854"/>
      <c r="LF33" s="2854"/>
      <c r="LG33" s="2854"/>
      <c r="LH33" s="2854"/>
      <c r="LI33" s="2854"/>
      <c r="LJ33" s="2854"/>
      <c r="LK33" s="2854"/>
      <c r="LL33" s="2854"/>
      <c r="LM33" s="2854"/>
      <c r="LN33" s="2854"/>
      <c r="LO33" s="2854"/>
      <c r="LP33" s="2854"/>
      <c r="LQ33" s="2854"/>
      <c r="LR33" s="2854"/>
      <c r="LS33" s="2854"/>
      <c r="LT33" s="2854"/>
      <c r="LU33" s="2854"/>
      <c r="LV33" s="2854"/>
      <c r="LW33" s="2854"/>
      <c r="LX33" s="2854"/>
      <c r="LY33" s="2854"/>
      <c r="LZ33" s="2854"/>
      <c r="MA33" s="2854"/>
      <c r="MB33" s="2854"/>
      <c r="MC33" s="2854"/>
      <c r="MD33" s="2854"/>
      <c r="ME33" s="2854"/>
      <c r="MF33" s="2854"/>
      <c r="MG33" s="2854"/>
      <c r="MH33" s="2854"/>
      <c r="MI33" s="2854"/>
      <c r="MJ33" s="2854"/>
      <c r="MK33" s="2854"/>
      <c r="ML33" s="2854"/>
      <c r="MM33" s="2854"/>
      <c r="MN33" s="2854"/>
      <c r="MO33" s="2854"/>
      <c r="MP33" s="2854"/>
      <c r="MQ33" s="2854"/>
      <c r="MR33" s="2854"/>
      <c r="MS33" s="2854"/>
      <c r="MT33" s="2854"/>
      <c r="MU33" s="2854"/>
      <c r="MV33" s="2854"/>
      <c r="MW33" s="2854"/>
      <c r="MX33" s="2854"/>
      <c r="MY33" s="2854"/>
      <c r="MZ33" s="2854"/>
      <c r="NA33" s="2854"/>
      <c r="NB33" s="2854"/>
      <c r="NC33" s="2854"/>
      <c r="ND33" s="2854"/>
      <c r="NE33" s="2854"/>
      <c r="NF33" s="2854"/>
      <c r="NG33" s="2854"/>
      <c r="NH33" s="2854"/>
      <c r="NI33" s="2854"/>
      <c r="NJ33" s="2854"/>
      <c r="NK33" s="2854"/>
      <c r="NL33" s="2854"/>
      <c r="NM33" s="2854"/>
      <c r="NN33" s="2854"/>
      <c r="NO33" s="2854"/>
      <c r="NP33" s="2854"/>
      <c r="NQ33" s="2854"/>
      <c r="NR33" s="2854"/>
      <c r="NS33" s="2854"/>
      <c r="NT33" s="2854"/>
      <c r="NU33" s="2854"/>
      <c r="NV33" s="2854"/>
      <c r="NW33" s="2854"/>
      <c r="NX33" s="2854"/>
      <c r="NY33" s="2854"/>
      <c r="NZ33" s="2854"/>
      <c r="OA33" s="2854"/>
      <c r="OB33" s="2854"/>
      <c r="OC33" s="2854"/>
      <c r="OD33" s="2854"/>
      <c r="OE33" s="2854"/>
      <c r="OF33" s="2854"/>
      <c r="OG33" s="2854"/>
      <c r="OH33" s="2854"/>
      <c r="OI33" s="2854"/>
      <c r="OJ33" s="2854"/>
      <c r="OK33" s="2854"/>
      <c r="OL33" s="2854"/>
      <c r="OM33" s="2854"/>
      <c r="ON33" s="2854"/>
      <c r="OO33" s="2854"/>
      <c r="OP33" s="2854"/>
      <c r="OQ33" s="2854"/>
      <c r="OR33" s="2854"/>
      <c r="OS33" s="2854"/>
      <c r="OT33" s="2854"/>
      <c r="OU33" s="2854"/>
      <c r="OV33" s="2854"/>
      <c r="OW33" s="2854"/>
      <c r="OX33" s="2854"/>
      <c r="OY33" s="2854"/>
      <c r="OZ33" s="2854"/>
      <c r="PA33" s="2854"/>
      <c r="PB33" s="2854"/>
      <c r="PC33" s="2854"/>
      <c r="PD33" s="2854"/>
      <c r="PE33" s="2854"/>
      <c r="PF33" s="2854"/>
      <c r="PG33" s="2854"/>
      <c r="PH33" s="2854"/>
      <c r="PI33" s="2854"/>
      <c r="PJ33" s="2854"/>
      <c r="PK33" s="2854"/>
      <c r="PL33" s="2854"/>
      <c r="PM33" s="2854"/>
      <c r="PN33" s="2854"/>
      <c r="PO33" s="2854"/>
      <c r="PP33" s="2854"/>
      <c r="PQ33" s="2854"/>
      <c r="PR33" s="2854"/>
      <c r="PS33" s="2854"/>
      <c r="PT33" s="2854"/>
      <c r="PU33" s="2854"/>
      <c r="PV33" s="2854"/>
      <c r="PW33" s="2854"/>
      <c r="PX33" s="2854"/>
      <c r="PY33" s="2854"/>
      <c r="PZ33" s="2854"/>
      <c r="QA33" s="2854"/>
      <c r="QB33" s="2854"/>
      <c r="QC33" s="2854"/>
      <c r="QD33" s="2854"/>
      <c r="QE33" s="2854"/>
      <c r="QF33" s="2854"/>
      <c r="QG33" s="2854"/>
      <c r="QH33" s="2854"/>
      <c r="QI33" s="2854"/>
      <c r="QJ33" s="2854"/>
      <c r="QK33" s="2854"/>
      <c r="QL33" s="2854"/>
      <c r="QM33" s="2854"/>
      <c r="QN33" s="2854"/>
      <c r="QO33" s="2854"/>
      <c r="QP33" s="2854"/>
      <c r="QQ33" s="2854"/>
      <c r="QR33" s="2854"/>
      <c r="QS33" s="2854"/>
      <c r="QT33" s="2854"/>
      <c r="QU33" s="2854"/>
      <c r="QV33" s="2854"/>
      <c r="QW33" s="2854"/>
      <c r="QX33" s="2854"/>
      <c r="QY33" s="2854"/>
      <c r="QZ33" s="2854"/>
      <c r="RA33" s="2854"/>
      <c r="RB33" s="2854"/>
      <c r="RC33" s="2854"/>
      <c r="RD33" s="2854"/>
      <c r="RE33" s="2854"/>
      <c r="RF33" s="2854"/>
      <c r="RG33" s="2854"/>
      <c r="RH33" s="2854"/>
      <c r="RI33" s="2854"/>
      <c r="RJ33" s="2854"/>
      <c r="RK33" s="2854"/>
      <c r="RL33" s="2854"/>
      <c r="RM33" s="2854"/>
      <c r="RN33" s="2854"/>
      <c r="RO33" s="2854"/>
      <c r="RP33" s="2854"/>
      <c r="RQ33" s="2854"/>
      <c r="RR33" s="2854"/>
      <c r="RS33" s="2854"/>
      <c r="RT33" s="2854"/>
      <c r="RU33" s="2854"/>
      <c r="RV33" s="2854"/>
      <c r="RW33" s="2854"/>
      <c r="RX33" s="2854"/>
      <c r="RY33" s="2854"/>
      <c r="RZ33" s="2854"/>
      <c r="SA33" s="2854"/>
      <c r="SB33" s="2854"/>
      <c r="SC33" s="2854"/>
      <c r="SD33" s="2854"/>
      <c r="SE33" s="2854"/>
      <c r="SF33" s="2854"/>
      <c r="SG33" s="2854"/>
      <c r="SH33" s="2854"/>
      <c r="SI33" s="2854"/>
      <c r="SJ33" s="2854"/>
      <c r="SK33" s="2854"/>
      <c r="SL33" s="2854"/>
      <c r="SM33" s="2854"/>
      <c r="SN33" s="2854"/>
      <c r="SO33" s="2854"/>
      <c r="SP33" s="2854"/>
      <c r="SQ33" s="2854"/>
      <c r="SR33" s="2854"/>
      <c r="SS33" s="2854"/>
      <c r="ST33" s="2854"/>
      <c r="SU33" s="2854"/>
      <c r="SV33" s="2854"/>
      <c r="SW33" s="2854"/>
      <c r="SX33" s="2854"/>
      <c r="SY33" s="2854"/>
      <c r="SZ33" s="2854"/>
      <c r="TA33" s="2854"/>
      <c r="TB33" s="2854"/>
      <c r="TC33" s="2854"/>
      <c r="TD33" s="2854"/>
      <c r="TE33" s="2854"/>
      <c r="TF33" s="2854"/>
      <c r="TG33" s="2854"/>
      <c r="TH33" s="2854"/>
      <c r="TI33" s="2854"/>
      <c r="TJ33" s="2854"/>
      <c r="TK33" s="2854"/>
      <c r="TL33" s="2854"/>
      <c r="TM33" s="2854"/>
      <c r="TN33" s="2854"/>
      <c r="TO33" s="2854"/>
      <c r="TP33" s="2854"/>
      <c r="TQ33" s="2854"/>
      <c r="TR33" s="2854"/>
      <c r="TS33" s="2854"/>
      <c r="TT33" s="2854"/>
      <c r="TU33" s="3783"/>
      <c r="TV33" s="3783"/>
      <c r="TW33" s="3783"/>
      <c r="TX33" s="3783"/>
      <c r="TY33" s="3783"/>
      <c r="TZ33" s="3783"/>
      <c r="UA33" s="3783"/>
      <c r="UB33" s="3783"/>
      <c r="UC33" s="3783"/>
      <c r="UD33" s="3783"/>
      <c r="UE33" s="3783"/>
      <c r="UF33" s="3783"/>
      <c r="UG33" s="3783"/>
      <c r="UH33" s="3783"/>
      <c r="UI33" s="3783"/>
      <c r="UJ33" s="3783"/>
      <c r="UK33" s="3783"/>
      <c r="UL33" s="3783"/>
      <c r="UM33" s="3783"/>
      <c r="UN33" s="3783"/>
      <c r="UO33" s="3783"/>
      <c r="UP33" s="2854"/>
      <c r="UQ33" s="2854"/>
      <c r="UR33" s="2854"/>
      <c r="US33" s="2854"/>
      <c r="UT33" s="2854"/>
      <c r="UU33" s="2854"/>
      <c r="UV33" s="2854"/>
      <c r="UW33" s="2854"/>
      <c r="UX33" s="2854"/>
      <c r="UY33" s="2854"/>
      <c r="UZ33" s="2854"/>
      <c r="VA33" s="2854"/>
      <c r="VB33" s="2854"/>
      <c r="VC33" s="2854"/>
      <c r="VD33" s="2854"/>
      <c r="VE33" s="2854"/>
      <c r="VF33" s="2854"/>
      <c r="VG33" s="2854"/>
      <c r="VH33" s="2854"/>
      <c r="VI33" s="2854"/>
      <c r="VJ33" s="2854"/>
      <c r="VK33" s="2854"/>
      <c r="VL33" s="2854"/>
      <c r="VM33" s="2854"/>
      <c r="VN33" s="2854"/>
      <c r="VO33" s="2854"/>
      <c r="VP33" s="2854"/>
      <c r="VQ33" s="2854"/>
      <c r="VR33" s="2854"/>
      <c r="VS33" s="2854"/>
      <c r="VT33" s="2854"/>
      <c r="VU33" s="2854"/>
      <c r="VV33" s="2854"/>
      <c r="VW33" s="2854"/>
      <c r="VX33" s="2854"/>
      <c r="VY33" s="2854"/>
      <c r="VZ33" s="2854"/>
      <c r="WA33" s="2854"/>
      <c r="WB33" s="2854"/>
      <c r="WC33" s="2854"/>
      <c r="WD33" s="2854"/>
      <c r="WE33" s="2854"/>
      <c r="WF33" s="2854"/>
      <c r="WG33" s="2854"/>
      <c r="WH33" s="2854"/>
      <c r="WI33" s="2854"/>
      <c r="WJ33" s="2854"/>
      <c r="WK33" s="2854"/>
      <c r="WL33" s="2854"/>
      <c r="WM33" s="2854"/>
      <c r="WN33" s="2854"/>
      <c r="WO33" s="2854"/>
      <c r="WP33" s="2854"/>
      <c r="WQ33" s="2854"/>
      <c r="WR33" s="2854"/>
      <c r="WS33" s="2854"/>
      <c r="WT33" s="2854"/>
      <c r="WU33" s="2854"/>
      <c r="WV33" s="2854"/>
      <c r="WW33" s="2854"/>
      <c r="WX33" s="2854"/>
      <c r="WY33" s="2854"/>
      <c r="WZ33" s="2854"/>
      <c r="XA33" s="2854"/>
      <c r="XB33" s="2854"/>
      <c r="XC33" s="2854"/>
      <c r="XD33" s="2854"/>
      <c r="XE33" s="2854"/>
      <c r="XF33" s="2854"/>
      <c r="XG33" s="2854"/>
      <c r="XH33" s="2854"/>
      <c r="XI33" s="2854"/>
      <c r="XJ33" s="2854"/>
      <c r="XK33" s="2854"/>
      <c r="XL33" s="2854"/>
      <c r="XM33" s="2854"/>
      <c r="XN33" s="2854"/>
      <c r="XO33" s="2854"/>
      <c r="XP33" s="2854"/>
      <c r="XQ33" s="2854"/>
      <c r="XR33" s="2854"/>
      <c r="XS33" s="2854"/>
      <c r="XT33" s="2854"/>
      <c r="XU33" s="2854"/>
      <c r="XV33" s="2854"/>
      <c r="XW33" s="2854"/>
      <c r="XX33" s="2854"/>
      <c r="XY33" s="2854"/>
      <c r="XZ33" s="2854"/>
      <c r="YA33" s="2854"/>
      <c r="YB33" s="2854"/>
      <c r="YC33" s="2854"/>
      <c r="YD33" s="2854"/>
      <c r="YE33" s="2854"/>
      <c r="YF33" s="2854"/>
      <c r="YG33" s="2854"/>
      <c r="YH33" s="2854"/>
      <c r="YI33" s="2854"/>
      <c r="YJ33" s="2854"/>
      <c r="YK33" s="2854"/>
      <c r="YL33" s="2854"/>
      <c r="YM33" s="2854"/>
      <c r="YN33" s="2854"/>
      <c r="YO33" s="2854"/>
      <c r="YP33" s="2854"/>
      <c r="YQ33" s="2854"/>
      <c r="YR33" s="2854"/>
      <c r="YS33" s="2854"/>
      <c r="YT33" s="2854"/>
      <c r="YU33" s="2854"/>
      <c r="YV33" s="2854"/>
      <c r="YW33" s="2854"/>
      <c r="YX33" s="2854"/>
      <c r="YY33" s="2854"/>
      <c r="YZ33" s="2854"/>
      <c r="ZA33" s="2854"/>
      <c r="ZB33" s="2854"/>
      <c r="ZC33" s="2854"/>
      <c r="ZD33" s="2854"/>
      <c r="ZE33" s="2854"/>
      <c r="ZF33" s="2854"/>
      <c r="ZG33" s="2854"/>
      <c r="ZH33" s="2854"/>
      <c r="ZI33" s="2854"/>
      <c r="ZJ33" s="2854"/>
      <c r="ZK33" s="2854"/>
      <c r="ZL33" s="2854"/>
      <c r="ZM33" s="2854"/>
      <c r="ZN33" s="2854"/>
      <c r="ZO33" s="2854"/>
      <c r="ZP33" s="2854"/>
      <c r="ZQ33" s="2854"/>
      <c r="ZR33" s="2854"/>
      <c r="ZS33" s="2854"/>
      <c r="ZT33" s="2854"/>
      <c r="ZU33" s="2854"/>
      <c r="ZV33" s="2854"/>
      <c r="ZW33" s="2854"/>
      <c r="ZX33" s="2854"/>
      <c r="ZY33" s="2854"/>
      <c r="ZZ33" s="2854"/>
      <c r="AAA33" s="2854"/>
      <c r="AAB33" s="2854"/>
      <c r="AAC33" s="2854"/>
      <c r="AAD33" s="2854"/>
      <c r="AAE33" s="2854"/>
      <c r="AAF33" s="2854"/>
      <c r="AAG33" s="2854"/>
      <c r="AAH33" s="2854"/>
      <c r="AAI33" s="2854"/>
      <c r="AAJ33" s="2854"/>
      <c r="AAK33" s="2854"/>
      <c r="AAL33" s="2854"/>
      <c r="AAM33" s="2854"/>
      <c r="AAN33" s="2854"/>
      <c r="AAO33" s="2854"/>
      <c r="AAP33" s="2854"/>
      <c r="AAQ33" s="2854"/>
      <c r="AAR33" s="2854"/>
      <c r="AAS33" s="2854"/>
      <c r="AAT33" s="2854"/>
      <c r="AAU33" s="2854"/>
      <c r="AAV33" s="2854"/>
      <c r="AAW33" s="2854"/>
      <c r="AAX33" s="2854"/>
      <c r="AAY33" s="2854"/>
      <c r="AAZ33" s="2854"/>
      <c r="ABA33" s="2854"/>
      <c r="ABB33" s="2854"/>
      <c r="ABC33" s="2854"/>
      <c r="ABD33" s="2854"/>
      <c r="ABE33" s="2854"/>
      <c r="ABF33" s="2854"/>
      <c r="ABG33" s="2854"/>
      <c r="ABH33" s="2854"/>
      <c r="ABI33" s="2854"/>
      <c r="ABJ33" s="2854"/>
      <c r="ABK33" s="2854"/>
      <c r="ABL33" s="2854"/>
      <c r="ABM33" s="2854"/>
      <c r="ABN33" s="2854"/>
      <c r="ABO33" s="2854"/>
      <c r="ABP33" s="2854"/>
      <c r="ABQ33" s="2854"/>
      <c r="ABR33" s="2854"/>
      <c r="ABS33" s="2854"/>
      <c r="ABT33" s="2854"/>
      <c r="ABU33" s="2854"/>
      <c r="ABV33" s="2854"/>
      <c r="ABW33" s="2854"/>
      <c r="ABX33" s="2854"/>
      <c r="ABY33" s="2854"/>
      <c r="ABZ33" s="2854"/>
      <c r="ACA33" s="2854"/>
      <c r="ACB33" s="2854"/>
      <c r="ACC33" s="2854"/>
      <c r="ACD33" s="2854"/>
      <c r="ACE33" s="2854"/>
      <c r="ACF33" s="2854"/>
      <c r="ACG33" s="2854"/>
      <c r="ACH33" s="2854"/>
      <c r="ACI33" s="2854"/>
      <c r="ACJ33" s="2854"/>
      <c r="ACK33" s="2854"/>
      <c r="ACL33" s="2854"/>
      <c r="ACM33" s="2854"/>
      <c r="ACN33" s="2854"/>
      <c r="ACO33" s="2854"/>
      <c r="ACP33" s="2854"/>
      <c r="ACQ33" s="2854"/>
      <c r="ACR33" s="2854"/>
      <c r="ACS33" s="2854"/>
      <c r="ACT33" s="2854"/>
      <c r="ACU33" s="2854"/>
      <c r="ACV33" s="2854"/>
      <c r="ACW33" s="2854"/>
      <c r="ACX33" s="2854"/>
      <c r="ACY33" s="2854"/>
      <c r="ACZ33" s="2854"/>
      <c r="ADA33" s="2854"/>
      <c r="ADB33" s="2854"/>
      <c r="ADC33" s="2854"/>
      <c r="ADD33" s="2854"/>
      <c r="ADE33" s="2854"/>
      <c r="ADF33" s="2854"/>
      <c r="ADG33" s="2854"/>
      <c r="ADH33" s="2854"/>
      <c r="ADI33" s="2854"/>
      <c r="ADJ33" s="2854"/>
      <c r="ADK33" s="2854"/>
      <c r="ADL33" s="2854"/>
      <c r="ADM33" s="2854"/>
      <c r="ADN33" s="2854"/>
      <c r="ADO33" s="2854"/>
      <c r="ADP33" s="2854"/>
      <c r="ADQ33" s="2854"/>
      <c r="ADR33" s="2854"/>
      <c r="ADS33" s="2854"/>
      <c r="ADT33" s="2854"/>
      <c r="ADU33" s="2854"/>
      <c r="ADV33" s="2854"/>
      <c r="ADW33" s="2854"/>
      <c r="ADX33" s="2854"/>
      <c r="ADY33" s="2854"/>
      <c r="ADZ33" s="2854"/>
      <c r="AEA33" s="2854"/>
      <c r="AEB33" s="2854"/>
      <c r="AEC33" s="2854"/>
      <c r="AED33" s="2854"/>
      <c r="AEE33" s="2854"/>
      <c r="AEF33" s="2854"/>
      <c r="AEG33" s="2854"/>
      <c r="AEH33" s="2854"/>
      <c r="AEI33" s="2854"/>
      <c r="AEJ33" s="2854"/>
      <c r="AEK33" s="2854"/>
      <c r="AEL33" s="2854"/>
      <c r="AEM33" s="2854"/>
      <c r="AEN33" s="2854"/>
      <c r="AEO33" s="2854"/>
      <c r="AEP33" s="2854"/>
      <c r="AEQ33" s="2854"/>
      <c r="AER33" s="2854"/>
      <c r="AES33" s="2854"/>
      <c r="AET33" s="2854"/>
      <c r="AEU33" s="2854"/>
      <c r="AEV33" s="2854"/>
      <c r="AEW33" s="2854"/>
      <c r="AEX33" s="2854"/>
      <c r="AEY33" s="2854"/>
      <c r="AEZ33" s="2854"/>
      <c r="AFA33" s="2854"/>
      <c r="AFB33" s="2854"/>
      <c r="AFC33" s="2854"/>
      <c r="AFD33" s="2854"/>
      <c r="AFE33" s="2854"/>
      <c r="AFF33" s="2854"/>
      <c r="AFG33" s="2854"/>
      <c r="AFH33" s="2854"/>
      <c r="AFI33" s="2854"/>
      <c r="AFJ33" s="2854"/>
      <c r="AFK33" s="2854"/>
      <c r="AFL33" s="2854"/>
      <c r="AFM33" s="2854"/>
      <c r="AFN33" s="2854"/>
      <c r="AFO33" s="2854"/>
      <c r="AFP33" s="2854"/>
      <c r="AFQ33" s="2854"/>
      <c r="AFR33" s="2854"/>
      <c r="AFS33" s="2854"/>
      <c r="AFT33" s="2854"/>
      <c r="AFU33" s="2854"/>
      <c r="AFV33" s="2854"/>
      <c r="AFW33" s="2854"/>
      <c r="AFX33" s="2854"/>
      <c r="AFY33" s="2854"/>
      <c r="AFZ33" s="2854"/>
      <c r="AGA33" s="2854"/>
      <c r="AGB33" s="2854"/>
      <c r="AGC33" s="2854"/>
      <c r="AGD33" s="2854"/>
      <c r="AGE33" s="2854"/>
      <c r="AGF33" s="2854"/>
      <c r="AGG33" s="2854"/>
      <c r="AGH33" s="2854"/>
      <c r="AGI33" s="2854"/>
      <c r="AGJ33" s="2854"/>
      <c r="AGK33" s="2854"/>
      <c r="AGL33" s="2854"/>
      <c r="AGM33" s="2854"/>
      <c r="AGN33" s="2854"/>
      <c r="AGO33" s="2854"/>
      <c r="AGP33" s="2854"/>
      <c r="AGQ33" s="2854"/>
      <c r="AGR33" s="2854"/>
      <c r="AGS33" s="2854"/>
      <c r="AGT33" s="2854"/>
      <c r="AGU33" s="2854"/>
      <c r="AGV33" s="2854"/>
      <c r="AGW33" s="2854"/>
      <c r="AGX33" s="2854"/>
      <c r="AGY33" s="2854"/>
      <c r="AGZ33" s="2854"/>
      <c r="AHA33" s="2854"/>
      <c r="AHB33" s="2854"/>
      <c r="AHC33" s="2854"/>
      <c r="AHD33" s="2854"/>
      <c r="AHE33" s="2854"/>
      <c r="AHF33" s="2854"/>
      <c r="AHG33" s="2854"/>
      <c r="AHH33" s="2854"/>
      <c r="AHI33" s="2854"/>
      <c r="AHJ33" s="2854"/>
      <c r="AHK33" s="2854"/>
      <c r="AHL33" s="2854"/>
      <c r="AHM33" s="2854"/>
      <c r="AHN33" s="2854"/>
      <c r="AHO33" s="2854"/>
      <c r="AHP33" s="2854"/>
      <c r="AHQ33" s="2854"/>
      <c r="AHR33" s="2854"/>
      <c r="AHS33" s="2854"/>
      <c r="AHT33" s="2854"/>
      <c r="AHU33" s="2854"/>
      <c r="AHV33" s="2854"/>
      <c r="AHW33" s="2854"/>
      <c r="AHX33" s="2854"/>
      <c r="AHY33" s="2854"/>
      <c r="AHZ33" s="2854"/>
      <c r="AIA33" s="2854"/>
      <c r="AIB33" s="2854"/>
      <c r="AIC33" s="2854"/>
      <c r="AID33" s="2854"/>
      <c r="AIE33" s="2854"/>
      <c r="AIF33" s="2854"/>
      <c r="AIG33" s="2854"/>
      <c r="AIH33" s="2854"/>
      <c r="AII33" s="2854"/>
      <c r="AIJ33" s="2854"/>
      <c r="AIK33" s="2854"/>
      <c r="AIL33" s="2854"/>
      <c r="AIM33" s="2854"/>
      <c r="AIN33" s="2854"/>
      <c r="AIO33" s="2854"/>
      <c r="AIP33" s="2854"/>
      <c r="AIQ33" s="2854"/>
      <c r="AIR33" s="2854"/>
      <c r="AIS33" s="2854"/>
      <c r="AIT33" s="2854"/>
      <c r="AIU33" s="2854"/>
      <c r="AIV33" s="2854"/>
      <c r="AIW33" s="2854"/>
      <c r="AIX33" s="2854"/>
      <c r="AIY33" s="2854"/>
      <c r="AIZ33" s="2854"/>
      <c r="AJA33" s="2854"/>
      <c r="AJB33" s="2854"/>
      <c r="AJC33" s="2854"/>
      <c r="AJD33" s="2854"/>
      <c r="AJE33" s="2854"/>
      <c r="AJF33" s="2854"/>
      <c r="AJG33" s="2854"/>
      <c r="AJH33" s="2854"/>
      <c r="AJI33" s="2854"/>
      <c r="AJJ33" s="2854"/>
      <c r="AJK33" s="2854"/>
      <c r="AJL33" s="2854"/>
      <c r="AJM33" s="2854"/>
      <c r="AJN33" s="2854"/>
      <c r="AJO33" s="2854"/>
      <c r="AJP33" s="2854"/>
      <c r="AJQ33" s="2854"/>
      <c r="AJR33" s="2854"/>
      <c r="AJS33" s="2854"/>
      <c r="AJT33" s="2854"/>
      <c r="AJU33" s="2854"/>
      <c r="AJV33" s="2854"/>
      <c r="AJW33" s="2854"/>
      <c r="AJX33" s="2854"/>
      <c r="AJY33" s="2854"/>
      <c r="AJZ33" s="2854"/>
      <c r="AKA33" s="2854"/>
      <c r="AKB33" s="2854"/>
      <c r="AKC33" s="2854"/>
      <c r="AKD33" s="2854"/>
      <c r="AKE33" s="2854"/>
      <c r="AKF33" s="2854"/>
      <c r="AKG33" s="2854"/>
      <c r="AKH33" s="2854"/>
      <c r="AKI33" s="2854"/>
      <c r="AKJ33" s="2854"/>
      <c r="AKK33" s="2854"/>
      <c r="AKL33" s="2854"/>
      <c r="AKM33" s="2854"/>
      <c r="AKN33" s="2854"/>
      <c r="AKO33" s="2854"/>
      <c r="AKP33" s="2854"/>
      <c r="AKQ33" s="2854"/>
      <c r="AKR33" s="2854"/>
      <c r="AKS33" s="2854"/>
      <c r="AKT33" s="2854"/>
      <c r="AKU33" s="2854"/>
      <c r="AKV33" s="2854"/>
      <c r="AKW33" s="2854"/>
      <c r="AKX33" s="2854"/>
      <c r="AKY33" s="2854"/>
      <c r="AKZ33" s="2854"/>
      <c r="ALA33" s="2854"/>
      <c r="ALB33" s="2854"/>
      <c r="ALC33" s="2854"/>
      <c r="ALD33" s="2854"/>
      <c r="ALE33" s="2854"/>
      <c r="ALF33" s="2854"/>
      <c r="ALG33" s="2854"/>
      <c r="ALH33" s="2854"/>
      <c r="ALI33" s="2854"/>
      <c r="ALJ33" s="2854"/>
      <c r="ALK33" s="2854"/>
      <c r="ALL33" s="2854"/>
      <c r="ALM33" s="2854"/>
      <c r="ALN33" s="2854"/>
      <c r="ALO33" s="2854"/>
      <c r="ALP33" s="2854"/>
      <c r="ALQ33" s="2854"/>
      <c r="ALR33" s="2854"/>
      <c r="ALS33" s="2854"/>
      <c r="ALT33" s="2854"/>
      <c r="ALU33" s="2854"/>
      <c r="ALV33" s="2854"/>
      <c r="ALW33" s="2854"/>
      <c r="ALX33" s="2854"/>
      <c r="ALY33" s="2854"/>
      <c r="ALZ33" s="2854"/>
      <c r="AMA33" s="2854"/>
      <c r="AMB33" s="2854"/>
      <c r="AMC33" s="2854"/>
      <c r="AMD33" s="2854"/>
      <c r="AME33" s="2854"/>
      <c r="AMF33" s="2854"/>
      <c r="AMG33" s="2854"/>
      <c r="AMH33" s="2854"/>
      <c r="AMI33" s="2854"/>
      <c r="AMJ33" s="2854"/>
      <c r="AMK33" s="2854"/>
      <c r="AML33" s="2854"/>
      <c r="AMM33" s="2854"/>
      <c r="AMN33" s="2854"/>
      <c r="AMO33" s="2854"/>
      <c r="AMP33" s="2854"/>
      <c r="AMQ33" s="2854"/>
      <c r="AMR33" s="2854"/>
      <c r="AMS33" s="2854"/>
      <c r="AMT33" s="2854"/>
      <c r="AMU33" s="2854"/>
      <c r="AMV33" s="2854"/>
      <c r="AMW33" s="2854"/>
      <c r="AMX33" s="2854"/>
      <c r="AMY33" s="2854"/>
      <c r="AMZ33" s="2854"/>
      <c r="ANA33" s="2854"/>
      <c r="ANB33" s="2854"/>
      <c r="ANC33" s="2854"/>
      <c r="AND33" s="2854"/>
      <c r="ANE33" s="2854"/>
      <c r="ANF33" s="2854"/>
      <c r="ANG33" s="2854"/>
      <c r="ANH33" s="2854"/>
      <c r="ANI33" s="2854"/>
      <c r="ANJ33" s="2854"/>
      <c r="ANK33" s="2854"/>
      <c r="ANL33" s="2854"/>
      <c r="ANM33" s="2854"/>
      <c r="ANN33" s="2854"/>
      <c r="ANO33" s="2854"/>
      <c r="ANP33" s="2854"/>
      <c r="ANQ33" s="2854"/>
      <c r="ANR33" s="2854"/>
      <c r="ANS33" s="2854"/>
      <c r="ANT33" s="2854"/>
      <c r="ANU33" s="2854"/>
      <c r="ANV33" s="2854"/>
      <c r="ANW33" s="2854"/>
      <c r="ANX33" s="2854"/>
      <c r="ANY33" s="2854"/>
      <c r="ANZ33" s="2854"/>
      <c r="AOA33" s="2854"/>
      <c r="AOB33" s="2854"/>
      <c r="AOC33" s="2854"/>
      <c r="AOD33" s="2854"/>
      <c r="AOE33" s="2854"/>
      <c r="AOF33" s="2854"/>
      <c r="AOG33" s="2854"/>
      <c r="AOH33" s="2854"/>
      <c r="AOI33" s="2854"/>
      <c r="AOJ33" s="2854"/>
      <c r="AOK33" s="2854"/>
      <c r="AOL33" s="2854"/>
      <c r="AOM33" s="2854"/>
      <c r="AON33" s="2854"/>
      <c r="AOO33" s="2854"/>
      <c r="AOP33" s="2854"/>
      <c r="AOQ33" s="2854"/>
      <c r="AOR33" s="2854"/>
      <c r="AOS33" s="2854"/>
      <c r="AOT33" s="2854"/>
      <c r="AOU33" s="2854"/>
      <c r="AOV33" s="2854"/>
      <c r="AOW33" s="2854"/>
      <c r="AOX33" s="2854"/>
      <c r="AOY33" s="2854"/>
      <c r="AOZ33" s="2854"/>
      <c r="APA33" s="2854"/>
      <c r="APB33" s="2854"/>
      <c r="APC33" s="2854"/>
      <c r="APD33" s="2854"/>
      <c r="APE33" s="2854"/>
      <c r="APF33" s="2854"/>
      <c r="APG33" s="2854"/>
      <c r="APH33" s="2854"/>
      <c r="API33" s="2854"/>
      <c r="APJ33" s="2854"/>
      <c r="APK33" s="2854"/>
      <c r="APL33" s="2854"/>
      <c r="APM33" s="2854"/>
      <c r="APN33" s="2854"/>
      <c r="APO33" s="2854"/>
      <c r="APP33" s="2854"/>
      <c r="APQ33" s="2854"/>
      <c r="APR33" s="2854"/>
      <c r="APS33" s="2854"/>
      <c r="APT33" s="2854"/>
      <c r="APU33" s="2854"/>
      <c r="APV33" s="2854"/>
      <c r="APW33" s="2854"/>
      <c r="APX33" s="2854"/>
      <c r="APY33" s="2854"/>
      <c r="APZ33" s="2854"/>
      <c r="AQA33" s="2854"/>
      <c r="AQB33" s="2854"/>
      <c r="AQC33" s="2854"/>
      <c r="AQD33" s="2854"/>
      <c r="AQE33" s="2854"/>
      <c r="AQF33" s="2854"/>
      <c r="AQG33" s="2854"/>
      <c r="AQH33" s="2854"/>
      <c r="AQI33" s="2854"/>
      <c r="AQJ33" s="2854"/>
      <c r="AQK33" s="2854"/>
      <c r="AQL33" s="2854"/>
      <c r="AQM33" s="2854"/>
      <c r="AQN33" s="2854"/>
      <c r="AQO33" s="2854"/>
      <c r="AQP33" s="2854"/>
      <c r="AQQ33" s="2854"/>
      <c r="AQR33" s="2854"/>
      <c r="AQS33" s="2854"/>
      <c r="AQT33" s="2854"/>
      <c r="AQU33" s="2854"/>
      <c r="AQV33" s="2854"/>
      <c r="AQW33" s="2854"/>
      <c r="AQX33" s="2854"/>
      <c r="AQY33" s="2854"/>
      <c r="AQZ33" s="2854"/>
      <c r="ARA33" s="2854"/>
      <c r="ARB33" s="2854"/>
      <c r="ARC33" s="2854"/>
      <c r="ARD33" s="2854"/>
      <c r="ARE33" s="2854"/>
      <c r="ARF33" s="2854"/>
      <c r="ARG33" s="2854"/>
      <c r="ARH33" s="2854"/>
      <c r="ARI33" s="2854"/>
      <c r="ARJ33" s="2854"/>
      <c r="ARK33" s="2854"/>
      <c r="ARL33" s="2854"/>
      <c r="ARM33" s="2854"/>
      <c r="ARN33" s="2854"/>
      <c r="ARO33" s="2854"/>
      <c r="ARP33" s="2854"/>
      <c r="ARQ33" s="2854"/>
      <c r="ARR33" s="2854"/>
      <c r="ARS33" s="2854"/>
      <c r="ART33" s="2854"/>
      <c r="ARU33" s="2854"/>
      <c r="ARV33" s="2854"/>
      <c r="ARW33" s="2854"/>
      <c r="ARX33" s="2854"/>
      <c r="ARY33" s="2854"/>
      <c r="ARZ33" s="2854"/>
      <c r="ASA33" s="2854"/>
      <c r="ASB33" s="2854"/>
      <c r="ASC33" s="2854"/>
      <c r="ASD33" s="2854"/>
      <c r="ASE33" s="2854"/>
      <c r="ASF33" s="2854"/>
      <c r="ASG33" s="2854"/>
      <c r="ASH33" s="2854"/>
      <c r="ASI33" s="2854"/>
      <c r="ASJ33" s="2854"/>
      <c r="ASK33" s="2854"/>
      <c r="ASL33" s="2854"/>
      <c r="ASM33" s="2854"/>
      <c r="ASN33" s="2854"/>
      <c r="ASO33" s="2854"/>
      <c r="ASP33" s="2854"/>
      <c r="ASQ33" s="2854"/>
      <c r="ASR33" s="2854"/>
      <c r="ASS33" s="2854"/>
      <c r="AST33" s="2854"/>
      <c r="ASU33" s="2854"/>
      <c r="ASV33" s="2854"/>
      <c r="ASW33" s="2854"/>
      <c r="ASX33" s="2854"/>
      <c r="ASY33" s="2854"/>
      <c r="ASZ33" s="2854"/>
      <c r="ATA33" s="2854"/>
      <c r="ATB33" s="2854"/>
      <c r="ATC33" s="2854"/>
      <c r="ATD33" s="2854"/>
      <c r="ATE33" s="2854"/>
      <c r="ATF33" s="2854"/>
      <c r="ATG33" s="2854"/>
      <c r="ATH33" s="2854"/>
      <c r="ATI33" s="2854"/>
      <c r="ATJ33" s="2854"/>
      <c r="ATK33" s="2854"/>
      <c r="ATL33" s="2854"/>
      <c r="ATM33" s="2854"/>
      <c r="ATN33" s="2854"/>
      <c r="ATO33" s="2854"/>
      <c r="ATP33" s="2854"/>
      <c r="ATQ33" s="2854"/>
      <c r="ATR33" s="2854"/>
      <c r="ATS33" s="2854"/>
      <c r="ATT33" s="2854"/>
      <c r="ATU33" s="2854"/>
      <c r="ATV33" s="2854"/>
      <c r="ATW33" s="2854"/>
      <c r="ATX33" s="2854"/>
      <c r="ATY33" s="2854"/>
      <c r="ATZ33" s="2854"/>
      <c r="AUA33" s="2854"/>
      <c r="AUB33" s="2854"/>
      <c r="AUC33" s="2854"/>
      <c r="AUD33" s="2854"/>
      <c r="AUE33" s="2854"/>
      <c r="AUF33" s="2854"/>
      <c r="AUG33" s="2854"/>
      <c r="AUH33" s="2854"/>
      <c r="AUI33" s="2854"/>
      <c r="AUJ33" s="2854"/>
      <c r="AUK33" s="2854"/>
      <c r="AUL33" s="2854"/>
      <c r="AUM33" s="2854"/>
      <c r="AUN33" s="2854"/>
      <c r="AUO33" s="2854"/>
      <c r="AUP33" s="2854"/>
      <c r="AUQ33" s="2854"/>
      <c r="AUR33" s="2854"/>
      <c r="AUS33" s="2854"/>
      <c r="AUT33" s="2854"/>
      <c r="AUU33" s="2854"/>
      <c r="AUV33" s="2854"/>
      <c r="AUW33" s="2854"/>
      <c r="AUX33" s="2854"/>
      <c r="AUY33" s="2854"/>
      <c r="AUZ33" s="2854"/>
      <c r="AVA33" s="2854"/>
      <c r="AVB33" s="2854"/>
      <c r="AVC33" s="2854"/>
      <c r="AVD33" s="2854"/>
      <c r="AVE33" s="2854"/>
      <c r="AVF33" s="2854"/>
      <c r="AVG33" s="2854"/>
      <c r="AVH33" s="2854"/>
      <c r="AVI33" s="2854"/>
      <c r="AVJ33" s="2854"/>
      <c r="AVK33" s="2854"/>
      <c r="AVL33" s="2854"/>
      <c r="AVM33" s="2854"/>
      <c r="AVN33" s="2854"/>
      <c r="AVO33" s="2854"/>
      <c r="AVP33" s="2854"/>
      <c r="AVQ33" s="2854"/>
      <c r="AVR33" s="2854"/>
      <c r="AVS33" s="2854"/>
      <c r="AVT33" s="2854"/>
      <c r="AVU33" s="2854"/>
      <c r="AVV33" s="2854"/>
      <c r="AVW33" s="2854"/>
      <c r="AVX33" s="2854"/>
      <c r="AVY33" s="2854"/>
      <c r="AVZ33" s="2854"/>
      <c r="AWA33" s="2854"/>
      <c r="AWB33" s="2854"/>
      <c r="AWC33" s="2854"/>
      <c r="AWD33" s="2854"/>
      <c r="AWE33" s="2854"/>
      <c r="AWF33" s="2854"/>
      <c r="AWG33" s="2854"/>
      <c r="AWH33" s="2854"/>
      <c r="AWI33" s="2854"/>
      <c r="AWJ33" s="2854"/>
      <c r="AWK33" s="2854"/>
      <c r="AWL33" s="2854"/>
      <c r="AWM33" s="2854"/>
      <c r="AWN33" s="2854"/>
      <c r="AWO33" s="2854"/>
      <c r="AWP33" s="2854"/>
      <c r="AWQ33" s="2854"/>
      <c r="AWR33" s="2854"/>
      <c r="AWS33" s="2854"/>
      <c r="AWT33" s="2854"/>
      <c r="AWU33" s="2854"/>
      <c r="AWV33" s="2854"/>
      <c r="AWW33" s="2854"/>
      <c r="AWX33" s="2854"/>
      <c r="AWY33" s="2854"/>
      <c r="AWZ33" s="2854"/>
      <c r="AXA33" s="2854"/>
      <c r="AXB33" s="2854"/>
      <c r="AXC33" s="2854"/>
      <c r="AXD33" s="2854"/>
      <c r="AXE33" s="2854"/>
      <c r="AXF33" s="2854"/>
      <c r="AXG33" s="2854"/>
      <c r="AXH33" s="2854"/>
      <c r="AXI33" s="2854"/>
      <c r="AXJ33" s="2854"/>
      <c r="AXK33" s="2854"/>
      <c r="AXL33" s="2854"/>
      <c r="AXM33" s="2854"/>
      <c r="AXN33" s="2854"/>
      <c r="AXO33" s="2854"/>
      <c r="AXP33" s="2854"/>
      <c r="AXQ33" s="2854"/>
      <c r="AXR33" s="2854"/>
      <c r="AXS33" s="2854"/>
      <c r="AXT33" s="2854"/>
      <c r="AXU33" s="2854"/>
      <c r="AXV33" s="2854"/>
      <c r="AXW33" s="2854"/>
      <c r="AXX33" s="2854"/>
      <c r="AXY33" s="2854"/>
      <c r="AXZ33" s="2854"/>
      <c r="AYA33" s="2854"/>
      <c r="AYB33" s="2854"/>
      <c r="AYC33" s="2854"/>
      <c r="AYD33" s="2854"/>
      <c r="AYE33" s="2854"/>
      <c r="AYF33" s="2854"/>
      <c r="AYG33" s="2854"/>
      <c r="AYH33" s="2854"/>
      <c r="AYI33" s="2854"/>
      <c r="AYJ33" s="2854"/>
      <c r="AYK33" s="2854"/>
      <c r="AYL33" s="2854"/>
      <c r="AYM33" s="2854"/>
      <c r="AYN33" s="2854"/>
      <c r="AYO33" s="2854"/>
      <c r="AYP33" s="2854"/>
      <c r="AYQ33" s="2854"/>
      <c r="AYR33" s="2854"/>
      <c r="AYS33" s="2854"/>
      <c r="AYT33" s="2854"/>
      <c r="AYU33" s="2854"/>
      <c r="AYV33" s="2854"/>
      <c r="AYW33" s="2854"/>
      <c r="AYX33" s="2854"/>
      <c r="AYY33" s="2854"/>
      <c r="AYZ33" s="2854"/>
      <c r="AZA33" s="2854"/>
      <c r="AZB33" s="2854"/>
      <c r="AZC33" s="2854"/>
      <c r="AZD33" s="2854"/>
      <c r="AZE33" s="2854"/>
      <c r="AZF33" s="2854"/>
      <c r="AZG33" s="2854"/>
      <c r="AZH33" s="2854"/>
      <c r="AZI33" s="2854"/>
      <c r="AZJ33" s="2854"/>
      <c r="AZK33" s="2854"/>
      <c r="AZL33" s="2854"/>
      <c r="AZM33" s="2854"/>
      <c r="AZN33" s="2854"/>
      <c r="AZO33" s="2854"/>
      <c r="AZP33" s="2854"/>
      <c r="AZQ33" s="2854"/>
      <c r="AZR33" s="2854"/>
      <c r="AZS33" s="2854"/>
      <c r="AZT33" s="2854"/>
      <c r="AZU33" s="2854"/>
      <c r="AZV33" s="2854"/>
      <c r="AZW33" s="2854"/>
      <c r="AZX33" s="2854"/>
      <c r="AZY33" s="2854"/>
      <c r="AZZ33" s="2854"/>
      <c r="BAA33" s="2854"/>
      <c r="BAB33" s="2854"/>
      <c r="BAC33" s="2854"/>
      <c r="BAD33" s="2854"/>
      <c r="BAE33" s="2854"/>
      <c r="BAF33" s="2854"/>
      <c r="BAG33" s="2854"/>
      <c r="BAH33" s="2854"/>
      <c r="BAI33" s="2854"/>
      <c r="BAJ33" s="2854"/>
      <c r="BAK33" s="2854"/>
      <c r="BAL33" s="2854"/>
      <c r="BAM33" s="2854"/>
      <c r="BAN33" s="2854"/>
      <c r="BAO33" s="2854"/>
      <c r="BAP33" s="2854"/>
      <c r="BAQ33" s="2854"/>
      <c r="BAR33" s="2854"/>
      <c r="BAS33" s="2854"/>
      <c r="BAT33" s="2854"/>
      <c r="BAU33" s="2854"/>
      <c r="BAV33" s="2854"/>
      <c r="BAW33" s="2854"/>
      <c r="BAX33" s="2854"/>
      <c r="BAY33" s="2854"/>
      <c r="BAZ33" s="2854"/>
      <c r="BBA33" s="2854"/>
      <c r="BBB33" s="2854"/>
      <c r="BBC33" s="2854"/>
      <c r="BBD33" s="2854"/>
      <c r="BBE33" s="2854"/>
      <c r="BBF33" s="2854"/>
      <c r="BBG33" s="2854"/>
      <c r="BBH33" s="2854"/>
      <c r="BBI33" s="2854"/>
      <c r="BBJ33" s="2854"/>
      <c r="BBK33" s="2854"/>
      <c r="BBL33" s="2854"/>
      <c r="BBM33" s="2854"/>
      <c r="BBN33" s="2854"/>
      <c r="BBO33" s="2854"/>
      <c r="BBP33" s="2854"/>
      <c r="BBQ33" s="2854"/>
      <c r="BBR33" s="2854"/>
      <c r="BBS33" s="2854"/>
      <c r="BBT33" s="2854"/>
      <c r="BBU33" s="2854"/>
      <c r="BBV33" s="2854"/>
      <c r="BBW33" s="2854"/>
      <c r="BBX33" s="2854"/>
      <c r="BBY33" s="2854"/>
      <c r="BBZ33" s="2854"/>
      <c r="BCA33" s="2854"/>
      <c r="BCB33" s="2854"/>
      <c r="BCC33" s="2854"/>
      <c r="BCD33" s="2854"/>
      <c r="BCE33" s="2854"/>
      <c r="BCF33" s="2854"/>
      <c r="BCG33" s="2854"/>
      <c r="BCH33" s="2854"/>
      <c r="BCI33" s="2854"/>
      <c r="BCJ33" s="2854"/>
      <c r="BCK33" s="2854"/>
      <c r="BCL33" s="2854"/>
      <c r="BCM33" s="2854"/>
      <c r="BCN33" s="2854"/>
      <c r="BCO33" s="2854"/>
      <c r="BCP33" s="2854"/>
      <c r="BCQ33" s="2854"/>
      <c r="BCR33" s="2854"/>
      <c r="BCS33" s="2854"/>
      <c r="BCT33" s="2854"/>
      <c r="BCU33" s="2854"/>
      <c r="BCV33" s="2854"/>
      <c r="BCW33" s="2854"/>
      <c r="BCX33" s="2854"/>
      <c r="BCY33" s="2854"/>
      <c r="BCZ33" s="2854"/>
      <c r="BDA33" s="2854"/>
      <c r="BDB33" s="2854"/>
      <c r="BDC33" s="2854"/>
      <c r="BDD33" s="2854"/>
      <c r="BDE33" s="2854"/>
      <c r="BDF33" s="2854"/>
      <c r="BDG33" s="2854"/>
      <c r="BDH33" s="2854"/>
      <c r="BDI33" s="2854"/>
      <c r="BDJ33" s="2854"/>
      <c r="BDK33" s="2854"/>
      <c r="BDL33" s="2854"/>
      <c r="BDM33" s="2854"/>
      <c r="BDN33" s="2854"/>
      <c r="BDO33" s="2854"/>
      <c r="BDP33" s="2854"/>
      <c r="BDQ33" s="2854"/>
      <c r="BDR33" s="2854"/>
      <c r="BDS33" s="2854"/>
      <c r="BDT33" s="2854"/>
      <c r="BDU33" s="2854"/>
      <c r="BDV33" s="2854"/>
      <c r="BDW33" s="2854"/>
      <c r="BDX33" s="2854"/>
      <c r="BDY33" s="2854"/>
      <c r="BDZ33" s="2854"/>
      <c r="BEA33" s="2854"/>
      <c r="BEB33" s="2854"/>
      <c r="BEC33" s="2854"/>
      <c r="BED33" s="2854"/>
      <c r="BEE33" s="2854"/>
      <c r="BEF33" s="2854"/>
      <c r="BEG33" s="2854"/>
      <c r="BEH33" s="2854"/>
      <c r="BEI33" s="2854"/>
      <c r="BEJ33" s="2854"/>
      <c r="BEK33" s="2854"/>
      <c r="BEL33" s="2854"/>
      <c r="BEM33" s="2854"/>
      <c r="BEN33" s="2854"/>
      <c r="BEO33" s="2854"/>
      <c r="BEP33" s="2854"/>
      <c r="BEQ33" s="2854"/>
      <c r="BER33" s="2854"/>
      <c r="BES33" s="2854"/>
      <c r="BET33" s="2854"/>
      <c r="BEU33" s="2854"/>
      <c r="BEV33" s="2854"/>
      <c r="BEW33" s="2854"/>
      <c r="BEX33" s="2854"/>
      <c r="BEY33" s="2854"/>
      <c r="BEZ33" s="2854"/>
      <c r="BFA33" s="2854"/>
      <c r="BFB33" s="2854"/>
      <c r="BFC33" s="2854"/>
      <c r="BFD33" s="2854"/>
      <c r="BFE33" s="2854"/>
      <c r="BFF33" s="2854"/>
      <c r="BFG33" s="2854"/>
      <c r="BFH33" s="2854"/>
      <c r="BFI33" s="2854"/>
      <c r="BFJ33" s="2854"/>
      <c r="BFK33" s="2854"/>
      <c r="BFL33" s="2854"/>
      <c r="BFM33" s="2854"/>
      <c r="BFN33" s="2854"/>
      <c r="BFO33" s="2854"/>
      <c r="BFP33" s="2854"/>
      <c r="BFQ33" s="2854"/>
      <c r="BFR33" s="2854"/>
      <c r="BFS33" s="2854"/>
      <c r="BFT33" s="2854"/>
      <c r="BFU33" s="2854"/>
      <c r="BFV33" s="2854"/>
      <c r="BFW33" s="2854"/>
      <c r="BFX33" s="2854"/>
      <c r="BFY33" s="2854"/>
      <c r="BFZ33" s="2854"/>
      <c r="BGA33" s="2854"/>
      <c r="BGB33" s="2854"/>
      <c r="BGC33" s="2854"/>
      <c r="BGD33" s="2854"/>
      <c r="BGE33" s="2854"/>
      <c r="BGF33" s="2854"/>
      <c r="BGG33" s="2854"/>
      <c r="BGH33" s="2854"/>
      <c r="BGI33" s="2854"/>
      <c r="BGJ33" s="2854"/>
      <c r="BGK33" s="2854"/>
      <c r="BGL33" s="2854"/>
      <c r="BGM33" s="2854"/>
      <c r="BGN33" s="2854"/>
      <c r="BGO33" s="2854"/>
      <c r="BGP33" s="2854"/>
      <c r="BGQ33" s="2854"/>
      <c r="BGR33" s="2854"/>
      <c r="BGS33" s="2854"/>
      <c r="BGT33" s="2854"/>
      <c r="BGU33" s="2854"/>
      <c r="BGV33" s="2854"/>
      <c r="BGW33" s="2854"/>
      <c r="BGX33" s="2854"/>
      <c r="BGY33" s="2854"/>
      <c r="BGZ33" s="2854"/>
      <c r="BHA33" s="2854"/>
      <c r="BHB33" s="2854"/>
      <c r="BHC33" s="2854"/>
      <c r="BHD33" s="2854"/>
      <c r="BHE33" s="2854"/>
      <c r="BHF33" s="2854"/>
      <c r="BHG33" s="2854"/>
      <c r="BHH33" s="2854"/>
      <c r="BHI33" s="2854"/>
      <c r="BHJ33" s="2854"/>
      <c r="BHK33" s="2854"/>
      <c r="BHL33" s="2854"/>
      <c r="BHM33" s="2854"/>
      <c r="BHN33" s="2854"/>
      <c r="BHO33" s="2854"/>
      <c r="BHP33" s="2854"/>
      <c r="BHQ33" s="2854"/>
      <c r="BHR33" s="2854"/>
      <c r="BHS33" s="2854"/>
      <c r="BHT33" s="2854"/>
      <c r="BHU33" s="2854"/>
      <c r="BHV33" s="2854"/>
      <c r="BHW33" s="2854"/>
      <c r="BHX33" s="2854"/>
      <c r="BHY33" s="2854"/>
      <c r="BHZ33" s="2854"/>
      <c r="BIA33" s="2854"/>
      <c r="BIB33" s="2854"/>
      <c r="BIC33" s="2854"/>
      <c r="BID33" s="2854"/>
      <c r="BIE33" s="2854"/>
      <c r="BIF33" s="2854"/>
      <c r="BIG33" s="2854"/>
      <c r="BIH33" s="2854"/>
      <c r="BII33" s="2854"/>
      <c r="BIJ33" s="2854"/>
      <c r="BIK33" s="2854"/>
      <c r="BIL33" s="2854"/>
      <c r="BIM33" s="2854"/>
      <c r="BIN33" s="2854"/>
      <c r="BIO33" s="2854"/>
      <c r="BIP33" s="2854"/>
      <c r="BIQ33" s="2854"/>
      <c r="BIR33" s="2854"/>
      <c r="BIS33" s="2854"/>
      <c r="BIT33" s="2854"/>
      <c r="BIU33" s="2854"/>
      <c r="BIV33" s="2854"/>
      <c r="BIW33" s="2854"/>
      <c r="BIX33" s="2854"/>
      <c r="BIY33" s="2854"/>
      <c r="BIZ33" s="2854"/>
      <c r="BJA33" s="2854"/>
      <c r="BJB33" s="2854"/>
      <c r="BJC33" s="2854"/>
      <c r="BJD33" s="2854"/>
      <c r="BJE33" s="2854"/>
      <c r="BJF33" s="2854"/>
      <c r="BJG33" s="2854"/>
      <c r="BJH33" s="2854"/>
      <c r="BJI33" s="2854"/>
      <c r="BJJ33" s="2854"/>
      <c r="BJK33" s="2854"/>
      <c r="BJL33" s="2854"/>
      <c r="BJM33" s="2854"/>
      <c r="BJN33" s="2854"/>
      <c r="BJO33" s="2854"/>
      <c r="BJP33" s="2854"/>
      <c r="BJQ33" s="2854"/>
      <c r="BJR33" s="2854"/>
      <c r="BJS33" s="2854"/>
      <c r="BJT33" s="2854"/>
      <c r="BJU33" s="2854"/>
      <c r="BJV33" s="2854"/>
      <c r="BJW33" s="2854"/>
      <c r="BJX33" s="2854"/>
      <c r="BJY33" s="2854"/>
      <c r="BJZ33" s="2854"/>
      <c r="BKA33" s="2854"/>
      <c r="BKB33" s="2854"/>
      <c r="BKC33" s="2854"/>
      <c r="BKD33" s="2854"/>
      <c r="BKE33" s="2854"/>
      <c r="BKF33" s="2854"/>
      <c r="BKG33" s="2854"/>
      <c r="BKH33" s="2854"/>
      <c r="BKI33" s="2854"/>
      <c r="BKJ33" s="2854"/>
      <c r="BKK33" s="2854"/>
      <c r="BKL33" s="2854"/>
      <c r="BKM33" s="2854"/>
      <c r="BKN33" s="2854"/>
      <c r="BKO33" s="2854"/>
      <c r="BKP33" s="2854"/>
      <c r="BKQ33" s="2854"/>
      <c r="BKR33" s="2854"/>
      <c r="BKS33" s="2854"/>
      <c r="BKT33" s="2854"/>
      <c r="BKU33" s="2854"/>
      <c r="BKV33" s="2854"/>
      <c r="BKW33" s="2854"/>
      <c r="BKX33" s="2854"/>
      <c r="BKY33" s="2854"/>
      <c r="BKZ33" s="2854"/>
      <c r="BLA33" s="2854"/>
      <c r="BLB33" s="2854"/>
      <c r="BLC33" s="2854"/>
      <c r="BLD33" s="2854"/>
      <c r="BLE33" s="2854"/>
      <c r="BLF33" s="2854"/>
      <c r="BLG33" s="2854"/>
      <c r="BLH33" s="2854"/>
      <c r="BLI33" s="2854"/>
      <c r="BLJ33" s="2854"/>
      <c r="BLK33" s="2854"/>
      <c r="BLL33" s="2854"/>
      <c r="BLM33" s="2854"/>
      <c r="BLN33" s="2854"/>
      <c r="BLO33" s="2854"/>
      <c r="BLP33" s="2854"/>
      <c r="BLQ33" s="2854"/>
      <c r="BLR33" s="2854"/>
      <c r="BLS33" s="2854"/>
      <c r="BLT33" s="2854"/>
      <c r="BLU33" s="2854"/>
      <c r="BLV33" s="2854"/>
      <c r="BLW33" s="2854"/>
      <c r="BLX33" s="2854"/>
      <c r="BLY33" s="2854"/>
      <c r="BLZ33" s="2854"/>
      <c r="BMA33" s="2854"/>
      <c r="BMB33" s="2854"/>
      <c r="BMC33" s="2854"/>
      <c r="BMD33" s="2854"/>
      <c r="BME33" s="2854"/>
      <c r="BMF33" s="2854"/>
      <c r="BMG33" s="2854"/>
      <c r="BMH33" s="2854"/>
      <c r="BMI33" s="2854"/>
      <c r="BMJ33" s="2854"/>
      <c r="BMK33" s="2854"/>
      <c r="BML33" s="2854"/>
      <c r="BMM33" s="2854"/>
      <c r="BMN33" s="2854"/>
      <c r="BMO33" s="2854"/>
      <c r="BMP33" s="2854"/>
      <c r="BMQ33" s="2854"/>
      <c r="BMR33" s="2854"/>
      <c r="BMS33" s="2854"/>
      <c r="BMT33" s="2854"/>
      <c r="BMU33" s="2854"/>
      <c r="BMV33" s="2854"/>
      <c r="BMW33" s="2854"/>
      <c r="BMX33" s="2854"/>
      <c r="BMY33" s="2854"/>
      <c r="BMZ33" s="2854"/>
      <c r="BNA33" s="2854"/>
      <c r="BNB33" s="2854"/>
      <c r="BNC33" s="2854"/>
      <c r="BND33" s="2854"/>
      <c r="BNE33" s="2854"/>
      <c r="BNF33" s="2854"/>
      <c r="BNG33" s="2854"/>
      <c r="BNH33" s="2854"/>
      <c r="BNI33" s="2854"/>
      <c r="BNJ33" s="2854"/>
      <c r="BNK33" s="2854"/>
      <c r="BNL33" s="2854"/>
      <c r="BNM33" s="2854"/>
      <c r="BNN33" s="2854"/>
      <c r="BNO33" s="2854"/>
      <c r="BNP33" s="2854"/>
      <c r="BNQ33" s="2854"/>
      <c r="BNR33" s="2854"/>
      <c r="BNS33" s="2854"/>
      <c r="BNT33" s="2854"/>
      <c r="BNU33" s="2854"/>
      <c r="BNV33" s="2854"/>
      <c r="BNW33" s="2854"/>
      <c r="BNX33" s="2854"/>
      <c r="BNY33" s="2854"/>
      <c r="BNZ33" s="2854"/>
      <c r="BOA33" s="2854"/>
      <c r="BOB33" s="2854"/>
      <c r="BOC33" s="2854"/>
      <c r="BOD33" s="2854"/>
      <c r="BOE33" s="2854"/>
      <c r="BOF33" s="2854"/>
      <c r="BOG33" s="2854"/>
      <c r="BOH33" s="2854"/>
      <c r="BOI33" s="2854"/>
      <c r="BOJ33" s="2854"/>
      <c r="BOK33" s="2854"/>
      <c r="BOL33" s="2854"/>
      <c r="BOM33" s="2854"/>
      <c r="BON33" s="2854"/>
      <c r="BOO33" s="2854"/>
      <c r="BOP33" s="2854"/>
      <c r="BOQ33" s="2854"/>
      <c r="BOR33" s="2854"/>
      <c r="BOS33" s="2854"/>
      <c r="BOT33" s="2854"/>
      <c r="BOU33" s="2854"/>
      <c r="BOV33" s="2854"/>
      <c r="BOW33" s="2854"/>
      <c r="BOX33" s="2854"/>
      <c r="BOY33" s="2854"/>
      <c r="BOZ33" s="2854"/>
      <c r="BPA33" s="2854"/>
      <c r="BPB33" s="2854"/>
      <c r="BPC33" s="2854"/>
      <c r="BPD33" s="2854"/>
      <c r="BPE33" s="2854"/>
      <c r="BPF33" s="2854"/>
      <c r="BPG33" s="2854"/>
      <c r="BPH33" s="2854"/>
      <c r="BPI33" s="2854"/>
      <c r="BPJ33" s="2854"/>
      <c r="BPK33" s="2854"/>
      <c r="BPL33" s="2854"/>
      <c r="BPM33" s="2854"/>
      <c r="BPN33" s="2854"/>
      <c r="BPO33" s="2854"/>
      <c r="BPP33" s="2854"/>
      <c r="BPQ33" s="2854"/>
      <c r="BPR33" s="2854"/>
      <c r="BPS33" s="2854"/>
      <c r="BPT33" s="2854"/>
      <c r="BPU33" s="2854"/>
      <c r="BPV33" s="2854"/>
      <c r="BPW33" s="2854"/>
      <c r="BPX33" s="2854"/>
      <c r="BPY33" s="2854"/>
      <c r="BPZ33" s="2854"/>
      <c r="BQA33" s="2854"/>
      <c r="BQB33" s="2854"/>
      <c r="BQC33" s="2854"/>
      <c r="BQD33" s="2854"/>
      <c r="BQE33" s="2854"/>
      <c r="BQF33" s="2854"/>
      <c r="BQG33" s="2854"/>
      <c r="BQH33" s="2854"/>
      <c r="BQI33" s="2854"/>
      <c r="BQJ33" s="2854"/>
      <c r="BQK33" s="2854"/>
      <c r="BQL33" s="2854"/>
      <c r="BQM33" s="2854"/>
      <c r="BQN33" s="2854"/>
      <c r="BQO33" s="2854"/>
      <c r="BQP33" s="2854"/>
      <c r="BQQ33" s="2854"/>
      <c r="BQR33" s="2854"/>
      <c r="BQS33" s="2854"/>
      <c r="BQT33" s="2854"/>
      <c r="BQU33" s="2854"/>
      <c r="BQV33" s="2854"/>
      <c r="BQW33" s="2854"/>
      <c r="BQX33" s="2854"/>
      <c r="BQY33" s="2854"/>
      <c r="BQZ33" s="2854"/>
      <c r="BRA33" s="2854"/>
      <c r="BRB33" s="2854"/>
      <c r="BRC33" s="2854"/>
      <c r="BRD33" s="2854"/>
      <c r="BRE33" s="2854"/>
      <c r="BRF33" s="2854"/>
      <c r="BRG33" s="2854"/>
      <c r="BRH33" s="2854"/>
      <c r="BRI33" s="2854"/>
      <c r="BRJ33" s="2854"/>
      <c r="BRK33" s="2854"/>
      <c r="BRL33" s="2854"/>
      <c r="BRM33" s="2854"/>
      <c r="BRN33" s="2854"/>
      <c r="BRO33" s="2854"/>
      <c r="BRP33" s="2854"/>
      <c r="BRQ33" s="2854"/>
      <c r="BRR33" s="2854"/>
      <c r="BRS33" s="2854"/>
      <c r="BRT33" s="2854"/>
      <c r="BRU33" s="2854"/>
      <c r="BRV33" s="2854"/>
      <c r="BRW33" s="2854"/>
      <c r="BRX33" s="2854"/>
      <c r="BRY33" s="2854"/>
      <c r="BRZ33" s="2854"/>
      <c r="BSA33" s="2854"/>
      <c r="BSB33" s="2854"/>
      <c r="BSC33" s="2854"/>
      <c r="BSD33" s="2854"/>
      <c r="BSE33" s="2854"/>
      <c r="BSF33" s="2854"/>
      <c r="BSG33" s="2854"/>
      <c r="BSH33" s="2854"/>
      <c r="BSI33" s="2854"/>
      <c r="BSJ33" s="2854"/>
      <c r="BSK33" s="2854"/>
      <c r="BSL33" s="2854"/>
      <c r="BSM33" s="2854"/>
      <c r="BSN33" s="2854"/>
      <c r="BSO33" s="2854"/>
      <c r="BSP33" s="2854"/>
      <c r="BSQ33" s="2854"/>
      <c r="BSR33" s="2854"/>
      <c r="BSS33" s="2854"/>
      <c r="BST33" s="2854"/>
      <c r="BSU33" s="2854"/>
      <c r="BSV33" s="2854"/>
      <c r="BSW33" s="2854"/>
      <c r="BSX33" s="2854"/>
      <c r="BSY33" s="2854"/>
      <c r="BSZ33" s="2854"/>
      <c r="BTA33" s="2854"/>
      <c r="BTB33" s="2854"/>
      <c r="BTC33" s="2854"/>
      <c r="BTD33" s="2854"/>
      <c r="BTE33" s="2854"/>
      <c r="BTF33" s="2854"/>
      <c r="BTG33" s="2854"/>
      <c r="BTH33" s="2854"/>
      <c r="BTI33" s="2854"/>
      <c r="BTJ33" s="2854"/>
      <c r="BTK33" s="2854"/>
      <c r="BTL33" s="2854"/>
      <c r="BTM33" s="2854"/>
      <c r="BTN33" s="2854"/>
      <c r="BTO33" s="2854"/>
      <c r="BTP33" s="2854"/>
      <c r="BTQ33" s="2854"/>
      <c r="BTR33" s="2854"/>
      <c r="BTS33" s="2854"/>
      <c r="BTT33" s="2854"/>
      <c r="BTU33" s="2854"/>
      <c r="BTV33" s="2854"/>
      <c r="BTW33" s="2854"/>
      <c r="BTX33" s="2854"/>
      <c r="BTY33" s="2854"/>
      <c r="BTZ33" s="2854"/>
      <c r="BUA33" s="2854"/>
      <c r="BUB33" s="2854"/>
      <c r="BUC33" s="2854"/>
      <c r="BUD33" s="2854"/>
      <c r="BUE33" s="2854"/>
      <c r="BUF33" s="2854"/>
      <c r="BUG33" s="2854"/>
      <c r="BUH33" s="2854"/>
      <c r="BUI33" s="2854"/>
      <c r="BUJ33" s="2854"/>
      <c r="BUK33" s="2854"/>
      <c r="BUL33" s="2854"/>
      <c r="BUM33" s="2854"/>
      <c r="BUN33" s="2854"/>
      <c r="BUO33" s="2854"/>
      <c r="BUP33" s="2854"/>
      <c r="BUQ33" s="2854"/>
      <c r="BUR33" s="2854"/>
      <c r="BUS33" s="2854"/>
      <c r="BUT33" s="2854"/>
      <c r="BUU33" s="2854"/>
      <c r="BUV33" s="2854"/>
      <c r="BUW33" s="2854"/>
      <c r="BUX33" s="2854"/>
      <c r="BUY33" s="2854"/>
      <c r="BUZ33" s="2854"/>
      <c r="BVA33" s="2854"/>
      <c r="BVB33" s="2854"/>
      <c r="BVC33" s="2854"/>
      <c r="BVD33" s="2854"/>
      <c r="BVE33" s="2854"/>
      <c r="BVF33" s="2854"/>
      <c r="BVG33" s="2854"/>
      <c r="BVH33" s="2854"/>
      <c r="BVI33" s="2854"/>
      <c r="BVJ33" s="2854"/>
      <c r="BVK33" s="2854"/>
      <c r="BVL33" s="2854"/>
      <c r="BVM33" s="2854"/>
      <c r="BVN33" s="2854"/>
      <c r="BVO33" s="2854"/>
      <c r="BVP33" s="2854"/>
      <c r="BVQ33" s="2854"/>
      <c r="BVR33" s="2854"/>
      <c r="BVS33" s="2854"/>
      <c r="BVT33" s="2854"/>
      <c r="BVU33" s="2854"/>
      <c r="BVV33" s="2854"/>
      <c r="BVW33" s="2854"/>
      <c r="BVX33" s="2854"/>
      <c r="BVY33" s="2854"/>
      <c r="BVZ33" s="2854"/>
      <c r="BWA33" s="2854"/>
      <c r="BWB33" s="2854"/>
      <c r="BWC33" s="2854"/>
      <c r="BWD33" s="2854"/>
      <c r="BWE33" s="2854"/>
      <c r="BWF33" s="2854"/>
      <c r="BWG33" s="2854"/>
      <c r="BWH33" s="2854"/>
      <c r="BWI33" s="2854"/>
      <c r="BWJ33" s="2854"/>
      <c r="BWK33" s="2854"/>
      <c r="BWL33" s="2854"/>
      <c r="BWM33" s="2854"/>
      <c r="BWN33" s="2854"/>
      <c r="BWO33" s="2854"/>
      <c r="BWP33" s="2854"/>
      <c r="BWQ33" s="2854"/>
      <c r="BWR33" s="2854"/>
      <c r="BWS33" s="2854"/>
      <c r="BWT33" s="2854"/>
      <c r="BWU33" s="2854"/>
      <c r="BWV33" s="2854"/>
      <c r="BWW33" s="2854"/>
      <c r="BWX33" s="2854"/>
      <c r="BWY33" s="2854"/>
      <c r="BWZ33" s="2854"/>
      <c r="BXA33" s="2854"/>
      <c r="BXB33" s="2854"/>
      <c r="BXC33" s="2854"/>
      <c r="BXD33" s="2854"/>
      <c r="BXE33" s="2854"/>
      <c r="BXF33" s="2854"/>
      <c r="BXG33" s="2854"/>
      <c r="BXH33" s="2854"/>
      <c r="BXI33" s="2854"/>
      <c r="BXJ33" s="2854"/>
      <c r="BXK33" s="2854"/>
      <c r="BXL33" s="2854"/>
      <c r="BXM33" s="2854"/>
      <c r="BXN33" s="2854"/>
      <c r="BXO33" s="2854"/>
      <c r="BXP33" s="2854"/>
      <c r="BXQ33" s="2854"/>
      <c r="BXR33" s="2854"/>
      <c r="BXS33" s="2854"/>
      <c r="BXT33" s="2854"/>
      <c r="BXU33" s="2854"/>
      <c r="BXV33" s="2854"/>
      <c r="BXW33" s="2854"/>
      <c r="BXX33" s="2854"/>
      <c r="BXY33" s="2854"/>
      <c r="BXZ33" s="2854"/>
      <c r="BYA33" s="2854"/>
      <c r="BYB33" s="2854"/>
      <c r="BYC33" s="2854"/>
      <c r="BYD33" s="2854"/>
      <c r="BYE33" s="2854"/>
      <c r="BYF33" s="2854"/>
      <c r="BYG33" s="2854"/>
      <c r="BYH33" s="2854"/>
      <c r="BYI33" s="2854"/>
      <c r="BYJ33" s="2854"/>
      <c r="BYK33" s="2854"/>
      <c r="BYL33" s="2854"/>
      <c r="BYM33" s="2854"/>
      <c r="BYN33" s="2854"/>
      <c r="BYO33" s="2854"/>
      <c r="BYP33" s="2854"/>
      <c r="BYQ33" s="2854"/>
      <c r="BYR33" s="2854"/>
      <c r="BYS33" s="2854"/>
      <c r="BYT33" s="2854"/>
      <c r="BYU33" s="2854"/>
      <c r="BYV33" s="2854"/>
      <c r="BYW33" s="2854"/>
      <c r="BYX33" s="2854"/>
      <c r="BYY33" s="2854"/>
      <c r="BYZ33" s="2854"/>
      <c r="BZA33" s="2854"/>
      <c r="BZB33" s="2854"/>
      <c r="BZC33" s="2854"/>
      <c r="BZD33" s="2854"/>
      <c r="BZE33" s="2854"/>
      <c r="BZF33" s="2854"/>
      <c r="BZG33" s="2854"/>
      <c r="BZH33" s="2854"/>
      <c r="BZI33" s="2854"/>
      <c r="BZJ33" s="2854"/>
      <c r="BZK33" s="2854"/>
      <c r="BZL33" s="2854"/>
      <c r="BZM33" s="2854"/>
      <c r="BZN33" s="2854"/>
      <c r="BZO33" s="2854"/>
      <c r="BZP33" s="2854"/>
      <c r="BZQ33" s="2854"/>
      <c r="BZR33" s="2854"/>
      <c r="BZS33" s="2854"/>
      <c r="BZT33" s="2854"/>
      <c r="BZU33" s="2854"/>
      <c r="BZV33" s="2854"/>
      <c r="BZW33" s="2854"/>
      <c r="BZX33" s="2854"/>
      <c r="BZY33" s="2854"/>
      <c r="BZZ33" s="2854"/>
      <c r="CAA33" s="2854"/>
      <c r="CAB33" s="2854"/>
      <c r="CAC33" s="2854"/>
      <c r="CAD33" s="2854"/>
      <c r="CAE33" s="2854"/>
      <c r="CAF33" s="2854"/>
      <c r="CAG33" s="2854"/>
      <c r="CAH33" s="2854"/>
      <c r="CAI33" s="2854"/>
      <c r="CAJ33" s="2854"/>
      <c r="CAK33" s="2854"/>
      <c r="CAL33" s="2854"/>
      <c r="CAM33" s="2854"/>
      <c r="CAN33" s="2854"/>
      <c r="CAO33" s="2854"/>
      <c r="CAP33" s="2854"/>
      <c r="CAQ33" s="2854"/>
      <c r="CAR33" s="2854"/>
      <c r="CAS33" s="2854"/>
      <c r="CAT33" s="2854"/>
      <c r="CAU33" s="2854"/>
      <c r="CAV33" s="2854"/>
      <c r="CAW33" s="2854"/>
      <c r="CAX33" s="2854"/>
      <c r="CAY33" s="2854"/>
      <c r="CAZ33" s="2854"/>
      <c r="CBA33" s="2854"/>
      <c r="CBB33" s="2854"/>
      <c r="CBC33" s="2854"/>
      <c r="CBD33" s="2854"/>
      <c r="CBE33" s="2854"/>
      <c r="CBF33" s="2854"/>
      <c r="CBG33" s="2854"/>
      <c r="CBH33" s="2854"/>
      <c r="CBI33" s="2854"/>
      <c r="CBJ33" s="2854"/>
      <c r="CBK33" s="2854"/>
      <c r="CBL33" s="2854"/>
      <c r="CBM33" s="2854"/>
      <c r="CBN33" s="2854"/>
      <c r="CBO33" s="2854"/>
      <c r="CBP33" s="2854"/>
      <c r="CBQ33" s="2854"/>
      <c r="CBR33" s="2854"/>
      <c r="CBS33" s="2854"/>
      <c r="CBT33" s="2854"/>
      <c r="CBU33" s="2854"/>
      <c r="CBV33" s="2854"/>
      <c r="CBW33" s="2854"/>
      <c r="CBX33" s="2854"/>
      <c r="CBY33" s="2854"/>
      <c r="CBZ33" s="2854"/>
      <c r="CCA33" s="2854"/>
      <c r="CCB33" s="2854"/>
      <c r="CCC33" s="2854"/>
      <c r="CCD33" s="2854"/>
      <c r="CCE33" s="2854"/>
      <c r="CCF33" s="2854"/>
      <c r="CCG33" s="2854"/>
      <c r="CCH33" s="2854"/>
      <c r="CCI33" s="2854"/>
      <c r="CCJ33" s="2854"/>
      <c r="CCK33" s="2854"/>
      <c r="CCL33" s="2854"/>
      <c r="CCM33" s="2854"/>
      <c r="CCN33" s="2854"/>
      <c r="CCO33" s="2854"/>
      <c r="CCP33" s="2854"/>
      <c r="CCQ33" s="2854"/>
      <c r="CCR33" s="2854"/>
      <c r="CCS33" s="2854"/>
      <c r="CCT33" s="2854"/>
      <c r="CCU33" s="2854"/>
      <c r="CCV33" s="2854"/>
      <c r="CCW33" s="2854"/>
      <c r="CCX33" s="2854"/>
      <c r="CCY33" s="2854"/>
      <c r="CCZ33" s="2854"/>
      <c r="CDA33" s="2854"/>
      <c r="CDB33" s="2854"/>
      <c r="CDC33" s="2854"/>
      <c r="CDD33" s="2854"/>
      <c r="CDE33" s="2854"/>
      <c r="CDF33" s="2854"/>
      <c r="CDG33" s="2854"/>
      <c r="CDH33" s="2854"/>
      <c r="CDI33" s="2854"/>
      <c r="CDJ33" s="2854"/>
      <c r="CDK33" s="2854"/>
      <c r="CDL33" s="2854"/>
      <c r="CDM33" s="2854"/>
      <c r="CDN33" s="2854"/>
      <c r="CDO33" s="2854"/>
      <c r="CDP33" s="2854"/>
      <c r="CDQ33" s="2854"/>
      <c r="CDR33" s="2854"/>
      <c r="CDS33" s="2854"/>
      <c r="CDT33" s="2854"/>
      <c r="CDU33" s="2854"/>
      <c r="CDV33" s="2854"/>
      <c r="CDW33" s="2854"/>
      <c r="CDX33" s="2854"/>
      <c r="CDY33" s="2854"/>
      <c r="CDZ33" s="2854"/>
      <c r="CEA33" s="2854"/>
      <c r="CEB33" s="2854"/>
      <c r="CEC33" s="2854"/>
      <c r="CED33" s="2854"/>
      <c r="CEE33" s="2854"/>
      <c r="CEF33" s="2854"/>
      <c r="CEG33" s="2854"/>
      <c r="CEH33" s="2854"/>
      <c r="CEI33" s="2854"/>
      <c r="CEJ33" s="2854"/>
      <c r="CEK33" s="2854"/>
      <c r="CEL33" s="2854"/>
      <c r="CEM33" s="2854"/>
      <c r="CEN33" s="2854"/>
      <c r="CEO33" s="2854"/>
      <c r="CEP33" s="2854"/>
      <c r="CEQ33" s="2854"/>
      <c r="CER33" s="2854"/>
      <c r="CES33" s="2854"/>
      <c r="CET33" s="2854"/>
      <c r="CEU33" s="2854"/>
      <c r="CEV33" s="2854"/>
      <c r="CEW33" s="2854"/>
      <c r="CEX33" s="2854"/>
      <c r="CEY33" s="2854"/>
      <c r="CEZ33" s="2854"/>
      <c r="CFA33" s="2854"/>
      <c r="CFB33" s="2854"/>
      <c r="CFC33" s="2854"/>
      <c r="CFD33" s="2854"/>
      <c r="CFE33" s="2854"/>
      <c r="CFF33" s="2854"/>
      <c r="CFG33" s="2854"/>
      <c r="CFH33" s="2854"/>
      <c r="CFI33" s="2854"/>
      <c r="CFJ33" s="2854"/>
      <c r="CFK33" s="2854"/>
      <c r="CFL33" s="2854"/>
      <c r="CFM33" s="2854"/>
      <c r="CFN33" s="2854"/>
      <c r="CFO33" s="2854"/>
      <c r="CFP33" s="2854"/>
      <c r="CFQ33" s="2854"/>
      <c r="CFR33" s="2854"/>
      <c r="CFS33" s="2854"/>
      <c r="CFT33" s="2854"/>
      <c r="CFU33" s="2854"/>
      <c r="CFV33" s="2854"/>
      <c r="CFW33" s="2854"/>
      <c r="CFX33" s="2854"/>
      <c r="CFY33" s="2854"/>
      <c r="CFZ33" s="2854"/>
      <c r="CGA33" s="2854"/>
      <c r="CGB33" s="2854"/>
      <c r="CGC33" s="2854"/>
      <c r="CGD33" s="2854"/>
      <c r="CGE33" s="2854"/>
      <c r="CGF33" s="2854"/>
      <c r="CGG33" s="2854"/>
      <c r="CGH33" s="2854"/>
      <c r="CGI33" s="2854"/>
      <c r="CGJ33" s="2854"/>
      <c r="CGK33" s="2854"/>
      <c r="CGL33" s="2854"/>
      <c r="CGM33" s="2854"/>
      <c r="CGN33" s="2854"/>
      <c r="CGO33" s="2854"/>
      <c r="CGP33" s="2854"/>
      <c r="CGQ33" s="2854"/>
      <c r="CGR33" s="2854"/>
      <c r="CGS33" s="2854"/>
      <c r="CGT33" s="2854"/>
      <c r="CGU33" s="2854"/>
      <c r="CGV33" s="2854"/>
      <c r="CGW33" s="2854"/>
      <c r="CGX33" s="2854"/>
      <c r="CGY33" s="2854"/>
      <c r="CGZ33" s="2854"/>
      <c r="CHA33" s="2854"/>
      <c r="CHB33" s="2854"/>
      <c r="CHC33" s="2854"/>
      <c r="CHD33" s="2854"/>
      <c r="CHE33" s="2854"/>
      <c r="CHF33" s="2854"/>
      <c r="CHG33" s="2854"/>
      <c r="CHH33" s="2854"/>
      <c r="CHI33" s="2854"/>
      <c r="CHJ33" s="2854"/>
      <c r="CHK33" s="2854"/>
      <c r="CHL33" s="2854"/>
      <c r="CHM33" s="2854"/>
      <c r="CHN33" s="2854"/>
      <c r="CHO33" s="2854"/>
      <c r="CHP33" s="2854"/>
      <c r="CHQ33" s="2854"/>
      <c r="CHR33" s="2854"/>
      <c r="CHS33" s="2854"/>
      <c r="CHT33" s="2854"/>
      <c r="CHU33" s="2854"/>
      <c r="CHV33" s="2854"/>
      <c r="CHW33" s="2854"/>
      <c r="CHX33" s="2854"/>
      <c r="CHY33" s="2854"/>
      <c r="CHZ33" s="2854"/>
      <c r="CIA33" s="2854"/>
      <c r="CIB33" s="2854"/>
      <c r="CIC33" s="2854"/>
      <c r="CID33" s="2854"/>
      <c r="CIE33" s="2854"/>
      <c r="CIF33" s="2854"/>
      <c r="CIG33" s="2854"/>
      <c r="CIH33" s="2854"/>
      <c r="CII33" s="2854"/>
      <c r="CIJ33" s="2854"/>
      <c r="CIK33" s="2854"/>
      <c r="CIL33" s="2854"/>
      <c r="CIM33" s="2854"/>
      <c r="CIN33" s="2854"/>
      <c r="CIO33" s="2854"/>
      <c r="CIP33" s="2854"/>
      <c r="CIQ33" s="2854"/>
      <c r="CIR33" s="2854"/>
      <c r="CIS33" s="2854"/>
      <c r="CIT33" s="2854"/>
      <c r="CIU33" s="2854"/>
      <c r="CIV33" s="2854"/>
      <c r="CIW33" s="2854"/>
      <c r="CIX33" s="2854"/>
      <c r="CIY33" s="2854"/>
      <c r="CIZ33" s="2854"/>
      <c r="CJA33" s="2854"/>
      <c r="CJB33" s="2854"/>
      <c r="CJC33" s="2854"/>
      <c r="CJD33" s="2854"/>
      <c r="CJE33" s="2854"/>
      <c r="CJF33" s="2854"/>
      <c r="CJG33" s="2854"/>
      <c r="CJH33" s="2854"/>
      <c r="CJI33" s="2854"/>
      <c r="CJJ33" s="2854"/>
      <c r="CJK33" s="2854"/>
      <c r="CJL33" s="2854"/>
      <c r="CJM33" s="2854"/>
      <c r="CJN33" s="2854"/>
      <c r="CJO33" s="2854"/>
      <c r="CJP33" s="2854"/>
      <c r="CJQ33" s="2854"/>
      <c r="CJR33" s="2854"/>
      <c r="CJS33" s="2854"/>
      <c r="CJT33" s="2854"/>
      <c r="CJU33" s="2854"/>
      <c r="CJV33" s="2854"/>
      <c r="CJW33" s="2854"/>
      <c r="CJX33" s="2854"/>
      <c r="CJY33" s="2854"/>
      <c r="CJZ33" s="2854"/>
      <c r="CKA33" s="2854"/>
      <c r="CKB33" s="2854"/>
      <c r="CKC33" s="2854"/>
      <c r="CKD33" s="2854"/>
      <c r="CKE33" s="2854"/>
      <c r="CKF33" s="2854"/>
      <c r="CKG33" s="2854"/>
      <c r="CKH33" s="2854"/>
      <c r="CKI33" s="2854"/>
      <c r="CKJ33" s="2854"/>
      <c r="CKK33" s="2854"/>
      <c r="CKL33" s="2854"/>
      <c r="CKM33" s="2854"/>
      <c r="CKN33" s="2854"/>
      <c r="CKO33" s="2854"/>
      <c r="CKP33" s="2854"/>
      <c r="CKQ33" s="2854"/>
      <c r="CKR33" s="2854"/>
      <c r="CKS33" s="2854"/>
      <c r="CKT33" s="2854"/>
      <c r="CKU33" s="2854"/>
      <c r="CKV33" s="2854"/>
      <c r="CKW33" s="2854"/>
      <c r="CKX33" s="2854"/>
      <c r="CKY33" s="2854"/>
      <c r="CKZ33" s="2854"/>
      <c r="CLA33" s="2854"/>
      <c r="CLB33" s="2854"/>
      <c r="CLC33" s="2854"/>
      <c r="CLD33" s="2854"/>
      <c r="CLE33" s="2854"/>
      <c r="CLF33" s="2854"/>
      <c r="CLG33" s="2854"/>
      <c r="CLH33" s="2854"/>
      <c r="CLI33" s="2854"/>
      <c r="CLJ33" s="2854"/>
      <c r="CLK33" s="2854"/>
      <c r="CLL33" s="2854"/>
      <c r="CLM33" s="2854"/>
      <c r="CLN33" s="2854"/>
      <c r="CLO33" s="2854"/>
      <c r="CLP33" s="2854"/>
      <c r="CLQ33" s="2854"/>
      <c r="CLR33" s="2854"/>
      <c r="CLS33" s="2854"/>
      <c r="CLT33" s="2854"/>
      <c r="CLU33" s="2854"/>
      <c r="CLV33" s="2854"/>
      <c r="CLW33" s="2854"/>
    </row>
    <row r="34" spans="1:2363" s="1144" customFormat="1" ht="45.75" customHeight="1" x14ac:dyDescent="0.2">
      <c r="A34" s="3877"/>
      <c r="B34" s="3885"/>
      <c r="C34" s="2991"/>
      <c r="D34" s="2728" t="s">
        <v>679</v>
      </c>
      <c r="E34" s="2133">
        <f>SUM(E32:E33)</f>
        <v>0</v>
      </c>
      <c r="F34" s="1905">
        <f>SUM(F32:F33)</f>
        <v>0</v>
      </c>
      <c r="G34" s="2134" t="e">
        <f>+F34/E34</f>
        <v>#DIV/0!</v>
      </c>
      <c r="H34" s="2133">
        <f>SUM(H32:H32)</f>
        <v>0</v>
      </c>
      <c r="I34" s="1905">
        <f>SUM(I32:I32)</f>
        <v>0</v>
      </c>
      <c r="J34" s="1905"/>
      <c r="K34" s="2133"/>
      <c r="L34" s="1905"/>
      <c r="M34" s="1905"/>
      <c r="N34" s="1905">
        <f>SUM(N32:N33)</f>
        <v>0</v>
      </c>
      <c r="O34" s="2155">
        <f>SUM(O32:O33)</f>
        <v>0</v>
      </c>
      <c r="P34" s="2014">
        <f>SUM(P32:P33)</f>
        <v>0</v>
      </c>
      <c r="Q34" s="2014">
        <f t="shared" ref="Q34:V34" si="55">SUM(Q32:Q33)</f>
        <v>0</v>
      </c>
      <c r="R34" s="2014">
        <f t="shared" si="55"/>
        <v>0</v>
      </c>
      <c r="S34" s="2014">
        <f t="shared" si="55"/>
        <v>0</v>
      </c>
      <c r="T34" s="3051">
        <f t="shared" si="55"/>
        <v>0</v>
      </c>
      <c r="U34" s="2014">
        <f t="shared" si="55"/>
        <v>0</v>
      </c>
      <c r="V34" s="2014">
        <f t="shared" si="55"/>
        <v>0</v>
      </c>
      <c r="W34" s="2510"/>
      <c r="X34" s="1988"/>
      <c r="Y34" s="2488"/>
      <c r="Z34" s="2819">
        <f>+Z32+Z33</f>
        <v>0</v>
      </c>
      <c r="AA34" s="1905">
        <f>SUM(AA32:AA33)</f>
        <v>0</v>
      </c>
      <c r="AB34" s="1905">
        <f>SUM(AB32:AB33)</f>
        <v>0</v>
      </c>
      <c r="AC34" s="1905"/>
      <c r="AD34" s="1905">
        <f>+AD32+AD33</f>
        <v>0</v>
      </c>
      <c r="AE34" s="1905">
        <f>+AE32+AE33</f>
        <v>0</v>
      </c>
      <c r="AF34" s="1905"/>
      <c r="AG34" s="1905"/>
      <c r="AH34" s="1905">
        <f>+AH32+AH33</f>
        <v>0</v>
      </c>
      <c r="AI34" s="1905">
        <f>SUM(AI32:AI32)</f>
        <v>0</v>
      </c>
      <c r="AJ34" s="1905"/>
      <c r="AK34" s="2155">
        <f>+AK32+AK33</f>
        <v>0</v>
      </c>
      <c r="AL34" s="1905">
        <f>+AL32+AL33</f>
        <v>0</v>
      </c>
      <c r="AM34" s="1905">
        <f>+AM32+AM33</f>
        <v>0</v>
      </c>
      <c r="AN34" s="1905"/>
      <c r="AO34" s="3032">
        <f>SUM(AO32:AO33)</f>
        <v>0</v>
      </c>
      <c r="AP34" s="1905">
        <f>SUM(AP32:AP32)</f>
        <v>0</v>
      </c>
      <c r="AQ34" s="1905">
        <f>SUM(AQ32:AQ33)</f>
        <v>0</v>
      </c>
      <c r="AR34" s="1905"/>
      <c r="AS34" s="1905">
        <f>SUM(AS32:AS33)</f>
        <v>0</v>
      </c>
      <c r="AT34" s="1905"/>
      <c r="AU34" s="1905">
        <f>SUM(AU32:AU33)</f>
        <v>0</v>
      </c>
      <c r="AV34" s="1905">
        <f>+AV32</f>
        <v>0</v>
      </c>
      <c r="AW34" s="2155">
        <f>SUM(AW32:AW33)</f>
        <v>0</v>
      </c>
      <c r="AX34" s="3451">
        <f>SUM(AX32:AX33)</f>
        <v>0</v>
      </c>
      <c r="AY34" s="3187">
        <f>SUM(AY32:AY33)</f>
        <v>0</v>
      </c>
      <c r="AZ34" s="1905"/>
      <c r="BA34" s="3032">
        <f>SUM(BA32:BA33)</f>
        <v>0</v>
      </c>
      <c r="BB34" s="1905">
        <f>SUM(BB32:BB32)</f>
        <v>0</v>
      </c>
      <c r="BC34" s="1905">
        <f>SUM(BC32:BC32)</f>
        <v>0</v>
      </c>
      <c r="BD34" s="1905"/>
      <c r="BE34" s="1905">
        <f>+BE32+BE33</f>
        <v>0</v>
      </c>
      <c r="BF34" s="1905"/>
      <c r="BG34" s="1905">
        <f>SUM(BG32:BG32)</f>
        <v>0</v>
      </c>
      <c r="BH34" s="1905">
        <f>+BH32+BH33</f>
        <v>0</v>
      </c>
      <c r="BI34" s="2155">
        <f>SUM(BI32:BI33)</f>
        <v>0</v>
      </c>
      <c r="BJ34" s="2174">
        <f>SUM(BJ32:BJ33)</f>
        <v>0</v>
      </c>
      <c r="BK34" s="2174">
        <f>SUM(BK32:BK33)</f>
        <v>0</v>
      </c>
      <c r="BL34" s="2174">
        <f t="shared" ref="BL34" si="56">BJ34-BK34</f>
        <v>0</v>
      </c>
      <c r="BM34" s="2174">
        <f>SUM(BM32:BM33)</f>
        <v>0</v>
      </c>
      <c r="BN34" s="2174">
        <f t="shared" ref="BN34:BP34" si="57">SUM(BN32:BN32)</f>
        <v>0</v>
      </c>
      <c r="BO34" s="2174">
        <f>SUM(BO32:BO33)</f>
        <v>0</v>
      </c>
      <c r="BP34" s="2174">
        <f t="shared" si="57"/>
        <v>0</v>
      </c>
      <c r="BQ34" s="2174">
        <f>SUM(BQ32:BQ33)</f>
        <v>0</v>
      </c>
      <c r="BR34" s="2174">
        <f>SUM(BR32:BR33)</f>
        <v>0</v>
      </c>
      <c r="BS34" s="2174">
        <f>+BS32+BS33</f>
        <v>0</v>
      </c>
      <c r="BT34" s="2662">
        <f>SUM(BT32:BT33)</f>
        <v>0</v>
      </c>
      <c r="BU34" s="3147"/>
      <c r="BV34" s="3058"/>
      <c r="BW34" s="3058"/>
      <c r="BX34" s="3058"/>
      <c r="BY34" s="3147"/>
      <c r="BZ34" s="3147"/>
      <c r="CA34" s="3147"/>
      <c r="CB34" s="3147"/>
      <c r="CC34" s="3147"/>
      <c r="CD34" s="3147"/>
      <c r="CE34" s="3147"/>
      <c r="CF34" s="3147"/>
      <c r="CG34" s="3147"/>
      <c r="CH34" s="1050"/>
      <c r="CI34" s="2854"/>
      <c r="CJ34" s="2854"/>
      <c r="CK34" s="2854"/>
      <c r="CL34" s="2854"/>
      <c r="CM34" s="2854"/>
      <c r="CN34" s="2854"/>
      <c r="CO34" s="2854"/>
      <c r="CP34" s="2854"/>
      <c r="CQ34" s="2854"/>
      <c r="CR34" s="2854"/>
      <c r="CS34" s="2854"/>
      <c r="CT34" s="2854"/>
      <c r="CU34" s="2854"/>
      <c r="CV34" s="2854"/>
      <c r="TU34" s="3783"/>
      <c r="TV34" s="3783"/>
      <c r="TW34" s="3783"/>
      <c r="TX34" s="3783"/>
      <c r="TY34" s="3783"/>
      <c r="TZ34" s="3783"/>
      <c r="UA34" s="3783"/>
      <c r="UB34" s="3783"/>
      <c r="UC34" s="3783"/>
      <c r="UD34" s="3783"/>
      <c r="UE34" s="3783"/>
      <c r="UF34" s="3783"/>
      <c r="UG34" s="3783"/>
      <c r="UH34" s="3783"/>
      <c r="UI34" s="3783"/>
      <c r="UJ34" s="3783"/>
      <c r="UK34" s="3783"/>
      <c r="UL34" s="3783"/>
      <c r="UM34" s="3783"/>
      <c r="UN34" s="3783"/>
      <c r="UO34" s="3783"/>
    </row>
    <row r="35" spans="1:2363" ht="15" hidden="1" customHeight="1" x14ac:dyDescent="0.25">
      <c r="A35" s="3877"/>
      <c r="B35" s="3886"/>
      <c r="C35" s="1903">
        <v>1</v>
      </c>
      <c r="D35" s="2729"/>
      <c r="E35" s="3371"/>
      <c r="F35" s="1857"/>
      <c r="G35" s="1904"/>
      <c r="H35" s="1890"/>
      <c r="I35" s="1857"/>
      <c r="J35" s="2249"/>
      <c r="K35" s="1890"/>
      <c r="L35" s="1857"/>
      <c r="M35" s="1857"/>
      <c r="N35" s="1904">
        <f>+L35+I35+F35</f>
        <v>0</v>
      </c>
      <c r="O35" s="2281">
        <f>F35+I35</f>
        <v>0</v>
      </c>
      <c r="P35" s="2295">
        <v>0</v>
      </c>
      <c r="Q35" s="2603">
        <v>0</v>
      </c>
      <c r="R35" s="2716">
        <v>0</v>
      </c>
      <c r="S35" s="2716">
        <v>0</v>
      </c>
      <c r="T35" s="2906">
        <v>0</v>
      </c>
      <c r="U35" s="2295">
        <v>0</v>
      </c>
      <c r="V35" s="2296">
        <v>0</v>
      </c>
      <c r="W35" s="2296"/>
      <c r="X35" s="2296"/>
      <c r="Y35" s="3006"/>
      <c r="Z35" s="2342"/>
      <c r="AA35" s="1894">
        <v>0</v>
      </c>
      <c r="AB35" s="1894">
        <v>0</v>
      </c>
      <c r="AC35" s="2082">
        <f t="shared" ref="AC35:AC49" si="58">AA35-AB35</f>
        <v>0</v>
      </c>
      <c r="AD35" s="1897">
        <v>0</v>
      </c>
      <c r="AE35" s="1897">
        <v>0</v>
      </c>
      <c r="AF35" s="1893">
        <v>0</v>
      </c>
      <c r="AG35" s="2869"/>
      <c r="AH35" s="2062">
        <v>0</v>
      </c>
      <c r="AI35" s="1851">
        <v>0</v>
      </c>
      <c r="AJ35" s="1894">
        <v>0</v>
      </c>
      <c r="AK35" s="2455">
        <f t="shared" ref="AK35" si="59">AI35+AJ35</f>
        <v>0</v>
      </c>
      <c r="AL35" s="2116">
        <v>0</v>
      </c>
      <c r="AM35" s="2516">
        <v>0</v>
      </c>
      <c r="AN35" s="2694">
        <f>+AL35-AM35</f>
        <v>0</v>
      </c>
      <c r="AO35" s="2181">
        <v>0</v>
      </c>
      <c r="AP35" s="2166">
        <v>0</v>
      </c>
      <c r="AQ35" s="2166">
        <v>0</v>
      </c>
      <c r="AR35" s="2166"/>
      <c r="AS35" s="2157">
        <f>AO35+AP35+AQ35+AR35</f>
        <v>0</v>
      </c>
      <c r="AT35" s="3228">
        <v>0</v>
      </c>
      <c r="AU35" s="2158">
        <v>0</v>
      </c>
      <c r="AV35" s="2173">
        <v>0</v>
      </c>
      <c r="AW35" s="3284">
        <f>AU35+AV35</f>
        <v>0</v>
      </c>
      <c r="AX35" s="2116">
        <f>Z35-AL35-AA35</f>
        <v>0</v>
      </c>
      <c r="AY35" s="2516">
        <v>0</v>
      </c>
      <c r="AZ35" s="2694">
        <f>+AX35-AY35</f>
        <v>0</v>
      </c>
      <c r="BA35" s="3296">
        <v>0</v>
      </c>
      <c r="BB35" s="3086">
        <v>0</v>
      </c>
      <c r="BC35" s="3086">
        <v>0</v>
      </c>
      <c r="BD35" s="3086"/>
      <c r="BE35" s="3087">
        <f t="shared" ref="BE35:BE41" si="60">+BA35+BB35+BC35+BD35+AZ35</f>
        <v>0</v>
      </c>
      <c r="BF35" s="3228">
        <v>0</v>
      </c>
      <c r="BG35" s="2158">
        <v>0</v>
      </c>
      <c r="BH35" s="2173">
        <v>0</v>
      </c>
      <c r="BI35" s="2159">
        <f t="shared" ref="BI35:BI41" si="61">BG35+BH35</f>
        <v>0</v>
      </c>
      <c r="BJ35" s="2049">
        <f>+AL35+AA35+AX35</f>
        <v>0</v>
      </c>
      <c r="BK35" s="2328">
        <v>0</v>
      </c>
      <c r="BL35" s="2608" t="s">
        <v>571</v>
      </c>
      <c r="BM35" s="2627">
        <f>AD35+AO35+BA35</f>
        <v>0</v>
      </c>
      <c r="BN35" s="2101">
        <f>+AP35+AE35</f>
        <v>0</v>
      </c>
      <c r="BO35" s="2101">
        <f>AQ35</f>
        <v>0</v>
      </c>
      <c r="BP35" s="2101">
        <v>0</v>
      </c>
      <c r="BQ35" s="2101">
        <f>BM35+BN35</f>
        <v>0</v>
      </c>
      <c r="BR35" s="1839">
        <f>+AU35+AI35</f>
        <v>0</v>
      </c>
      <c r="BS35" s="2620">
        <f>+AV35</f>
        <v>0</v>
      </c>
      <c r="BT35" s="2912">
        <f>+BR35+BS35</f>
        <v>0</v>
      </c>
      <c r="BU35" s="3147"/>
      <c r="BV35" s="3058"/>
      <c r="BW35" s="3058"/>
      <c r="BX35" s="3058"/>
      <c r="BY35" s="3147"/>
      <c r="BZ35" s="3147"/>
      <c r="CA35" s="3147"/>
      <c r="CB35" s="3147"/>
      <c r="CC35" s="3147"/>
      <c r="CD35" s="3147"/>
      <c r="CE35" s="3147"/>
      <c r="CF35" s="3147"/>
      <c r="CG35" s="3147"/>
      <c r="CH35" s="1163"/>
      <c r="CI35" s="1144"/>
      <c r="CJ35" s="1144"/>
      <c r="CK35" s="1144"/>
      <c r="CL35" s="1144"/>
      <c r="CM35" s="1144"/>
      <c r="CN35" s="1144"/>
      <c r="CO35" s="1144"/>
      <c r="CP35" s="1144"/>
      <c r="CQ35" s="1144"/>
      <c r="CR35" s="1144"/>
      <c r="CS35" s="1144"/>
      <c r="CT35" s="1144"/>
      <c r="CU35" s="1144"/>
      <c r="CV35" s="1144"/>
      <c r="CW35" s="2854"/>
      <c r="CX35" s="2854"/>
      <c r="CY35" s="2854"/>
      <c r="CZ35" s="2854"/>
      <c r="DA35" s="2854"/>
      <c r="DB35" s="2854"/>
      <c r="DC35" s="2854"/>
      <c r="DD35" s="2854"/>
      <c r="DE35" s="2854"/>
      <c r="DF35" s="2854"/>
      <c r="DG35" s="2854"/>
      <c r="DH35" s="2854"/>
      <c r="DI35" s="2854"/>
      <c r="DJ35" s="2854"/>
      <c r="DK35" s="2854"/>
      <c r="DL35" s="2854"/>
      <c r="DM35" s="2854"/>
      <c r="DN35" s="2854"/>
      <c r="DO35" s="2854"/>
      <c r="DP35" s="2854"/>
      <c r="DQ35" s="2854"/>
      <c r="DR35" s="2854"/>
      <c r="DS35" s="2854"/>
      <c r="DT35" s="2854"/>
      <c r="DU35" s="2854"/>
      <c r="DV35" s="2854"/>
      <c r="DW35" s="2854"/>
      <c r="DX35" s="2854"/>
      <c r="DY35" s="2854"/>
      <c r="DZ35" s="2854"/>
      <c r="EA35" s="2854"/>
      <c r="EB35" s="2854"/>
      <c r="EC35" s="2854"/>
      <c r="ED35" s="2854"/>
      <c r="EE35" s="2854"/>
      <c r="EF35" s="2854"/>
      <c r="EG35" s="2854"/>
      <c r="EH35" s="2854"/>
      <c r="EI35" s="2854"/>
      <c r="EJ35" s="2854"/>
      <c r="EK35" s="2854"/>
      <c r="EL35" s="2854"/>
      <c r="EM35" s="2854"/>
      <c r="EN35" s="2854"/>
      <c r="EO35" s="2854"/>
      <c r="EP35" s="2854"/>
      <c r="EQ35" s="2854"/>
      <c r="ER35" s="2854"/>
      <c r="ES35" s="2854"/>
      <c r="ET35" s="2854"/>
      <c r="EU35" s="2854"/>
      <c r="EV35" s="2854"/>
      <c r="EW35" s="2854"/>
      <c r="EX35" s="2854"/>
      <c r="EY35" s="2854"/>
      <c r="EZ35" s="2854"/>
      <c r="FA35" s="2854"/>
      <c r="FB35" s="2854"/>
      <c r="FC35" s="2854"/>
      <c r="FD35" s="2854"/>
      <c r="FE35" s="2854"/>
      <c r="FF35" s="2854"/>
      <c r="FG35" s="2854"/>
      <c r="FH35" s="2854"/>
      <c r="FI35" s="2854"/>
      <c r="FJ35" s="2854"/>
      <c r="FK35" s="2854"/>
      <c r="FL35" s="2854"/>
      <c r="FM35" s="2854"/>
      <c r="FN35" s="2854"/>
      <c r="FO35" s="2854"/>
      <c r="FP35" s="2854"/>
      <c r="FQ35" s="2854"/>
      <c r="FR35" s="2854"/>
      <c r="FS35" s="2854"/>
      <c r="FT35" s="2854"/>
      <c r="FU35" s="2854"/>
      <c r="FV35" s="2854"/>
      <c r="FW35" s="2854"/>
      <c r="FX35" s="2854"/>
      <c r="FY35" s="2854"/>
      <c r="FZ35" s="2854"/>
      <c r="GA35" s="2854"/>
      <c r="GB35" s="2854"/>
      <c r="GC35" s="2854"/>
      <c r="GD35" s="2854"/>
      <c r="GE35" s="2854"/>
      <c r="GF35" s="2854"/>
      <c r="GG35" s="2854"/>
      <c r="GH35" s="2854"/>
      <c r="GI35" s="2854"/>
      <c r="GJ35" s="2854"/>
      <c r="GK35" s="2854"/>
      <c r="GL35" s="2854"/>
      <c r="GM35" s="2854"/>
      <c r="GN35" s="2854"/>
      <c r="GO35" s="2854"/>
      <c r="GP35" s="2854"/>
      <c r="GQ35" s="2854"/>
      <c r="GR35" s="2854"/>
      <c r="GS35" s="2854"/>
      <c r="GT35" s="2854"/>
      <c r="GU35" s="2854"/>
      <c r="GV35" s="2854"/>
      <c r="GW35" s="2854"/>
      <c r="GX35" s="2854"/>
      <c r="GY35" s="2854"/>
      <c r="GZ35" s="2854"/>
      <c r="HA35" s="2854"/>
      <c r="HB35" s="2854"/>
      <c r="HC35" s="2854"/>
      <c r="HD35" s="2854"/>
      <c r="HE35" s="2854"/>
      <c r="HF35" s="2854"/>
      <c r="HG35" s="2854"/>
      <c r="HH35" s="2854"/>
      <c r="HI35" s="2854"/>
      <c r="HJ35" s="2854"/>
      <c r="HK35" s="2854"/>
      <c r="HL35" s="2854"/>
      <c r="HM35" s="2854"/>
      <c r="HN35" s="2854"/>
      <c r="HO35" s="2854"/>
      <c r="HP35" s="2854"/>
      <c r="HQ35" s="2854"/>
      <c r="HR35" s="2854"/>
      <c r="HS35" s="2854"/>
      <c r="HT35" s="2854"/>
      <c r="HU35" s="2854"/>
      <c r="HV35" s="2854"/>
      <c r="HW35" s="2854"/>
      <c r="HX35" s="2854"/>
      <c r="HY35" s="2854"/>
      <c r="HZ35" s="2854"/>
      <c r="IA35" s="2854"/>
      <c r="IB35" s="2854"/>
      <c r="IC35" s="2854"/>
      <c r="ID35" s="2854"/>
      <c r="IE35" s="2854"/>
      <c r="IF35" s="2854"/>
      <c r="IG35" s="2854"/>
      <c r="IH35" s="2854"/>
      <c r="II35" s="2854"/>
      <c r="IJ35" s="2854"/>
      <c r="IK35" s="2854"/>
      <c r="IL35" s="2854"/>
      <c r="IM35" s="2854"/>
      <c r="IN35" s="2854"/>
      <c r="IO35" s="2854"/>
      <c r="IP35" s="2854"/>
      <c r="IQ35" s="2854"/>
      <c r="IR35" s="2854"/>
      <c r="IS35" s="2854"/>
      <c r="IT35" s="2854"/>
      <c r="IU35" s="2854"/>
      <c r="IV35" s="2854"/>
      <c r="IW35" s="2854"/>
      <c r="IX35" s="2854"/>
      <c r="IY35" s="2854"/>
      <c r="IZ35" s="2854"/>
      <c r="JA35" s="2854"/>
      <c r="JB35" s="2854"/>
      <c r="JC35" s="2854"/>
      <c r="JD35" s="2854"/>
      <c r="JE35" s="2854"/>
      <c r="JF35" s="2854"/>
      <c r="JG35" s="2854"/>
      <c r="JH35" s="2854"/>
      <c r="JI35" s="2854"/>
      <c r="JJ35" s="2854"/>
      <c r="JK35" s="2854"/>
      <c r="JL35" s="2854"/>
      <c r="JM35" s="2854"/>
      <c r="JN35" s="2854"/>
      <c r="JO35" s="2854"/>
      <c r="JP35" s="2854"/>
      <c r="JQ35" s="2854"/>
      <c r="JR35" s="2854"/>
      <c r="JS35" s="2854"/>
      <c r="JT35" s="2854"/>
      <c r="JU35" s="2854"/>
      <c r="JV35" s="2854"/>
      <c r="JW35" s="2854"/>
      <c r="JX35" s="2854"/>
      <c r="JY35" s="2854"/>
      <c r="JZ35" s="2854"/>
      <c r="KA35" s="2854"/>
      <c r="KB35" s="2854"/>
      <c r="KC35" s="2854"/>
      <c r="KD35" s="2854"/>
      <c r="KE35" s="2854"/>
      <c r="KF35" s="2854"/>
      <c r="KG35" s="2854"/>
      <c r="KH35" s="2854"/>
      <c r="KI35" s="2854"/>
      <c r="KJ35" s="2854"/>
      <c r="KK35" s="2854"/>
      <c r="KL35" s="2854"/>
      <c r="KM35" s="2854"/>
      <c r="KN35" s="2854"/>
      <c r="KO35" s="2854"/>
      <c r="KP35" s="2854"/>
      <c r="KQ35" s="2854"/>
      <c r="KR35" s="2854"/>
      <c r="KS35" s="2854"/>
      <c r="KT35" s="2854"/>
      <c r="KU35" s="2854"/>
      <c r="KV35" s="2854"/>
      <c r="KW35" s="2854"/>
      <c r="KX35" s="2854"/>
      <c r="KY35" s="2854"/>
      <c r="KZ35" s="2854"/>
      <c r="LA35" s="2854"/>
      <c r="LB35" s="2854"/>
      <c r="LC35" s="2854"/>
      <c r="LD35" s="2854"/>
      <c r="LE35" s="2854"/>
      <c r="LF35" s="2854"/>
      <c r="LG35" s="2854"/>
      <c r="LH35" s="2854"/>
      <c r="LI35" s="2854"/>
      <c r="LJ35" s="2854"/>
      <c r="LK35" s="2854"/>
      <c r="LL35" s="2854"/>
      <c r="LM35" s="2854"/>
      <c r="LN35" s="2854"/>
      <c r="LO35" s="2854"/>
      <c r="LP35" s="2854"/>
      <c r="LQ35" s="2854"/>
      <c r="LR35" s="2854"/>
      <c r="LS35" s="2854"/>
      <c r="LT35" s="2854"/>
      <c r="LU35" s="2854"/>
      <c r="LV35" s="2854"/>
      <c r="LW35" s="2854"/>
      <c r="LX35" s="2854"/>
      <c r="LY35" s="2854"/>
      <c r="LZ35" s="2854"/>
      <c r="MA35" s="2854"/>
      <c r="MB35" s="2854"/>
      <c r="MC35" s="2854"/>
      <c r="MD35" s="2854"/>
      <c r="ME35" s="2854"/>
      <c r="MF35" s="2854"/>
      <c r="MG35" s="2854"/>
      <c r="MH35" s="2854"/>
      <c r="MI35" s="2854"/>
      <c r="MJ35" s="2854"/>
      <c r="MK35" s="2854"/>
      <c r="ML35" s="2854"/>
      <c r="MM35" s="2854"/>
      <c r="MN35" s="2854"/>
      <c r="MO35" s="2854"/>
      <c r="MP35" s="2854"/>
      <c r="MQ35" s="2854"/>
      <c r="MR35" s="2854"/>
      <c r="MS35" s="2854"/>
      <c r="MT35" s="2854"/>
      <c r="MU35" s="2854"/>
      <c r="MV35" s="2854"/>
      <c r="MW35" s="2854"/>
      <c r="MX35" s="2854"/>
      <c r="MY35" s="2854"/>
      <c r="MZ35" s="2854"/>
      <c r="NA35" s="2854"/>
      <c r="NB35" s="2854"/>
      <c r="NC35" s="2854"/>
      <c r="ND35" s="2854"/>
      <c r="NE35" s="2854"/>
      <c r="NF35" s="2854"/>
      <c r="NG35" s="2854"/>
      <c r="NH35" s="2854"/>
      <c r="NI35" s="2854"/>
      <c r="NJ35" s="2854"/>
      <c r="NK35" s="2854"/>
      <c r="NL35" s="2854"/>
      <c r="NM35" s="2854"/>
      <c r="NN35" s="2854"/>
      <c r="NO35" s="2854"/>
      <c r="NP35" s="2854"/>
      <c r="NQ35" s="2854"/>
      <c r="NR35" s="2854"/>
      <c r="NS35" s="2854"/>
      <c r="NT35" s="2854"/>
      <c r="NU35" s="2854"/>
      <c r="NV35" s="2854"/>
      <c r="NW35" s="2854"/>
      <c r="NX35" s="2854"/>
      <c r="NY35" s="2854"/>
      <c r="NZ35" s="2854"/>
      <c r="OA35" s="2854"/>
      <c r="OB35" s="2854"/>
      <c r="OC35" s="2854"/>
      <c r="OD35" s="2854"/>
      <c r="OE35" s="2854"/>
      <c r="OF35" s="2854"/>
      <c r="OG35" s="2854"/>
      <c r="OH35" s="2854"/>
      <c r="OI35" s="2854"/>
      <c r="OJ35" s="2854"/>
      <c r="OK35" s="2854"/>
      <c r="OL35" s="2854"/>
      <c r="OM35" s="2854"/>
      <c r="ON35" s="2854"/>
      <c r="OO35" s="2854"/>
      <c r="OP35" s="2854"/>
      <c r="OQ35" s="2854"/>
      <c r="OR35" s="2854"/>
      <c r="OS35" s="2854"/>
      <c r="OT35" s="2854"/>
      <c r="OU35" s="2854"/>
      <c r="OV35" s="2854"/>
      <c r="OW35" s="2854"/>
      <c r="OX35" s="2854"/>
      <c r="OY35" s="2854"/>
      <c r="OZ35" s="2854"/>
      <c r="PA35" s="2854"/>
      <c r="PB35" s="2854"/>
      <c r="PC35" s="2854"/>
      <c r="PD35" s="2854"/>
      <c r="PE35" s="2854"/>
      <c r="PF35" s="2854"/>
      <c r="PG35" s="2854"/>
      <c r="PH35" s="2854"/>
      <c r="PI35" s="2854"/>
      <c r="PJ35" s="2854"/>
      <c r="PK35" s="2854"/>
      <c r="PL35" s="2854"/>
      <c r="PM35" s="2854"/>
      <c r="PN35" s="2854"/>
      <c r="PO35" s="2854"/>
      <c r="PP35" s="2854"/>
      <c r="PQ35" s="2854"/>
      <c r="PR35" s="2854"/>
      <c r="PS35" s="2854"/>
      <c r="PT35" s="2854"/>
      <c r="PU35" s="2854"/>
      <c r="PV35" s="2854"/>
      <c r="PW35" s="2854"/>
      <c r="PX35" s="2854"/>
      <c r="PY35" s="2854"/>
      <c r="PZ35" s="2854"/>
      <c r="QA35" s="2854"/>
      <c r="QB35" s="2854"/>
      <c r="QC35" s="2854"/>
      <c r="QD35" s="2854"/>
      <c r="QE35" s="2854"/>
      <c r="QF35" s="2854"/>
      <c r="QG35" s="2854"/>
      <c r="QH35" s="2854"/>
      <c r="QI35" s="2854"/>
      <c r="QJ35" s="2854"/>
      <c r="QK35" s="2854"/>
      <c r="QL35" s="2854"/>
      <c r="QM35" s="2854"/>
      <c r="QN35" s="2854"/>
      <c r="QO35" s="2854"/>
      <c r="QP35" s="2854"/>
      <c r="QQ35" s="2854"/>
      <c r="QR35" s="2854"/>
      <c r="QS35" s="2854"/>
      <c r="QT35" s="2854"/>
      <c r="QU35" s="2854"/>
      <c r="QV35" s="2854"/>
      <c r="QW35" s="2854"/>
      <c r="QX35" s="2854"/>
      <c r="QY35" s="2854"/>
      <c r="QZ35" s="2854"/>
      <c r="RA35" s="2854"/>
      <c r="RB35" s="2854"/>
      <c r="RC35" s="2854"/>
      <c r="RD35" s="2854"/>
      <c r="RE35" s="2854"/>
      <c r="RF35" s="2854"/>
      <c r="RG35" s="2854"/>
      <c r="RH35" s="2854"/>
      <c r="RI35" s="2854"/>
      <c r="RJ35" s="2854"/>
      <c r="RK35" s="2854"/>
      <c r="RL35" s="2854"/>
      <c r="RM35" s="2854"/>
      <c r="RN35" s="2854"/>
      <c r="RO35" s="2854"/>
      <c r="RP35" s="2854"/>
      <c r="RQ35" s="2854"/>
      <c r="RR35" s="2854"/>
      <c r="RS35" s="2854"/>
      <c r="RT35" s="2854"/>
      <c r="RU35" s="2854"/>
      <c r="RV35" s="2854"/>
      <c r="RW35" s="2854"/>
      <c r="RX35" s="2854"/>
      <c r="RY35" s="2854"/>
      <c r="RZ35" s="2854"/>
      <c r="SA35" s="2854"/>
      <c r="SB35" s="2854"/>
      <c r="SC35" s="2854"/>
      <c r="SD35" s="2854"/>
      <c r="SE35" s="2854"/>
      <c r="SF35" s="2854"/>
      <c r="SG35" s="2854"/>
      <c r="SH35" s="2854"/>
      <c r="SI35" s="2854"/>
      <c r="SJ35" s="2854"/>
      <c r="SK35" s="2854"/>
      <c r="SL35" s="2854"/>
      <c r="SM35" s="2854"/>
      <c r="SN35" s="2854"/>
      <c r="SO35" s="2854"/>
      <c r="SP35" s="2854"/>
      <c r="SQ35" s="2854"/>
      <c r="SR35" s="2854"/>
      <c r="SS35" s="2854"/>
      <c r="ST35" s="2854"/>
      <c r="SU35" s="2854"/>
      <c r="SV35" s="2854"/>
      <c r="SW35" s="2854"/>
      <c r="SX35" s="2854"/>
      <c r="SY35" s="2854"/>
      <c r="SZ35" s="2854"/>
      <c r="TA35" s="2854"/>
      <c r="TB35" s="2854"/>
      <c r="TC35" s="2854"/>
      <c r="TD35" s="2854"/>
      <c r="TE35" s="2854"/>
      <c r="TF35" s="2854"/>
      <c r="TG35" s="2854"/>
      <c r="TH35" s="2854"/>
      <c r="TI35" s="2854"/>
      <c r="TJ35" s="2854"/>
      <c r="TK35" s="2854"/>
      <c r="TL35" s="2854"/>
      <c r="TM35" s="2854"/>
      <c r="TN35" s="2854"/>
      <c r="TO35" s="2854"/>
      <c r="TP35" s="2854"/>
      <c r="TQ35" s="2854"/>
      <c r="TR35" s="2854"/>
      <c r="TS35" s="2854"/>
      <c r="TT35" s="2854"/>
      <c r="TU35" s="3783"/>
      <c r="TV35" s="3783"/>
      <c r="TW35" s="3783"/>
      <c r="TX35" s="3783"/>
      <c r="TY35" s="3783"/>
      <c r="TZ35" s="3783"/>
      <c r="UA35" s="3783"/>
      <c r="UB35" s="3783"/>
      <c r="UC35" s="3783"/>
      <c r="UD35" s="3783"/>
      <c r="UE35" s="3783"/>
      <c r="UF35" s="3783"/>
      <c r="UG35" s="3783"/>
      <c r="UH35" s="3783"/>
      <c r="UI35" s="3783"/>
      <c r="UJ35" s="3783"/>
      <c r="UK35" s="3783"/>
      <c r="UL35" s="3783"/>
      <c r="UM35" s="3783"/>
      <c r="UN35" s="3783"/>
      <c r="UO35" s="3783"/>
      <c r="UP35" s="2854"/>
      <c r="UQ35" s="2854"/>
      <c r="UR35" s="2854"/>
      <c r="US35" s="2854"/>
      <c r="UT35" s="2854"/>
      <c r="UU35" s="2854"/>
      <c r="UV35" s="2854"/>
      <c r="UW35" s="2854"/>
      <c r="UX35" s="2854"/>
      <c r="UY35" s="2854"/>
      <c r="UZ35" s="2854"/>
      <c r="VA35" s="2854"/>
      <c r="VB35" s="2854"/>
      <c r="VC35" s="2854"/>
      <c r="VD35" s="2854"/>
      <c r="VE35" s="2854"/>
      <c r="VF35" s="2854"/>
      <c r="VG35" s="2854"/>
      <c r="VH35" s="2854"/>
      <c r="VI35" s="2854"/>
      <c r="VJ35" s="2854"/>
      <c r="VK35" s="2854"/>
      <c r="VL35" s="2854"/>
      <c r="VM35" s="2854"/>
      <c r="VN35" s="2854"/>
      <c r="VO35" s="2854"/>
      <c r="VP35" s="2854"/>
      <c r="VQ35" s="2854"/>
      <c r="VR35" s="2854"/>
      <c r="VS35" s="2854"/>
      <c r="VT35" s="2854"/>
      <c r="VU35" s="2854"/>
      <c r="VV35" s="2854"/>
      <c r="VW35" s="2854"/>
      <c r="VX35" s="2854"/>
      <c r="VY35" s="2854"/>
      <c r="VZ35" s="2854"/>
      <c r="WA35" s="2854"/>
      <c r="WB35" s="2854"/>
      <c r="WC35" s="2854"/>
      <c r="WD35" s="2854"/>
      <c r="WE35" s="2854"/>
      <c r="WF35" s="2854"/>
      <c r="WG35" s="2854"/>
      <c r="WH35" s="2854"/>
      <c r="WI35" s="2854"/>
      <c r="WJ35" s="2854"/>
      <c r="WK35" s="2854"/>
      <c r="WL35" s="2854"/>
      <c r="WM35" s="2854"/>
      <c r="WN35" s="2854"/>
      <c r="WO35" s="2854"/>
      <c r="WP35" s="2854"/>
      <c r="WQ35" s="2854"/>
      <c r="WR35" s="2854"/>
      <c r="WS35" s="2854"/>
      <c r="WT35" s="2854"/>
      <c r="WU35" s="2854"/>
      <c r="WV35" s="2854"/>
      <c r="WW35" s="2854"/>
      <c r="WX35" s="2854"/>
      <c r="WY35" s="2854"/>
      <c r="WZ35" s="2854"/>
      <c r="XA35" s="2854"/>
      <c r="XB35" s="2854"/>
      <c r="XC35" s="2854"/>
      <c r="XD35" s="2854"/>
      <c r="XE35" s="2854"/>
      <c r="XF35" s="2854"/>
      <c r="XG35" s="2854"/>
      <c r="XH35" s="2854"/>
      <c r="XI35" s="2854"/>
      <c r="XJ35" s="2854"/>
      <c r="XK35" s="2854"/>
      <c r="XL35" s="2854"/>
      <c r="XM35" s="2854"/>
      <c r="XN35" s="2854"/>
      <c r="XO35" s="2854"/>
      <c r="XP35" s="2854"/>
      <c r="XQ35" s="2854"/>
      <c r="XR35" s="2854"/>
      <c r="XS35" s="2854"/>
      <c r="XT35" s="2854"/>
      <c r="XU35" s="2854"/>
      <c r="XV35" s="2854"/>
      <c r="XW35" s="2854"/>
      <c r="XX35" s="2854"/>
      <c r="XY35" s="2854"/>
      <c r="XZ35" s="2854"/>
      <c r="YA35" s="2854"/>
      <c r="YB35" s="2854"/>
      <c r="YC35" s="2854"/>
      <c r="YD35" s="2854"/>
      <c r="YE35" s="2854"/>
      <c r="YF35" s="2854"/>
      <c r="YG35" s="2854"/>
      <c r="YH35" s="2854"/>
      <c r="YI35" s="2854"/>
      <c r="YJ35" s="2854"/>
      <c r="YK35" s="2854"/>
      <c r="YL35" s="2854"/>
      <c r="YM35" s="2854"/>
      <c r="YN35" s="2854"/>
      <c r="YO35" s="2854"/>
      <c r="YP35" s="2854"/>
      <c r="YQ35" s="2854"/>
      <c r="YR35" s="2854"/>
      <c r="YS35" s="2854"/>
      <c r="YT35" s="2854"/>
      <c r="YU35" s="2854"/>
      <c r="YV35" s="2854"/>
      <c r="YW35" s="2854"/>
      <c r="YX35" s="2854"/>
      <c r="YY35" s="2854"/>
      <c r="YZ35" s="2854"/>
      <c r="ZA35" s="2854"/>
      <c r="ZB35" s="2854"/>
      <c r="ZC35" s="2854"/>
      <c r="ZD35" s="2854"/>
      <c r="ZE35" s="2854"/>
      <c r="ZF35" s="2854"/>
      <c r="ZG35" s="2854"/>
      <c r="ZH35" s="2854"/>
      <c r="ZI35" s="2854"/>
      <c r="ZJ35" s="2854"/>
      <c r="ZK35" s="2854"/>
      <c r="ZL35" s="2854"/>
      <c r="ZM35" s="2854"/>
      <c r="ZN35" s="2854"/>
      <c r="ZO35" s="2854"/>
      <c r="ZP35" s="2854"/>
      <c r="ZQ35" s="2854"/>
      <c r="ZR35" s="2854"/>
      <c r="ZS35" s="2854"/>
      <c r="ZT35" s="2854"/>
      <c r="ZU35" s="2854"/>
      <c r="ZV35" s="2854"/>
      <c r="ZW35" s="2854"/>
      <c r="ZX35" s="2854"/>
      <c r="ZY35" s="2854"/>
      <c r="ZZ35" s="2854"/>
      <c r="AAA35" s="2854"/>
      <c r="AAB35" s="2854"/>
      <c r="AAC35" s="2854"/>
      <c r="AAD35" s="2854"/>
      <c r="AAE35" s="2854"/>
      <c r="AAF35" s="2854"/>
      <c r="AAG35" s="2854"/>
      <c r="AAH35" s="2854"/>
      <c r="AAI35" s="2854"/>
      <c r="AAJ35" s="2854"/>
      <c r="AAK35" s="2854"/>
      <c r="AAL35" s="2854"/>
      <c r="AAM35" s="2854"/>
      <c r="AAN35" s="2854"/>
      <c r="AAO35" s="2854"/>
      <c r="AAP35" s="2854"/>
      <c r="AAQ35" s="2854"/>
      <c r="AAR35" s="2854"/>
      <c r="AAS35" s="2854"/>
      <c r="AAT35" s="2854"/>
      <c r="AAU35" s="2854"/>
      <c r="AAV35" s="2854"/>
      <c r="AAW35" s="2854"/>
      <c r="AAX35" s="2854"/>
      <c r="AAY35" s="2854"/>
      <c r="AAZ35" s="2854"/>
      <c r="ABA35" s="2854"/>
      <c r="ABB35" s="2854"/>
      <c r="ABC35" s="2854"/>
      <c r="ABD35" s="2854"/>
      <c r="ABE35" s="2854"/>
      <c r="ABF35" s="2854"/>
      <c r="ABG35" s="2854"/>
      <c r="ABH35" s="2854"/>
      <c r="ABI35" s="2854"/>
      <c r="ABJ35" s="2854"/>
      <c r="ABK35" s="2854"/>
      <c r="ABL35" s="2854"/>
      <c r="ABM35" s="2854"/>
      <c r="ABN35" s="2854"/>
      <c r="ABO35" s="2854"/>
      <c r="ABP35" s="2854"/>
      <c r="ABQ35" s="2854"/>
      <c r="ABR35" s="2854"/>
      <c r="ABS35" s="2854"/>
      <c r="ABT35" s="2854"/>
      <c r="ABU35" s="2854"/>
      <c r="ABV35" s="2854"/>
      <c r="ABW35" s="2854"/>
      <c r="ABX35" s="2854"/>
      <c r="ABY35" s="2854"/>
      <c r="ABZ35" s="2854"/>
      <c r="ACA35" s="2854"/>
      <c r="ACB35" s="2854"/>
      <c r="ACC35" s="2854"/>
      <c r="ACD35" s="2854"/>
      <c r="ACE35" s="2854"/>
      <c r="ACF35" s="2854"/>
      <c r="ACG35" s="2854"/>
      <c r="ACH35" s="2854"/>
      <c r="ACI35" s="2854"/>
      <c r="ACJ35" s="2854"/>
      <c r="ACK35" s="2854"/>
      <c r="ACL35" s="2854"/>
      <c r="ACM35" s="2854"/>
      <c r="ACN35" s="2854"/>
      <c r="ACO35" s="2854"/>
      <c r="ACP35" s="2854"/>
      <c r="ACQ35" s="2854"/>
      <c r="ACR35" s="2854"/>
      <c r="ACS35" s="2854"/>
      <c r="ACT35" s="2854"/>
      <c r="ACU35" s="2854"/>
      <c r="ACV35" s="2854"/>
      <c r="ACW35" s="2854"/>
      <c r="ACX35" s="2854"/>
      <c r="ACY35" s="2854"/>
      <c r="ACZ35" s="2854"/>
      <c r="ADA35" s="2854"/>
      <c r="ADB35" s="2854"/>
      <c r="ADC35" s="2854"/>
      <c r="ADD35" s="2854"/>
      <c r="ADE35" s="2854"/>
      <c r="ADF35" s="2854"/>
      <c r="ADG35" s="2854"/>
      <c r="ADH35" s="2854"/>
      <c r="ADI35" s="2854"/>
      <c r="ADJ35" s="2854"/>
      <c r="ADK35" s="2854"/>
      <c r="ADL35" s="2854"/>
      <c r="ADM35" s="2854"/>
      <c r="ADN35" s="2854"/>
      <c r="ADO35" s="2854"/>
      <c r="ADP35" s="2854"/>
      <c r="ADQ35" s="2854"/>
      <c r="ADR35" s="2854"/>
      <c r="ADS35" s="2854"/>
      <c r="ADT35" s="2854"/>
      <c r="ADU35" s="2854"/>
      <c r="ADV35" s="2854"/>
      <c r="ADW35" s="2854"/>
      <c r="ADX35" s="2854"/>
      <c r="ADY35" s="2854"/>
      <c r="ADZ35" s="2854"/>
      <c r="AEA35" s="2854"/>
      <c r="AEB35" s="2854"/>
      <c r="AEC35" s="2854"/>
      <c r="AED35" s="2854"/>
      <c r="AEE35" s="2854"/>
      <c r="AEF35" s="2854"/>
      <c r="AEG35" s="2854"/>
      <c r="AEH35" s="2854"/>
      <c r="AEI35" s="2854"/>
      <c r="AEJ35" s="2854"/>
      <c r="AEK35" s="2854"/>
      <c r="AEL35" s="2854"/>
      <c r="AEM35" s="2854"/>
      <c r="AEN35" s="2854"/>
      <c r="AEO35" s="2854"/>
      <c r="AEP35" s="2854"/>
      <c r="AEQ35" s="2854"/>
      <c r="AER35" s="2854"/>
      <c r="AES35" s="2854"/>
      <c r="AET35" s="2854"/>
      <c r="AEU35" s="2854"/>
      <c r="AEV35" s="2854"/>
      <c r="AEW35" s="2854"/>
      <c r="AEX35" s="2854"/>
      <c r="AEY35" s="2854"/>
      <c r="AEZ35" s="2854"/>
      <c r="AFA35" s="2854"/>
      <c r="AFB35" s="2854"/>
      <c r="AFC35" s="2854"/>
      <c r="AFD35" s="2854"/>
      <c r="AFE35" s="2854"/>
      <c r="AFF35" s="2854"/>
      <c r="AFG35" s="2854"/>
      <c r="AFH35" s="2854"/>
      <c r="AFI35" s="2854"/>
      <c r="AFJ35" s="2854"/>
      <c r="AFK35" s="2854"/>
      <c r="AFL35" s="2854"/>
      <c r="AFM35" s="2854"/>
      <c r="AFN35" s="2854"/>
      <c r="AFO35" s="2854"/>
      <c r="AFP35" s="2854"/>
      <c r="AFQ35" s="2854"/>
      <c r="AFR35" s="2854"/>
      <c r="AFS35" s="2854"/>
      <c r="AFT35" s="2854"/>
      <c r="AFU35" s="2854"/>
      <c r="AFV35" s="2854"/>
      <c r="AFW35" s="2854"/>
      <c r="AFX35" s="2854"/>
      <c r="AFY35" s="2854"/>
      <c r="AFZ35" s="2854"/>
      <c r="AGA35" s="2854"/>
      <c r="AGB35" s="2854"/>
      <c r="AGC35" s="2854"/>
      <c r="AGD35" s="2854"/>
      <c r="AGE35" s="2854"/>
      <c r="AGF35" s="2854"/>
      <c r="AGG35" s="2854"/>
      <c r="AGH35" s="2854"/>
      <c r="AGI35" s="2854"/>
      <c r="AGJ35" s="2854"/>
      <c r="AGK35" s="2854"/>
      <c r="AGL35" s="2854"/>
      <c r="AGM35" s="2854"/>
      <c r="AGN35" s="2854"/>
      <c r="AGO35" s="2854"/>
      <c r="AGP35" s="2854"/>
      <c r="AGQ35" s="2854"/>
      <c r="AGR35" s="2854"/>
      <c r="AGS35" s="2854"/>
      <c r="AGT35" s="2854"/>
      <c r="AGU35" s="2854"/>
      <c r="AGV35" s="2854"/>
      <c r="AGW35" s="2854"/>
      <c r="AGX35" s="2854"/>
      <c r="AGY35" s="2854"/>
      <c r="AGZ35" s="2854"/>
      <c r="AHA35" s="2854"/>
      <c r="AHB35" s="2854"/>
      <c r="AHC35" s="2854"/>
      <c r="AHD35" s="2854"/>
      <c r="AHE35" s="2854"/>
      <c r="AHF35" s="2854"/>
      <c r="AHG35" s="2854"/>
      <c r="AHH35" s="2854"/>
      <c r="AHI35" s="2854"/>
      <c r="AHJ35" s="2854"/>
      <c r="AHK35" s="2854"/>
      <c r="AHL35" s="2854"/>
      <c r="AHM35" s="2854"/>
      <c r="AHN35" s="2854"/>
      <c r="AHO35" s="2854"/>
      <c r="AHP35" s="2854"/>
      <c r="AHQ35" s="2854"/>
      <c r="AHR35" s="2854"/>
      <c r="AHS35" s="2854"/>
      <c r="AHT35" s="2854"/>
      <c r="AHU35" s="2854"/>
      <c r="AHV35" s="2854"/>
      <c r="AHW35" s="2854"/>
      <c r="AHX35" s="2854"/>
      <c r="AHY35" s="2854"/>
      <c r="AHZ35" s="2854"/>
      <c r="AIA35" s="2854"/>
      <c r="AIB35" s="2854"/>
      <c r="AIC35" s="2854"/>
      <c r="AID35" s="2854"/>
      <c r="AIE35" s="2854"/>
      <c r="AIF35" s="2854"/>
      <c r="AIG35" s="2854"/>
      <c r="AIH35" s="2854"/>
      <c r="AII35" s="2854"/>
      <c r="AIJ35" s="2854"/>
      <c r="AIK35" s="2854"/>
      <c r="AIL35" s="2854"/>
      <c r="AIM35" s="2854"/>
      <c r="AIN35" s="2854"/>
      <c r="AIO35" s="2854"/>
      <c r="AIP35" s="2854"/>
      <c r="AIQ35" s="2854"/>
      <c r="AIR35" s="2854"/>
      <c r="AIS35" s="2854"/>
      <c r="AIT35" s="2854"/>
      <c r="AIU35" s="2854"/>
      <c r="AIV35" s="2854"/>
      <c r="AIW35" s="2854"/>
      <c r="AIX35" s="2854"/>
      <c r="AIY35" s="2854"/>
      <c r="AIZ35" s="2854"/>
      <c r="AJA35" s="2854"/>
      <c r="AJB35" s="2854"/>
      <c r="AJC35" s="2854"/>
      <c r="AJD35" s="2854"/>
      <c r="AJE35" s="2854"/>
      <c r="AJF35" s="2854"/>
      <c r="AJG35" s="2854"/>
      <c r="AJH35" s="2854"/>
      <c r="AJI35" s="2854"/>
      <c r="AJJ35" s="2854"/>
      <c r="AJK35" s="2854"/>
      <c r="AJL35" s="2854"/>
      <c r="AJM35" s="2854"/>
      <c r="AJN35" s="2854"/>
      <c r="AJO35" s="2854"/>
      <c r="AJP35" s="2854"/>
      <c r="AJQ35" s="2854"/>
      <c r="AJR35" s="2854"/>
      <c r="AJS35" s="2854"/>
      <c r="AJT35" s="2854"/>
      <c r="AJU35" s="2854"/>
      <c r="AJV35" s="2854"/>
      <c r="AJW35" s="2854"/>
      <c r="AJX35" s="2854"/>
      <c r="AJY35" s="2854"/>
      <c r="AJZ35" s="2854"/>
      <c r="AKA35" s="2854"/>
      <c r="AKB35" s="2854"/>
      <c r="AKC35" s="2854"/>
      <c r="AKD35" s="2854"/>
      <c r="AKE35" s="2854"/>
      <c r="AKF35" s="2854"/>
      <c r="AKG35" s="2854"/>
      <c r="AKH35" s="2854"/>
      <c r="AKI35" s="2854"/>
      <c r="AKJ35" s="2854"/>
      <c r="AKK35" s="2854"/>
      <c r="AKL35" s="2854"/>
      <c r="AKM35" s="2854"/>
      <c r="AKN35" s="2854"/>
      <c r="AKO35" s="2854"/>
      <c r="AKP35" s="2854"/>
      <c r="AKQ35" s="2854"/>
      <c r="AKR35" s="2854"/>
      <c r="AKS35" s="2854"/>
      <c r="AKT35" s="2854"/>
      <c r="AKU35" s="2854"/>
      <c r="AKV35" s="2854"/>
      <c r="AKW35" s="2854"/>
      <c r="AKX35" s="2854"/>
      <c r="AKY35" s="2854"/>
      <c r="AKZ35" s="2854"/>
      <c r="ALA35" s="2854"/>
      <c r="ALB35" s="2854"/>
      <c r="ALC35" s="2854"/>
      <c r="ALD35" s="2854"/>
      <c r="ALE35" s="2854"/>
      <c r="ALF35" s="2854"/>
      <c r="ALG35" s="2854"/>
      <c r="ALH35" s="2854"/>
      <c r="ALI35" s="2854"/>
      <c r="ALJ35" s="2854"/>
      <c r="ALK35" s="2854"/>
      <c r="ALL35" s="2854"/>
      <c r="ALM35" s="2854"/>
      <c r="ALN35" s="2854"/>
      <c r="ALO35" s="2854"/>
      <c r="ALP35" s="2854"/>
      <c r="ALQ35" s="2854"/>
      <c r="ALR35" s="2854"/>
      <c r="ALS35" s="2854"/>
      <c r="ALT35" s="2854"/>
      <c r="ALU35" s="2854"/>
      <c r="ALV35" s="2854"/>
      <c r="ALW35" s="2854"/>
      <c r="ALX35" s="2854"/>
      <c r="ALY35" s="2854"/>
      <c r="ALZ35" s="2854"/>
      <c r="AMA35" s="2854"/>
      <c r="AMB35" s="2854"/>
      <c r="AMC35" s="2854"/>
      <c r="AMD35" s="2854"/>
      <c r="AME35" s="2854"/>
      <c r="AMF35" s="2854"/>
      <c r="AMG35" s="2854"/>
      <c r="AMH35" s="2854"/>
      <c r="AMI35" s="2854"/>
      <c r="AMJ35" s="2854"/>
      <c r="AMK35" s="2854"/>
      <c r="AML35" s="2854"/>
      <c r="AMM35" s="2854"/>
      <c r="AMN35" s="2854"/>
      <c r="AMO35" s="2854"/>
      <c r="AMP35" s="2854"/>
      <c r="AMQ35" s="2854"/>
      <c r="AMR35" s="2854"/>
      <c r="AMS35" s="2854"/>
      <c r="AMT35" s="2854"/>
      <c r="AMU35" s="2854"/>
      <c r="AMV35" s="2854"/>
      <c r="AMW35" s="2854"/>
      <c r="AMX35" s="2854"/>
      <c r="AMY35" s="2854"/>
      <c r="AMZ35" s="2854"/>
      <c r="ANA35" s="2854"/>
      <c r="ANB35" s="2854"/>
      <c r="ANC35" s="2854"/>
      <c r="AND35" s="2854"/>
      <c r="ANE35" s="2854"/>
      <c r="ANF35" s="2854"/>
      <c r="ANG35" s="2854"/>
      <c r="ANH35" s="2854"/>
      <c r="ANI35" s="2854"/>
      <c r="ANJ35" s="2854"/>
      <c r="ANK35" s="2854"/>
      <c r="ANL35" s="2854"/>
      <c r="ANM35" s="2854"/>
      <c r="ANN35" s="2854"/>
      <c r="ANO35" s="2854"/>
      <c r="ANP35" s="2854"/>
      <c r="ANQ35" s="2854"/>
      <c r="ANR35" s="2854"/>
      <c r="ANS35" s="2854"/>
      <c r="ANT35" s="2854"/>
      <c r="ANU35" s="2854"/>
      <c r="ANV35" s="2854"/>
      <c r="ANW35" s="2854"/>
      <c r="ANX35" s="2854"/>
      <c r="ANY35" s="2854"/>
      <c r="ANZ35" s="2854"/>
      <c r="AOA35" s="2854"/>
      <c r="AOB35" s="2854"/>
      <c r="AOC35" s="2854"/>
      <c r="AOD35" s="2854"/>
      <c r="AOE35" s="2854"/>
      <c r="AOF35" s="2854"/>
      <c r="AOG35" s="2854"/>
      <c r="AOH35" s="2854"/>
      <c r="AOI35" s="2854"/>
      <c r="AOJ35" s="2854"/>
      <c r="AOK35" s="2854"/>
      <c r="AOL35" s="2854"/>
      <c r="AOM35" s="2854"/>
      <c r="AON35" s="2854"/>
      <c r="AOO35" s="2854"/>
      <c r="AOP35" s="2854"/>
      <c r="AOQ35" s="2854"/>
      <c r="AOR35" s="2854"/>
      <c r="AOS35" s="2854"/>
      <c r="AOT35" s="2854"/>
      <c r="AOU35" s="2854"/>
      <c r="AOV35" s="2854"/>
      <c r="AOW35" s="2854"/>
      <c r="AOX35" s="2854"/>
      <c r="AOY35" s="2854"/>
      <c r="AOZ35" s="2854"/>
      <c r="APA35" s="2854"/>
      <c r="APB35" s="2854"/>
      <c r="APC35" s="2854"/>
      <c r="APD35" s="2854"/>
      <c r="APE35" s="2854"/>
      <c r="APF35" s="2854"/>
      <c r="APG35" s="2854"/>
      <c r="APH35" s="2854"/>
      <c r="API35" s="2854"/>
      <c r="APJ35" s="2854"/>
      <c r="APK35" s="2854"/>
      <c r="APL35" s="2854"/>
      <c r="APM35" s="2854"/>
      <c r="APN35" s="2854"/>
      <c r="APO35" s="2854"/>
      <c r="APP35" s="2854"/>
      <c r="APQ35" s="2854"/>
      <c r="APR35" s="2854"/>
      <c r="APS35" s="2854"/>
      <c r="APT35" s="2854"/>
      <c r="APU35" s="2854"/>
      <c r="APV35" s="2854"/>
      <c r="APW35" s="2854"/>
      <c r="APX35" s="2854"/>
      <c r="APY35" s="2854"/>
      <c r="APZ35" s="2854"/>
      <c r="AQA35" s="2854"/>
      <c r="AQB35" s="2854"/>
      <c r="AQC35" s="2854"/>
      <c r="AQD35" s="2854"/>
      <c r="AQE35" s="2854"/>
      <c r="AQF35" s="2854"/>
      <c r="AQG35" s="2854"/>
      <c r="AQH35" s="2854"/>
      <c r="AQI35" s="2854"/>
      <c r="AQJ35" s="2854"/>
      <c r="AQK35" s="2854"/>
      <c r="AQL35" s="2854"/>
      <c r="AQM35" s="2854"/>
      <c r="AQN35" s="2854"/>
      <c r="AQO35" s="2854"/>
      <c r="AQP35" s="2854"/>
      <c r="AQQ35" s="2854"/>
      <c r="AQR35" s="2854"/>
      <c r="AQS35" s="2854"/>
      <c r="AQT35" s="2854"/>
      <c r="AQU35" s="2854"/>
      <c r="AQV35" s="2854"/>
      <c r="AQW35" s="2854"/>
      <c r="AQX35" s="2854"/>
      <c r="AQY35" s="2854"/>
      <c r="AQZ35" s="2854"/>
      <c r="ARA35" s="2854"/>
      <c r="ARB35" s="2854"/>
      <c r="ARC35" s="2854"/>
      <c r="ARD35" s="2854"/>
      <c r="ARE35" s="2854"/>
      <c r="ARF35" s="2854"/>
      <c r="ARG35" s="2854"/>
      <c r="ARH35" s="2854"/>
      <c r="ARI35" s="2854"/>
      <c r="ARJ35" s="2854"/>
      <c r="ARK35" s="2854"/>
      <c r="ARL35" s="2854"/>
      <c r="ARM35" s="2854"/>
      <c r="ARN35" s="2854"/>
      <c r="ARO35" s="2854"/>
      <c r="ARP35" s="2854"/>
      <c r="ARQ35" s="2854"/>
      <c r="ARR35" s="2854"/>
      <c r="ARS35" s="2854"/>
      <c r="ART35" s="2854"/>
      <c r="ARU35" s="2854"/>
      <c r="ARV35" s="2854"/>
      <c r="ARW35" s="2854"/>
      <c r="ARX35" s="2854"/>
      <c r="ARY35" s="2854"/>
      <c r="ARZ35" s="2854"/>
      <c r="ASA35" s="2854"/>
      <c r="ASB35" s="2854"/>
      <c r="ASC35" s="2854"/>
      <c r="ASD35" s="2854"/>
      <c r="ASE35" s="2854"/>
      <c r="ASF35" s="2854"/>
      <c r="ASG35" s="2854"/>
      <c r="ASH35" s="2854"/>
      <c r="ASI35" s="2854"/>
      <c r="ASJ35" s="2854"/>
      <c r="ASK35" s="2854"/>
      <c r="ASL35" s="2854"/>
      <c r="ASM35" s="2854"/>
      <c r="ASN35" s="2854"/>
      <c r="ASO35" s="2854"/>
      <c r="ASP35" s="2854"/>
      <c r="ASQ35" s="2854"/>
      <c r="ASR35" s="2854"/>
      <c r="ASS35" s="2854"/>
      <c r="AST35" s="2854"/>
      <c r="ASU35" s="2854"/>
      <c r="ASV35" s="2854"/>
      <c r="ASW35" s="2854"/>
      <c r="ASX35" s="2854"/>
      <c r="ASY35" s="2854"/>
      <c r="ASZ35" s="2854"/>
      <c r="ATA35" s="2854"/>
      <c r="ATB35" s="2854"/>
      <c r="ATC35" s="2854"/>
      <c r="ATD35" s="2854"/>
      <c r="ATE35" s="2854"/>
      <c r="ATF35" s="2854"/>
      <c r="ATG35" s="2854"/>
      <c r="ATH35" s="2854"/>
      <c r="ATI35" s="2854"/>
      <c r="ATJ35" s="2854"/>
      <c r="ATK35" s="2854"/>
      <c r="ATL35" s="2854"/>
      <c r="ATM35" s="2854"/>
      <c r="ATN35" s="2854"/>
      <c r="ATO35" s="2854"/>
      <c r="ATP35" s="2854"/>
      <c r="ATQ35" s="2854"/>
      <c r="ATR35" s="2854"/>
      <c r="ATS35" s="2854"/>
      <c r="ATT35" s="2854"/>
      <c r="ATU35" s="2854"/>
      <c r="ATV35" s="2854"/>
      <c r="ATW35" s="2854"/>
      <c r="ATX35" s="2854"/>
      <c r="ATY35" s="2854"/>
      <c r="ATZ35" s="2854"/>
      <c r="AUA35" s="2854"/>
      <c r="AUB35" s="2854"/>
      <c r="AUC35" s="2854"/>
      <c r="AUD35" s="2854"/>
      <c r="AUE35" s="2854"/>
      <c r="AUF35" s="2854"/>
      <c r="AUG35" s="2854"/>
      <c r="AUH35" s="2854"/>
      <c r="AUI35" s="2854"/>
      <c r="AUJ35" s="2854"/>
      <c r="AUK35" s="2854"/>
      <c r="AUL35" s="2854"/>
      <c r="AUM35" s="2854"/>
      <c r="AUN35" s="2854"/>
      <c r="AUO35" s="2854"/>
      <c r="AUP35" s="2854"/>
      <c r="AUQ35" s="2854"/>
      <c r="AUR35" s="2854"/>
      <c r="AUS35" s="2854"/>
      <c r="AUT35" s="2854"/>
      <c r="AUU35" s="2854"/>
      <c r="AUV35" s="2854"/>
      <c r="AUW35" s="2854"/>
      <c r="AUX35" s="2854"/>
      <c r="AUY35" s="2854"/>
      <c r="AUZ35" s="2854"/>
      <c r="AVA35" s="2854"/>
      <c r="AVB35" s="2854"/>
      <c r="AVC35" s="2854"/>
      <c r="AVD35" s="2854"/>
      <c r="AVE35" s="2854"/>
      <c r="AVF35" s="2854"/>
      <c r="AVG35" s="2854"/>
      <c r="AVH35" s="2854"/>
      <c r="AVI35" s="2854"/>
      <c r="AVJ35" s="2854"/>
      <c r="AVK35" s="2854"/>
      <c r="AVL35" s="2854"/>
      <c r="AVM35" s="2854"/>
      <c r="AVN35" s="2854"/>
      <c r="AVO35" s="2854"/>
      <c r="AVP35" s="2854"/>
      <c r="AVQ35" s="2854"/>
      <c r="AVR35" s="2854"/>
      <c r="AVS35" s="2854"/>
      <c r="AVT35" s="2854"/>
      <c r="AVU35" s="2854"/>
      <c r="AVV35" s="2854"/>
      <c r="AVW35" s="2854"/>
      <c r="AVX35" s="2854"/>
      <c r="AVY35" s="2854"/>
      <c r="AVZ35" s="2854"/>
      <c r="AWA35" s="2854"/>
      <c r="AWB35" s="2854"/>
      <c r="AWC35" s="2854"/>
      <c r="AWD35" s="2854"/>
      <c r="AWE35" s="2854"/>
      <c r="AWF35" s="2854"/>
      <c r="AWG35" s="2854"/>
      <c r="AWH35" s="2854"/>
      <c r="AWI35" s="2854"/>
      <c r="AWJ35" s="2854"/>
      <c r="AWK35" s="2854"/>
      <c r="AWL35" s="2854"/>
      <c r="AWM35" s="2854"/>
      <c r="AWN35" s="2854"/>
      <c r="AWO35" s="2854"/>
      <c r="AWP35" s="2854"/>
      <c r="AWQ35" s="2854"/>
      <c r="AWR35" s="2854"/>
      <c r="AWS35" s="2854"/>
      <c r="AWT35" s="2854"/>
      <c r="AWU35" s="2854"/>
      <c r="AWV35" s="2854"/>
      <c r="AWW35" s="2854"/>
      <c r="AWX35" s="2854"/>
      <c r="AWY35" s="2854"/>
      <c r="AWZ35" s="2854"/>
      <c r="AXA35" s="2854"/>
      <c r="AXB35" s="2854"/>
      <c r="AXC35" s="2854"/>
      <c r="AXD35" s="2854"/>
      <c r="AXE35" s="2854"/>
      <c r="AXF35" s="2854"/>
      <c r="AXG35" s="2854"/>
      <c r="AXH35" s="2854"/>
      <c r="AXI35" s="2854"/>
      <c r="AXJ35" s="2854"/>
      <c r="AXK35" s="2854"/>
      <c r="AXL35" s="2854"/>
      <c r="AXM35" s="2854"/>
      <c r="AXN35" s="2854"/>
      <c r="AXO35" s="2854"/>
      <c r="AXP35" s="2854"/>
      <c r="AXQ35" s="2854"/>
      <c r="AXR35" s="2854"/>
      <c r="AXS35" s="2854"/>
      <c r="AXT35" s="2854"/>
      <c r="AXU35" s="2854"/>
      <c r="AXV35" s="2854"/>
      <c r="AXW35" s="2854"/>
      <c r="AXX35" s="2854"/>
      <c r="AXY35" s="2854"/>
      <c r="AXZ35" s="2854"/>
      <c r="AYA35" s="2854"/>
      <c r="AYB35" s="2854"/>
      <c r="AYC35" s="2854"/>
      <c r="AYD35" s="2854"/>
      <c r="AYE35" s="2854"/>
      <c r="AYF35" s="2854"/>
      <c r="AYG35" s="2854"/>
      <c r="AYH35" s="2854"/>
      <c r="AYI35" s="2854"/>
      <c r="AYJ35" s="2854"/>
      <c r="AYK35" s="2854"/>
      <c r="AYL35" s="2854"/>
      <c r="AYM35" s="2854"/>
      <c r="AYN35" s="2854"/>
      <c r="AYO35" s="2854"/>
      <c r="AYP35" s="2854"/>
      <c r="AYQ35" s="2854"/>
      <c r="AYR35" s="2854"/>
      <c r="AYS35" s="2854"/>
      <c r="AYT35" s="2854"/>
      <c r="AYU35" s="2854"/>
      <c r="AYV35" s="2854"/>
      <c r="AYW35" s="2854"/>
      <c r="AYX35" s="2854"/>
      <c r="AYY35" s="2854"/>
      <c r="AYZ35" s="2854"/>
      <c r="AZA35" s="2854"/>
      <c r="AZB35" s="2854"/>
      <c r="AZC35" s="2854"/>
      <c r="AZD35" s="2854"/>
      <c r="AZE35" s="2854"/>
      <c r="AZF35" s="2854"/>
      <c r="AZG35" s="2854"/>
      <c r="AZH35" s="2854"/>
      <c r="AZI35" s="2854"/>
      <c r="AZJ35" s="2854"/>
      <c r="AZK35" s="2854"/>
      <c r="AZL35" s="2854"/>
      <c r="AZM35" s="2854"/>
      <c r="AZN35" s="2854"/>
      <c r="AZO35" s="2854"/>
      <c r="AZP35" s="2854"/>
      <c r="AZQ35" s="2854"/>
      <c r="AZR35" s="2854"/>
      <c r="AZS35" s="2854"/>
      <c r="AZT35" s="2854"/>
      <c r="AZU35" s="2854"/>
      <c r="AZV35" s="2854"/>
      <c r="AZW35" s="2854"/>
      <c r="AZX35" s="2854"/>
      <c r="AZY35" s="2854"/>
      <c r="AZZ35" s="2854"/>
      <c r="BAA35" s="2854"/>
      <c r="BAB35" s="2854"/>
      <c r="BAC35" s="2854"/>
      <c r="BAD35" s="2854"/>
      <c r="BAE35" s="2854"/>
      <c r="BAF35" s="2854"/>
      <c r="BAG35" s="2854"/>
      <c r="BAH35" s="2854"/>
      <c r="BAI35" s="2854"/>
      <c r="BAJ35" s="2854"/>
      <c r="BAK35" s="2854"/>
      <c r="BAL35" s="2854"/>
      <c r="BAM35" s="2854"/>
      <c r="BAN35" s="2854"/>
      <c r="BAO35" s="2854"/>
      <c r="BAP35" s="2854"/>
      <c r="BAQ35" s="2854"/>
      <c r="BAR35" s="2854"/>
      <c r="BAS35" s="2854"/>
      <c r="BAT35" s="2854"/>
      <c r="BAU35" s="2854"/>
      <c r="BAV35" s="2854"/>
      <c r="BAW35" s="2854"/>
      <c r="BAX35" s="2854"/>
      <c r="BAY35" s="2854"/>
      <c r="BAZ35" s="2854"/>
      <c r="BBA35" s="2854"/>
      <c r="BBB35" s="2854"/>
      <c r="BBC35" s="2854"/>
      <c r="BBD35" s="2854"/>
      <c r="BBE35" s="2854"/>
      <c r="BBF35" s="2854"/>
      <c r="BBG35" s="2854"/>
      <c r="BBH35" s="2854"/>
      <c r="BBI35" s="2854"/>
      <c r="BBJ35" s="2854"/>
      <c r="BBK35" s="2854"/>
      <c r="BBL35" s="2854"/>
      <c r="BBM35" s="2854"/>
      <c r="BBN35" s="2854"/>
      <c r="BBO35" s="2854"/>
      <c r="BBP35" s="2854"/>
      <c r="BBQ35" s="2854"/>
      <c r="BBR35" s="2854"/>
      <c r="BBS35" s="2854"/>
      <c r="BBT35" s="2854"/>
      <c r="BBU35" s="2854"/>
      <c r="BBV35" s="2854"/>
      <c r="BBW35" s="2854"/>
      <c r="BBX35" s="2854"/>
      <c r="BBY35" s="2854"/>
      <c r="BBZ35" s="2854"/>
      <c r="BCA35" s="2854"/>
      <c r="BCB35" s="2854"/>
      <c r="BCC35" s="2854"/>
      <c r="BCD35" s="2854"/>
      <c r="BCE35" s="2854"/>
      <c r="BCF35" s="2854"/>
      <c r="BCG35" s="2854"/>
      <c r="BCH35" s="2854"/>
      <c r="BCI35" s="2854"/>
      <c r="BCJ35" s="2854"/>
      <c r="BCK35" s="2854"/>
      <c r="BCL35" s="2854"/>
      <c r="BCM35" s="2854"/>
      <c r="BCN35" s="2854"/>
      <c r="BCO35" s="2854"/>
      <c r="BCP35" s="2854"/>
      <c r="BCQ35" s="2854"/>
      <c r="BCR35" s="2854"/>
      <c r="BCS35" s="2854"/>
      <c r="BCT35" s="2854"/>
      <c r="BCU35" s="2854"/>
      <c r="BCV35" s="2854"/>
      <c r="BCW35" s="2854"/>
      <c r="BCX35" s="2854"/>
      <c r="BCY35" s="2854"/>
      <c r="BCZ35" s="2854"/>
      <c r="BDA35" s="2854"/>
      <c r="BDB35" s="2854"/>
      <c r="BDC35" s="2854"/>
      <c r="BDD35" s="2854"/>
      <c r="BDE35" s="2854"/>
      <c r="BDF35" s="2854"/>
      <c r="BDG35" s="2854"/>
      <c r="BDH35" s="2854"/>
      <c r="BDI35" s="2854"/>
      <c r="BDJ35" s="2854"/>
      <c r="BDK35" s="2854"/>
      <c r="BDL35" s="2854"/>
      <c r="BDM35" s="2854"/>
      <c r="BDN35" s="2854"/>
      <c r="BDO35" s="2854"/>
      <c r="BDP35" s="2854"/>
      <c r="BDQ35" s="2854"/>
      <c r="BDR35" s="2854"/>
      <c r="BDS35" s="2854"/>
      <c r="BDT35" s="2854"/>
      <c r="BDU35" s="2854"/>
      <c r="BDV35" s="2854"/>
      <c r="BDW35" s="2854"/>
      <c r="BDX35" s="2854"/>
      <c r="BDY35" s="2854"/>
      <c r="BDZ35" s="2854"/>
      <c r="BEA35" s="2854"/>
      <c r="BEB35" s="2854"/>
      <c r="BEC35" s="2854"/>
      <c r="BED35" s="2854"/>
      <c r="BEE35" s="2854"/>
      <c r="BEF35" s="2854"/>
      <c r="BEG35" s="2854"/>
      <c r="BEH35" s="2854"/>
      <c r="BEI35" s="2854"/>
      <c r="BEJ35" s="2854"/>
      <c r="BEK35" s="2854"/>
      <c r="BEL35" s="2854"/>
      <c r="BEM35" s="2854"/>
      <c r="BEN35" s="2854"/>
      <c r="BEO35" s="2854"/>
      <c r="BEP35" s="2854"/>
      <c r="BEQ35" s="2854"/>
      <c r="BER35" s="2854"/>
      <c r="BES35" s="2854"/>
      <c r="BET35" s="2854"/>
      <c r="BEU35" s="2854"/>
      <c r="BEV35" s="2854"/>
      <c r="BEW35" s="2854"/>
      <c r="BEX35" s="2854"/>
      <c r="BEY35" s="2854"/>
      <c r="BEZ35" s="2854"/>
      <c r="BFA35" s="2854"/>
      <c r="BFB35" s="2854"/>
      <c r="BFC35" s="2854"/>
      <c r="BFD35" s="2854"/>
      <c r="BFE35" s="2854"/>
      <c r="BFF35" s="2854"/>
      <c r="BFG35" s="2854"/>
      <c r="BFH35" s="2854"/>
      <c r="BFI35" s="2854"/>
      <c r="BFJ35" s="2854"/>
      <c r="BFK35" s="2854"/>
      <c r="BFL35" s="2854"/>
      <c r="BFM35" s="2854"/>
      <c r="BFN35" s="2854"/>
      <c r="BFO35" s="2854"/>
      <c r="BFP35" s="2854"/>
      <c r="BFQ35" s="2854"/>
      <c r="BFR35" s="2854"/>
      <c r="BFS35" s="2854"/>
      <c r="BFT35" s="2854"/>
      <c r="BFU35" s="2854"/>
      <c r="BFV35" s="2854"/>
      <c r="BFW35" s="2854"/>
      <c r="BFX35" s="2854"/>
      <c r="BFY35" s="2854"/>
      <c r="BFZ35" s="2854"/>
      <c r="BGA35" s="2854"/>
      <c r="BGB35" s="2854"/>
      <c r="BGC35" s="2854"/>
      <c r="BGD35" s="2854"/>
      <c r="BGE35" s="2854"/>
      <c r="BGF35" s="2854"/>
      <c r="BGG35" s="2854"/>
      <c r="BGH35" s="2854"/>
      <c r="BGI35" s="2854"/>
      <c r="BGJ35" s="2854"/>
      <c r="BGK35" s="2854"/>
      <c r="BGL35" s="2854"/>
      <c r="BGM35" s="2854"/>
      <c r="BGN35" s="2854"/>
      <c r="BGO35" s="2854"/>
      <c r="BGP35" s="2854"/>
      <c r="BGQ35" s="2854"/>
      <c r="BGR35" s="2854"/>
      <c r="BGS35" s="2854"/>
      <c r="BGT35" s="2854"/>
      <c r="BGU35" s="2854"/>
      <c r="BGV35" s="2854"/>
      <c r="BGW35" s="2854"/>
      <c r="BGX35" s="2854"/>
      <c r="BGY35" s="2854"/>
      <c r="BGZ35" s="2854"/>
      <c r="BHA35" s="2854"/>
      <c r="BHB35" s="2854"/>
      <c r="BHC35" s="2854"/>
      <c r="BHD35" s="2854"/>
      <c r="BHE35" s="2854"/>
      <c r="BHF35" s="2854"/>
      <c r="BHG35" s="2854"/>
      <c r="BHH35" s="2854"/>
      <c r="BHI35" s="2854"/>
      <c r="BHJ35" s="2854"/>
      <c r="BHK35" s="2854"/>
      <c r="BHL35" s="2854"/>
      <c r="BHM35" s="2854"/>
      <c r="BHN35" s="2854"/>
      <c r="BHO35" s="2854"/>
      <c r="BHP35" s="2854"/>
      <c r="BHQ35" s="2854"/>
      <c r="BHR35" s="2854"/>
      <c r="BHS35" s="2854"/>
      <c r="BHT35" s="2854"/>
      <c r="BHU35" s="2854"/>
      <c r="BHV35" s="2854"/>
      <c r="BHW35" s="2854"/>
      <c r="BHX35" s="2854"/>
      <c r="BHY35" s="2854"/>
      <c r="BHZ35" s="2854"/>
      <c r="BIA35" s="2854"/>
      <c r="BIB35" s="2854"/>
      <c r="BIC35" s="2854"/>
      <c r="BID35" s="2854"/>
      <c r="BIE35" s="2854"/>
      <c r="BIF35" s="2854"/>
      <c r="BIG35" s="2854"/>
      <c r="BIH35" s="2854"/>
      <c r="BII35" s="2854"/>
      <c r="BIJ35" s="2854"/>
      <c r="BIK35" s="2854"/>
      <c r="BIL35" s="2854"/>
      <c r="BIM35" s="2854"/>
      <c r="BIN35" s="2854"/>
      <c r="BIO35" s="2854"/>
      <c r="BIP35" s="2854"/>
      <c r="BIQ35" s="2854"/>
      <c r="BIR35" s="2854"/>
      <c r="BIS35" s="2854"/>
      <c r="BIT35" s="2854"/>
      <c r="BIU35" s="2854"/>
      <c r="BIV35" s="2854"/>
      <c r="BIW35" s="2854"/>
      <c r="BIX35" s="2854"/>
      <c r="BIY35" s="2854"/>
      <c r="BIZ35" s="2854"/>
      <c r="BJA35" s="2854"/>
      <c r="BJB35" s="2854"/>
      <c r="BJC35" s="2854"/>
      <c r="BJD35" s="2854"/>
      <c r="BJE35" s="2854"/>
      <c r="BJF35" s="2854"/>
      <c r="BJG35" s="2854"/>
      <c r="BJH35" s="2854"/>
      <c r="BJI35" s="2854"/>
      <c r="BJJ35" s="2854"/>
      <c r="BJK35" s="2854"/>
      <c r="BJL35" s="2854"/>
      <c r="BJM35" s="2854"/>
      <c r="BJN35" s="2854"/>
      <c r="BJO35" s="2854"/>
      <c r="BJP35" s="2854"/>
      <c r="BJQ35" s="2854"/>
      <c r="BJR35" s="2854"/>
      <c r="BJS35" s="2854"/>
      <c r="BJT35" s="2854"/>
      <c r="BJU35" s="2854"/>
      <c r="BJV35" s="2854"/>
      <c r="BJW35" s="2854"/>
      <c r="BJX35" s="2854"/>
      <c r="BJY35" s="2854"/>
      <c r="BJZ35" s="2854"/>
      <c r="BKA35" s="2854"/>
      <c r="BKB35" s="2854"/>
      <c r="BKC35" s="2854"/>
      <c r="BKD35" s="2854"/>
      <c r="BKE35" s="2854"/>
      <c r="BKF35" s="2854"/>
      <c r="BKG35" s="2854"/>
      <c r="BKH35" s="2854"/>
      <c r="BKI35" s="2854"/>
      <c r="BKJ35" s="2854"/>
      <c r="BKK35" s="2854"/>
      <c r="BKL35" s="2854"/>
      <c r="BKM35" s="2854"/>
      <c r="BKN35" s="2854"/>
      <c r="BKO35" s="2854"/>
      <c r="BKP35" s="2854"/>
      <c r="BKQ35" s="2854"/>
      <c r="BKR35" s="2854"/>
      <c r="BKS35" s="2854"/>
      <c r="BKT35" s="2854"/>
      <c r="BKU35" s="2854"/>
      <c r="BKV35" s="2854"/>
      <c r="BKW35" s="2854"/>
      <c r="BKX35" s="2854"/>
      <c r="BKY35" s="2854"/>
      <c r="BKZ35" s="2854"/>
      <c r="BLA35" s="2854"/>
      <c r="BLB35" s="2854"/>
      <c r="BLC35" s="2854"/>
      <c r="BLD35" s="2854"/>
      <c r="BLE35" s="2854"/>
      <c r="BLF35" s="2854"/>
      <c r="BLG35" s="2854"/>
      <c r="BLH35" s="2854"/>
      <c r="BLI35" s="2854"/>
      <c r="BLJ35" s="2854"/>
      <c r="BLK35" s="2854"/>
      <c r="BLL35" s="2854"/>
      <c r="BLM35" s="2854"/>
      <c r="BLN35" s="2854"/>
      <c r="BLO35" s="2854"/>
      <c r="BLP35" s="2854"/>
      <c r="BLQ35" s="2854"/>
      <c r="BLR35" s="2854"/>
      <c r="BLS35" s="2854"/>
      <c r="BLT35" s="2854"/>
      <c r="BLU35" s="2854"/>
      <c r="BLV35" s="2854"/>
      <c r="BLW35" s="2854"/>
      <c r="BLX35" s="2854"/>
      <c r="BLY35" s="2854"/>
      <c r="BLZ35" s="2854"/>
      <c r="BMA35" s="2854"/>
      <c r="BMB35" s="2854"/>
      <c r="BMC35" s="2854"/>
      <c r="BMD35" s="2854"/>
      <c r="BME35" s="2854"/>
      <c r="BMF35" s="2854"/>
      <c r="BMG35" s="2854"/>
      <c r="BMH35" s="2854"/>
      <c r="BMI35" s="2854"/>
      <c r="BMJ35" s="2854"/>
      <c r="BMK35" s="2854"/>
      <c r="BML35" s="2854"/>
      <c r="BMM35" s="2854"/>
      <c r="BMN35" s="2854"/>
      <c r="BMO35" s="2854"/>
      <c r="BMP35" s="2854"/>
      <c r="BMQ35" s="2854"/>
      <c r="BMR35" s="2854"/>
      <c r="BMS35" s="2854"/>
      <c r="BMT35" s="2854"/>
      <c r="BMU35" s="2854"/>
      <c r="BMV35" s="2854"/>
      <c r="BMW35" s="2854"/>
      <c r="BMX35" s="2854"/>
      <c r="BMY35" s="2854"/>
      <c r="BMZ35" s="2854"/>
      <c r="BNA35" s="2854"/>
      <c r="BNB35" s="2854"/>
      <c r="BNC35" s="2854"/>
      <c r="BND35" s="2854"/>
      <c r="BNE35" s="2854"/>
      <c r="BNF35" s="2854"/>
      <c r="BNG35" s="2854"/>
      <c r="BNH35" s="2854"/>
      <c r="BNI35" s="2854"/>
      <c r="BNJ35" s="2854"/>
      <c r="BNK35" s="2854"/>
      <c r="BNL35" s="2854"/>
      <c r="BNM35" s="2854"/>
      <c r="BNN35" s="2854"/>
      <c r="BNO35" s="2854"/>
      <c r="BNP35" s="2854"/>
      <c r="BNQ35" s="2854"/>
      <c r="BNR35" s="2854"/>
      <c r="BNS35" s="2854"/>
      <c r="BNT35" s="2854"/>
      <c r="BNU35" s="2854"/>
      <c r="BNV35" s="2854"/>
      <c r="BNW35" s="2854"/>
      <c r="BNX35" s="2854"/>
      <c r="BNY35" s="2854"/>
      <c r="BNZ35" s="2854"/>
      <c r="BOA35" s="2854"/>
      <c r="BOB35" s="2854"/>
      <c r="BOC35" s="2854"/>
      <c r="BOD35" s="2854"/>
      <c r="BOE35" s="2854"/>
      <c r="BOF35" s="2854"/>
      <c r="BOG35" s="2854"/>
      <c r="BOH35" s="2854"/>
      <c r="BOI35" s="2854"/>
      <c r="BOJ35" s="2854"/>
      <c r="BOK35" s="2854"/>
      <c r="BOL35" s="2854"/>
      <c r="BOM35" s="2854"/>
      <c r="BON35" s="2854"/>
      <c r="BOO35" s="2854"/>
      <c r="BOP35" s="2854"/>
      <c r="BOQ35" s="2854"/>
      <c r="BOR35" s="2854"/>
      <c r="BOS35" s="2854"/>
      <c r="BOT35" s="2854"/>
      <c r="BOU35" s="2854"/>
      <c r="BOV35" s="2854"/>
      <c r="BOW35" s="2854"/>
      <c r="BOX35" s="2854"/>
      <c r="BOY35" s="2854"/>
      <c r="BOZ35" s="2854"/>
      <c r="BPA35" s="2854"/>
      <c r="BPB35" s="2854"/>
      <c r="BPC35" s="2854"/>
      <c r="BPD35" s="2854"/>
      <c r="BPE35" s="2854"/>
      <c r="BPF35" s="2854"/>
      <c r="BPG35" s="2854"/>
      <c r="BPH35" s="2854"/>
      <c r="BPI35" s="2854"/>
      <c r="BPJ35" s="2854"/>
      <c r="BPK35" s="2854"/>
      <c r="BPL35" s="2854"/>
      <c r="BPM35" s="2854"/>
      <c r="BPN35" s="2854"/>
      <c r="BPO35" s="2854"/>
      <c r="BPP35" s="2854"/>
      <c r="BPQ35" s="2854"/>
      <c r="BPR35" s="2854"/>
      <c r="BPS35" s="2854"/>
      <c r="BPT35" s="2854"/>
      <c r="BPU35" s="2854"/>
      <c r="BPV35" s="2854"/>
      <c r="BPW35" s="2854"/>
      <c r="BPX35" s="2854"/>
      <c r="BPY35" s="2854"/>
      <c r="BPZ35" s="2854"/>
      <c r="BQA35" s="2854"/>
      <c r="BQB35" s="2854"/>
      <c r="BQC35" s="2854"/>
      <c r="BQD35" s="2854"/>
      <c r="BQE35" s="2854"/>
      <c r="BQF35" s="2854"/>
      <c r="BQG35" s="2854"/>
      <c r="BQH35" s="2854"/>
      <c r="BQI35" s="2854"/>
      <c r="BQJ35" s="2854"/>
      <c r="BQK35" s="2854"/>
      <c r="BQL35" s="2854"/>
      <c r="BQM35" s="2854"/>
      <c r="BQN35" s="2854"/>
      <c r="BQO35" s="2854"/>
      <c r="BQP35" s="2854"/>
      <c r="BQQ35" s="2854"/>
      <c r="BQR35" s="2854"/>
      <c r="BQS35" s="2854"/>
      <c r="BQT35" s="2854"/>
      <c r="BQU35" s="2854"/>
      <c r="BQV35" s="2854"/>
      <c r="BQW35" s="2854"/>
      <c r="BQX35" s="2854"/>
      <c r="BQY35" s="2854"/>
      <c r="BQZ35" s="2854"/>
      <c r="BRA35" s="2854"/>
      <c r="BRB35" s="2854"/>
      <c r="BRC35" s="2854"/>
      <c r="BRD35" s="2854"/>
      <c r="BRE35" s="2854"/>
      <c r="BRF35" s="2854"/>
      <c r="BRG35" s="2854"/>
      <c r="BRH35" s="2854"/>
      <c r="BRI35" s="2854"/>
      <c r="BRJ35" s="2854"/>
      <c r="BRK35" s="2854"/>
      <c r="BRL35" s="2854"/>
      <c r="BRM35" s="2854"/>
      <c r="BRN35" s="2854"/>
      <c r="BRO35" s="2854"/>
      <c r="BRP35" s="2854"/>
      <c r="BRQ35" s="2854"/>
      <c r="BRR35" s="2854"/>
      <c r="BRS35" s="2854"/>
      <c r="BRT35" s="2854"/>
      <c r="BRU35" s="2854"/>
      <c r="BRV35" s="2854"/>
      <c r="BRW35" s="2854"/>
      <c r="BRX35" s="2854"/>
      <c r="BRY35" s="2854"/>
      <c r="BRZ35" s="2854"/>
      <c r="BSA35" s="2854"/>
      <c r="BSB35" s="2854"/>
      <c r="BSC35" s="2854"/>
      <c r="BSD35" s="2854"/>
      <c r="BSE35" s="2854"/>
      <c r="BSF35" s="2854"/>
      <c r="BSG35" s="2854"/>
      <c r="BSH35" s="2854"/>
      <c r="BSI35" s="2854"/>
      <c r="BSJ35" s="2854"/>
      <c r="BSK35" s="2854"/>
      <c r="BSL35" s="2854"/>
      <c r="BSM35" s="2854"/>
      <c r="BSN35" s="2854"/>
      <c r="BSO35" s="2854"/>
      <c r="BSP35" s="2854"/>
      <c r="BSQ35" s="2854"/>
      <c r="BSR35" s="2854"/>
      <c r="BSS35" s="2854"/>
      <c r="BST35" s="2854"/>
      <c r="BSU35" s="2854"/>
      <c r="BSV35" s="2854"/>
      <c r="BSW35" s="2854"/>
      <c r="BSX35" s="2854"/>
      <c r="BSY35" s="2854"/>
      <c r="BSZ35" s="2854"/>
      <c r="BTA35" s="2854"/>
      <c r="BTB35" s="2854"/>
      <c r="BTC35" s="2854"/>
      <c r="BTD35" s="2854"/>
      <c r="BTE35" s="2854"/>
      <c r="BTF35" s="2854"/>
      <c r="BTG35" s="2854"/>
      <c r="BTH35" s="2854"/>
      <c r="BTI35" s="2854"/>
      <c r="BTJ35" s="2854"/>
      <c r="BTK35" s="2854"/>
      <c r="BTL35" s="2854"/>
      <c r="BTM35" s="2854"/>
      <c r="BTN35" s="2854"/>
      <c r="BTO35" s="2854"/>
      <c r="BTP35" s="2854"/>
      <c r="BTQ35" s="2854"/>
      <c r="BTR35" s="2854"/>
      <c r="BTS35" s="2854"/>
      <c r="BTT35" s="2854"/>
      <c r="BTU35" s="2854"/>
      <c r="BTV35" s="2854"/>
      <c r="BTW35" s="2854"/>
      <c r="BTX35" s="2854"/>
      <c r="BTY35" s="2854"/>
      <c r="BTZ35" s="2854"/>
      <c r="BUA35" s="2854"/>
      <c r="BUB35" s="2854"/>
      <c r="BUC35" s="2854"/>
      <c r="BUD35" s="2854"/>
      <c r="BUE35" s="2854"/>
      <c r="BUF35" s="2854"/>
      <c r="BUG35" s="2854"/>
      <c r="BUH35" s="2854"/>
      <c r="BUI35" s="2854"/>
      <c r="BUJ35" s="2854"/>
      <c r="BUK35" s="2854"/>
      <c r="BUL35" s="2854"/>
      <c r="BUM35" s="2854"/>
      <c r="BUN35" s="2854"/>
      <c r="BUO35" s="2854"/>
      <c r="BUP35" s="2854"/>
      <c r="BUQ35" s="2854"/>
      <c r="BUR35" s="2854"/>
      <c r="BUS35" s="2854"/>
      <c r="BUT35" s="2854"/>
      <c r="BUU35" s="2854"/>
      <c r="BUV35" s="2854"/>
      <c r="BUW35" s="2854"/>
      <c r="BUX35" s="2854"/>
      <c r="BUY35" s="2854"/>
      <c r="BUZ35" s="2854"/>
      <c r="BVA35" s="2854"/>
      <c r="BVB35" s="2854"/>
      <c r="BVC35" s="2854"/>
      <c r="BVD35" s="2854"/>
      <c r="BVE35" s="2854"/>
      <c r="BVF35" s="2854"/>
      <c r="BVG35" s="2854"/>
      <c r="BVH35" s="2854"/>
      <c r="BVI35" s="2854"/>
      <c r="BVJ35" s="2854"/>
      <c r="BVK35" s="2854"/>
      <c r="BVL35" s="2854"/>
      <c r="BVM35" s="2854"/>
      <c r="BVN35" s="2854"/>
      <c r="BVO35" s="2854"/>
      <c r="BVP35" s="2854"/>
      <c r="BVQ35" s="2854"/>
      <c r="BVR35" s="2854"/>
      <c r="BVS35" s="2854"/>
      <c r="BVT35" s="2854"/>
      <c r="BVU35" s="2854"/>
      <c r="BVV35" s="2854"/>
      <c r="BVW35" s="2854"/>
      <c r="BVX35" s="2854"/>
      <c r="BVY35" s="2854"/>
      <c r="BVZ35" s="2854"/>
      <c r="BWA35" s="2854"/>
      <c r="BWB35" s="2854"/>
      <c r="BWC35" s="2854"/>
      <c r="BWD35" s="2854"/>
      <c r="BWE35" s="2854"/>
      <c r="BWF35" s="2854"/>
      <c r="BWG35" s="2854"/>
      <c r="BWH35" s="2854"/>
      <c r="BWI35" s="2854"/>
      <c r="BWJ35" s="2854"/>
      <c r="BWK35" s="2854"/>
      <c r="BWL35" s="2854"/>
      <c r="BWM35" s="2854"/>
      <c r="BWN35" s="2854"/>
      <c r="BWO35" s="2854"/>
      <c r="BWP35" s="2854"/>
      <c r="BWQ35" s="2854"/>
      <c r="BWR35" s="2854"/>
      <c r="BWS35" s="2854"/>
      <c r="BWT35" s="2854"/>
      <c r="BWU35" s="2854"/>
      <c r="BWV35" s="2854"/>
      <c r="BWW35" s="2854"/>
      <c r="BWX35" s="2854"/>
      <c r="BWY35" s="2854"/>
      <c r="BWZ35" s="2854"/>
      <c r="BXA35" s="2854"/>
      <c r="BXB35" s="2854"/>
      <c r="BXC35" s="2854"/>
      <c r="BXD35" s="2854"/>
      <c r="BXE35" s="2854"/>
      <c r="BXF35" s="2854"/>
      <c r="BXG35" s="2854"/>
      <c r="BXH35" s="2854"/>
      <c r="BXI35" s="2854"/>
      <c r="BXJ35" s="2854"/>
      <c r="BXK35" s="2854"/>
      <c r="BXL35" s="2854"/>
      <c r="BXM35" s="2854"/>
      <c r="BXN35" s="2854"/>
      <c r="BXO35" s="2854"/>
      <c r="BXP35" s="2854"/>
      <c r="BXQ35" s="2854"/>
      <c r="BXR35" s="2854"/>
      <c r="BXS35" s="2854"/>
      <c r="BXT35" s="2854"/>
      <c r="BXU35" s="2854"/>
      <c r="BXV35" s="2854"/>
      <c r="BXW35" s="2854"/>
      <c r="BXX35" s="2854"/>
      <c r="BXY35" s="2854"/>
      <c r="BXZ35" s="2854"/>
      <c r="BYA35" s="2854"/>
      <c r="BYB35" s="2854"/>
      <c r="BYC35" s="2854"/>
      <c r="BYD35" s="2854"/>
      <c r="BYE35" s="2854"/>
      <c r="BYF35" s="2854"/>
      <c r="BYG35" s="2854"/>
      <c r="BYH35" s="2854"/>
      <c r="BYI35" s="2854"/>
      <c r="BYJ35" s="2854"/>
      <c r="BYK35" s="2854"/>
      <c r="BYL35" s="2854"/>
      <c r="BYM35" s="2854"/>
      <c r="BYN35" s="2854"/>
      <c r="BYO35" s="2854"/>
      <c r="BYP35" s="2854"/>
      <c r="BYQ35" s="2854"/>
      <c r="BYR35" s="2854"/>
      <c r="BYS35" s="2854"/>
      <c r="BYT35" s="2854"/>
      <c r="BYU35" s="2854"/>
      <c r="BYV35" s="2854"/>
      <c r="BYW35" s="2854"/>
      <c r="BYX35" s="2854"/>
      <c r="BYY35" s="2854"/>
      <c r="BYZ35" s="2854"/>
      <c r="BZA35" s="2854"/>
      <c r="BZB35" s="2854"/>
      <c r="BZC35" s="2854"/>
      <c r="BZD35" s="2854"/>
      <c r="BZE35" s="2854"/>
      <c r="BZF35" s="2854"/>
      <c r="BZG35" s="2854"/>
      <c r="BZH35" s="2854"/>
      <c r="BZI35" s="2854"/>
      <c r="BZJ35" s="2854"/>
      <c r="BZK35" s="2854"/>
      <c r="BZL35" s="2854"/>
      <c r="BZM35" s="2854"/>
      <c r="BZN35" s="2854"/>
      <c r="BZO35" s="2854"/>
      <c r="BZP35" s="2854"/>
      <c r="BZQ35" s="2854"/>
      <c r="BZR35" s="2854"/>
      <c r="BZS35" s="2854"/>
      <c r="BZT35" s="2854"/>
      <c r="BZU35" s="2854"/>
      <c r="BZV35" s="2854"/>
      <c r="BZW35" s="2854"/>
      <c r="BZX35" s="2854"/>
      <c r="BZY35" s="2854"/>
      <c r="BZZ35" s="2854"/>
      <c r="CAA35" s="2854"/>
      <c r="CAB35" s="2854"/>
      <c r="CAC35" s="2854"/>
      <c r="CAD35" s="2854"/>
      <c r="CAE35" s="2854"/>
      <c r="CAF35" s="2854"/>
      <c r="CAG35" s="2854"/>
      <c r="CAH35" s="2854"/>
      <c r="CAI35" s="2854"/>
      <c r="CAJ35" s="2854"/>
      <c r="CAK35" s="2854"/>
      <c r="CAL35" s="2854"/>
      <c r="CAM35" s="2854"/>
      <c r="CAN35" s="2854"/>
      <c r="CAO35" s="2854"/>
      <c r="CAP35" s="2854"/>
      <c r="CAQ35" s="2854"/>
      <c r="CAR35" s="2854"/>
      <c r="CAS35" s="2854"/>
      <c r="CAT35" s="2854"/>
      <c r="CAU35" s="2854"/>
      <c r="CAV35" s="2854"/>
      <c r="CAW35" s="2854"/>
      <c r="CAX35" s="2854"/>
      <c r="CAY35" s="2854"/>
      <c r="CAZ35" s="2854"/>
      <c r="CBA35" s="2854"/>
      <c r="CBB35" s="2854"/>
      <c r="CBC35" s="2854"/>
      <c r="CBD35" s="2854"/>
      <c r="CBE35" s="2854"/>
      <c r="CBF35" s="2854"/>
      <c r="CBG35" s="2854"/>
      <c r="CBH35" s="2854"/>
      <c r="CBI35" s="2854"/>
      <c r="CBJ35" s="2854"/>
      <c r="CBK35" s="2854"/>
      <c r="CBL35" s="2854"/>
      <c r="CBM35" s="2854"/>
      <c r="CBN35" s="2854"/>
      <c r="CBO35" s="2854"/>
      <c r="CBP35" s="2854"/>
      <c r="CBQ35" s="2854"/>
      <c r="CBR35" s="2854"/>
      <c r="CBS35" s="2854"/>
      <c r="CBT35" s="2854"/>
      <c r="CBU35" s="2854"/>
      <c r="CBV35" s="2854"/>
      <c r="CBW35" s="2854"/>
      <c r="CBX35" s="2854"/>
      <c r="CBY35" s="2854"/>
      <c r="CBZ35" s="2854"/>
      <c r="CCA35" s="2854"/>
      <c r="CCB35" s="2854"/>
      <c r="CCC35" s="2854"/>
      <c r="CCD35" s="2854"/>
      <c r="CCE35" s="2854"/>
      <c r="CCF35" s="2854"/>
      <c r="CCG35" s="2854"/>
      <c r="CCH35" s="2854"/>
      <c r="CCI35" s="2854"/>
      <c r="CCJ35" s="2854"/>
      <c r="CCK35" s="2854"/>
      <c r="CCL35" s="2854"/>
      <c r="CCM35" s="2854"/>
      <c r="CCN35" s="2854"/>
      <c r="CCO35" s="2854"/>
      <c r="CCP35" s="2854"/>
      <c r="CCQ35" s="2854"/>
      <c r="CCR35" s="2854"/>
      <c r="CCS35" s="2854"/>
      <c r="CCT35" s="2854"/>
      <c r="CCU35" s="2854"/>
      <c r="CCV35" s="2854"/>
      <c r="CCW35" s="2854"/>
      <c r="CCX35" s="2854"/>
      <c r="CCY35" s="2854"/>
      <c r="CCZ35" s="2854"/>
      <c r="CDA35" s="2854"/>
      <c r="CDB35" s="2854"/>
      <c r="CDC35" s="2854"/>
      <c r="CDD35" s="2854"/>
      <c r="CDE35" s="2854"/>
      <c r="CDF35" s="2854"/>
      <c r="CDG35" s="2854"/>
      <c r="CDH35" s="2854"/>
      <c r="CDI35" s="2854"/>
      <c r="CDJ35" s="2854"/>
      <c r="CDK35" s="2854"/>
      <c r="CDL35" s="2854"/>
      <c r="CDM35" s="2854"/>
      <c r="CDN35" s="2854"/>
      <c r="CDO35" s="2854"/>
      <c r="CDP35" s="2854"/>
      <c r="CDQ35" s="2854"/>
      <c r="CDR35" s="2854"/>
      <c r="CDS35" s="2854"/>
      <c r="CDT35" s="2854"/>
      <c r="CDU35" s="2854"/>
      <c r="CDV35" s="2854"/>
      <c r="CDW35" s="2854"/>
      <c r="CDX35" s="2854"/>
      <c r="CDY35" s="2854"/>
      <c r="CDZ35" s="2854"/>
      <c r="CEA35" s="2854"/>
      <c r="CEB35" s="2854"/>
      <c r="CEC35" s="2854"/>
      <c r="CED35" s="2854"/>
      <c r="CEE35" s="2854"/>
      <c r="CEF35" s="2854"/>
      <c r="CEG35" s="2854"/>
      <c r="CEH35" s="2854"/>
      <c r="CEI35" s="2854"/>
      <c r="CEJ35" s="2854"/>
      <c r="CEK35" s="2854"/>
      <c r="CEL35" s="2854"/>
      <c r="CEM35" s="2854"/>
      <c r="CEN35" s="2854"/>
      <c r="CEO35" s="2854"/>
      <c r="CEP35" s="2854"/>
      <c r="CEQ35" s="2854"/>
      <c r="CER35" s="2854"/>
      <c r="CES35" s="2854"/>
      <c r="CET35" s="2854"/>
      <c r="CEU35" s="2854"/>
      <c r="CEV35" s="2854"/>
      <c r="CEW35" s="2854"/>
      <c r="CEX35" s="2854"/>
      <c r="CEY35" s="2854"/>
      <c r="CEZ35" s="2854"/>
      <c r="CFA35" s="2854"/>
      <c r="CFB35" s="2854"/>
      <c r="CFC35" s="2854"/>
      <c r="CFD35" s="2854"/>
      <c r="CFE35" s="2854"/>
      <c r="CFF35" s="2854"/>
      <c r="CFG35" s="2854"/>
      <c r="CFH35" s="2854"/>
      <c r="CFI35" s="2854"/>
      <c r="CFJ35" s="2854"/>
      <c r="CFK35" s="2854"/>
      <c r="CFL35" s="2854"/>
      <c r="CFM35" s="2854"/>
      <c r="CFN35" s="2854"/>
      <c r="CFO35" s="2854"/>
      <c r="CFP35" s="2854"/>
      <c r="CFQ35" s="2854"/>
      <c r="CFR35" s="2854"/>
      <c r="CFS35" s="2854"/>
      <c r="CFT35" s="2854"/>
      <c r="CFU35" s="2854"/>
      <c r="CFV35" s="2854"/>
      <c r="CFW35" s="2854"/>
      <c r="CFX35" s="2854"/>
      <c r="CFY35" s="2854"/>
      <c r="CFZ35" s="2854"/>
      <c r="CGA35" s="2854"/>
      <c r="CGB35" s="2854"/>
      <c r="CGC35" s="2854"/>
      <c r="CGD35" s="2854"/>
      <c r="CGE35" s="2854"/>
      <c r="CGF35" s="2854"/>
      <c r="CGG35" s="2854"/>
      <c r="CGH35" s="2854"/>
      <c r="CGI35" s="2854"/>
      <c r="CGJ35" s="2854"/>
      <c r="CGK35" s="2854"/>
      <c r="CGL35" s="2854"/>
      <c r="CGM35" s="2854"/>
      <c r="CGN35" s="2854"/>
      <c r="CGO35" s="2854"/>
      <c r="CGP35" s="2854"/>
      <c r="CGQ35" s="2854"/>
      <c r="CGR35" s="2854"/>
      <c r="CGS35" s="2854"/>
      <c r="CGT35" s="2854"/>
      <c r="CGU35" s="2854"/>
      <c r="CGV35" s="2854"/>
      <c r="CGW35" s="2854"/>
      <c r="CGX35" s="2854"/>
      <c r="CGY35" s="2854"/>
      <c r="CGZ35" s="2854"/>
      <c r="CHA35" s="2854"/>
      <c r="CHB35" s="2854"/>
      <c r="CHC35" s="2854"/>
      <c r="CHD35" s="2854"/>
      <c r="CHE35" s="2854"/>
      <c r="CHF35" s="2854"/>
      <c r="CHG35" s="2854"/>
      <c r="CHH35" s="2854"/>
      <c r="CHI35" s="2854"/>
      <c r="CHJ35" s="2854"/>
      <c r="CHK35" s="2854"/>
      <c r="CHL35" s="2854"/>
      <c r="CHM35" s="2854"/>
      <c r="CHN35" s="2854"/>
      <c r="CHO35" s="2854"/>
      <c r="CHP35" s="2854"/>
      <c r="CHQ35" s="2854"/>
      <c r="CHR35" s="2854"/>
      <c r="CHS35" s="2854"/>
      <c r="CHT35" s="2854"/>
      <c r="CHU35" s="2854"/>
      <c r="CHV35" s="2854"/>
      <c r="CHW35" s="2854"/>
      <c r="CHX35" s="2854"/>
      <c r="CHY35" s="2854"/>
      <c r="CHZ35" s="2854"/>
      <c r="CIA35" s="2854"/>
      <c r="CIB35" s="2854"/>
      <c r="CIC35" s="2854"/>
      <c r="CID35" s="2854"/>
      <c r="CIE35" s="2854"/>
      <c r="CIF35" s="2854"/>
      <c r="CIG35" s="2854"/>
      <c r="CIH35" s="2854"/>
      <c r="CII35" s="2854"/>
      <c r="CIJ35" s="2854"/>
      <c r="CIK35" s="2854"/>
      <c r="CIL35" s="2854"/>
      <c r="CIM35" s="2854"/>
      <c r="CIN35" s="2854"/>
      <c r="CIO35" s="2854"/>
      <c r="CIP35" s="2854"/>
      <c r="CIQ35" s="2854"/>
      <c r="CIR35" s="2854"/>
      <c r="CIS35" s="2854"/>
      <c r="CIT35" s="2854"/>
      <c r="CIU35" s="2854"/>
      <c r="CIV35" s="2854"/>
      <c r="CIW35" s="2854"/>
      <c r="CIX35" s="2854"/>
      <c r="CIY35" s="2854"/>
      <c r="CIZ35" s="2854"/>
      <c r="CJA35" s="2854"/>
      <c r="CJB35" s="2854"/>
      <c r="CJC35" s="2854"/>
      <c r="CJD35" s="2854"/>
      <c r="CJE35" s="2854"/>
      <c r="CJF35" s="2854"/>
      <c r="CJG35" s="2854"/>
      <c r="CJH35" s="2854"/>
      <c r="CJI35" s="2854"/>
      <c r="CJJ35" s="2854"/>
      <c r="CJK35" s="2854"/>
      <c r="CJL35" s="2854"/>
      <c r="CJM35" s="2854"/>
      <c r="CJN35" s="2854"/>
      <c r="CJO35" s="2854"/>
      <c r="CJP35" s="2854"/>
      <c r="CJQ35" s="2854"/>
      <c r="CJR35" s="2854"/>
      <c r="CJS35" s="2854"/>
      <c r="CJT35" s="2854"/>
      <c r="CJU35" s="2854"/>
      <c r="CJV35" s="2854"/>
      <c r="CJW35" s="2854"/>
      <c r="CJX35" s="2854"/>
      <c r="CJY35" s="2854"/>
      <c r="CJZ35" s="2854"/>
      <c r="CKA35" s="2854"/>
      <c r="CKB35" s="2854"/>
      <c r="CKC35" s="2854"/>
      <c r="CKD35" s="2854"/>
      <c r="CKE35" s="2854"/>
      <c r="CKF35" s="2854"/>
      <c r="CKG35" s="2854"/>
      <c r="CKH35" s="2854"/>
      <c r="CKI35" s="2854"/>
      <c r="CKJ35" s="2854"/>
      <c r="CKK35" s="2854"/>
      <c r="CKL35" s="2854"/>
      <c r="CKM35" s="2854"/>
      <c r="CKN35" s="2854"/>
      <c r="CKO35" s="2854"/>
      <c r="CKP35" s="2854"/>
      <c r="CKQ35" s="2854"/>
      <c r="CKR35" s="2854"/>
      <c r="CKS35" s="2854"/>
      <c r="CKT35" s="2854"/>
      <c r="CKU35" s="2854"/>
      <c r="CKV35" s="2854"/>
      <c r="CKW35" s="2854"/>
      <c r="CKX35" s="2854"/>
      <c r="CKY35" s="2854"/>
      <c r="CKZ35" s="2854"/>
      <c r="CLA35" s="2854"/>
      <c r="CLB35" s="2854"/>
      <c r="CLC35" s="2854"/>
      <c r="CLD35" s="2854"/>
      <c r="CLE35" s="2854"/>
      <c r="CLF35" s="2854"/>
      <c r="CLG35" s="2854"/>
      <c r="CLH35" s="2854"/>
      <c r="CLI35" s="2854"/>
      <c r="CLJ35" s="2854"/>
      <c r="CLK35" s="2854"/>
      <c r="CLL35" s="2854"/>
      <c r="CLM35" s="2854"/>
      <c r="CLN35" s="2854"/>
      <c r="CLO35" s="2854"/>
      <c r="CLP35" s="2854"/>
      <c r="CLQ35" s="2854"/>
      <c r="CLR35" s="2854"/>
      <c r="CLS35" s="2854"/>
      <c r="CLT35" s="2854"/>
      <c r="CLU35" s="2854"/>
      <c r="CLV35" s="2854"/>
      <c r="CLW35" s="2854"/>
    </row>
    <row r="36" spans="1:2363" ht="15" hidden="1" customHeight="1" x14ac:dyDescent="0.25">
      <c r="A36" s="3877"/>
      <c r="B36" s="3887"/>
      <c r="C36" s="1792">
        <v>2</v>
      </c>
      <c r="D36" s="2208"/>
      <c r="E36" s="3202"/>
      <c r="F36" s="1799"/>
      <c r="G36" s="1800"/>
      <c r="H36" s="1801"/>
      <c r="I36" s="1799"/>
      <c r="J36" s="2249"/>
      <c r="K36" s="1801"/>
      <c r="L36" s="1799"/>
      <c r="M36" s="1799"/>
      <c r="N36" s="1799"/>
      <c r="O36" s="2281"/>
      <c r="P36" s="2298"/>
      <c r="Q36" s="2299"/>
      <c r="R36" s="2717"/>
      <c r="S36" s="2717"/>
      <c r="T36" s="3196"/>
      <c r="U36" s="2301"/>
      <c r="V36" s="2300">
        <f>U36+R36+Q36+P36</f>
        <v>0</v>
      </c>
      <c r="W36" s="2300"/>
      <c r="X36" s="2300"/>
      <c r="Y36" s="3006"/>
      <c r="Z36" s="2341"/>
      <c r="AA36" s="1894">
        <v>0</v>
      </c>
      <c r="AB36" s="1894">
        <v>0</v>
      </c>
      <c r="AC36" s="1966">
        <f t="shared" si="58"/>
        <v>0</v>
      </c>
      <c r="AD36" s="1897">
        <v>0</v>
      </c>
      <c r="AE36" s="1897"/>
      <c r="AF36" s="1893">
        <v>0</v>
      </c>
      <c r="AG36" s="2866"/>
      <c r="AH36" s="2112">
        <f t="shared" ref="AH36" si="62">AD36+AF36+AE36+AG36</f>
        <v>0</v>
      </c>
      <c r="AI36" s="1970">
        <v>0</v>
      </c>
      <c r="AJ36" s="1848">
        <f t="shared" ref="AJ36:AJ47" si="63">AD36+AF36</f>
        <v>0</v>
      </c>
      <c r="AK36" s="2451">
        <f t="shared" si="37"/>
        <v>0</v>
      </c>
      <c r="AL36" s="2515">
        <v>0</v>
      </c>
      <c r="AM36" s="2515">
        <v>0</v>
      </c>
      <c r="AN36" s="2695">
        <f t="shared" ref="AN36:AN47" si="64">AL36+AM36</f>
        <v>0</v>
      </c>
      <c r="AO36" s="2181">
        <v>0</v>
      </c>
      <c r="AP36" s="2166">
        <v>0</v>
      </c>
      <c r="AQ36" s="2166">
        <v>0</v>
      </c>
      <c r="AR36" s="2166"/>
      <c r="AS36" s="2157">
        <f t="shared" ref="AS36:AS49" si="65">AO36+AP36+AQ36+AR36</f>
        <v>0</v>
      </c>
      <c r="AT36" s="2504">
        <v>0</v>
      </c>
      <c r="AU36" s="2158">
        <v>0</v>
      </c>
      <c r="AV36" s="2168">
        <v>0</v>
      </c>
      <c r="AW36" s="2159">
        <f>AU36+AV36</f>
        <v>0</v>
      </c>
      <c r="AX36" s="2515">
        <v>0</v>
      </c>
      <c r="AY36" s="2515">
        <v>0</v>
      </c>
      <c r="AZ36" s="2695">
        <f>AX36-AY36</f>
        <v>0</v>
      </c>
      <c r="BA36" s="3296">
        <v>0</v>
      </c>
      <c r="BB36" s="3086">
        <v>0</v>
      </c>
      <c r="BC36" s="3086">
        <v>0</v>
      </c>
      <c r="BD36" s="3086"/>
      <c r="BE36" s="3087">
        <f t="shared" si="60"/>
        <v>0</v>
      </c>
      <c r="BF36" s="2122"/>
      <c r="BG36" s="2158">
        <v>0</v>
      </c>
      <c r="BH36" s="2168">
        <v>0</v>
      </c>
      <c r="BI36" s="2159">
        <f t="shared" si="61"/>
        <v>0</v>
      </c>
      <c r="BJ36" s="2607">
        <f>BM36-BR36</f>
        <v>0</v>
      </c>
      <c r="BK36" s="2328">
        <f t="shared" ref="BK36" si="66">AB36+AM36</f>
        <v>0</v>
      </c>
      <c r="BL36" s="2608">
        <f t="shared" ref="BL36:BL49" si="67">BJ36-BK36</f>
        <v>0</v>
      </c>
      <c r="BM36" s="2611">
        <f>AD36+AO36</f>
        <v>0</v>
      </c>
      <c r="BN36" s="2101">
        <f t="shared" ref="BN36:BN47" si="68">AF36+AQ36</f>
        <v>0</v>
      </c>
      <c r="BO36" s="2101">
        <f t="shared" ref="BO36:BO45" si="69">BM36-BN36</f>
        <v>0</v>
      </c>
      <c r="BP36" s="2101">
        <f>BM36+BO36</f>
        <v>0</v>
      </c>
      <c r="BQ36" s="2101">
        <f t="shared" ref="BQ36:BQ37" si="70">BM36+BN36</f>
        <v>0</v>
      </c>
      <c r="BR36" s="2106">
        <f>AI36+AU36</f>
        <v>0</v>
      </c>
      <c r="BS36" s="2620">
        <f>AJ36+AV36</f>
        <v>0</v>
      </c>
      <c r="BT36" s="2912">
        <f t="shared" ref="BT36:BT37" si="71">BR36+BS36</f>
        <v>0</v>
      </c>
      <c r="BU36" s="3147"/>
      <c r="BV36" s="3058"/>
      <c r="BW36" s="3058"/>
      <c r="BX36" s="3058"/>
      <c r="BY36" s="3147"/>
      <c r="BZ36" s="3147"/>
      <c r="CA36" s="3147"/>
      <c r="CB36" s="3147"/>
      <c r="CC36" s="3147"/>
      <c r="CD36" s="3147"/>
      <c r="CE36" s="3147"/>
      <c r="CF36" s="3147"/>
      <c r="CG36" s="3147"/>
      <c r="CH36" s="1163"/>
      <c r="CI36" s="1144"/>
      <c r="CJ36" s="1144"/>
      <c r="CK36" s="1144"/>
      <c r="CL36" s="1144"/>
      <c r="CM36" s="1144"/>
      <c r="CN36" s="1144"/>
      <c r="CO36" s="1144"/>
      <c r="CP36" s="1144"/>
      <c r="CQ36" s="1144"/>
      <c r="CR36" s="1144"/>
      <c r="CS36" s="1144"/>
      <c r="CT36" s="1144"/>
      <c r="CU36" s="1144"/>
      <c r="CV36" s="1144"/>
      <c r="CW36" s="2854"/>
      <c r="CX36" s="2854"/>
      <c r="CY36" s="2854"/>
      <c r="CZ36" s="2854"/>
      <c r="DA36" s="2854"/>
      <c r="DB36" s="2854"/>
      <c r="DC36" s="2854"/>
      <c r="DD36" s="2854"/>
      <c r="DE36" s="2854"/>
      <c r="DF36" s="2854"/>
      <c r="DG36" s="2854"/>
      <c r="DH36" s="2854"/>
      <c r="DI36" s="2854"/>
      <c r="DJ36" s="2854"/>
      <c r="DK36" s="2854"/>
      <c r="DL36" s="2854"/>
      <c r="DM36" s="2854"/>
      <c r="DN36" s="2854"/>
      <c r="DO36" s="2854"/>
      <c r="DP36" s="2854"/>
      <c r="DQ36" s="2854"/>
      <c r="DR36" s="2854"/>
      <c r="DS36" s="2854"/>
      <c r="DT36" s="2854"/>
      <c r="DU36" s="2854"/>
      <c r="DV36" s="2854"/>
      <c r="DW36" s="2854"/>
      <c r="DX36" s="2854"/>
      <c r="DY36" s="2854"/>
      <c r="DZ36" s="2854"/>
      <c r="EA36" s="2854"/>
      <c r="EB36" s="2854"/>
      <c r="EC36" s="2854"/>
      <c r="ED36" s="2854"/>
      <c r="EE36" s="2854"/>
      <c r="EF36" s="2854"/>
      <c r="EG36" s="2854"/>
      <c r="EH36" s="2854"/>
      <c r="EI36" s="2854"/>
      <c r="EJ36" s="2854"/>
      <c r="EK36" s="2854"/>
      <c r="EL36" s="2854"/>
      <c r="EM36" s="2854"/>
      <c r="EN36" s="2854"/>
      <c r="EO36" s="2854"/>
      <c r="EP36" s="2854"/>
      <c r="EQ36" s="2854"/>
      <c r="ER36" s="2854"/>
      <c r="ES36" s="2854"/>
      <c r="ET36" s="2854"/>
      <c r="EU36" s="2854"/>
      <c r="EV36" s="2854"/>
      <c r="EW36" s="2854"/>
      <c r="EX36" s="2854"/>
      <c r="EY36" s="2854"/>
      <c r="EZ36" s="2854"/>
      <c r="FA36" s="2854"/>
      <c r="FB36" s="2854"/>
      <c r="FC36" s="2854"/>
      <c r="FD36" s="2854"/>
      <c r="FE36" s="2854"/>
      <c r="FF36" s="2854"/>
      <c r="FG36" s="2854"/>
      <c r="FH36" s="2854"/>
      <c r="FI36" s="2854"/>
      <c r="FJ36" s="2854"/>
      <c r="FK36" s="2854"/>
      <c r="FL36" s="2854"/>
      <c r="FM36" s="2854"/>
      <c r="FN36" s="2854"/>
      <c r="FO36" s="2854"/>
      <c r="FP36" s="2854"/>
      <c r="FQ36" s="2854"/>
      <c r="FR36" s="2854"/>
      <c r="FS36" s="2854"/>
      <c r="FT36" s="2854"/>
      <c r="FU36" s="2854"/>
      <c r="FV36" s="2854"/>
      <c r="FW36" s="2854"/>
      <c r="FX36" s="2854"/>
      <c r="FY36" s="2854"/>
      <c r="FZ36" s="2854"/>
      <c r="GA36" s="2854"/>
      <c r="GB36" s="2854"/>
      <c r="GC36" s="2854"/>
      <c r="GD36" s="2854"/>
      <c r="GE36" s="2854"/>
      <c r="GF36" s="2854"/>
      <c r="GG36" s="2854"/>
      <c r="GH36" s="2854"/>
      <c r="GI36" s="2854"/>
      <c r="GJ36" s="2854"/>
      <c r="GK36" s="2854"/>
      <c r="GL36" s="2854"/>
      <c r="GM36" s="2854"/>
      <c r="GN36" s="2854"/>
      <c r="GO36" s="2854"/>
      <c r="GP36" s="2854"/>
      <c r="GQ36" s="2854"/>
      <c r="GR36" s="2854"/>
      <c r="GS36" s="2854"/>
      <c r="GT36" s="2854"/>
      <c r="GU36" s="2854"/>
      <c r="GV36" s="2854"/>
      <c r="GW36" s="2854"/>
      <c r="GX36" s="2854"/>
      <c r="GY36" s="2854"/>
      <c r="GZ36" s="2854"/>
      <c r="HA36" s="2854"/>
      <c r="HB36" s="2854"/>
      <c r="HC36" s="2854"/>
      <c r="HD36" s="2854"/>
      <c r="HE36" s="2854"/>
      <c r="HF36" s="2854"/>
      <c r="HG36" s="2854"/>
      <c r="HH36" s="2854"/>
      <c r="HI36" s="2854"/>
      <c r="HJ36" s="2854"/>
      <c r="HK36" s="2854"/>
      <c r="HL36" s="2854"/>
      <c r="HM36" s="2854"/>
      <c r="HN36" s="2854"/>
      <c r="HO36" s="2854"/>
      <c r="HP36" s="2854"/>
      <c r="HQ36" s="2854"/>
      <c r="HR36" s="2854"/>
      <c r="HS36" s="2854"/>
      <c r="HT36" s="2854"/>
      <c r="HU36" s="2854"/>
      <c r="HV36" s="2854"/>
      <c r="HW36" s="2854"/>
      <c r="HX36" s="2854"/>
      <c r="HY36" s="2854"/>
      <c r="HZ36" s="2854"/>
      <c r="IA36" s="2854"/>
      <c r="IB36" s="2854"/>
      <c r="IC36" s="2854"/>
      <c r="ID36" s="2854"/>
      <c r="IE36" s="2854"/>
      <c r="IF36" s="2854"/>
      <c r="IG36" s="2854"/>
      <c r="IH36" s="2854"/>
      <c r="II36" s="2854"/>
      <c r="IJ36" s="2854"/>
      <c r="IK36" s="2854"/>
      <c r="IL36" s="2854"/>
      <c r="IM36" s="2854"/>
      <c r="IN36" s="2854"/>
      <c r="IO36" s="2854"/>
      <c r="IP36" s="2854"/>
      <c r="IQ36" s="2854"/>
      <c r="IR36" s="2854"/>
      <c r="IS36" s="2854"/>
      <c r="IT36" s="2854"/>
      <c r="IU36" s="2854"/>
      <c r="IV36" s="2854"/>
      <c r="IW36" s="2854"/>
      <c r="IX36" s="2854"/>
      <c r="IY36" s="2854"/>
      <c r="IZ36" s="2854"/>
      <c r="JA36" s="2854"/>
      <c r="JB36" s="2854"/>
      <c r="JC36" s="2854"/>
      <c r="JD36" s="2854"/>
      <c r="JE36" s="2854"/>
      <c r="JF36" s="2854"/>
      <c r="JG36" s="2854"/>
      <c r="JH36" s="2854"/>
      <c r="JI36" s="2854"/>
      <c r="JJ36" s="2854"/>
      <c r="JK36" s="2854"/>
      <c r="JL36" s="2854"/>
      <c r="JM36" s="2854"/>
      <c r="JN36" s="2854"/>
      <c r="JO36" s="2854"/>
      <c r="JP36" s="2854"/>
      <c r="JQ36" s="2854"/>
      <c r="JR36" s="2854"/>
      <c r="JS36" s="2854"/>
      <c r="JT36" s="2854"/>
      <c r="JU36" s="2854"/>
      <c r="JV36" s="2854"/>
      <c r="JW36" s="2854"/>
      <c r="JX36" s="2854"/>
      <c r="JY36" s="2854"/>
      <c r="JZ36" s="2854"/>
      <c r="KA36" s="2854"/>
      <c r="KB36" s="2854"/>
      <c r="KC36" s="2854"/>
      <c r="KD36" s="2854"/>
      <c r="KE36" s="2854"/>
      <c r="KF36" s="2854"/>
      <c r="KG36" s="2854"/>
      <c r="KH36" s="2854"/>
      <c r="KI36" s="2854"/>
      <c r="KJ36" s="2854"/>
      <c r="KK36" s="2854"/>
      <c r="KL36" s="2854"/>
      <c r="KM36" s="2854"/>
      <c r="KN36" s="2854"/>
      <c r="KO36" s="2854"/>
      <c r="KP36" s="2854"/>
      <c r="KQ36" s="2854"/>
      <c r="KR36" s="2854"/>
      <c r="KS36" s="2854"/>
      <c r="KT36" s="2854"/>
      <c r="KU36" s="2854"/>
      <c r="KV36" s="2854"/>
      <c r="KW36" s="2854"/>
      <c r="KX36" s="2854"/>
      <c r="KY36" s="2854"/>
      <c r="KZ36" s="2854"/>
      <c r="LA36" s="2854"/>
      <c r="LB36" s="2854"/>
      <c r="LC36" s="2854"/>
      <c r="LD36" s="2854"/>
      <c r="LE36" s="2854"/>
      <c r="LF36" s="2854"/>
      <c r="LG36" s="2854"/>
      <c r="LH36" s="2854"/>
      <c r="LI36" s="2854"/>
      <c r="LJ36" s="2854"/>
      <c r="LK36" s="2854"/>
      <c r="LL36" s="2854"/>
      <c r="LM36" s="2854"/>
      <c r="LN36" s="2854"/>
      <c r="LO36" s="2854"/>
      <c r="LP36" s="2854"/>
      <c r="LQ36" s="2854"/>
      <c r="LR36" s="2854"/>
      <c r="LS36" s="2854"/>
      <c r="LT36" s="2854"/>
      <c r="LU36" s="2854"/>
      <c r="LV36" s="2854"/>
      <c r="LW36" s="2854"/>
      <c r="LX36" s="2854"/>
      <c r="LY36" s="2854"/>
      <c r="LZ36" s="2854"/>
      <c r="MA36" s="2854"/>
      <c r="MB36" s="2854"/>
      <c r="MC36" s="2854"/>
      <c r="MD36" s="2854"/>
      <c r="ME36" s="2854"/>
      <c r="MF36" s="2854"/>
      <c r="MG36" s="2854"/>
      <c r="MH36" s="2854"/>
      <c r="MI36" s="2854"/>
      <c r="MJ36" s="2854"/>
      <c r="MK36" s="2854"/>
      <c r="ML36" s="2854"/>
      <c r="MM36" s="2854"/>
      <c r="MN36" s="2854"/>
      <c r="MO36" s="2854"/>
      <c r="MP36" s="2854"/>
      <c r="MQ36" s="2854"/>
      <c r="MR36" s="2854"/>
      <c r="MS36" s="2854"/>
      <c r="MT36" s="2854"/>
      <c r="MU36" s="2854"/>
      <c r="MV36" s="2854"/>
      <c r="MW36" s="2854"/>
      <c r="MX36" s="2854"/>
      <c r="MY36" s="2854"/>
      <c r="MZ36" s="2854"/>
      <c r="NA36" s="2854"/>
      <c r="NB36" s="2854"/>
      <c r="NC36" s="2854"/>
      <c r="ND36" s="2854"/>
      <c r="NE36" s="2854"/>
      <c r="NF36" s="2854"/>
      <c r="NG36" s="2854"/>
      <c r="NH36" s="2854"/>
      <c r="NI36" s="2854"/>
      <c r="NJ36" s="2854"/>
      <c r="NK36" s="2854"/>
      <c r="NL36" s="2854"/>
      <c r="NM36" s="2854"/>
      <c r="NN36" s="2854"/>
      <c r="NO36" s="2854"/>
      <c r="NP36" s="2854"/>
      <c r="NQ36" s="2854"/>
      <c r="NR36" s="2854"/>
      <c r="NS36" s="2854"/>
      <c r="NT36" s="2854"/>
      <c r="NU36" s="2854"/>
      <c r="NV36" s="2854"/>
      <c r="NW36" s="2854"/>
      <c r="NX36" s="2854"/>
      <c r="NY36" s="2854"/>
      <c r="NZ36" s="2854"/>
      <c r="OA36" s="2854"/>
      <c r="OB36" s="2854"/>
      <c r="OC36" s="2854"/>
      <c r="OD36" s="2854"/>
      <c r="OE36" s="2854"/>
      <c r="OF36" s="2854"/>
      <c r="OG36" s="2854"/>
      <c r="OH36" s="2854"/>
      <c r="OI36" s="2854"/>
      <c r="OJ36" s="2854"/>
      <c r="OK36" s="2854"/>
      <c r="OL36" s="2854"/>
      <c r="OM36" s="2854"/>
      <c r="ON36" s="2854"/>
      <c r="OO36" s="2854"/>
      <c r="OP36" s="2854"/>
      <c r="OQ36" s="2854"/>
      <c r="OR36" s="2854"/>
      <c r="OS36" s="2854"/>
      <c r="OT36" s="2854"/>
      <c r="OU36" s="2854"/>
      <c r="OV36" s="2854"/>
      <c r="OW36" s="2854"/>
      <c r="OX36" s="2854"/>
      <c r="OY36" s="2854"/>
      <c r="OZ36" s="2854"/>
      <c r="PA36" s="2854"/>
      <c r="PB36" s="2854"/>
      <c r="PC36" s="2854"/>
      <c r="PD36" s="2854"/>
      <c r="PE36" s="2854"/>
      <c r="PF36" s="2854"/>
      <c r="PG36" s="2854"/>
      <c r="PH36" s="2854"/>
      <c r="PI36" s="2854"/>
      <c r="PJ36" s="2854"/>
      <c r="PK36" s="2854"/>
      <c r="PL36" s="2854"/>
      <c r="PM36" s="2854"/>
      <c r="PN36" s="2854"/>
      <c r="PO36" s="2854"/>
      <c r="PP36" s="2854"/>
      <c r="PQ36" s="2854"/>
      <c r="PR36" s="2854"/>
      <c r="PS36" s="2854"/>
      <c r="PT36" s="2854"/>
      <c r="PU36" s="2854"/>
      <c r="PV36" s="2854"/>
      <c r="PW36" s="2854"/>
      <c r="PX36" s="2854"/>
      <c r="PY36" s="2854"/>
      <c r="PZ36" s="2854"/>
      <c r="QA36" s="2854"/>
      <c r="QB36" s="2854"/>
      <c r="QC36" s="2854"/>
      <c r="QD36" s="2854"/>
      <c r="QE36" s="2854"/>
      <c r="QF36" s="2854"/>
      <c r="QG36" s="2854"/>
      <c r="QH36" s="2854"/>
      <c r="QI36" s="2854"/>
      <c r="QJ36" s="2854"/>
      <c r="QK36" s="2854"/>
      <c r="QL36" s="2854"/>
      <c r="QM36" s="2854"/>
      <c r="QN36" s="2854"/>
      <c r="QO36" s="2854"/>
      <c r="QP36" s="2854"/>
      <c r="QQ36" s="2854"/>
      <c r="QR36" s="2854"/>
      <c r="QS36" s="2854"/>
      <c r="QT36" s="2854"/>
      <c r="QU36" s="2854"/>
      <c r="QV36" s="2854"/>
      <c r="QW36" s="2854"/>
      <c r="QX36" s="2854"/>
      <c r="QY36" s="2854"/>
      <c r="QZ36" s="2854"/>
      <c r="RA36" s="2854"/>
      <c r="RB36" s="2854"/>
      <c r="RC36" s="2854"/>
      <c r="RD36" s="2854"/>
      <c r="RE36" s="2854"/>
      <c r="RF36" s="2854"/>
      <c r="RG36" s="2854"/>
      <c r="RH36" s="2854"/>
      <c r="RI36" s="2854"/>
      <c r="RJ36" s="2854"/>
      <c r="RK36" s="2854"/>
      <c r="RL36" s="2854"/>
      <c r="RM36" s="2854"/>
      <c r="RN36" s="2854"/>
      <c r="RO36" s="2854"/>
      <c r="RP36" s="2854"/>
      <c r="RQ36" s="2854"/>
      <c r="RR36" s="2854"/>
      <c r="RS36" s="2854"/>
      <c r="RT36" s="2854"/>
      <c r="RU36" s="2854"/>
      <c r="RV36" s="2854"/>
      <c r="RW36" s="2854"/>
      <c r="RX36" s="2854"/>
      <c r="RY36" s="2854"/>
      <c r="RZ36" s="2854"/>
      <c r="SA36" s="2854"/>
      <c r="SB36" s="2854"/>
      <c r="SC36" s="2854"/>
      <c r="SD36" s="2854"/>
      <c r="SE36" s="2854"/>
      <c r="SF36" s="2854"/>
      <c r="SG36" s="2854"/>
      <c r="SH36" s="2854"/>
      <c r="SI36" s="2854"/>
      <c r="SJ36" s="2854"/>
      <c r="SK36" s="2854"/>
      <c r="SL36" s="2854"/>
      <c r="SM36" s="2854"/>
      <c r="SN36" s="2854"/>
      <c r="SO36" s="2854"/>
      <c r="SP36" s="2854"/>
      <c r="SQ36" s="2854"/>
      <c r="SR36" s="2854"/>
      <c r="SS36" s="2854"/>
      <c r="ST36" s="2854"/>
      <c r="SU36" s="2854"/>
      <c r="SV36" s="2854"/>
      <c r="SW36" s="2854"/>
      <c r="SX36" s="2854"/>
      <c r="SY36" s="2854"/>
      <c r="SZ36" s="2854"/>
      <c r="TA36" s="2854"/>
      <c r="TB36" s="2854"/>
      <c r="TC36" s="2854"/>
      <c r="TD36" s="2854"/>
      <c r="TE36" s="2854"/>
      <c r="TF36" s="2854"/>
      <c r="TG36" s="2854"/>
      <c r="TH36" s="2854"/>
      <c r="TI36" s="2854"/>
      <c r="TJ36" s="2854"/>
      <c r="TK36" s="2854"/>
      <c r="TL36" s="2854"/>
      <c r="TM36" s="2854"/>
      <c r="TN36" s="2854"/>
      <c r="TO36" s="2854"/>
      <c r="TP36" s="2854"/>
      <c r="TQ36" s="2854"/>
      <c r="TR36" s="2854"/>
      <c r="TS36" s="2854"/>
      <c r="TT36" s="2854"/>
      <c r="TU36" s="3783"/>
      <c r="TV36" s="3783"/>
      <c r="TW36" s="3783"/>
      <c r="TX36" s="3783"/>
      <c r="TY36" s="3783"/>
      <c r="TZ36" s="3783"/>
      <c r="UA36" s="3783"/>
      <c r="UB36" s="3783"/>
      <c r="UC36" s="3783"/>
      <c r="UD36" s="3783"/>
      <c r="UE36" s="3783"/>
      <c r="UF36" s="3783"/>
      <c r="UG36" s="3783"/>
      <c r="UH36" s="3783"/>
      <c r="UI36" s="3783"/>
      <c r="UJ36" s="3783"/>
      <c r="UK36" s="3783"/>
      <c r="UL36" s="3783"/>
      <c r="UM36" s="3783"/>
      <c r="UN36" s="3783"/>
      <c r="UO36" s="3783"/>
      <c r="UP36" s="2854"/>
      <c r="UQ36" s="2854"/>
      <c r="UR36" s="2854"/>
      <c r="US36" s="2854"/>
      <c r="UT36" s="2854"/>
      <c r="UU36" s="2854"/>
      <c r="UV36" s="2854"/>
      <c r="UW36" s="2854"/>
      <c r="UX36" s="2854"/>
      <c r="UY36" s="2854"/>
      <c r="UZ36" s="2854"/>
      <c r="VA36" s="2854"/>
      <c r="VB36" s="2854"/>
      <c r="VC36" s="2854"/>
      <c r="VD36" s="2854"/>
      <c r="VE36" s="2854"/>
      <c r="VF36" s="2854"/>
      <c r="VG36" s="2854"/>
      <c r="VH36" s="2854"/>
      <c r="VI36" s="2854"/>
      <c r="VJ36" s="2854"/>
      <c r="VK36" s="2854"/>
      <c r="VL36" s="2854"/>
      <c r="VM36" s="2854"/>
      <c r="VN36" s="2854"/>
      <c r="VO36" s="2854"/>
      <c r="VP36" s="2854"/>
      <c r="VQ36" s="2854"/>
      <c r="VR36" s="2854"/>
      <c r="VS36" s="2854"/>
      <c r="VT36" s="2854"/>
      <c r="VU36" s="2854"/>
      <c r="VV36" s="2854"/>
      <c r="VW36" s="2854"/>
      <c r="VX36" s="2854"/>
      <c r="VY36" s="2854"/>
      <c r="VZ36" s="2854"/>
      <c r="WA36" s="2854"/>
      <c r="WB36" s="2854"/>
      <c r="WC36" s="2854"/>
      <c r="WD36" s="2854"/>
      <c r="WE36" s="2854"/>
      <c r="WF36" s="2854"/>
      <c r="WG36" s="2854"/>
      <c r="WH36" s="2854"/>
      <c r="WI36" s="2854"/>
      <c r="WJ36" s="2854"/>
      <c r="WK36" s="2854"/>
      <c r="WL36" s="2854"/>
      <c r="WM36" s="2854"/>
      <c r="WN36" s="2854"/>
      <c r="WO36" s="2854"/>
      <c r="WP36" s="2854"/>
      <c r="WQ36" s="2854"/>
      <c r="WR36" s="2854"/>
      <c r="WS36" s="2854"/>
      <c r="WT36" s="2854"/>
      <c r="WU36" s="2854"/>
      <c r="WV36" s="2854"/>
      <c r="WW36" s="2854"/>
      <c r="WX36" s="2854"/>
      <c r="WY36" s="2854"/>
      <c r="WZ36" s="2854"/>
      <c r="XA36" s="2854"/>
      <c r="XB36" s="2854"/>
      <c r="XC36" s="2854"/>
      <c r="XD36" s="2854"/>
      <c r="XE36" s="2854"/>
      <c r="XF36" s="2854"/>
      <c r="XG36" s="2854"/>
      <c r="XH36" s="2854"/>
      <c r="XI36" s="2854"/>
      <c r="XJ36" s="2854"/>
      <c r="XK36" s="2854"/>
      <c r="XL36" s="2854"/>
      <c r="XM36" s="2854"/>
      <c r="XN36" s="2854"/>
      <c r="XO36" s="2854"/>
      <c r="XP36" s="2854"/>
      <c r="XQ36" s="2854"/>
      <c r="XR36" s="2854"/>
      <c r="XS36" s="2854"/>
      <c r="XT36" s="2854"/>
      <c r="XU36" s="2854"/>
      <c r="XV36" s="2854"/>
      <c r="XW36" s="2854"/>
      <c r="XX36" s="2854"/>
      <c r="XY36" s="2854"/>
      <c r="XZ36" s="2854"/>
      <c r="YA36" s="2854"/>
      <c r="YB36" s="2854"/>
      <c r="YC36" s="2854"/>
      <c r="YD36" s="2854"/>
      <c r="YE36" s="2854"/>
      <c r="YF36" s="2854"/>
      <c r="YG36" s="2854"/>
      <c r="YH36" s="2854"/>
      <c r="YI36" s="2854"/>
      <c r="YJ36" s="2854"/>
      <c r="YK36" s="2854"/>
      <c r="YL36" s="2854"/>
      <c r="YM36" s="2854"/>
      <c r="YN36" s="2854"/>
      <c r="YO36" s="2854"/>
      <c r="YP36" s="2854"/>
      <c r="YQ36" s="2854"/>
      <c r="YR36" s="2854"/>
      <c r="YS36" s="2854"/>
      <c r="YT36" s="2854"/>
      <c r="YU36" s="2854"/>
      <c r="YV36" s="2854"/>
      <c r="YW36" s="2854"/>
      <c r="YX36" s="2854"/>
      <c r="YY36" s="2854"/>
      <c r="YZ36" s="2854"/>
      <c r="ZA36" s="2854"/>
      <c r="ZB36" s="2854"/>
      <c r="ZC36" s="2854"/>
      <c r="ZD36" s="2854"/>
      <c r="ZE36" s="2854"/>
      <c r="ZF36" s="2854"/>
      <c r="ZG36" s="2854"/>
      <c r="ZH36" s="2854"/>
      <c r="ZI36" s="2854"/>
      <c r="ZJ36" s="2854"/>
      <c r="ZK36" s="2854"/>
      <c r="ZL36" s="2854"/>
      <c r="ZM36" s="2854"/>
      <c r="ZN36" s="2854"/>
      <c r="ZO36" s="2854"/>
      <c r="ZP36" s="2854"/>
      <c r="ZQ36" s="2854"/>
      <c r="ZR36" s="2854"/>
      <c r="ZS36" s="2854"/>
      <c r="ZT36" s="2854"/>
      <c r="ZU36" s="2854"/>
      <c r="ZV36" s="2854"/>
      <c r="ZW36" s="2854"/>
      <c r="ZX36" s="2854"/>
      <c r="ZY36" s="2854"/>
      <c r="ZZ36" s="2854"/>
      <c r="AAA36" s="2854"/>
      <c r="AAB36" s="2854"/>
      <c r="AAC36" s="2854"/>
      <c r="AAD36" s="2854"/>
      <c r="AAE36" s="2854"/>
      <c r="AAF36" s="2854"/>
      <c r="AAG36" s="2854"/>
      <c r="AAH36" s="2854"/>
      <c r="AAI36" s="2854"/>
      <c r="AAJ36" s="2854"/>
      <c r="AAK36" s="2854"/>
      <c r="AAL36" s="2854"/>
      <c r="AAM36" s="2854"/>
      <c r="AAN36" s="2854"/>
      <c r="AAO36" s="2854"/>
      <c r="AAP36" s="2854"/>
      <c r="AAQ36" s="2854"/>
      <c r="AAR36" s="2854"/>
      <c r="AAS36" s="2854"/>
      <c r="AAT36" s="2854"/>
      <c r="AAU36" s="2854"/>
      <c r="AAV36" s="2854"/>
      <c r="AAW36" s="2854"/>
      <c r="AAX36" s="2854"/>
      <c r="AAY36" s="2854"/>
      <c r="AAZ36" s="2854"/>
      <c r="ABA36" s="2854"/>
      <c r="ABB36" s="2854"/>
      <c r="ABC36" s="2854"/>
      <c r="ABD36" s="2854"/>
      <c r="ABE36" s="2854"/>
      <c r="ABF36" s="2854"/>
      <c r="ABG36" s="2854"/>
      <c r="ABH36" s="2854"/>
      <c r="ABI36" s="2854"/>
      <c r="ABJ36" s="2854"/>
      <c r="ABK36" s="2854"/>
      <c r="ABL36" s="2854"/>
      <c r="ABM36" s="2854"/>
      <c r="ABN36" s="2854"/>
      <c r="ABO36" s="2854"/>
      <c r="ABP36" s="2854"/>
      <c r="ABQ36" s="2854"/>
      <c r="ABR36" s="2854"/>
      <c r="ABS36" s="2854"/>
      <c r="ABT36" s="2854"/>
      <c r="ABU36" s="2854"/>
      <c r="ABV36" s="2854"/>
      <c r="ABW36" s="2854"/>
      <c r="ABX36" s="2854"/>
      <c r="ABY36" s="2854"/>
      <c r="ABZ36" s="2854"/>
      <c r="ACA36" s="2854"/>
      <c r="ACB36" s="2854"/>
      <c r="ACC36" s="2854"/>
      <c r="ACD36" s="2854"/>
      <c r="ACE36" s="2854"/>
      <c r="ACF36" s="2854"/>
      <c r="ACG36" s="2854"/>
      <c r="ACH36" s="2854"/>
      <c r="ACI36" s="2854"/>
      <c r="ACJ36" s="2854"/>
      <c r="ACK36" s="2854"/>
      <c r="ACL36" s="2854"/>
      <c r="ACM36" s="2854"/>
      <c r="ACN36" s="2854"/>
      <c r="ACO36" s="2854"/>
      <c r="ACP36" s="2854"/>
      <c r="ACQ36" s="2854"/>
      <c r="ACR36" s="2854"/>
      <c r="ACS36" s="2854"/>
      <c r="ACT36" s="2854"/>
      <c r="ACU36" s="2854"/>
      <c r="ACV36" s="2854"/>
      <c r="ACW36" s="2854"/>
      <c r="ACX36" s="2854"/>
      <c r="ACY36" s="2854"/>
      <c r="ACZ36" s="2854"/>
      <c r="ADA36" s="2854"/>
      <c r="ADB36" s="2854"/>
      <c r="ADC36" s="2854"/>
      <c r="ADD36" s="2854"/>
      <c r="ADE36" s="2854"/>
      <c r="ADF36" s="2854"/>
      <c r="ADG36" s="2854"/>
      <c r="ADH36" s="2854"/>
      <c r="ADI36" s="2854"/>
      <c r="ADJ36" s="2854"/>
      <c r="ADK36" s="2854"/>
      <c r="ADL36" s="2854"/>
      <c r="ADM36" s="2854"/>
      <c r="ADN36" s="2854"/>
      <c r="ADO36" s="2854"/>
      <c r="ADP36" s="2854"/>
      <c r="ADQ36" s="2854"/>
      <c r="ADR36" s="2854"/>
      <c r="ADS36" s="2854"/>
      <c r="ADT36" s="2854"/>
      <c r="ADU36" s="2854"/>
      <c r="ADV36" s="2854"/>
      <c r="ADW36" s="2854"/>
      <c r="ADX36" s="2854"/>
      <c r="ADY36" s="2854"/>
      <c r="ADZ36" s="2854"/>
      <c r="AEA36" s="2854"/>
      <c r="AEB36" s="2854"/>
      <c r="AEC36" s="2854"/>
      <c r="AED36" s="2854"/>
      <c r="AEE36" s="2854"/>
      <c r="AEF36" s="2854"/>
      <c r="AEG36" s="2854"/>
      <c r="AEH36" s="2854"/>
      <c r="AEI36" s="2854"/>
      <c r="AEJ36" s="2854"/>
      <c r="AEK36" s="2854"/>
      <c r="AEL36" s="2854"/>
      <c r="AEM36" s="2854"/>
      <c r="AEN36" s="2854"/>
      <c r="AEO36" s="2854"/>
      <c r="AEP36" s="2854"/>
      <c r="AEQ36" s="2854"/>
      <c r="AER36" s="2854"/>
      <c r="AES36" s="2854"/>
      <c r="AET36" s="2854"/>
      <c r="AEU36" s="2854"/>
      <c r="AEV36" s="2854"/>
      <c r="AEW36" s="2854"/>
      <c r="AEX36" s="2854"/>
      <c r="AEY36" s="2854"/>
      <c r="AEZ36" s="2854"/>
      <c r="AFA36" s="2854"/>
      <c r="AFB36" s="2854"/>
      <c r="AFC36" s="2854"/>
      <c r="AFD36" s="2854"/>
      <c r="AFE36" s="2854"/>
      <c r="AFF36" s="2854"/>
      <c r="AFG36" s="2854"/>
      <c r="AFH36" s="2854"/>
      <c r="AFI36" s="2854"/>
      <c r="AFJ36" s="2854"/>
      <c r="AFK36" s="2854"/>
      <c r="AFL36" s="2854"/>
      <c r="AFM36" s="2854"/>
      <c r="AFN36" s="2854"/>
      <c r="AFO36" s="2854"/>
      <c r="AFP36" s="2854"/>
      <c r="AFQ36" s="2854"/>
      <c r="AFR36" s="2854"/>
      <c r="AFS36" s="2854"/>
      <c r="AFT36" s="2854"/>
      <c r="AFU36" s="2854"/>
      <c r="AFV36" s="2854"/>
      <c r="AFW36" s="2854"/>
      <c r="AFX36" s="2854"/>
      <c r="AFY36" s="2854"/>
      <c r="AFZ36" s="2854"/>
      <c r="AGA36" s="2854"/>
      <c r="AGB36" s="2854"/>
      <c r="AGC36" s="2854"/>
      <c r="AGD36" s="2854"/>
      <c r="AGE36" s="2854"/>
      <c r="AGF36" s="2854"/>
      <c r="AGG36" s="2854"/>
      <c r="AGH36" s="2854"/>
      <c r="AGI36" s="2854"/>
      <c r="AGJ36" s="2854"/>
      <c r="AGK36" s="2854"/>
      <c r="AGL36" s="2854"/>
      <c r="AGM36" s="2854"/>
      <c r="AGN36" s="2854"/>
      <c r="AGO36" s="2854"/>
      <c r="AGP36" s="2854"/>
      <c r="AGQ36" s="2854"/>
      <c r="AGR36" s="2854"/>
      <c r="AGS36" s="2854"/>
      <c r="AGT36" s="2854"/>
      <c r="AGU36" s="2854"/>
      <c r="AGV36" s="2854"/>
      <c r="AGW36" s="2854"/>
      <c r="AGX36" s="2854"/>
      <c r="AGY36" s="2854"/>
      <c r="AGZ36" s="2854"/>
      <c r="AHA36" s="2854"/>
      <c r="AHB36" s="2854"/>
      <c r="AHC36" s="2854"/>
      <c r="AHD36" s="2854"/>
      <c r="AHE36" s="2854"/>
      <c r="AHF36" s="2854"/>
      <c r="AHG36" s="2854"/>
      <c r="AHH36" s="2854"/>
      <c r="AHI36" s="2854"/>
      <c r="AHJ36" s="2854"/>
      <c r="AHK36" s="2854"/>
      <c r="AHL36" s="2854"/>
      <c r="AHM36" s="2854"/>
      <c r="AHN36" s="2854"/>
      <c r="AHO36" s="2854"/>
      <c r="AHP36" s="2854"/>
      <c r="AHQ36" s="2854"/>
      <c r="AHR36" s="2854"/>
      <c r="AHS36" s="2854"/>
      <c r="AHT36" s="2854"/>
      <c r="AHU36" s="2854"/>
      <c r="AHV36" s="2854"/>
      <c r="AHW36" s="2854"/>
      <c r="AHX36" s="2854"/>
      <c r="AHY36" s="2854"/>
      <c r="AHZ36" s="2854"/>
      <c r="AIA36" s="2854"/>
      <c r="AIB36" s="2854"/>
      <c r="AIC36" s="2854"/>
      <c r="AID36" s="2854"/>
      <c r="AIE36" s="2854"/>
      <c r="AIF36" s="2854"/>
      <c r="AIG36" s="2854"/>
      <c r="AIH36" s="2854"/>
      <c r="AII36" s="2854"/>
      <c r="AIJ36" s="2854"/>
      <c r="AIK36" s="2854"/>
      <c r="AIL36" s="2854"/>
      <c r="AIM36" s="2854"/>
      <c r="AIN36" s="2854"/>
      <c r="AIO36" s="2854"/>
      <c r="AIP36" s="2854"/>
      <c r="AIQ36" s="2854"/>
      <c r="AIR36" s="2854"/>
      <c r="AIS36" s="2854"/>
      <c r="AIT36" s="2854"/>
      <c r="AIU36" s="2854"/>
      <c r="AIV36" s="2854"/>
      <c r="AIW36" s="2854"/>
      <c r="AIX36" s="2854"/>
      <c r="AIY36" s="2854"/>
      <c r="AIZ36" s="2854"/>
      <c r="AJA36" s="2854"/>
      <c r="AJB36" s="2854"/>
      <c r="AJC36" s="2854"/>
      <c r="AJD36" s="2854"/>
      <c r="AJE36" s="2854"/>
      <c r="AJF36" s="2854"/>
      <c r="AJG36" s="2854"/>
      <c r="AJH36" s="2854"/>
      <c r="AJI36" s="2854"/>
      <c r="AJJ36" s="2854"/>
      <c r="AJK36" s="2854"/>
      <c r="AJL36" s="2854"/>
      <c r="AJM36" s="2854"/>
      <c r="AJN36" s="2854"/>
      <c r="AJO36" s="2854"/>
      <c r="AJP36" s="2854"/>
      <c r="AJQ36" s="2854"/>
      <c r="AJR36" s="2854"/>
      <c r="AJS36" s="2854"/>
      <c r="AJT36" s="2854"/>
      <c r="AJU36" s="2854"/>
      <c r="AJV36" s="2854"/>
      <c r="AJW36" s="2854"/>
      <c r="AJX36" s="2854"/>
      <c r="AJY36" s="2854"/>
      <c r="AJZ36" s="2854"/>
      <c r="AKA36" s="2854"/>
      <c r="AKB36" s="2854"/>
      <c r="AKC36" s="2854"/>
      <c r="AKD36" s="2854"/>
      <c r="AKE36" s="2854"/>
      <c r="AKF36" s="2854"/>
      <c r="AKG36" s="2854"/>
      <c r="AKH36" s="2854"/>
      <c r="AKI36" s="2854"/>
      <c r="AKJ36" s="2854"/>
      <c r="AKK36" s="2854"/>
      <c r="AKL36" s="2854"/>
      <c r="AKM36" s="2854"/>
      <c r="AKN36" s="2854"/>
      <c r="AKO36" s="2854"/>
      <c r="AKP36" s="2854"/>
      <c r="AKQ36" s="2854"/>
      <c r="AKR36" s="2854"/>
      <c r="AKS36" s="2854"/>
      <c r="AKT36" s="2854"/>
      <c r="AKU36" s="2854"/>
      <c r="AKV36" s="2854"/>
      <c r="AKW36" s="2854"/>
      <c r="AKX36" s="2854"/>
      <c r="AKY36" s="2854"/>
      <c r="AKZ36" s="2854"/>
      <c r="ALA36" s="2854"/>
      <c r="ALB36" s="2854"/>
      <c r="ALC36" s="2854"/>
      <c r="ALD36" s="2854"/>
      <c r="ALE36" s="2854"/>
      <c r="ALF36" s="2854"/>
      <c r="ALG36" s="2854"/>
      <c r="ALH36" s="2854"/>
      <c r="ALI36" s="2854"/>
      <c r="ALJ36" s="2854"/>
      <c r="ALK36" s="2854"/>
      <c r="ALL36" s="2854"/>
      <c r="ALM36" s="2854"/>
      <c r="ALN36" s="2854"/>
      <c r="ALO36" s="2854"/>
      <c r="ALP36" s="2854"/>
      <c r="ALQ36" s="2854"/>
      <c r="ALR36" s="2854"/>
      <c r="ALS36" s="2854"/>
      <c r="ALT36" s="2854"/>
      <c r="ALU36" s="2854"/>
      <c r="ALV36" s="2854"/>
      <c r="ALW36" s="2854"/>
      <c r="ALX36" s="2854"/>
      <c r="ALY36" s="2854"/>
      <c r="ALZ36" s="2854"/>
      <c r="AMA36" s="2854"/>
      <c r="AMB36" s="2854"/>
      <c r="AMC36" s="2854"/>
      <c r="AMD36" s="2854"/>
      <c r="AME36" s="2854"/>
      <c r="AMF36" s="2854"/>
      <c r="AMG36" s="2854"/>
      <c r="AMH36" s="2854"/>
      <c r="AMI36" s="2854"/>
      <c r="AMJ36" s="2854"/>
      <c r="AMK36" s="2854"/>
      <c r="AML36" s="2854"/>
      <c r="AMM36" s="2854"/>
      <c r="AMN36" s="2854"/>
      <c r="AMO36" s="2854"/>
      <c r="AMP36" s="2854"/>
      <c r="AMQ36" s="2854"/>
      <c r="AMR36" s="2854"/>
      <c r="AMS36" s="2854"/>
      <c r="AMT36" s="2854"/>
      <c r="AMU36" s="2854"/>
      <c r="AMV36" s="2854"/>
      <c r="AMW36" s="2854"/>
      <c r="AMX36" s="2854"/>
      <c r="AMY36" s="2854"/>
      <c r="AMZ36" s="2854"/>
      <c r="ANA36" s="2854"/>
      <c r="ANB36" s="2854"/>
      <c r="ANC36" s="2854"/>
      <c r="AND36" s="2854"/>
      <c r="ANE36" s="2854"/>
      <c r="ANF36" s="2854"/>
      <c r="ANG36" s="2854"/>
      <c r="ANH36" s="2854"/>
      <c r="ANI36" s="2854"/>
      <c r="ANJ36" s="2854"/>
      <c r="ANK36" s="2854"/>
      <c r="ANL36" s="2854"/>
      <c r="ANM36" s="2854"/>
      <c r="ANN36" s="2854"/>
      <c r="ANO36" s="2854"/>
      <c r="ANP36" s="2854"/>
      <c r="ANQ36" s="2854"/>
      <c r="ANR36" s="2854"/>
      <c r="ANS36" s="2854"/>
      <c r="ANT36" s="2854"/>
      <c r="ANU36" s="2854"/>
      <c r="ANV36" s="2854"/>
      <c r="ANW36" s="2854"/>
      <c r="ANX36" s="2854"/>
      <c r="ANY36" s="2854"/>
      <c r="ANZ36" s="2854"/>
      <c r="AOA36" s="2854"/>
      <c r="AOB36" s="2854"/>
      <c r="AOC36" s="2854"/>
      <c r="AOD36" s="2854"/>
      <c r="AOE36" s="2854"/>
      <c r="AOF36" s="2854"/>
      <c r="AOG36" s="2854"/>
      <c r="AOH36" s="2854"/>
      <c r="AOI36" s="2854"/>
      <c r="AOJ36" s="2854"/>
      <c r="AOK36" s="2854"/>
      <c r="AOL36" s="2854"/>
      <c r="AOM36" s="2854"/>
      <c r="AON36" s="2854"/>
      <c r="AOO36" s="2854"/>
      <c r="AOP36" s="2854"/>
      <c r="AOQ36" s="2854"/>
      <c r="AOR36" s="2854"/>
      <c r="AOS36" s="2854"/>
      <c r="AOT36" s="2854"/>
      <c r="AOU36" s="2854"/>
      <c r="AOV36" s="2854"/>
      <c r="AOW36" s="2854"/>
      <c r="AOX36" s="2854"/>
      <c r="AOY36" s="2854"/>
      <c r="AOZ36" s="2854"/>
      <c r="APA36" s="2854"/>
      <c r="APB36" s="2854"/>
      <c r="APC36" s="2854"/>
      <c r="APD36" s="2854"/>
      <c r="APE36" s="2854"/>
      <c r="APF36" s="2854"/>
      <c r="APG36" s="2854"/>
      <c r="APH36" s="2854"/>
      <c r="API36" s="2854"/>
      <c r="APJ36" s="2854"/>
      <c r="APK36" s="2854"/>
      <c r="APL36" s="2854"/>
      <c r="APM36" s="2854"/>
      <c r="APN36" s="2854"/>
      <c r="APO36" s="2854"/>
      <c r="APP36" s="2854"/>
      <c r="APQ36" s="2854"/>
      <c r="APR36" s="2854"/>
      <c r="APS36" s="2854"/>
      <c r="APT36" s="2854"/>
      <c r="APU36" s="2854"/>
      <c r="APV36" s="2854"/>
      <c r="APW36" s="2854"/>
      <c r="APX36" s="2854"/>
      <c r="APY36" s="2854"/>
      <c r="APZ36" s="2854"/>
      <c r="AQA36" s="2854"/>
      <c r="AQB36" s="2854"/>
      <c r="AQC36" s="2854"/>
      <c r="AQD36" s="2854"/>
      <c r="AQE36" s="2854"/>
      <c r="AQF36" s="2854"/>
      <c r="AQG36" s="2854"/>
      <c r="AQH36" s="2854"/>
      <c r="AQI36" s="2854"/>
      <c r="AQJ36" s="2854"/>
      <c r="AQK36" s="2854"/>
      <c r="AQL36" s="2854"/>
      <c r="AQM36" s="2854"/>
      <c r="AQN36" s="2854"/>
      <c r="AQO36" s="2854"/>
      <c r="AQP36" s="2854"/>
      <c r="AQQ36" s="2854"/>
      <c r="AQR36" s="2854"/>
      <c r="AQS36" s="2854"/>
      <c r="AQT36" s="2854"/>
      <c r="AQU36" s="2854"/>
      <c r="AQV36" s="2854"/>
      <c r="AQW36" s="2854"/>
      <c r="AQX36" s="2854"/>
      <c r="AQY36" s="2854"/>
      <c r="AQZ36" s="2854"/>
      <c r="ARA36" s="2854"/>
      <c r="ARB36" s="2854"/>
      <c r="ARC36" s="2854"/>
      <c r="ARD36" s="2854"/>
      <c r="ARE36" s="2854"/>
      <c r="ARF36" s="2854"/>
      <c r="ARG36" s="2854"/>
      <c r="ARH36" s="2854"/>
      <c r="ARI36" s="2854"/>
      <c r="ARJ36" s="2854"/>
      <c r="ARK36" s="2854"/>
      <c r="ARL36" s="2854"/>
      <c r="ARM36" s="2854"/>
      <c r="ARN36" s="2854"/>
      <c r="ARO36" s="2854"/>
      <c r="ARP36" s="2854"/>
      <c r="ARQ36" s="2854"/>
      <c r="ARR36" s="2854"/>
      <c r="ARS36" s="2854"/>
      <c r="ART36" s="2854"/>
      <c r="ARU36" s="2854"/>
      <c r="ARV36" s="2854"/>
      <c r="ARW36" s="2854"/>
      <c r="ARX36" s="2854"/>
      <c r="ARY36" s="2854"/>
      <c r="ARZ36" s="2854"/>
      <c r="ASA36" s="2854"/>
      <c r="ASB36" s="2854"/>
      <c r="ASC36" s="2854"/>
      <c r="ASD36" s="2854"/>
      <c r="ASE36" s="2854"/>
      <c r="ASF36" s="2854"/>
      <c r="ASG36" s="2854"/>
      <c r="ASH36" s="2854"/>
      <c r="ASI36" s="2854"/>
      <c r="ASJ36" s="2854"/>
      <c r="ASK36" s="2854"/>
      <c r="ASL36" s="2854"/>
      <c r="ASM36" s="2854"/>
      <c r="ASN36" s="2854"/>
      <c r="ASO36" s="2854"/>
      <c r="ASP36" s="2854"/>
      <c r="ASQ36" s="2854"/>
      <c r="ASR36" s="2854"/>
      <c r="ASS36" s="2854"/>
      <c r="AST36" s="2854"/>
      <c r="ASU36" s="2854"/>
      <c r="ASV36" s="2854"/>
      <c r="ASW36" s="2854"/>
      <c r="ASX36" s="2854"/>
      <c r="ASY36" s="2854"/>
      <c r="ASZ36" s="2854"/>
      <c r="ATA36" s="2854"/>
      <c r="ATB36" s="2854"/>
      <c r="ATC36" s="2854"/>
      <c r="ATD36" s="2854"/>
      <c r="ATE36" s="2854"/>
      <c r="ATF36" s="2854"/>
      <c r="ATG36" s="2854"/>
      <c r="ATH36" s="2854"/>
      <c r="ATI36" s="2854"/>
      <c r="ATJ36" s="2854"/>
      <c r="ATK36" s="2854"/>
      <c r="ATL36" s="2854"/>
      <c r="ATM36" s="2854"/>
      <c r="ATN36" s="2854"/>
      <c r="ATO36" s="2854"/>
      <c r="ATP36" s="2854"/>
      <c r="ATQ36" s="2854"/>
      <c r="ATR36" s="2854"/>
      <c r="ATS36" s="2854"/>
      <c r="ATT36" s="2854"/>
      <c r="ATU36" s="2854"/>
      <c r="ATV36" s="2854"/>
      <c r="ATW36" s="2854"/>
      <c r="ATX36" s="2854"/>
      <c r="ATY36" s="2854"/>
      <c r="ATZ36" s="2854"/>
      <c r="AUA36" s="2854"/>
      <c r="AUB36" s="2854"/>
      <c r="AUC36" s="2854"/>
      <c r="AUD36" s="2854"/>
      <c r="AUE36" s="2854"/>
      <c r="AUF36" s="2854"/>
      <c r="AUG36" s="2854"/>
      <c r="AUH36" s="2854"/>
      <c r="AUI36" s="2854"/>
      <c r="AUJ36" s="2854"/>
      <c r="AUK36" s="2854"/>
      <c r="AUL36" s="2854"/>
      <c r="AUM36" s="2854"/>
      <c r="AUN36" s="2854"/>
      <c r="AUO36" s="2854"/>
      <c r="AUP36" s="2854"/>
      <c r="AUQ36" s="2854"/>
      <c r="AUR36" s="2854"/>
      <c r="AUS36" s="2854"/>
      <c r="AUT36" s="2854"/>
      <c r="AUU36" s="2854"/>
      <c r="AUV36" s="2854"/>
      <c r="AUW36" s="2854"/>
      <c r="AUX36" s="2854"/>
      <c r="AUY36" s="2854"/>
      <c r="AUZ36" s="2854"/>
      <c r="AVA36" s="2854"/>
      <c r="AVB36" s="2854"/>
      <c r="AVC36" s="2854"/>
      <c r="AVD36" s="2854"/>
      <c r="AVE36" s="2854"/>
      <c r="AVF36" s="2854"/>
      <c r="AVG36" s="2854"/>
      <c r="AVH36" s="2854"/>
      <c r="AVI36" s="2854"/>
      <c r="AVJ36" s="2854"/>
      <c r="AVK36" s="2854"/>
      <c r="AVL36" s="2854"/>
      <c r="AVM36" s="2854"/>
      <c r="AVN36" s="2854"/>
      <c r="AVO36" s="2854"/>
      <c r="AVP36" s="2854"/>
      <c r="AVQ36" s="2854"/>
      <c r="AVR36" s="2854"/>
      <c r="AVS36" s="2854"/>
      <c r="AVT36" s="2854"/>
      <c r="AVU36" s="2854"/>
      <c r="AVV36" s="2854"/>
      <c r="AVW36" s="2854"/>
      <c r="AVX36" s="2854"/>
      <c r="AVY36" s="2854"/>
      <c r="AVZ36" s="2854"/>
      <c r="AWA36" s="2854"/>
      <c r="AWB36" s="2854"/>
      <c r="AWC36" s="2854"/>
      <c r="AWD36" s="2854"/>
      <c r="AWE36" s="2854"/>
      <c r="AWF36" s="2854"/>
      <c r="AWG36" s="2854"/>
      <c r="AWH36" s="2854"/>
      <c r="AWI36" s="2854"/>
      <c r="AWJ36" s="2854"/>
      <c r="AWK36" s="2854"/>
      <c r="AWL36" s="2854"/>
      <c r="AWM36" s="2854"/>
      <c r="AWN36" s="2854"/>
      <c r="AWO36" s="2854"/>
      <c r="AWP36" s="2854"/>
      <c r="AWQ36" s="2854"/>
      <c r="AWR36" s="2854"/>
      <c r="AWS36" s="2854"/>
      <c r="AWT36" s="2854"/>
      <c r="AWU36" s="2854"/>
      <c r="AWV36" s="2854"/>
      <c r="AWW36" s="2854"/>
      <c r="AWX36" s="2854"/>
      <c r="AWY36" s="2854"/>
      <c r="AWZ36" s="2854"/>
      <c r="AXA36" s="2854"/>
      <c r="AXB36" s="2854"/>
      <c r="AXC36" s="2854"/>
      <c r="AXD36" s="2854"/>
      <c r="AXE36" s="2854"/>
      <c r="AXF36" s="2854"/>
      <c r="AXG36" s="2854"/>
      <c r="AXH36" s="2854"/>
      <c r="AXI36" s="2854"/>
      <c r="AXJ36" s="2854"/>
      <c r="AXK36" s="2854"/>
      <c r="AXL36" s="2854"/>
      <c r="AXM36" s="2854"/>
      <c r="AXN36" s="2854"/>
      <c r="AXO36" s="2854"/>
      <c r="AXP36" s="2854"/>
      <c r="AXQ36" s="2854"/>
      <c r="AXR36" s="2854"/>
      <c r="AXS36" s="2854"/>
      <c r="AXT36" s="2854"/>
      <c r="AXU36" s="2854"/>
      <c r="AXV36" s="2854"/>
      <c r="AXW36" s="2854"/>
      <c r="AXX36" s="2854"/>
      <c r="AXY36" s="2854"/>
      <c r="AXZ36" s="2854"/>
      <c r="AYA36" s="2854"/>
      <c r="AYB36" s="2854"/>
      <c r="AYC36" s="2854"/>
      <c r="AYD36" s="2854"/>
      <c r="AYE36" s="2854"/>
      <c r="AYF36" s="2854"/>
      <c r="AYG36" s="2854"/>
      <c r="AYH36" s="2854"/>
      <c r="AYI36" s="2854"/>
      <c r="AYJ36" s="2854"/>
      <c r="AYK36" s="2854"/>
      <c r="AYL36" s="2854"/>
      <c r="AYM36" s="2854"/>
      <c r="AYN36" s="2854"/>
      <c r="AYO36" s="2854"/>
      <c r="AYP36" s="2854"/>
      <c r="AYQ36" s="2854"/>
      <c r="AYR36" s="2854"/>
      <c r="AYS36" s="2854"/>
      <c r="AYT36" s="2854"/>
      <c r="AYU36" s="2854"/>
      <c r="AYV36" s="2854"/>
      <c r="AYW36" s="2854"/>
      <c r="AYX36" s="2854"/>
      <c r="AYY36" s="2854"/>
      <c r="AYZ36" s="2854"/>
      <c r="AZA36" s="2854"/>
      <c r="AZB36" s="2854"/>
      <c r="AZC36" s="2854"/>
      <c r="AZD36" s="2854"/>
      <c r="AZE36" s="2854"/>
      <c r="AZF36" s="2854"/>
      <c r="AZG36" s="2854"/>
      <c r="AZH36" s="2854"/>
      <c r="AZI36" s="2854"/>
      <c r="AZJ36" s="2854"/>
      <c r="AZK36" s="2854"/>
      <c r="AZL36" s="2854"/>
      <c r="AZM36" s="2854"/>
      <c r="AZN36" s="2854"/>
      <c r="AZO36" s="2854"/>
      <c r="AZP36" s="2854"/>
      <c r="AZQ36" s="2854"/>
      <c r="AZR36" s="2854"/>
      <c r="AZS36" s="2854"/>
      <c r="AZT36" s="2854"/>
      <c r="AZU36" s="2854"/>
      <c r="AZV36" s="2854"/>
      <c r="AZW36" s="2854"/>
      <c r="AZX36" s="2854"/>
      <c r="AZY36" s="2854"/>
      <c r="AZZ36" s="2854"/>
      <c r="BAA36" s="2854"/>
      <c r="BAB36" s="2854"/>
      <c r="BAC36" s="2854"/>
      <c r="BAD36" s="2854"/>
      <c r="BAE36" s="2854"/>
      <c r="BAF36" s="2854"/>
      <c r="BAG36" s="2854"/>
      <c r="BAH36" s="2854"/>
      <c r="BAI36" s="2854"/>
      <c r="BAJ36" s="2854"/>
      <c r="BAK36" s="2854"/>
      <c r="BAL36" s="2854"/>
      <c r="BAM36" s="2854"/>
      <c r="BAN36" s="2854"/>
      <c r="BAO36" s="2854"/>
      <c r="BAP36" s="2854"/>
      <c r="BAQ36" s="2854"/>
      <c r="BAR36" s="2854"/>
      <c r="BAS36" s="2854"/>
      <c r="BAT36" s="2854"/>
      <c r="BAU36" s="2854"/>
      <c r="BAV36" s="2854"/>
      <c r="BAW36" s="2854"/>
      <c r="BAX36" s="2854"/>
      <c r="BAY36" s="2854"/>
      <c r="BAZ36" s="2854"/>
      <c r="BBA36" s="2854"/>
      <c r="BBB36" s="2854"/>
      <c r="BBC36" s="2854"/>
      <c r="BBD36" s="2854"/>
      <c r="BBE36" s="2854"/>
      <c r="BBF36" s="2854"/>
      <c r="BBG36" s="2854"/>
      <c r="BBH36" s="2854"/>
      <c r="BBI36" s="2854"/>
      <c r="BBJ36" s="2854"/>
      <c r="BBK36" s="2854"/>
      <c r="BBL36" s="2854"/>
      <c r="BBM36" s="2854"/>
      <c r="BBN36" s="2854"/>
      <c r="BBO36" s="2854"/>
      <c r="BBP36" s="2854"/>
      <c r="BBQ36" s="2854"/>
      <c r="BBR36" s="2854"/>
      <c r="BBS36" s="2854"/>
      <c r="BBT36" s="2854"/>
      <c r="BBU36" s="2854"/>
      <c r="BBV36" s="2854"/>
      <c r="BBW36" s="2854"/>
      <c r="BBX36" s="2854"/>
      <c r="BBY36" s="2854"/>
      <c r="BBZ36" s="2854"/>
      <c r="BCA36" s="2854"/>
      <c r="BCB36" s="2854"/>
      <c r="BCC36" s="2854"/>
      <c r="BCD36" s="2854"/>
      <c r="BCE36" s="2854"/>
      <c r="BCF36" s="2854"/>
      <c r="BCG36" s="2854"/>
      <c r="BCH36" s="2854"/>
      <c r="BCI36" s="2854"/>
      <c r="BCJ36" s="2854"/>
      <c r="BCK36" s="2854"/>
      <c r="BCL36" s="2854"/>
      <c r="BCM36" s="2854"/>
      <c r="BCN36" s="2854"/>
      <c r="BCO36" s="2854"/>
      <c r="BCP36" s="2854"/>
      <c r="BCQ36" s="2854"/>
      <c r="BCR36" s="2854"/>
      <c r="BCS36" s="2854"/>
      <c r="BCT36" s="2854"/>
      <c r="BCU36" s="2854"/>
      <c r="BCV36" s="2854"/>
      <c r="BCW36" s="2854"/>
      <c r="BCX36" s="2854"/>
      <c r="BCY36" s="2854"/>
      <c r="BCZ36" s="2854"/>
      <c r="BDA36" s="2854"/>
      <c r="BDB36" s="2854"/>
      <c r="BDC36" s="2854"/>
      <c r="BDD36" s="2854"/>
      <c r="BDE36" s="2854"/>
      <c r="BDF36" s="2854"/>
      <c r="BDG36" s="2854"/>
      <c r="BDH36" s="2854"/>
      <c r="BDI36" s="2854"/>
      <c r="BDJ36" s="2854"/>
      <c r="BDK36" s="2854"/>
      <c r="BDL36" s="2854"/>
      <c r="BDM36" s="2854"/>
      <c r="BDN36" s="2854"/>
      <c r="BDO36" s="2854"/>
      <c r="BDP36" s="2854"/>
      <c r="BDQ36" s="2854"/>
      <c r="BDR36" s="2854"/>
      <c r="BDS36" s="2854"/>
      <c r="BDT36" s="2854"/>
      <c r="BDU36" s="2854"/>
      <c r="BDV36" s="2854"/>
      <c r="BDW36" s="2854"/>
      <c r="BDX36" s="2854"/>
      <c r="BDY36" s="2854"/>
      <c r="BDZ36" s="2854"/>
      <c r="BEA36" s="2854"/>
      <c r="BEB36" s="2854"/>
      <c r="BEC36" s="2854"/>
      <c r="BED36" s="2854"/>
      <c r="BEE36" s="2854"/>
      <c r="BEF36" s="2854"/>
      <c r="BEG36" s="2854"/>
      <c r="BEH36" s="2854"/>
      <c r="BEI36" s="2854"/>
      <c r="BEJ36" s="2854"/>
      <c r="BEK36" s="2854"/>
      <c r="BEL36" s="2854"/>
      <c r="BEM36" s="2854"/>
      <c r="BEN36" s="2854"/>
      <c r="BEO36" s="2854"/>
      <c r="BEP36" s="2854"/>
      <c r="BEQ36" s="2854"/>
      <c r="BER36" s="2854"/>
      <c r="BES36" s="2854"/>
      <c r="BET36" s="2854"/>
      <c r="BEU36" s="2854"/>
      <c r="BEV36" s="2854"/>
      <c r="BEW36" s="2854"/>
      <c r="BEX36" s="2854"/>
      <c r="BEY36" s="2854"/>
      <c r="BEZ36" s="2854"/>
      <c r="BFA36" s="2854"/>
      <c r="BFB36" s="2854"/>
      <c r="BFC36" s="2854"/>
      <c r="BFD36" s="2854"/>
      <c r="BFE36" s="2854"/>
      <c r="BFF36" s="2854"/>
      <c r="BFG36" s="2854"/>
      <c r="BFH36" s="2854"/>
      <c r="BFI36" s="2854"/>
      <c r="BFJ36" s="2854"/>
      <c r="BFK36" s="2854"/>
      <c r="BFL36" s="2854"/>
      <c r="BFM36" s="2854"/>
      <c r="BFN36" s="2854"/>
      <c r="BFO36" s="2854"/>
      <c r="BFP36" s="2854"/>
      <c r="BFQ36" s="2854"/>
      <c r="BFR36" s="2854"/>
      <c r="BFS36" s="2854"/>
      <c r="BFT36" s="2854"/>
      <c r="BFU36" s="2854"/>
      <c r="BFV36" s="2854"/>
      <c r="BFW36" s="2854"/>
      <c r="BFX36" s="2854"/>
      <c r="BFY36" s="2854"/>
      <c r="BFZ36" s="2854"/>
      <c r="BGA36" s="2854"/>
      <c r="BGB36" s="2854"/>
      <c r="BGC36" s="2854"/>
      <c r="BGD36" s="2854"/>
      <c r="BGE36" s="2854"/>
      <c r="BGF36" s="2854"/>
      <c r="BGG36" s="2854"/>
      <c r="BGH36" s="2854"/>
      <c r="BGI36" s="2854"/>
      <c r="BGJ36" s="2854"/>
      <c r="BGK36" s="2854"/>
      <c r="BGL36" s="2854"/>
      <c r="BGM36" s="2854"/>
      <c r="BGN36" s="2854"/>
      <c r="BGO36" s="2854"/>
      <c r="BGP36" s="2854"/>
      <c r="BGQ36" s="2854"/>
      <c r="BGR36" s="2854"/>
      <c r="BGS36" s="2854"/>
      <c r="BGT36" s="2854"/>
      <c r="BGU36" s="2854"/>
      <c r="BGV36" s="2854"/>
      <c r="BGW36" s="2854"/>
      <c r="BGX36" s="2854"/>
      <c r="BGY36" s="2854"/>
      <c r="BGZ36" s="2854"/>
      <c r="BHA36" s="2854"/>
      <c r="BHB36" s="2854"/>
      <c r="BHC36" s="2854"/>
      <c r="BHD36" s="2854"/>
      <c r="BHE36" s="2854"/>
      <c r="BHF36" s="2854"/>
      <c r="BHG36" s="2854"/>
      <c r="BHH36" s="2854"/>
      <c r="BHI36" s="2854"/>
      <c r="BHJ36" s="2854"/>
      <c r="BHK36" s="2854"/>
      <c r="BHL36" s="2854"/>
      <c r="BHM36" s="2854"/>
      <c r="BHN36" s="2854"/>
      <c r="BHO36" s="2854"/>
      <c r="BHP36" s="2854"/>
      <c r="BHQ36" s="2854"/>
      <c r="BHR36" s="2854"/>
      <c r="BHS36" s="2854"/>
      <c r="BHT36" s="2854"/>
      <c r="BHU36" s="2854"/>
      <c r="BHV36" s="2854"/>
      <c r="BHW36" s="2854"/>
      <c r="BHX36" s="2854"/>
      <c r="BHY36" s="2854"/>
      <c r="BHZ36" s="2854"/>
      <c r="BIA36" s="2854"/>
      <c r="BIB36" s="2854"/>
      <c r="BIC36" s="2854"/>
      <c r="BID36" s="2854"/>
      <c r="BIE36" s="2854"/>
      <c r="BIF36" s="2854"/>
      <c r="BIG36" s="2854"/>
      <c r="BIH36" s="2854"/>
      <c r="BII36" s="2854"/>
      <c r="BIJ36" s="2854"/>
      <c r="BIK36" s="2854"/>
      <c r="BIL36" s="2854"/>
      <c r="BIM36" s="2854"/>
      <c r="BIN36" s="2854"/>
      <c r="BIO36" s="2854"/>
      <c r="BIP36" s="2854"/>
      <c r="BIQ36" s="2854"/>
      <c r="BIR36" s="2854"/>
      <c r="BIS36" s="2854"/>
      <c r="BIT36" s="2854"/>
      <c r="BIU36" s="2854"/>
      <c r="BIV36" s="2854"/>
      <c r="BIW36" s="2854"/>
      <c r="BIX36" s="2854"/>
      <c r="BIY36" s="2854"/>
      <c r="BIZ36" s="2854"/>
      <c r="BJA36" s="2854"/>
      <c r="BJB36" s="2854"/>
      <c r="BJC36" s="2854"/>
      <c r="BJD36" s="2854"/>
      <c r="BJE36" s="2854"/>
      <c r="BJF36" s="2854"/>
      <c r="BJG36" s="2854"/>
      <c r="BJH36" s="2854"/>
      <c r="BJI36" s="2854"/>
      <c r="BJJ36" s="2854"/>
      <c r="BJK36" s="2854"/>
      <c r="BJL36" s="2854"/>
      <c r="BJM36" s="2854"/>
      <c r="BJN36" s="2854"/>
      <c r="BJO36" s="2854"/>
      <c r="BJP36" s="2854"/>
      <c r="BJQ36" s="2854"/>
      <c r="BJR36" s="2854"/>
      <c r="BJS36" s="2854"/>
      <c r="BJT36" s="2854"/>
      <c r="BJU36" s="2854"/>
      <c r="BJV36" s="2854"/>
      <c r="BJW36" s="2854"/>
      <c r="BJX36" s="2854"/>
      <c r="BJY36" s="2854"/>
      <c r="BJZ36" s="2854"/>
      <c r="BKA36" s="2854"/>
      <c r="BKB36" s="2854"/>
      <c r="BKC36" s="2854"/>
      <c r="BKD36" s="2854"/>
      <c r="BKE36" s="2854"/>
      <c r="BKF36" s="2854"/>
      <c r="BKG36" s="2854"/>
      <c r="BKH36" s="2854"/>
      <c r="BKI36" s="2854"/>
      <c r="BKJ36" s="2854"/>
      <c r="BKK36" s="2854"/>
      <c r="BKL36" s="2854"/>
      <c r="BKM36" s="2854"/>
      <c r="BKN36" s="2854"/>
      <c r="BKO36" s="2854"/>
      <c r="BKP36" s="2854"/>
      <c r="BKQ36" s="2854"/>
      <c r="BKR36" s="2854"/>
      <c r="BKS36" s="2854"/>
      <c r="BKT36" s="2854"/>
      <c r="BKU36" s="2854"/>
      <c r="BKV36" s="2854"/>
      <c r="BKW36" s="2854"/>
      <c r="BKX36" s="2854"/>
      <c r="BKY36" s="2854"/>
      <c r="BKZ36" s="2854"/>
      <c r="BLA36" s="2854"/>
      <c r="BLB36" s="2854"/>
      <c r="BLC36" s="2854"/>
      <c r="BLD36" s="2854"/>
      <c r="BLE36" s="2854"/>
      <c r="BLF36" s="2854"/>
      <c r="BLG36" s="2854"/>
      <c r="BLH36" s="2854"/>
      <c r="BLI36" s="2854"/>
      <c r="BLJ36" s="2854"/>
      <c r="BLK36" s="2854"/>
      <c r="BLL36" s="2854"/>
      <c r="BLM36" s="2854"/>
      <c r="BLN36" s="2854"/>
      <c r="BLO36" s="2854"/>
      <c r="BLP36" s="2854"/>
      <c r="BLQ36" s="2854"/>
      <c r="BLR36" s="2854"/>
      <c r="BLS36" s="2854"/>
      <c r="BLT36" s="2854"/>
      <c r="BLU36" s="2854"/>
      <c r="BLV36" s="2854"/>
      <c r="BLW36" s="2854"/>
      <c r="BLX36" s="2854"/>
      <c r="BLY36" s="2854"/>
      <c r="BLZ36" s="2854"/>
      <c r="BMA36" s="2854"/>
      <c r="BMB36" s="2854"/>
      <c r="BMC36" s="2854"/>
      <c r="BMD36" s="2854"/>
      <c r="BME36" s="2854"/>
      <c r="BMF36" s="2854"/>
      <c r="BMG36" s="2854"/>
      <c r="BMH36" s="2854"/>
      <c r="BMI36" s="2854"/>
      <c r="BMJ36" s="2854"/>
      <c r="BMK36" s="2854"/>
      <c r="BML36" s="2854"/>
      <c r="BMM36" s="2854"/>
      <c r="BMN36" s="2854"/>
      <c r="BMO36" s="2854"/>
      <c r="BMP36" s="2854"/>
      <c r="BMQ36" s="2854"/>
      <c r="BMR36" s="2854"/>
      <c r="BMS36" s="2854"/>
      <c r="BMT36" s="2854"/>
      <c r="BMU36" s="2854"/>
      <c r="BMV36" s="2854"/>
      <c r="BMW36" s="2854"/>
      <c r="BMX36" s="2854"/>
      <c r="BMY36" s="2854"/>
      <c r="BMZ36" s="2854"/>
      <c r="BNA36" s="2854"/>
      <c r="BNB36" s="2854"/>
      <c r="BNC36" s="2854"/>
      <c r="BND36" s="2854"/>
      <c r="BNE36" s="2854"/>
      <c r="BNF36" s="2854"/>
      <c r="BNG36" s="2854"/>
      <c r="BNH36" s="2854"/>
      <c r="BNI36" s="2854"/>
      <c r="BNJ36" s="2854"/>
      <c r="BNK36" s="2854"/>
      <c r="BNL36" s="2854"/>
      <c r="BNM36" s="2854"/>
      <c r="BNN36" s="2854"/>
      <c r="BNO36" s="2854"/>
      <c r="BNP36" s="2854"/>
      <c r="BNQ36" s="2854"/>
      <c r="BNR36" s="2854"/>
      <c r="BNS36" s="2854"/>
      <c r="BNT36" s="2854"/>
      <c r="BNU36" s="2854"/>
      <c r="BNV36" s="2854"/>
      <c r="BNW36" s="2854"/>
      <c r="BNX36" s="2854"/>
      <c r="BNY36" s="2854"/>
      <c r="BNZ36" s="2854"/>
      <c r="BOA36" s="2854"/>
      <c r="BOB36" s="2854"/>
      <c r="BOC36" s="2854"/>
      <c r="BOD36" s="2854"/>
      <c r="BOE36" s="2854"/>
      <c r="BOF36" s="2854"/>
      <c r="BOG36" s="2854"/>
      <c r="BOH36" s="2854"/>
      <c r="BOI36" s="2854"/>
      <c r="BOJ36" s="2854"/>
      <c r="BOK36" s="2854"/>
      <c r="BOL36" s="2854"/>
      <c r="BOM36" s="2854"/>
      <c r="BON36" s="2854"/>
      <c r="BOO36" s="2854"/>
      <c r="BOP36" s="2854"/>
      <c r="BOQ36" s="2854"/>
      <c r="BOR36" s="2854"/>
      <c r="BOS36" s="2854"/>
      <c r="BOT36" s="2854"/>
      <c r="BOU36" s="2854"/>
      <c r="BOV36" s="2854"/>
      <c r="BOW36" s="2854"/>
      <c r="BOX36" s="2854"/>
      <c r="BOY36" s="2854"/>
      <c r="BOZ36" s="2854"/>
      <c r="BPA36" s="2854"/>
      <c r="BPB36" s="2854"/>
      <c r="BPC36" s="2854"/>
      <c r="BPD36" s="2854"/>
      <c r="BPE36" s="2854"/>
      <c r="BPF36" s="2854"/>
      <c r="BPG36" s="2854"/>
      <c r="BPH36" s="2854"/>
      <c r="BPI36" s="2854"/>
      <c r="BPJ36" s="2854"/>
      <c r="BPK36" s="2854"/>
      <c r="BPL36" s="2854"/>
      <c r="BPM36" s="2854"/>
      <c r="BPN36" s="2854"/>
      <c r="BPO36" s="2854"/>
      <c r="BPP36" s="2854"/>
      <c r="BPQ36" s="2854"/>
      <c r="BPR36" s="2854"/>
      <c r="BPS36" s="2854"/>
      <c r="BPT36" s="2854"/>
      <c r="BPU36" s="2854"/>
      <c r="BPV36" s="2854"/>
      <c r="BPW36" s="2854"/>
      <c r="BPX36" s="2854"/>
      <c r="BPY36" s="2854"/>
      <c r="BPZ36" s="2854"/>
      <c r="BQA36" s="2854"/>
      <c r="BQB36" s="2854"/>
      <c r="BQC36" s="2854"/>
      <c r="BQD36" s="2854"/>
      <c r="BQE36" s="2854"/>
      <c r="BQF36" s="2854"/>
      <c r="BQG36" s="2854"/>
      <c r="BQH36" s="2854"/>
      <c r="BQI36" s="2854"/>
      <c r="BQJ36" s="2854"/>
      <c r="BQK36" s="2854"/>
      <c r="BQL36" s="2854"/>
      <c r="BQM36" s="2854"/>
      <c r="BQN36" s="2854"/>
      <c r="BQO36" s="2854"/>
      <c r="BQP36" s="2854"/>
      <c r="BQQ36" s="2854"/>
      <c r="BQR36" s="2854"/>
      <c r="BQS36" s="2854"/>
      <c r="BQT36" s="2854"/>
      <c r="BQU36" s="2854"/>
      <c r="BQV36" s="2854"/>
      <c r="BQW36" s="2854"/>
      <c r="BQX36" s="2854"/>
      <c r="BQY36" s="2854"/>
      <c r="BQZ36" s="2854"/>
      <c r="BRA36" s="2854"/>
      <c r="BRB36" s="2854"/>
      <c r="BRC36" s="2854"/>
      <c r="BRD36" s="2854"/>
      <c r="BRE36" s="2854"/>
      <c r="BRF36" s="2854"/>
      <c r="BRG36" s="2854"/>
      <c r="BRH36" s="2854"/>
      <c r="BRI36" s="2854"/>
      <c r="BRJ36" s="2854"/>
      <c r="BRK36" s="2854"/>
      <c r="BRL36" s="2854"/>
      <c r="BRM36" s="2854"/>
      <c r="BRN36" s="2854"/>
      <c r="BRO36" s="2854"/>
      <c r="BRP36" s="2854"/>
      <c r="BRQ36" s="2854"/>
      <c r="BRR36" s="2854"/>
      <c r="BRS36" s="2854"/>
      <c r="BRT36" s="2854"/>
      <c r="BRU36" s="2854"/>
      <c r="BRV36" s="2854"/>
      <c r="BRW36" s="2854"/>
      <c r="BRX36" s="2854"/>
      <c r="BRY36" s="2854"/>
      <c r="BRZ36" s="2854"/>
      <c r="BSA36" s="2854"/>
      <c r="BSB36" s="2854"/>
      <c r="BSC36" s="2854"/>
      <c r="BSD36" s="2854"/>
      <c r="BSE36" s="2854"/>
      <c r="BSF36" s="2854"/>
      <c r="BSG36" s="2854"/>
      <c r="BSH36" s="2854"/>
      <c r="BSI36" s="2854"/>
      <c r="BSJ36" s="2854"/>
      <c r="BSK36" s="2854"/>
      <c r="BSL36" s="2854"/>
      <c r="BSM36" s="2854"/>
      <c r="BSN36" s="2854"/>
      <c r="BSO36" s="2854"/>
      <c r="BSP36" s="2854"/>
      <c r="BSQ36" s="2854"/>
      <c r="BSR36" s="2854"/>
      <c r="BSS36" s="2854"/>
      <c r="BST36" s="2854"/>
      <c r="BSU36" s="2854"/>
      <c r="BSV36" s="2854"/>
      <c r="BSW36" s="2854"/>
      <c r="BSX36" s="2854"/>
      <c r="BSY36" s="2854"/>
      <c r="BSZ36" s="2854"/>
      <c r="BTA36" s="2854"/>
      <c r="BTB36" s="2854"/>
      <c r="BTC36" s="2854"/>
      <c r="BTD36" s="2854"/>
      <c r="BTE36" s="2854"/>
      <c r="BTF36" s="2854"/>
      <c r="BTG36" s="2854"/>
      <c r="BTH36" s="2854"/>
      <c r="BTI36" s="2854"/>
      <c r="BTJ36" s="2854"/>
      <c r="BTK36" s="2854"/>
      <c r="BTL36" s="2854"/>
      <c r="BTM36" s="2854"/>
      <c r="BTN36" s="2854"/>
      <c r="BTO36" s="2854"/>
      <c r="BTP36" s="2854"/>
      <c r="BTQ36" s="2854"/>
      <c r="BTR36" s="2854"/>
      <c r="BTS36" s="2854"/>
      <c r="BTT36" s="2854"/>
      <c r="BTU36" s="2854"/>
      <c r="BTV36" s="2854"/>
      <c r="BTW36" s="2854"/>
      <c r="BTX36" s="2854"/>
      <c r="BTY36" s="2854"/>
      <c r="BTZ36" s="2854"/>
      <c r="BUA36" s="2854"/>
      <c r="BUB36" s="2854"/>
      <c r="BUC36" s="2854"/>
      <c r="BUD36" s="2854"/>
      <c r="BUE36" s="2854"/>
      <c r="BUF36" s="2854"/>
      <c r="BUG36" s="2854"/>
      <c r="BUH36" s="2854"/>
      <c r="BUI36" s="2854"/>
      <c r="BUJ36" s="2854"/>
      <c r="BUK36" s="2854"/>
      <c r="BUL36" s="2854"/>
      <c r="BUM36" s="2854"/>
      <c r="BUN36" s="2854"/>
      <c r="BUO36" s="2854"/>
      <c r="BUP36" s="2854"/>
      <c r="BUQ36" s="2854"/>
      <c r="BUR36" s="2854"/>
      <c r="BUS36" s="2854"/>
      <c r="BUT36" s="2854"/>
      <c r="BUU36" s="2854"/>
      <c r="BUV36" s="2854"/>
      <c r="BUW36" s="2854"/>
      <c r="BUX36" s="2854"/>
      <c r="BUY36" s="2854"/>
      <c r="BUZ36" s="2854"/>
      <c r="BVA36" s="2854"/>
      <c r="BVB36" s="2854"/>
      <c r="BVC36" s="2854"/>
      <c r="BVD36" s="2854"/>
      <c r="BVE36" s="2854"/>
      <c r="BVF36" s="2854"/>
      <c r="BVG36" s="2854"/>
      <c r="BVH36" s="2854"/>
      <c r="BVI36" s="2854"/>
      <c r="BVJ36" s="2854"/>
      <c r="BVK36" s="2854"/>
      <c r="BVL36" s="2854"/>
      <c r="BVM36" s="2854"/>
      <c r="BVN36" s="2854"/>
      <c r="BVO36" s="2854"/>
      <c r="BVP36" s="2854"/>
      <c r="BVQ36" s="2854"/>
      <c r="BVR36" s="2854"/>
      <c r="BVS36" s="2854"/>
      <c r="BVT36" s="2854"/>
      <c r="BVU36" s="2854"/>
      <c r="BVV36" s="2854"/>
      <c r="BVW36" s="2854"/>
      <c r="BVX36" s="2854"/>
      <c r="BVY36" s="2854"/>
      <c r="BVZ36" s="2854"/>
      <c r="BWA36" s="2854"/>
      <c r="BWB36" s="2854"/>
      <c r="BWC36" s="2854"/>
      <c r="BWD36" s="2854"/>
      <c r="BWE36" s="2854"/>
      <c r="BWF36" s="2854"/>
      <c r="BWG36" s="2854"/>
      <c r="BWH36" s="2854"/>
      <c r="BWI36" s="2854"/>
      <c r="BWJ36" s="2854"/>
      <c r="BWK36" s="2854"/>
      <c r="BWL36" s="2854"/>
      <c r="BWM36" s="2854"/>
      <c r="BWN36" s="2854"/>
      <c r="BWO36" s="2854"/>
      <c r="BWP36" s="2854"/>
      <c r="BWQ36" s="2854"/>
      <c r="BWR36" s="2854"/>
      <c r="BWS36" s="2854"/>
      <c r="BWT36" s="2854"/>
      <c r="BWU36" s="2854"/>
      <c r="BWV36" s="2854"/>
      <c r="BWW36" s="2854"/>
      <c r="BWX36" s="2854"/>
      <c r="BWY36" s="2854"/>
      <c r="BWZ36" s="2854"/>
      <c r="BXA36" s="2854"/>
      <c r="BXB36" s="2854"/>
      <c r="BXC36" s="2854"/>
      <c r="BXD36" s="2854"/>
      <c r="BXE36" s="2854"/>
      <c r="BXF36" s="2854"/>
      <c r="BXG36" s="2854"/>
      <c r="BXH36" s="2854"/>
      <c r="BXI36" s="2854"/>
      <c r="BXJ36" s="2854"/>
      <c r="BXK36" s="2854"/>
      <c r="BXL36" s="2854"/>
      <c r="BXM36" s="2854"/>
      <c r="BXN36" s="2854"/>
      <c r="BXO36" s="2854"/>
      <c r="BXP36" s="2854"/>
      <c r="BXQ36" s="2854"/>
      <c r="BXR36" s="2854"/>
      <c r="BXS36" s="2854"/>
      <c r="BXT36" s="2854"/>
      <c r="BXU36" s="2854"/>
      <c r="BXV36" s="2854"/>
      <c r="BXW36" s="2854"/>
      <c r="BXX36" s="2854"/>
      <c r="BXY36" s="2854"/>
      <c r="BXZ36" s="2854"/>
      <c r="BYA36" s="2854"/>
      <c r="BYB36" s="2854"/>
      <c r="BYC36" s="2854"/>
      <c r="BYD36" s="2854"/>
      <c r="BYE36" s="2854"/>
      <c r="BYF36" s="2854"/>
      <c r="BYG36" s="2854"/>
      <c r="BYH36" s="2854"/>
      <c r="BYI36" s="2854"/>
      <c r="BYJ36" s="2854"/>
      <c r="BYK36" s="2854"/>
      <c r="BYL36" s="2854"/>
      <c r="BYM36" s="2854"/>
      <c r="BYN36" s="2854"/>
      <c r="BYO36" s="2854"/>
      <c r="BYP36" s="2854"/>
      <c r="BYQ36" s="2854"/>
      <c r="BYR36" s="2854"/>
      <c r="BYS36" s="2854"/>
      <c r="BYT36" s="2854"/>
      <c r="BYU36" s="2854"/>
      <c r="BYV36" s="2854"/>
      <c r="BYW36" s="2854"/>
      <c r="BYX36" s="2854"/>
      <c r="BYY36" s="2854"/>
      <c r="BYZ36" s="2854"/>
      <c r="BZA36" s="2854"/>
      <c r="BZB36" s="2854"/>
      <c r="BZC36" s="2854"/>
      <c r="BZD36" s="2854"/>
      <c r="BZE36" s="2854"/>
      <c r="BZF36" s="2854"/>
      <c r="BZG36" s="2854"/>
      <c r="BZH36" s="2854"/>
      <c r="BZI36" s="2854"/>
      <c r="BZJ36" s="2854"/>
      <c r="BZK36" s="2854"/>
      <c r="BZL36" s="2854"/>
      <c r="BZM36" s="2854"/>
      <c r="BZN36" s="2854"/>
      <c r="BZO36" s="2854"/>
      <c r="BZP36" s="2854"/>
      <c r="BZQ36" s="2854"/>
      <c r="BZR36" s="2854"/>
      <c r="BZS36" s="2854"/>
      <c r="BZT36" s="2854"/>
      <c r="BZU36" s="2854"/>
      <c r="BZV36" s="2854"/>
      <c r="BZW36" s="2854"/>
      <c r="BZX36" s="2854"/>
      <c r="BZY36" s="2854"/>
      <c r="BZZ36" s="2854"/>
      <c r="CAA36" s="2854"/>
      <c r="CAB36" s="2854"/>
      <c r="CAC36" s="2854"/>
      <c r="CAD36" s="2854"/>
      <c r="CAE36" s="2854"/>
      <c r="CAF36" s="2854"/>
      <c r="CAG36" s="2854"/>
      <c r="CAH36" s="2854"/>
      <c r="CAI36" s="2854"/>
      <c r="CAJ36" s="2854"/>
      <c r="CAK36" s="2854"/>
      <c r="CAL36" s="2854"/>
      <c r="CAM36" s="2854"/>
      <c r="CAN36" s="2854"/>
      <c r="CAO36" s="2854"/>
      <c r="CAP36" s="2854"/>
      <c r="CAQ36" s="2854"/>
      <c r="CAR36" s="2854"/>
      <c r="CAS36" s="2854"/>
      <c r="CAT36" s="2854"/>
      <c r="CAU36" s="2854"/>
      <c r="CAV36" s="2854"/>
      <c r="CAW36" s="2854"/>
      <c r="CAX36" s="2854"/>
      <c r="CAY36" s="2854"/>
      <c r="CAZ36" s="2854"/>
      <c r="CBA36" s="2854"/>
      <c r="CBB36" s="2854"/>
      <c r="CBC36" s="2854"/>
      <c r="CBD36" s="2854"/>
      <c r="CBE36" s="2854"/>
      <c r="CBF36" s="2854"/>
      <c r="CBG36" s="2854"/>
      <c r="CBH36" s="2854"/>
      <c r="CBI36" s="2854"/>
      <c r="CBJ36" s="2854"/>
      <c r="CBK36" s="2854"/>
      <c r="CBL36" s="2854"/>
      <c r="CBM36" s="2854"/>
      <c r="CBN36" s="2854"/>
      <c r="CBO36" s="2854"/>
      <c r="CBP36" s="2854"/>
      <c r="CBQ36" s="2854"/>
      <c r="CBR36" s="2854"/>
      <c r="CBS36" s="2854"/>
      <c r="CBT36" s="2854"/>
      <c r="CBU36" s="2854"/>
      <c r="CBV36" s="2854"/>
      <c r="CBW36" s="2854"/>
      <c r="CBX36" s="2854"/>
      <c r="CBY36" s="2854"/>
      <c r="CBZ36" s="2854"/>
      <c r="CCA36" s="2854"/>
      <c r="CCB36" s="2854"/>
      <c r="CCC36" s="2854"/>
      <c r="CCD36" s="2854"/>
      <c r="CCE36" s="2854"/>
      <c r="CCF36" s="2854"/>
      <c r="CCG36" s="2854"/>
      <c r="CCH36" s="2854"/>
      <c r="CCI36" s="2854"/>
      <c r="CCJ36" s="2854"/>
      <c r="CCK36" s="2854"/>
      <c r="CCL36" s="2854"/>
      <c r="CCM36" s="2854"/>
      <c r="CCN36" s="2854"/>
      <c r="CCO36" s="2854"/>
      <c r="CCP36" s="2854"/>
      <c r="CCQ36" s="2854"/>
      <c r="CCR36" s="2854"/>
      <c r="CCS36" s="2854"/>
      <c r="CCT36" s="2854"/>
      <c r="CCU36" s="2854"/>
      <c r="CCV36" s="2854"/>
      <c r="CCW36" s="2854"/>
      <c r="CCX36" s="2854"/>
      <c r="CCY36" s="2854"/>
      <c r="CCZ36" s="2854"/>
      <c r="CDA36" s="2854"/>
      <c r="CDB36" s="2854"/>
      <c r="CDC36" s="2854"/>
      <c r="CDD36" s="2854"/>
      <c r="CDE36" s="2854"/>
      <c r="CDF36" s="2854"/>
      <c r="CDG36" s="2854"/>
      <c r="CDH36" s="2854"/>
      <c r="CDI36" s="2854"/>
      <c r="CDJ36" s="2854"/>
      <c r="CDK36" s="2854"/>
      <c r="CDL36" s="2854"/>
      <c r="CDM36" s="2854"/>
      <c r="CDN36" s="2854"/>
      <c r="CDO36" s="2854"/>
      <c r="CDP36" s="2854"/>
      <c r="CDQ36" s="2854"/>
      <c r="CDR36" s="2854"/>
      <c r="CDS36" s="2854"/>
      <c r="CDT36" s="2854"/>
      <c r="CDU36" s="2854"/>
      <c r="CDV36" s="2854"/>
      <c r="CDW36" s="2854"/>
      <c r="CDX36" s="2854"/>
      <c r="CDY36" s="2854"/>
      <c r="CDZ36" s="2854"/>
      <c r="CEA36" s="2854"/>
      <c r="CEB36" s="2854"/>
      <c r="CEC36" s="2854"/>
      <c r="CED36" s="2854"/>
      <c r="CEE36" s="2854"/>
      <c r="CEF36" s="2854"/>
      <c r="CEG36" s="2854"/>
      <c r="CEH36" s="2854"/>
      <c r="CEI36" s="2854"/>
      <c r="CEJ36" s="2854"/>
      <c r="CEK36" s="2854"/>
      <c r="CEL36" s="2854"/>
      <c r="CEM36" s="2854"/>
      <c r="CEN36" s="2854"/>
      <c r="CEO36" s="2854"/>
      <c r="CEP36" s="2854"/>
      <c r="CEQ36" s="2854"/>
      <c r="CER36" s="2854"/>
      <c r="CES36" s="2854"/>
      <c r="CET36" s="2854"/>
      <c r="CEU36" s="2854"/>
      <c r="CEV36" s="2854"/>
      <c r="CEW36" s="2854"/>
      <c r="CEX36" s="2854"/>
      <c r="CEY36" s="2854"/>
      <c r="CEZ36" s="2854"/>
      <c r="CFA36" s="2854"/>
      <c r="CFB36" s="2854"/>
      <c r="CFC36" s="2854"/>
      <c r="CFD36" s="2854"/>
      <c r="CFE36" s="2854"/>
      <c r="CFF36" s="2854"/>
      <c r="CFG36" s="2854"/>
      <c r="CFH36" s="2854"/>
      <c r="CFI36" s="2854"/>
      <c r="CFJ36" s="2854"/>
      <c r="CFK36" s="2854"/>
      <c r="CFL36" s="2854"/>
      <c r="CFM36" s="2854"/>
      <c r="CFN36" s="2854"/>
      <c r="CFO36" s="2854"/>
      <c r="CFP36" s="2854"/>
      <c r="CFQ36" s="2854"/>
      <c r="CFR36" s="2854"/>
      <c r="CFS36" s="2854"/>
      <c r="CFT36" s="2854"/>
      <c r="CFU36" s="2854"/>
      <c r="CFV36" s="2854"/>
      <c r="CFW36" s="2854"/>
      <c r="CFX36" s="2854"/>
      <c r="CFY36" s="2854"/>
      <c r="CFZ36" s="2854"/>
      <c r="CGA36" s="2854"/>
      <c r="CGB36" s="2854"/>
      <c r="CGC36" s="2854"/>
      <c r="CGD36" s="2854"/>
      <c r="CGE36" s="2854"/>
      <c r="CGF36" s="2854"/>
      <c r="CGG36" s="2854"/>
      <c r="CGH36" s="2854"/>
      <c r="CGI36" s="2854"/>
      <c r="CGJ36" s="2854"/>
      <c r="CGK36" s="2854"/>
      <c r="CGL36" s="2854"/>
      <c r="CGM36" s="2854"/>
      <c r="CGN36" s="2854"/>
      <c r="CGO36" s="2854"/>
      <c r="CGP36" s="2854"/>
      <c r="CGQ36" s="2854"/>
      <c r="CGR36" s="2854"/>
      <c r="CGS36" s="2854"/>
      <c r="CGT36" s="2854"/>
      <c r="CGU36" s="2854"/>
      <c r="CGV36" s="2854"/>
      <c r="CGW36" s="2854"/>
      <c r="CGX36" s="2854"/>
      <c r="CGY36" s="2854"/>
      <c r="CGZ36" s="2854"/>
      <c r="CHA36" s="2854"/>
      <c r="CHB36" s="2854"/>
      <c r="CHC36" s="2854"/>
      <c r="CHD36" s="2854"/>
      <c r="CHE36" s="2854"/>
      <c r="CHF36" s="2854"/>
      <c r="CHG36" s="2854"/>
      <c r="CHH36" s="2854"/>
      <c r="CHI36" s="2854"/>
      <c r="CHJ36" s="2854"/>
      <c r="CHK36" s="2854"/>
      <c r="CHL36" s="2854"/>
      <c r="CHM36" s="2854"/>
      <c r="CHN36" s="2854"/>
      <c r="CHO36" s="2854"/>
      <c r="CHP36" s="2854"/>
      <c r="CHQ36" s="2854"/>
      <c r="CHR36" s="2854"/>
      <c r="CHS36" s="2854"/>
      <c r="CHT36" s="2854"/>
      <c r="CHU36" s="2854"/>
      <c r="CHV36" s="2854"/>
      <c r="CHW36" s="2854"/>
      <c r="CHX36" s="2854"/>
      <c r="CHY36" s="2854"/>
      <c r="CHZ36" s="2854"/>
      <c r="CIA36" s="2854"/>
      <c r="CIB36" s="2854"/>
      <c r="CIC36" s="2854"/>
      <c r="CID36" s="2854"/>
      <c r="CIE36" s="2854"/>
      <c r="CIF36" s="2854"/>
      <c r="CIG36" s="2854"/>
      <c r="CIH36" s="2854"/>
      <c r="CII36" s="2854"/>
      <c r="CIJ36" s="2854"/>
      <c r="CIK36" s="2854"/>
      <c r="CIL36" s="2854"/>
      <c r="CIM36" s="2854"/>
      <c r="CIN36" s="2854"/>
      <c r="CIO36" s="2854"/>
      <c r="CIP36" s="2854"/>
      <c r="CIQ36" s="2854"/>
      <c r="CIR36" s="2854"/>
      <c r="CIS36" s="2854"/>
      <c r="CIT36" s="2854"/>
      <c r="CIU36" s="2854"/>
      <c r="CIV36" s="2854"/>
      <c r="CIW36" s="2854"/>
      <c r="CIX36" s="2854"/>
      <c r="CIY36" s="2854"/>
      <c r="CIZ36" s="2854"/>
      <c r="CJA36" s="2854"/>
      <c r="CJB36" s="2854"/>
      <c r="CJC36" s="2854"/>
      <c r="CJD36" s="2854"/>
      <c r="CJE36" s="2854"/>
      <c r="CJF36" s="2854"/>
      <c r="CJG36" s="2854"/>
      <c r="CJH36" s="2854"/>
      <c r="CJI36" s="2854"/>
      <c r="CJJ36" s="2854"/>
      <c r="CJK36" s="2854"/>
      <c r="CJL36" s="2854"/>
      <c r="CJM36" s="2854"/>
      <c r="CJN36" s="2854"/>
      <c r="CJO36" s="2854"/>
      <c r="CJP36" s="2854"/>
      <c r="CJQ36" s="2854"/>
      <c r="CJR36" s="2854"/>
      <c r="CJS36" s="2854"/>
      <c r="CJT36" s="2854"/>
      <c r="CJU36" s="2854"/>
      <c r="CJV36" s="2854"/>
      <c r="CJW36" s="2854"/>
      <c r="CJX36" s="2854"/>
      <c r="CJY36" s="2854"/>
      <c r="CJZ36" s="2854"/>
      <c r="CKA36" s="2854"/>
      <c r="CKB36" s="2854"/>
      <c r="CKC36" s="2854"/>
      <c r="CKD36" s="2854"/>
      <c r="CKE36" s="2854"/>
      <c r="CKF36" s="2854"/>
      <c r="CKG36" s="2854"/>
      <c r="CKH36" s="2854"/>
      <c r="CKI36" s="2854"/>
      <c r="CKJ36" s="2854"/>
      <c r="CKK36" s="2854"/>
      <c r="CKL36" s="2854"/>
      <c r="CKM36" s="2854"/>
      <c r="CKN36" s="2854"/>
      <c r="CKO36" s="2854"/>
      <c r="CKP36" s="2854"/>
      <c r="CKQ36" s="2854"/>
      <c r="CKR36" s="2854"/>
      <c r="CKS36" s="2854"/>
      <c r="CKT36" s="2854"/>
      <c r="CKU36" s="2854"/>
      <c r="CKV36" s="2854"/>
      <c r="CKW36" s="2854"/>
      <c r="CKX36" s="2854"/>
      <c r="CKY36" s="2854"/>
      <c r="CKZ36" s="2854"/>
      <c r="CLA36" s="2854"/>
      <c r="CLB36" s="2854"/>
      <c r="CLC36" s="2854"/>
      <c r="CLD36" s="2854"/>
      <c r="CLE36" s="2854"/>
      <c r="CLF36" s="2854"/>
      <c r="CLG36" s="2854"/>
      <c r="CLH36" s="2854"/>
      <c r="CLI36" s="2854"/>
      <c r="CLJ36" s="2854"/>
      <c r="CLK36" s="2854"/>
      <c r="CLL36" s="2854"/>
      <c r="CLM36" s="2854"/>
      <c r="CLN36" s="2854"/>
      <c r="CLO36" s="2854"/>
      <c r="CLP36" s="2854"/>
      <c r="CLQ36" s="2854"/>
      <c r="CLR36" s="2854"/>
      <c r="CLS36" s="2854"/>
      <c r="CLT36" s="2854"/>
      <c r="CLU36" s="2854"/>
      <c r="CLV36" s="2854"/>
      <c r="CLW36" s="2854"/>
    </row>
    <row r="37" spans="1:2363" ht="15" hidden="1" customHeight="1" x14ac:dyDescent="0.25">
      <c r="A37" s="3877"/>
      <c r="B37" s="3887"/>
      <c r="C37" s="3001">
        <v>3</v>
      </c>
      <c r="D37" s="2878"/>
      <c r="E37" s="3372"/>
      <c r="F37" s="1799"/>
      <c r="G37" s="1800"/>
      <c r="H37" s="1801"/>
      <c r="I37" s="1799"/>
      <c r="J37" s="2249"/>
      <c r="K37" s="1801"/>
      <c r="L37" s="1799"/>
      <c r="M37" s="1799"/>
      <c r="N37" s="1799"/>
      <c r="O37" s="2281"/>
      <c r="P37" s="2301"/>
      <c r="Q37" s="2602"/>
      <c r="R37" s="2718"/>
      <c r="S37" s="2718"/>
      <c r="T37" s="2907"/>
      <c r="U37" s="2301"/>
      <c r="V37" s="2631">
        <f>P37+Q37+R37+U37</f>
        <v>0</v>
      </c>
      <c r="W37" s="2631"/>
      <c r="X37" s="2631"/>
      <c r="Y37" s="3007"/>
      <c r="Z37" s="2341"/>
      <c r="AA37" s="1894">
        <v>0</v>
      </c>
      <c r="AB37" s="1894">
        <v>0</v>
      </c>
      <c r="AC37" s="1854">
        <f t="shared" si="58"/>
        <v>0</v>
      </c>
      <c r="AD37" s="1897">
        <v>0</v>
      </c>
      <c r="AE37" s="1897"/>
      <c r="AF37" s="1893">
        <v>0</v>
      </c>
      <c r="AG37" s="2866"/>
      <c r="AH37" s="1993">
        <f t="shared" ref="AH37:AH41" si="72">AD37+AF37</f>
        <v>0</v>
      </c>
      <c r="AI37" s="1851">
        <v>0</v>
      </c>
      <c r="AJ37" s="1894">
        <f t="shared" si="63"/>
        <v>0</v>
      </c>
      <c r="AK37" s="2451">
        <f t="shared" si="37"/>
        <v>0</v>
      </c>
      <c r="AL37" s="2515">
        <v>0</v>
      </c>
      <c r="AM37" s="2515">
        <v>0</v>
      </c>
      <c r="AN37" s="2695">
        <f t="shared" si="64"/>
        <v>0</v>
      </c>
      <c r="AO37" s="2181">
        <v>0</v>
      </c>
      <c r="AP37" s="2166">
        <v>0</v>
      </c>
      <c r="AQ37" s="2166">
        <v>0</v>
      </c>
      <c r="AR37" s="2166"/>
      <c r="AS37" s="2157">
        <f t="shared" si="65"/>
        <v>0</v>
      </c>
      <c r="AT37" s="2504">
        <v>0</v>
      </c>
      <c r="AU37" s="2158">
        <v>0</v>
      </c>
      <c r="AV37" s="2168">
        <v>0</v>
      </c>
      <c r="AW37" s="2159">
        <f>AU37+AV37</f>
        <v>0</v>
      </c>
      <c r="AX37" s="2515">
        <v>0</v>
      </c>
      <c r="AY37" s="2515">
        <v>0</v>
      </c>
      <c r="AZ37" s="2695">
        <f>AX37-AY37</f>
        <v>0</v>
      </c>
      <c r="BA37" s="3296">
        <v>0</v>
      </c>
      <c r="BB37" s="3086">
        <v>0</v>
      </c>
      <c r="BC37" s="3086">
        <v>0</v>
      </c>
      <c r="BD37" s="3086"/>
      <c r="BE37" s="3087">
        <f t="shared" si="60"/>
        <v>0</v>
      </c>
      <c r="BF37" s="2122"/>
      <c r="BG37" s="2158">
        <v>0</v>
      </c>
      <c r="BH37" s="2168">
        <v>0</v>
      </c>
      <c r="BI37" s="2159">
        <f t="shared" si="61"/>
        <v>0</v>
      </c>
      <c r="BJ37" s="2607">
        <f>BM37-BR37</f>
        <v>0</v>
      </c>
      <c r="BK37" s="2328">
        <v>0</v>
      </c>
      <c r="BL37" s="2608">
        <f t="shared" si="67"/>
        <v>0</v>
      </c>
      <c r="BM37" s="2611">
        <f>AD37+AO37</f>
        <v>0</v>
      </c>
      <c r="BN37" s="2101">
        <f t="shared" si="68"/>
        <v>0</v>
      </c>
      <c r="BO37" s="2101">
        <f t="shared" si="69"/>
        <v>0</v>
      </c>
      <c r="BP37" s="2101">
        <f t="shared" ref="BP37" si="73">BM37+BO37</f>
        <v>0</v>
      </c>
      <c r="BQ37" s="2101">
        <f t="shared" si="70"/>
        <v>0</v>
      </c>
      <c r="BR37" s="2106">
        <f>AI37+AU37</f>
        <v>0</v>
      </c>
      <c r="BS37" s="2620">
        <f>AJ37+AV37</f>
        <v>0</v>
      </c>
      <c r="BT37" s="2912">
        <f t="shared" si="71"/>
        <v>0</v>
      </c>
      <c r="BU37" s="3147"/>
      <c r="BV37" s="3058"/>
      <c r="BW37" s="3058"/>
      <c r="BX37" s="3058"/>
      <c r="BY37" s="3147"/>
      <c r="BZ37" s="3147"/>
      <c r="CA37" s="3147"/>
      <c r="CB37" s="3147"/>
      <c r="CC37" s="3147"/>
      <c r="CD37" s="3147"/>
      <c r="CE37" s="3147"/>
      <c r="CF37" s="3147"/>
      <c r="CG37" s="3147"/>
      <c r="CH37" s="1050"/>
      <c r="CI37" s="2854"/>
      <c r="CJ37" s="2854"/>
      <c r="CK37" s="2854"/>
      <c r="CL37" s="2854"/>
      <c r="CM37" s="2854"/>
      <c r="CN37" s="2854"/>
      <c r="CO37" s="2854"/>
      <c r="CP37" s="2854"/>
      <c r="CQ37" s="2854"/>
      <c r="CR37" s="2854"/>
      <c r="CS37" s="2854"/>
      <c r="CT37" s="2854"/>
      <c r="CU37" s="2854"/>
      <c r="CV37" s="2854"/>
      <c r="CW37" s="2854"/>
      <c r="CX37" s="2854"/>
      <c r="CY37" s="2854"/>
      <c r="CZ37" s="2854"/>
      <c r="DA37" s="2854"/>
      <c r="DB37" s="2854"/>
      <c r="DC37" s="2854"/>
      <c r="DD37" s="2854"/>
      <c r="DE37" s="2854"/>
      <c r="DF37" s="2854"/>
      <c r="DG37" s="2854"/>
      <c r="DH37" s="2854"/>
      <c r="DI37" s="2854"/>
      <c r="DJ37" s="2854"/>
      <c r="DK37" s="2854"/>
      <c r="DL37" s="2854"/>
      <c r="DM37" s="2854"/>
      <c r="DN37" s="2854"/>
      <c r="DO37" s="2854"/>
      <c r="DP37" s="2854"/>
      <c r="DQ37" s="2854"/>
      <c r="DR37" s="2854"/>
      <c r="DS37" s="2854"/>
      <c r="DT37" s="2854"/>
      <c r="DU37" s="2854"/>
      <c r="DV37" s="2854"/>
      <c r="DW37" s="2854"/>
      <c r="DX37" s="2854"/>
      <c r="DY37" s="2854"/>
      <c r="DZ37" s="2854"/>
      <c r="EA37" s="2854"/>
      <c r="EB37" s="2854"/>
      <c r="EC37" s="2854"/>
      <c r="ED37" s="2854"/>
      <c r="EE37" s="2854"/>
      <c r="EF37" s="2854"/>
      <c r="EG37" s="2854"/>
      <c r="EH37" s="2854"/>
      <c r="EI37" s="2854"/>
      <c r="EJ37" s="2854"/>
      <c r="EK37" s="2854"/>
      <c r="EL37" s="2854"/>
      <c r="EM37" s="2854"/>
      <c r="EN37" s="2854"/>
      <c r="EO37" s="2854"/>
      <c r="EP37" s="2854"/>
      <c r="EQ37" s="2854"/>
      <c r="ER37" s="2854"/>
      <c r="ES37" s="2854"/>
      <c r="ET37" s="2854"/>
      <c r="EU37" s="2854"/>
      <c r="EV37" s="2854"/>
      <c r="EW37" s="2854"/>
      <c r="EX37" s="2854"/>
      <c r="EY37" s="2854"/>
      <c r="EZ37" s="2854"/>
      <c r="FA37" s="2854"/>
      <c r="FB37" s="2854"/>
      <c r="FC37" s="2854"/>
      <c r="FD37" s="2854"/>
      <c r="FE37" s="2854"/>
      <c r="FF37" s="2854"/>
      <c r="FG37" s="2854"/>
      <c r="FH37" s="2854"/>
      <c r="FI37" s="2854"/>
      <c r="FJ37" s="2854"/>
      <c r="FK37" s="2854"/>
      <c r="FL37" s="2854"/>
      <c r="FM37" s="2854"/>
      <c r="FN37" s="2854"/>
      <c r="FO37" s="2854"/>
      <c r="FP37" s="2854"/>
      <c r="FQ37" s="2854"/>
      <c r="FR37" s="2854"/>
      <c r="FS37" s="2854"/>
      <c r="FT37" s="2854"/>
      <c r="FU37" s="2854"/>
      <c r="FV37" s="2854"/>
      <c r="FW37" s="2854"/>
      <c r="FX37" s="2854"/>
      <c r="FY37" s="2854"/>
      <c r="FZ37" s="2854"/>
      <c r="GA37" s="2854"/>
      <c r="GB37" s="2854"/>
      <c r="GC37" s="2854"/>
      <c r="GD37" s="2854"/>
      <c r="GE37" s="2854"/>
      <c r="GF37" s="2854"/>
      <c r="GG37" s="2854"/>
      <c r="GH37" s="2854"/>
      <c r="GI37" s="2854"/>
      <c r="GJ37" s="2854"/>
      <c r="GK37" s="2854"/>
      <c r="GL37" s="2854"/>
      <c r="GM37" s="2854"/>
      <c r="GN37" s="2854"/>
      <c r="GO37" s="2854"/>
      <c r="GP37" s="2854"/>
      <c r="GQ37" s="2854"/>
      <c r="GR37" s="2854"/>
      <c r="GS37" s="2854"/>
      <c r="GT37" s="2854"/>
      <c r="GU37" s="2854"/>
      <c r="GV37" s="2854"/>
      <c r="GW37" s="2854"/>
      <c r="GX37" s="2854"/>
      <c r="GY37" s="2854"/>
      <c r="GZ37" s="2854"/>
      <c r="HA37" s="2854"/>
      <c r="HB37" s="2854"/>
      <c r="HC37" s="2854"/>
      <c r="HD37" s="2854"/>
      <c r="HE37" s="2854"/>
      <c r="HF37" s="2854"/>
      <c r="HG37" s="2854"/>
      <c r="HH37" s="2854"/>
      <c r="HI37" s="2854"/>
      <c r="HJ37" s="2854"/>
      <c r="HK37" s="2854"/>
      <c r="HL37" s="2854"/>
      <c r="HM37" s="2854"/>
      <c r="HN37" s="2854"/>
      <c r="HO37" s="2854"/>
      <c r="HP37" s="2854"/>
      <c r="HQ37" s="2854"/>
      <c r="HR37" s="2854"/>
      <c r="HS37" s="2854"/>
      <c r="HT37" s="2854"/>
      <c r="HU37" s="2854"/>
      <c r="HV37" s="2854"/>
      <c r="HW37" s="2854"/>
      <c r="HX37" s="2854"/>
      <c r="HY37" s="2854"/>
      <c r="HZ37" s="2854"/>
      <c r="IA37" s="2854"/>
      <c r="IB37" s="2854"/>
      <c r="IC37" s="2854"/>
      <c r="ID37" s="2854"/>
      <c r="IE37" s="2854"/>
      <c r="IF37" s="2854"/>
      <c r="IG37" s="2854"/>
      <c r="IH37" s="2854"/>
      <c r="II37" s="2854"/>
      <c r="IJ37" s="2854"/>
      <c r="IK37" s="2854"/>
      <c r="IL37" s="2854"/>
      <c r="IM37" s="2854"/>
      <c r="IN37" s="2854"/>
      <c r="IO37" s="2854"/>
      <c r="IP37" s="2854"/>
      <c r="IQ37" s="2854"/>
      <c r="IR37" s="2854"/>
      <c r="IS37" s="2854"/>
      <c r="IT37" s="2854"/>
      <c r="IU37" s="2854"/>
      <c r="IV37" s="2854"/>
      <c r="IW37" s="2854"/>
      <c r="IX37" s="2854"/>
      <c r="IY37" s="2854"/>
      <c r="IZ37" s="2854"/>
      <c r="JA37" s="2854"/>
      <c r="JB37" s="2854"/>
      <c r="JC37" s="2854"/>
      <c r="JD37" s="2854"/>
      <c r="JE37" s="2854"/>
      <c r="JF37" s="2854"/>
      <c r="JG37" s="2854"/>
      <c r="JH37" s="2854"/>
      <c r="JI37" s="2854"/>
      <c r="JJ37" s="2854"/>
      <c r="JK37" s="2854"/>
      <c r="JL37" s="2854"/>
      <c r="JM37" s="2854"/>
      <c r="JN37" s="2854"/>
      <c r="JO37" s="2854"/>
      <c r="JP37" s="2854"/>
      <c r="JQ37" s="2854"/>
      <c r="JR37" s="2854"/>
      <c r="JS37" s="2854"/>
      <c r="JT37" s="2854"/>
      <c r="JU37" s="2854"/>
      <c r="JV37" s="2854"/>
      <c r="JW37" s="2854"/>
      <c r="JX37" s="2854"/>
      <c r="JY37" s="2854"/>
      <c r="JZ37" s="2854"/>
      <c r="KA37" s="2854"/>
      <c r="KB37" s="2854"/>
      <c r="KC37" s="2854"/>
      <c r="KD37" s="2854"/>
      <c r="KE37" s="2854"/>
      <c r="KF37" s="2854"/>
      <c r="KG37" s="2854"/>
      <c r="KH37" s="2854"/>
      <c r="KI37" s="2854"/>
      <c r="KJ37" s="2854"/>
      <c r="KK37" s="2854"/>
      <c r="KL37" s="2854"/>
      <c r="KM37" s="2854"/>
      <c r="KN37" s="2854"/>
      <c r="KO37" s="2854"/>
      <c r="KP37" s="2854"/>
      <c r="KQ37" s="2854"/>
      <c r="KR37" s="2854"/>
      <c r="KS37" s="2854"/>
      <c r="KT37" s="2854"/>
      <c r="KU37" s="2854"/>
      <c r="KV37" s="2854"/>
      <c r="KW37" s="2854"/>
      <c r="KX37" s="2854"/>
      <c r="KY37" s="2854"/>
      <c r="KZ37" s="2854"/>
      <c r="LA37" s="2854"/>
      <c r="LB37" s="2854"/>
      <c r="LC37" s="2854"/>
      <c r="LD37" s="2854"/>
      <c r="LE37" s="2854"/>
      <c r="LF37" s="2854"/>
      <c r="LG37" s="2854"/>
      <c r="LH37" s="2854"/>
      <c r="LI37" s="2854"/>
      <c r="LJ37" s="2854"/>
      <c r="LK37" s="2854"/>
      <c r="LL37" s="2854"/>
      <c r="LM37" s="2854"/>
      <c r="LN37" s="2854"/>
      <c r="LO37" s="2854"/>
      <c r="LP37" s="2854"/>
      <c r="LQ37" s="2854"/>
      <c r="LR37" s="2854"/>
      <c r="LS37" s="2854"/>
      <c r="LT37" s="2854"/>
      <c r="LU37" s="2854"/>
      <c r="LV37" s="2854"/>
      <c r="LW37" s="2854"/>
      <c r="LX37" s="2854"/>
      <c r="LY37" s="2854"/>
      <c r="LZ37" s="2854"/>
      <c r="MA37" s="2854"/>
      <c r="MB37" s="2854"/>
      <c r="MC37" s="2854"/>
      <c r="MD37" s="2854"/>
      <c r="ME37" s="2854"/>
      <c r="MF37" s="2854"/>
      <c r="MG37" s="2854"/>
      <c r="MH37" s="2854"/>
      <c r="MI37" s="2854"/>
      <c r="MJ37" s="2854"/>
      <c r="MK37" s="2854"/>
      <c r="ML37" s="2854"/>
      <c r="MM37" s="2854"/>
      <c r="MN37" s="2854"/>
      <c r="MO37" s="2854"/>
      <c r="MP37" s="2854"/>
      <c r="MQ37" s="2854"/>
      <c r="MR37" s="2854"/>
      <c r="MS37" s="2854"/>
      <c r="MT37" s="2854"/>
      <c r="MU37" s="2854"/>
      <c r="MV37" s="2854"/>
      <c r="MW37" s="2854"/>
      <c r="MX37" s="2854"/>
      <c r="MY37" s="2854"/>
      <c r="MZ37" s="2854"/>
      <c r="NA37" s="2854"/>
      <c r="NB37" s="2854"/>
      <c r="NC37" s="2854"/>
      <c r="ND37" s="2854"/>
      <c r="NE37" s="2854"/>
      <c r="NF37" s="2854"/>
      <c r="NG37" s="2854"/>
      <c r="NH37" s="2854"/>
      <c r="NI37" s="2854"/>
      <c r="NJ37" s="2854"/>
      <c r="NK37" s="2854"/>
      <c r="NL37" s="2854"/>
      <c r="NM37" s="2854"/>
      <c r="NN37" s="2854"/>
      <c r="NO37" s="2854"/>
      <c r="NP37" s="2854"/>
      <c r="NQ37" s="2854"/>
      <c r="NR37" s="2854"/>
      <c r="NS37" s="2854"/>
      <c r="NT37" s="2854"/>
      <c r="NU37" s="2854"/>
      <c r="NV37" s="2854"/>
      <c r="NW37" s="2854"/>
      <c r="NX37" s="2854"/>
      <c r="NY37" s="2854"/>
      <c r="NZ37" s="2854"/>
      <c r="OA37" s="2854"/>
      <c r="OB37" s="2854"/>
      <c r="OC37" s="2854"/>
      <c r="OD37" s="2854"/>
      <c r="OE37" s="2854"/>
      <c r="OF37" s="2854"/>
      <c r="OG37" s="2854"/>
      <c r="OH37" s="2854"/>
      <c r="OI37" s="2854"/>
      <c r="OJ37" s="2854"/>
      <c r="OK37" s="2854"/>
      <c r="OL37" s="2854"/>
      <c r="OM37" s="2854"/>
      <c r="ON37" s="2854"/>
      <c r="OO37" s="2854"/>
      <c r="OP37" s="2854"/>
      <c r="OQ37" s="2854"/>
      <c r="OR37" s="2854"/>
      <c r="OS37" s="2854"/>
      <c r="OT37" s="2854"/>
      <c r="OU37" s="2854"/>
      <c r="OV37" s="2854"/>
      <c r="OW37" s="2854"/>
      <c r="OX37" s="2854"/>
      <c r="OY37" s="2854"/>
      <c r="OZ37" s="2854"/>
      <c r="PA37" s="2854"/>
      <c r="PB37" s="2854"/>
      <c r="PC37" s="2854"/>
      <c r="PD37" s="2854"/>
      <c r="PE37" s="2854"/>
      <c r="PF37" s="2854"/>
      <c r="PG37" s="2854"/>
      <c r="PH37" s="2854"/>
      <c r="PI37" s="2854"/>
      <c r="PJ37" s="2854"/>
      <c r="PK37" s="2854"/>
      <c r="PL37" s="2854"/>
      <c r="PM37" s="2854"/>
      <c r="PN37" s="2854"/>
      <c r="PO37" s="2854"/>
      <c r="PP37" s="2854"/>
      <c r="PQ37" s="2854"/>
      <c r="PR37" s="2854"/>
      <c r="PS37" s="2854"/>
      <c r="PT37" s="2854"/>
      <c r="PU37" s="2854"/>
      <c r="PV37" s="2854"/>
      <c r="PW37" s="2854"/>
      <c r="PX37" s="2854"/>
      <c r="PY37" s="2854"/>
      <c r="PZ37" s="2854"/>
      <c r="QA37" s="2854"/>
      <c r="QB37" s="2854"/>
      <c r="QC37" s="2854"/>
      <c r="QD37" s="2854"/>
      <c r="QE37" s="2854"/>
      <c r="QF37" s="2854"/>
      <c r="QG37" s="2854"/>
      <c r="QH37" s="2854"/>
      <c r="QI37" s="2854"/>
      <c r="QJ37" s="2854"/>
      <c r="QK37" s="2854"/>
      <c r="QL37" s="2854"/>
      <c r="QM37" s="2854"/>
      <c r="QN37" s="2854"/>
      <c r="QO37" s="2854"/>
      <c r="QP37" s="2854"/>
      <c r="QQ37" s="2854"/>
      <c r="QR37" s="2854"/>
      <c r="QS37" s="2854"/>
      <c r="QT37" s="2854"/>
      <c r="QU37" s="2854"/>
      <c r="QV37" s="2854"/>
      <c r="QW37" s="2854"/>
      <c r="QX37" s="2854"/>
      <c r="QY37" s="2854"/>
      <c r="QZ37" s="2854"/>
      <c r="RA37" s="2854"/>
      <c r="RB37" s="2854"/>
      <c r="RC37" s="2854"/>
      <c r="RD37" s="2854"/>
      <c r="RE37" s="2854"/>
      <c r="RF37" s="2854"/>
      <c r="RG37" s="2854"/>
      <c r="RH37" s="2854"/>
      <c r="RI37" s="2854"/>
      <c r="RJ37" s="2854"/>
      <c r="RK37" s="2854"/>
      <c r="RL37" s="2854"/>
      <c r="RM37" s="2854"/>
      <c r="RN37" s="2854"/>
      <c r="RO37" s="2854"/>
      <c r="RP37" s="2854"/>
      <c r="RQ37" s="2854"/>
      <c r="RR37" s="2854"/>
      <c r="RS37" s="2854"/>
      <c r="RT37" s="2854"/>
      <c r="RU37" s="2854"/>
      <c r="RV37" s="2854"/>
      <c r="RW37" s="2854"/>
      <c r="RX37" s="2854"/>
      <c r="RY37" s="2854"/>
      <c r="RZ37" s="2854"/>
      <c r="SA37" s="2854"/>
      <c r="SB37" s="2854"/>
      <c r="SC37" s="2854"/>
      <c r="SD37" s="2854"/>
      <c r="SE37" s="2854"/>
      <c r="SF37" s="2854"/>
      <c r="SG37" s="2854"/>
      <c r="SH37" s="2854"/>
      <c r="SI37" s="2854"/>
      <c r="SJ37" s="2854"/>
      <c r="SK37" s="2854"/>
      <c r="SL37" s="2854"/>
      <c r="SM37" s="2854"/>
      <c r="SN37" s="2854"/>
      <c r="SO37" s="2854"/>
      <c r="SP37" s="2854"/>
      <c r="SQ37" s="2854"/>
      <c r="SR37" s="2854"/>
      <c r="SS37" s="2854"/>
      <c r="ST37" s="2854"/>
      <c r="SU37" s="2854"/>
      <c r="SV37" s="2854"/>
      <c r="SW37" s="2854"/>
      <c r="SX37" s="2854"/>
      <c r="SY37" s="2854"/>
      <c r="SZ37" s="2854"/>
      <c r="TA37" s="2854"/>
      <c r="TB37" s="2854"/>
      <c r="TC37" s="2854"/>
      <c r="TD37" s="2854"/>
      <c r="TE37" s="2854"/>
      <c r="TF37" s="2854"/>
      <c r="TG37" s="2854"/>
      <c r="TH37" s="2854"/>
      <c r="TI37" s="2854"/>
      <c r="TJ37" s="2854"/>
      <c r="TK37" s="2854"/>
      <c r="TL37" s="2854"/>
      <c r="TM37" s="2854"/>
      <c r="TN37" s="2854"/>
      <c r="TO37" s="2854"/>
      <c r="TP37" s="2854"/>
      <c r="TQ37" s="2854"/>
      <c r="TR37" s="2854"/>
      <c r="TS37" s="2854"/>
      <c r="TT37" s="2854"/>
      <c r="TU37" s="3783"/>
      <c r="TV37" s="3783"/>
      <c r="TW37" s="3783"/>
      <c r="TX37" s="3783"/>
      <c r="TY37" s="3783"/>
      <c r="TZ37" s="3783"/>
      <c r="UA37" s="3783"/>
      <c r="UB37" s="3783"/>
      <c r="UC37" s="3783"/>
      <c r="UD37" s="3783"/>
      <c r="UE37" s="3783"/>
      <c r="UF37" s="3783"/>
      <c r="UG37" s="3783"/>
      <c r="UH37" s="3783"/>
      <c r="UI37" s="3783"/>
      <c r="UJ37" s="3783"/>
      <c r="UK37" s="3783"/>
      <c r="UL37" s="3783"/>
      <c r="UM37" s="3783"/>
      <c r="UN37" s="3783"/>
      <c r="UO37" s="3783"/>
      <c r="UP37" s="2854"/>
      <c r="UQ37" s="2854"/>
      <c r="UR37" s="2854"/>
      <c r="US37" s="2854"/>
      <c r="UT37" s="2854"/>
      <c r="UU37" s="2854"/>
      <c r="UV37" s="2854"/>
      <c r="UW37" s="2854"/>
      <c r="UX37" s="2854"/>
      <c r="UY37" s="2854"/>
      <c r="UZ37" s="2854"/>
      <c r="VA37" s="2854"/>
      <c r="VB37" s="2854"/>
      <c r="VC37" s="2854"/>
      <c r="VD37" s="2854"/>
      <c r="VE37" s="2854"/>
      <c r="VF37" s="2854"/>
      <c r="VG37" s="2854"/>
      <c r="VH37" s="2854"/>
      <c r="VI37" s="2854"/>
      <c r="VJ37" s="2854"/>
      <c r="VK37" s="2854"/>
      <c r="VL37" s="2854"/>
      <c r="VM37" s="2854"/>
      <c r="VN37" s="2854"/>
      <c r="VO37" s="2854"/>
      <c r="VP37" s="2854"/>
      <c r="VQ37" s="2854"/>
      <c r="VR37" s="2854"/>
      <c r="VS37" s="2854"/>
      <c r="VT37" s="2854"/>
      <c r="VU37" s="2854"/>
      <c r="VV37" s="2854"/>
      <c r="VW37" s="2854"/>
      <c r="VX37" s="2854"/>
      <c r="VY37" s="2854"/>
      <c r="VZ37" s="2854"/>
      <c r="WA37" s="2854"/>
      <c r="WB37" s="2854"/>
      <c r="WC37" s="2854"/>
      <c r="WD37" s="2854"/>
      <c r="WE37" s="2854"/>
      <c r="WF37" s="2854"/>
      <c r="WG37" s="2854"/>
      <c r="WH37" s="2854"/>
      <c r="WI37" s="2854"/>
      <c r="WJ37" s="2854"/>
      <c r="WK37" s="2854"/>
      <c r="WL37" s="2854"/>
      <c r="WM37" s="2854"/>
      <c r="WN37" s="2854"/>
      <c r="WO37" s="2854"/>
      <c r="WP37" s="2854"/>
      <c r="WQ37" s="2854"/>
      <c r="WR37" s="2854"/>
      <c r="WS37" s="2854"/>
      <c r="WT37" s="2854"/>
      <c r="WU37" s="2854"/>
      <c r="WV37" s="2854"/>
      <c r="WW37" s="2854"/>
      <c r="WX37" s="2854"/>
      <c r="WY37" s="2854"/>
      <c r="WZ37" s="2854"/>
      <c r="XA37" s="2854"/>
      <c r="XB37" s="2854"/>
      <c r="XC37" s="2854"/>
      <c r="XD37" s="2854"/>
      <c r="XE37" s="2854"/>
      <c r="XF37" s="2854"/>
      <c r="XG37" s="2854"/>
      <c r="XH37" s="2854"/>
      <c r="XI37" s="2854"/>
      <c r="XJ37" s="2854"/>
      <c r="XK37" s="2854"/>
      <c r="XL37" s="2854"/>
      <c r="XM37" s="2854"/>
      <c r="XN37" s="2854"/>
      <c r="XO37" s="2854"/>
      <c r="XP37" s="2854"/>
      <c r="XQ37" s="2854"/>
      <c r="XR37" s="2854"/>
      <c r="XS37" s="2854"/>
      <c r="XT37" s="2854"/>
      <c r="XU37" s="2854"/>
      <c r="XV37" s="2854"/>
      <c r="XW37" s="2854"/>
      <c r="XX37" s="2854"/>
      <c r="XY37" s="2854"/>
      <c r="XZ37" s="2854"/>
      <c r="YA37" s="2854"/>
      <c r="YB37" s="2854"/>
      <c r="YC37" s="2854"/>
      <c r="YD37" s="2854"/>
      <c r="YE37" s="2854"/>
      <c r="YF37" s="2854"/>
      <c r="YG37" s="2854"/>
      <c r="YH37" s="2854"/>
      <c r="YI37" s="2854"/>
      <c r="YJ37" s="2854"/>
      <c r="YK37" s="2854"/>
      <c r="YL37" s="2854"/>
      <c r="YM37" s="2854"/>
      <c r="YN37" s="2854"/>
      <c r="YO37" s="2854"/>
      <c r="YP37" s="2854"/>
      <c r="YQ37" s="2854"/>
      <c r="YR37" s="2854"/>
      <c r="YS37" s="2854"/>
      <c r="YT37" s="2854"/>
      <c r="YU37" s="2854"/>
      <c r="YV37" s="2854"/>
      <c r="YW37" s="2854"/>
      <c r="YX37" s="2854"/>
      <c r="YY37" s="2854"/>
      <c r="YZ37" s="2854"/>
      <c r="ZA37" s="2854"/>
      <c r="ZB37" s="2854"/>
      <c r="ZC37" s="2854"/>
      <c r="ZD37" s="2854"/>
      <c r="ZE37" s="2854"/>
      <c r="ZF37" s="2854"/>
      <c r="ZG37" s="2854"/>
      <c r="ZH37" s="2854"/>
      <c r="ZI37" s="2854"/>
      <c r="ZJ37" s="2854"/>
      <c r="ZK37" s="2854"/>
      <c r="ZL37" s="2854"/>
      <c r="ZM37" s="2854"/>
      <c r="ZN37" s="2854"/>
      <c r="ZO37" s="2854"/>
      <c r="ZP37" s="2854"/>
      <c r="ZQ37" s="2854"/>
      <c r="ZR37" s="2854"/>
      <c r="ZS37" s="2854"/>
      <c r="ZT37" s="2854"/>
      <c r="ZU37" s="2854"/>
      <c r="ZV37" s="2854"/>
      <c r="ZW37" s="2854"/>
      <c r="ZX37" s="2854"/>
      <c r="ZY37" s="2854"/>
      <c r="ZZ37" s="2854"/>
      <c r="AAA37" s="2854"/>
      <c r="AAB37" s="2854"/>
      <c r="AAC37" s="2854"/>
      <c r="AAD37" s="2854"/>
      <c r="AAE37" s="2854"/>
      <c r="AAF37" s="2854"/>
      <c r="AAG37" s="2854"/>
      <c r="AAH37" s="2854"/>
      <c r="AAI37" s="2854"/>
      <c r="AAJ37" s="2854"/>
      <c r="AAK37" s="2854"/>
      <c r="AAL37" s="2854"/>
      <c r="AAM37" s="2854"/>
      <c r="AAN37" s="2854"/>
      <c r="AAO37" s="2854"/>
      <c r="AAP37" s="2854"/>
      <c r="AAQ37" s="2854"/>
      <c r="AAR37" s="2854"/>
      <c r="AAS37" s="2854"/>
      <c r="AAT37" s="2854"/>
      <c r="AAU37" s="2854"/>
      <c r="AAV37" s="2854"/>
      <c r="AAW37" s="2854"/>
      <c r="AAX37" s="2854"/>
      <c r="AAY37" s="2854"/>
      <c r="AAZ37" s="2854"/>
      <c r="ABA37" s="2854"/>
      <c r="ABB37" s="2854"/>
      <c r="ABC37" s="2854"/>
      <c r="ABD37" s="2854"/>
      <c r="ABE37" s="2854"/>
      <c r="ABF37" s="2854"/>
      <c r="ABG37" s="2854"/>
      <c r="ABH37" s="2854"/>
      <c r="ABI37" s="2854"/>
      <c r="ABJ37" s="2854"/>
      <c r="ABK37" s="2854"/>
      <c r="ABL37" s="2854"/>
      <c r="ABM37" s="2854"/>
      <c r="ABN37" s="2854"/>
      <c r="ABO37" s="2854"/>
      <c r="ABP37" s="2854"/>
      <c r="ABQ37" s="2854"/>
      <c r="ABR37" s="2854"/>
      <c r="ABS37" s="2854"/>
      <c r="ABT37" s="2854"/>
      <c r="ABU37" s="2854"/>
      <c r="ABV37" s="2854"/>
      <c r="ABW37" s="2854"/>
      <c r="ABX37" s="2854"/>
      <c r="ABY37" s="2854"/>
      <c r="ABZ37" s="2854"/>
      <c r="ACA37" s="2854"/>
      <c r="ACB37" s="2854"/>
      <c r="ACC37" s="2854"/>
      <c r="ACD37" s="2854"/>
      <c r="ACE37" s="2854"/>
      <c r="ACF37" s="2854"/>
      <c r="ACG37" s="2854"/>
      <c r="ACH37" s="2854"/>
      <c r="ACI37" s="2854"/>
      <c r="ACJ37" s="2854"/>
      <c r="ACK37" s="2854"/>
      <c r="ACL37" s="2854"/>
      <c r="ACM37" s="2854"/>
      <c r="ACN37" s="2854"/>
      <c r="ACO37" s="2854"/>
      <c r="ACP37" s="2854"/>
      <c r="ACQ37" s="2854"/>
      <c r="ACR37" s="2854"/>
      <c r="ACS37" s="2854"/>
      <c r="ACT37" s="2854"/>
      <c r="ACU37" s="2854"/>
      <c r="ACV37" s="2854"/>
      <c r="ACW37" s="2854"/>
      <c r="ACX37" s="2854"/>
      <c r="ACY37" s="2854"/>
      <c r="ACZ37" s="2854"/>
      <c r="ADA37" s="2854"/>
      <c r="ADB37" s="2854"/>
      <c r="ADC37" s="2854"/>
      <c r="ADD37" s="2854"/>
      <c r="ADE37" s="2854"/>
      <c r="ADF37" s="2854"/>
      <c r="ADG37" s="2854"/>
      <c r="ADH37" s="2854"/>
      <c r="ADI37" s="2854"/>
      <c r="ADJ37" s="2854"/>
      <c r="ADK37" s="2854"/>
      <c r="ADL37" s="2854"/>
      <c r="ADM37" s="2854"/>
      <c r="ADN37" s="2854"/>
      <c r="ADO37" s="2854"/>
      <c r="ADP37" s="2854"/>
      <c r="ADQ37" s="2854"/>
      <c r="ADR37" s="2854"/>
      <c r="ADS37" s="2854"/>
      <c r="ADT37" s="2854"/>
      <c r="ADU37" s="2854"/>
      <c r="ADV37" s="2854"/>
      <c r="ADW37" s="2854"/>
      <c r="ADX37" s="2854"/>
      <c r="ADY37" s="2854"/>
      <c r="ADZ37" s="2854"/>
      <c r="AEA37" s="2854"/>
      <c r="AEB37" s="2854"/>
      <c r="AEC37" s="2854"/>
      <c r="AED37" s="2854"/>
      <c r="AEE37" s="2854"/>
      <c r="AEF37" s="2854"/>
      <c r="AEG37" s="2854"/>
      <c r="AEH37" s="2854"/>
      <c r="AEI37" s="2854"/>
      <c r="AEJ37" s="2854"/>
      <c r="AEK37" s="2854"/>
      <c r="AEL37" s="2854"/>
      <c r="AEM37" s="2854"/>
      <c r="AEN37" s="2854"/>
      <c r="AEO37" s="2854"/>
      <c r="AEP37" s="2854"/>
      <c r="AEQ37" s="2854"/>
      <c r="AER37" s="2854"/>
      <c r="AES37" s="2854"/>
      <c r="AET37" s="2854"/>
      <c r="AEU37" s="2854"/>
      <c r="AEV37" s="2854"/>
      <c r="AEW37" s="2854"/>
      <c r="AEX37" s="2854"/>
      <c r="AEY37" s="2854"/>
      <c r="AEZ37" s="2854"/>
      <c r="AFA37" s="2854"/>
      <c r="AFB37" s="2854"/>
      <c r="AFC37" s="2854"/>
      <c r="AFD37" s="2854"/>
      <c r="AFE37" s="2854"/>
      <c r="AFF37" s="2854"/>
      <c r="AFG37" s="2854"/>
      <c r="AFH37" s="2854"/>
      <c r="AFI37" s="2854"/>
      <c r="AFJ37" s="2854"/>
      <c r="AFK37" s="2854"/>
      <c r="AFL37" s="2854"/>
      <c r="AFM37" s="2854"/>
      <c r="AFN37" s="2854"/>
      <c r="AFO37" s="2854"/>
      <c r="AFP37" s="2854"/>
      <c r="AFQ37" s="2854"/>
      <c r="AFR37" s="2854"/>
      <c r="AFS37" s="2854"/>
      <c r="AFT37" s="2854"/>
      <c r="AFU37" s="2854"/>
      <c r="AFV37" s="2854"/>
      <c r="AFW37" s="2854"/>
      <c r="AFX37" s="2854"/>
      <c r="AFY37" s="2854"/>
      <c r="AFZ37" s="2854"/>
      <c r="AGA37" s="2854"/>
      <c r="AGB37" s="2854"/>
      <c r="AGC37" s="2854"/>
      <c r="AGD37" s="2854"/>
      <c r="AGE37" s="2854"/>
      <c r="AGF37" s="2854"/>
      <c r="AGG37" s="2854"/>
      <c r="AGH37" s="2854"/>
      <c r="AGI37" s="2854"/>
      <c r="AGJ37" s="2854"/>
      <c r="AGK37" s="2854"/>
      <c r="AGL37" s="2854"/>
      <c r="AGM37" s="2854"/>
      <c r="AGN37" s="2854"/>
      <c r="AGO37" s="2854"/>
      <c r="AGP37" s="2854"/>
      <c r="AGQ37" s="2854"/>
      <c r="AGR37" s="2854"/>
      <c r="AGS37" s="2854"/>
      <c r="AGT37" s="2854"/>
      <c r="AGU37" s="2854"/>
      <c r="AGV37" s="2854"/>
      <c r="AGW37" s="2854"/>
      <c r="AGX37" s="2854"/>
      <c r="AGY37" s="2854"/>
      <c r="AGZ37" s="2854"/>
      <c r="AHA37" s="2854"/>
      <c r="AHB37" s="2854"/>
      <c r="AHC37" s="2854"/>
      <c r="AHD37" s="2854"/>
      <c r="AHE37" s="2854"/>
      <c r="AHF37" s="2854"/>
      <c r="AHG37" s="2854"/>
      <c r="AHH37" s="2854"/>
      <c r="AHI37" s="2854"/>
      <c r="AHJ37" s="2854"/>
      <c r="AHK37" s="2854"/>
      <c r="AHL37" s="2854"/>
      <c r="AHM37" s="2854"/>
      <c r="AHN37" s="2854"/>
      <c r="AHO37" s="2854"/>
      <c r="AHP37" s="2854"/>
      <c r="AHQ37" s="2854"/>
      <c r="AHR37" s="2854"/>
      <c r="AHS37" s="2854"/>
      <c r="AHT37" s="2854"/>
      <c r="AHU37" s="2854"/>
      <c r="AHV37" s="2854"/>
      <c r="AHW37" s="2854"/>
      <c r="AHX37" s="2854"/>
      <c r="AHY37" s="2854"/>
      <c r="AHZ37" s="2854"/>
      <c r="AIA37" s="2854"/>
      <c r="AIB37" s="2854"/>
      <c r="AIC37" s="2854"/>
      <c r="AID37" s="2854"/>
      <c r="AIE37" s="2854"/>
      <c r="AIF37" s="2854"/>
      <c r="AIG37" s="2854"/>
      <c r="AIH37" s="2854"/>
      <c r="AII37" s="2854"/>
      <c r="AIJ37" s="2854"/>
      <c r="AIK37" s="2854"/>
      <c r="AIL37" s="2854"/>
      <c r="AIM37" s="2854"/>
      <c r="AIN37" s="2854"/>
      <c r="AIO37" s="2854"/>
      <c r="AIP37" s="2854"/>
      <c r="AIQ37" s="2854"/>
      <c r="AIR37" s="2854"/>
      <c r="AIS37" s="2854"/>
      <c r="AIT37" s="2854"/>
      <c r="AIU37" s="2854"/>
      <c r="AIV37" s="2854"/>
      <c r="AIW37" s="2854"/>
      <c r="AIX37" s="2854"/>
      <c r="AIY37" s="2854"/>
      <c r="AIZ37" s="2854"/>
      <c r="AJA37" s="2854"/>
      <c r="AJB37" s="2854"/>
      <c r="AJC37" s="2854"/>
      <c r="AJD37" s="2854"/>
      <c r="AJE37" s="2854"/>
      <c r="AJF37" s="2854"/>
      <c r="AJG37" s="2854"/>
      <c r="AJH37" s="2854"/>
      <c r="AJI37" s="2854"/>
      <c r="AJJ37" s="2854"/>
      <c r="AJK37" s="2854"/>
      <c r="AJL37" s="2854"/>
      <c r="AJM37" s="2854"/>
      <c r="AJN37" s="2854"/>
      <c r="AJO37" s="2854"/>
      <c r="AJP37" s="2854"/>
      <c r="AJQ37" s="2854"/>
      <c r="AJR37" s="2854"/>
      <c r="AJS37" s="2854"/>
      <c r="AJT37" s="2854"/>
      <c r="AJU37" s="2854"/>
      <c r="AJV37" s="2854"/>
      <c r="AJW37" s="2854"/>
      <c r="AJX37" s="2854"/>
      <c r="AJY37" s="2854"/>
      <c r="AJZ37" s="2854"/>
      <c r="AKA37" s="2854"/>
      <c r="AKB37" s="2854"/>
      <c r="AKC37" s="2854"/>
      <c r="AKD37" s="2854"/>
      <c r="AKE37" s="2854"/>
      <c r="AKF37" s="2854"/>
      <c r="AKG37" s="2854"/>
      <c r="AKH37" s="2854"/>
      <c r="AKI37" s="2854"/>
      <c r="AKJ37" s="2854"/>
      <c r="AKK37" s="2854"/>
      <c r="AKL37" s="2854"/>
      <c r="AKM37" s="2854"/>
      <c r="AKN37" s="2854"/>
      <c r="AKO37" s="2854"/>
      <c r="AKP37" s="2854"/>
      <c r="AKQ37" s="2854"/>
      <c r="AKR37" s="2854"/>
      <c r="AKS37" s="2854"/>
      <c r="AKT37" s="2854"/>
      <c r="AKU37" s="2854"/>
      <c r="AKV37" s="2854"/>
      <c r="AKW37" s="2854"/>
      <c r="AKX37" s="2854"/>
      <c r="AKY37" s="2854"/>
      <c r="AKZ37" s="2854"/>
      <c r="ALA37" s="2854"/>
      <c r="ALB37" s="2854"/>
      <c r="ALC37" s="2854"/>
      <c r="ALD37" s="2854"/>
      <c r="ALE37" s="2854"/>
      <c r="ALF37" s="2854"/>
      <c r="ALG37" s="2854"/>
      <c r="ALH37" s="2854"/>
      <c r="ALI37" s="2854"/>
      <c r="ALJ37" s="2854"/>
      <c r="ALK37" s="2854"/>
      <c r="ALL37" s="2854"/>
      <c r="ALM37" s="2854"/>
      <c r="ALN37" s="2854"/>
      <c r="ALO37" s="2854"/>
      <c r="ALP37" s="2854"/>
      <c r="ALQ37" s="2854"/>
      <c r="ALR37" s="2854"/>
      <c r="ALS37" s="2854"/>
      <c r="ALT37" s="2854"/>
      <c r="ALU37" s="2854"/>
      <c r="ALV37" s="2854"/>
      <c r="ALW37" s="2854"/>
      <c r="ALX37" s="2854"/>
      <c r="ALY37" s="2854"/>
      <c r="ALZ37" s="2854"/>
      <c r="AMA37" s="2854"/>
      <c r="AMB37" s="2854"/>
      <c r="AMC37" s="2854"/>
      <c r="AMD37" s="2854"/>
      <c r="AME37" s="2854"/>
      <c r="AMF37" s="2854"/>
      <c r="AMG37" s="2854"/>
      <c r="AMH37" s="2854"/>
      <c r="AMI37" s="2854"/>
      <c r="AMJ37" s="2854"/>
      <c r="AMK37" s="2854"/>
      <c r="AML37" s="2854"/>
      <c r="AMM37" s="2854"/>
      <c r="AMN37" s="2854"/>
      <c r="AMO37" s="2854"/>
      <c r="AMP37" s="2854"/>
      <c r="AMQ37" s="2854"/>
      <c r="AMR37" s="2854"/>
      <c r="AMS37" s="2854"/>
      <c r="AMT37" s="2854"/>
      <c r="AMU37" s="2854"/>
      <c r="AMV37" s="2854"/>
      <c r="AMW37" s="2854"/>
      <c r="AMX37" s="2854"/>
      <c r="AMY37" s="2854"/>
      <c r="AMZ37" s="2854"/>
      <c r="ANA37" s="2854"/>
      <c r="ANB37" s="2854"/>
      <c r="ANC37" s="2854"/>
      <c r="AND37" s="2854"/>
      <c r="ANE37" s="2854"/>
      <c r="ANF37" s="2854"/>
      <c r="ANG37" s="2854"/>
      <c r="ANH37" s="2854"/>
      <c r="ANI37" s="2854"/>
      <c r="ANJ37" s="2854"/>
      <c r="ANK37" s="2854"/>
      <c r="ANL37" s="2854"/>
      <c r="ANM37" s="2854"/>
      <c r="ANN37" s="2854"/>
      <c r="ANO37" s="2854"/>
      <c r="ANP37" s="2854"/>
      <c r="ANQ37" s="2854"/>
      <c r="ANR37" s="2854"/>
      <c r="ANS37" s="2854"/>
      <c r="ANT37" s="2854"/>
      <c r="ANU37" s="2854"/>
      <c r="ANV37" s="2854"/>
      <c r="ANW37" s="2854"/>
      <c r="ANX37" s="2854"/>
      <c r="ANY37" s="2854"/>
      <c r="ANZ37" s="2854"/>
      <c r="AOA37" s="2854"/>
      <c r="AOB37" s="2854"/>
      <c r="AOC37" s="2854"/>
      <c r="AOD37" s="2854"/>
      <c r="AOE37" s="2854"/>
      <c r="AOF37" s="2854"/>
      <c r="AOG37" s="2854"/>
      <c r="AOH37" s="2854"/>
      <c r="AOI37" s="2854"/>
      <c r="AOJ37" s="2854"/>
      <c r="AOK37" s="2854"/>
      <c r="AOL37" s="2854"/>
      <c r="AOM37" s="2854"/>
      <c r="AON37" s="2854"/>
      <c r="AOO37" s="2854"/>
      <c r="AOP37" s="2854"/>
      <c r="AOQ37" s="2854"/>
      <c r="AOR37" s="2854"/>
      <c r="AOS37" s="2854"/>
      <c r="AOT37" s="2854"/>
      <c r="AOU37" s="2854"/>
      <c r="AOV37" s="2854"/>
      <c r="AOW37" s="2854"/>
      <c r="AOX37" s="2854"/>
      <c r="AOY37" s="2854"/>
      <c r="AOZ37" s="2854"/>
      <c r="APA37" s="2854"/>
      <c r="APB37" s="2854"/>
      <c r="APC37" s="2854"/>
      <c r="APD37" s="2854"/>
      <c r="APE37" s="2854"/>
      <c r="APF37" s="2854"/>
      <c r="APG37" s="2854"/>
      <c r="APH37" s="2854"/>
      <c r="API37" s="2854"/>
      <c r="APJ37" s="2854"/>
      <c r="APK37" s="2854"/>
      <c r="APL37" s="2854"/>
      <c r="APM37" s="2854"/>
      <c r="APN37" s="2854"/>
      <c r="APO37" s="2854"/>
      <c r="APP37" s="2854"/>
      <c r="APQ37" s="2854"/>
      <c r="APR37" s="2854"/>
      <c r="APS37" s="2854"/>
      <c r="APT37" s="2854"/>
      <c r="APU37" s="2854"/>
      <c r="APV37" s="2854"/>
      <c r="APW37" s="2854"/>
      <c r="APX37" s="2854"/>
      <c r="APY37" s="2854"/>
      <c r="APZ37" s="2854"/>
      <c r="AQA37" s="2854"/>
      <c r="AQB37" s="2854"/>
      <c r="AQC37" s="2854"/>
      <c r="AQD37" s="2854"/>
      <c r="AQE37" s="2854"/>
      <c r="AQF37" s="2854"/>
      <c r="AQG37" s="2854"/>
      <c r="AQH37" s="2854"/>
      <c r="AQI37" s="2854"/>
      <c r="AQJ37" s="2854"/>
      <c r="AQK37" s="2854"/>
      <c r="AQL37" s="2854"/>
      <c r="AQM37" s="2854"/>
      <c r="AQN37" s="2854"/>
      <c r="AQO37" s="2854"/>
      <c r="AQP37" s="2854"/>
      <c r="AQQ37" s="2854"/>
      <c r="AQR37" s="2854"/>
      <c r="AQS37" s="2854"/>
      <c r="AQT37" s="2854"/>
      <c r="AQU37" s="2854"/>
      <c r="AQV37" s="2854"/>
      <c r="AQW37" s="2854"/>
      <c r="AQX37" s="2854"/>
      <c r="AQY37" s="2854"/>
      <c r="AQZ37" s="2854"/>
      <c r="ARA37" s="2854"/>
      <c r="ARB37" s="2854"/>
      <c r="ARC37" s="2854"/>
      <c r="ARD37" s="2854"/>
      <c r="ARE37" s="2854"/>
      <c r="ARF37" s="2854"/>
      <c r="ARG37" s="2854"/>
      <c r="ARH37" s="2854"/>
      <c r="ARI37" s="2854"/>
      <c r="ARJ37" s="2854"/>
      <c r="ARK37" s="2854"/>
      <c r="ARL37" s="2854"/>
      <c r="ARM37" s="2854"/>
      <c r="ARN37" s="2854"/>
      <c r="ARO37" s="2854"/>
      <c r="ARP37" s="2854"/>
      <c r="ARQ37" s="2854"/>
      <c r="ARR37" s="2854"/>
      <c r="ARS37" s="2854"/>
      <c r="ART37" s="2854"/>
      <c r="ARU37" s="2854"/>
      <c r="ARV37" s="2854"/>
      <c r="ARW37" s="2854"/>
      <c r="ARX37" s="2854"/>
      <c r="ARY37" s="2854"/>
      <c r="ARZ37" s="2854"/>
      <c r="ASA37" s="2854"/>
      <c r="ASB37" s="2854"/>
      <c r="ASC37" s="2854"/>
      <c r="ASD37" s="2854"/>
      <c r="ASE37" s="2854"/>
      <c r="ASF37" s="2854"/>
      <c r="ASG37" s="2854"/>
      <c r="ASH37" s="2854"/>
      <c r="ASI37" s="2854"/>
      <c r="ASJ37" s="2854"/>
      <c r="ASK37" s="2854"/>
      <c r="ASL37" s="2854"/>
      <c r="ASM37" s="2854"/>
      <c r="ASN37" s="2854"/>
      <c r="ASO37" s="2854"/>
      <c r="ASP37" s="2854"/>
      <c r="ASQ37" s="2854"/>
      <c r="ASR37" s="2854"/>
      <c r="ASS37" s="2854"/>
      <c r="AST37" s="2854"/>
      <c r="ASU37" s="2854"/>
      <c r="ASV37" s="2854"/>
      <c r="ASW37" s="2854"/>
      <c r="ASX37" s="2854"/>
      <c r="ASY37" s="2854"/>
      <c r="ASZ37" s="2854"/>
      <c r="ATA37" s="2854"/>
      <c r="ATB37" s="2854"/>
      <c r="ATC37" s="2854"/>
      <c r="ATD37" s="2854"/>
      <c r="ATE37" s="2854"/>
      <c r="ATF37" s="2854"/>
      <c r="ATG37" s="2854"/>
      <c r="ATH37" s="2854"/>
      <c r="ATI37" s="2854"/>
      <c r="ATJ37" s="2854"/>
      <c r="ATK37" s="2854"/>
      <c r="ATL37" s="2854"/>
      <c r="ATM37" s="2854"/>
      <c r="ATN37" s="2854"/>
      <c r="ATO37" s="2854"/>
      <c r="ATP37" s="2854"/>
      <c r="ATQ37" s="2854"/>
      <c r="ATR37" s="2854"/>
      <c r="ATS37" s="2854"/>
      <c r="ATT37" s="2854"/>
      <c r="ATU37" s="2854"/>
      <c r="ATV37" s="2854"/>
      <c r="ATW37" s="2854"/>
      <c r="ATX37" s="2854"/>
      <c r="ATY37" s="2854"/>
      <c r="ATZ37" s="2854"/>
      <c r="AUA37" s="2854"/>
      <c r="AUB37" s="2854"/>
      <c r="AUC37" s="2854"/>
      <c r="AUD37" s="2854"/>
      <c r="AUE37" s="2854"/>
      <c r="AUF37" s="2854"/>
      <c r="AUG37" s="2854"/>
      <c r="AUH37" s="2854"/>
      <c r="AUI37" s="2854"/>
      <c r="AUJ37" s="2854"/>
      <c r="AUK37" s="2854"/>
      <c r="AUL37" s="2854"/>
      <c r="AUM37" s="2854"/>
      <c r="AUN37" s="2854"/>
      <c r="AUO37" s="2854"/>
      <c r="AUP37" s="2854"/>
      <c r="AUQ37" s="2854"/>
      <c r="AUR37" s="2854"/>
      <c r="AUS37" s="2854"/>
      <c r="AUT37" s="2854"/>
      <c r="AUU37" s="2854"/>
      <c r="AUV37" s="2854"/>
      <c r="AUW37" s="2854"/>
      <c r="AUX37" s="2854"/>
      <c r="AUY37" s="2854"/>
      <c r="AUZ37" s="2854"/>
      <c r="AVA37" s="2854"/>
      <c r="AVB37" s="2854"/>
      <c r="AVC37" s="2854"/>
      <c r="AVD37" s="2854"/>
      <c r="AVE37" s="2854"/>
      <c r="AVF37" s="2854"/>
      <c r="AVG37" s="2854"/>
      <c r="AVH37" s="2854"/>
      <c r="AVI37" s="2854"/>
      <c r="AVJ37" s="2854"/>
      <c r="AVK37" s="2854"/>
      <c r="AVL37" s="2854"/>
      <c r="AVM37" s="2854"/>
      <c r="AVN37" s="2854"/>
      <c r="AVO37" s="2854"/>
      <c r="AVP37" s="2854"/>
      <c r="AVQ37" s="2854"/>
      <c r="AVR37" s="2854"/>
      <c r="AVS37" s="2854"/>
      <c r="AVT37" s="2854"/>
      <c r="AVU37" s="2854"/>
      <c r="AVV37" s="2854"/>
      <c r="AVW37" s="2854"/>
      <c r="AVX37" s="2854"/>
      <c r="AVY37" s="2854"/>
      <c r="AVZ37" s="2854"/>
      <c r="AWA37" s="2854"/>
      <c r="AWB37" s="2854"/>
      <c r="AWC37" s="2854"/>
      <c r="AWD37" s="2854"/>
      <c r="AWE37" s="2854"/>
      <c r="AWF37" s="2854"/>
      <c r="AWG37" s="2854"/>
      <c r="AWH37" s="2854"/>
      <c r="AWI37" s="2854"/>
      <c r="AWJ37" s="2854"/>
      <c r="AWK37" s="2854"/>
      <c r="AWL37" s="2854"/>
      <c r="AWM37" s="2854"/>
      <c r="AWN37" s="2854"/>
      <c r="AWO37" s="2854"/>
      <c r="AWP37" s="2854"/>
      <c r="AWQ37" s="2854"/>
      <c r="AWR37" s="2854"/>
      <c r="AWS37" s="2854"/>
      <c r="AWT37" s="2854"/>
      <c r="AWU37" s="2854"/>
      <c r="AWV37" s="2854"/>
      <c r="AWW37" s="2854"/>
      <c r="AWX37" s="2854"/>
      <c r="AWY37" s="2854"/>
      <c r="AWZ37" s="2854"/>
      <c r="AXA37" s="2854"/>
      <c r="AXB37" s="2854"/>
      <c r="AXC37" s="2854"/>
      <c r="AXD37" s="2854"/>
      <c r="AXE37" s="2854"/>
      <c r="AXF37" s="2854"/>
      <c r="AXG37" s="2854"/>
      <c r="AXH37" s="2854"/>
      <c r="AXI37" s="2854"/>
      <c r="AXJ37" s="2854"/>
      <c r="AXK37" s="2854"/>
      <c r="AXL37" s="2854"/>
      <c r="AXM37" s="2854"/>
      <c r="AXN37" s="2854"/>
      <c r="AXO37" s="2854"/>
      <c r="AXP37" s="2854"/>
      <c r="AXQ37" s="2854"/>
      <c r="AXR37" s="2854"/>
      <c r="AXS37" s="2854"/>
      <c r="AXT37" s="2854"/>
      <c r="AXU37" s="2854"/>
      <c r="AXV37" s="2854"/>
      <c r="AXW37" s="2854"/>
      <c r="AXX37" s="2854"/>
      <c r="AXY37" s="2854"/>
      <c r="AXZ37" s="2854"/>
      <c r="AYA37" s="2854"/>
      <c r="AYB37" s="2854"/>
      <c r="AYC37" s="2854"/>
      <c r="AYD37" s="2854"/>
      <c r="AYE37" s="2854"/>
      <c r="AYF37" s="2854"/>
      <c r="AYG37" s="2854"/>
      <c r="AYH37" s="2854"/>
      <c r="AYI37" s="2854"/>
      <c r="AYJ37" s="2854"/>
      <c r="AYK37" s="2854"/>
      <c r="AYL37" s="2854"/>
      <c r="AYM37" s="2854"/>
      <c r="AYN37" s="2854"/>
      <c r="AYO37" s="2854"/>
      <c r="AYP37" s="2854"/>
      <c r="AYQ37" s="2854"/>
      <c r="AYR37" s="2854"/>
      <c r="AYS37" s="2854"/>
      <c r="AYT37" s="2854"/>
      <c r="AYU37" s="2854"/>
      <c r="AYV37" s="2854"/>
      <c r="AYW37" s="2854"/>
      <c r="AYX37" s="2854"/>
      <c r="AYY37" s="2854"/>
      <c r="AYZ37" s="2854"/>
      <c r="AZA37" s="2854"/>
      <c r="AZB37" s="2854"/>
      <c r="AZC37" s="2854"/>
      <c r="AZD37" s="2854"/>
      <c r="AZE37" s="2854"/>
      <c r="AZF37" s="2854"/>
      <c r="AZG37" s="2854"/>
      <c r="AZH37" s="2854"/>
      <c r="AZI37" s="2854"/>
      <c r="AZJ37" s="2854"/>
      <c r="AZK37" s="2854"/>
      <c r="AZL37" s="2854"/>
      <c r="AZM37" s="2854"/>
      <c r="AZN37" s="2854"/>
      <c r="AZO37" s="2854"/>
      <c r="AZP37" s="2854"/>
      <c r="AZQ37" s="2854"/>
      <c r="AZR37" s="2854"/>
      <c r="AZS37" s="2854"/>
      <c r="AZT37" s="2854"/>
      <c r="AZU37" s="2854"/>
      <c r="AZV37" s="2854"/>
      <c r="AZW37" s="2854"/>
      <c r="AZX37" s="2854"/>
      <c r="AZY37" s="2854"/>
      <c r="AZZ37" s="2854"/>
      <c r="BAA37" s="2854"/>
      <c r="BAB37" s="2854"/>
      <c r="BAC37" s="2854"/>
      <c r="BAD37" s="2854"/>
      <c r="BAE37" s="2854"/>
      <c r="BAF37" s="2854"/>
      <c r="BAG37" s="2854"/>
      <c r="BAH37" s="2854"/>
      <c r="BAI37" s="2854"/>
      <c r="BAJ37" s="2854"/>
      <c r="BAK37" s="2854"/>
      <c r="BAL37" s="2854"/>
      <c r="BAM37" s="2854"/>
      <c r="BAN37" s="2854"/>
      <c r="BAO37" s="2854"/>
      <c r="BAP37" s="2854"/>
      <c r="BAQ37" s="2854"/>
      <c r="BAR37" s="2854"/>
      <c r="BAS37" s="2854"/>
      <c r="BAT37" s="2854"/>
      <c r="BAU37" s="2854"/>
      <c r="BAV37" s="2854"/>
      <c r="BAW37" s="2854"/>
      <c r="BAX37" s="2854"/>
      <c r="BAY37" s="2854"/>
      <c r="BAZ37" s="2854"/>
      <c r="BBA37" s="2854"/>
      <c r="BBB37" s="2854"/>
      <c r="BBC37" s="2854"/>
      <c r="BBD37" s="2854"/>
      <c r="BBE37" s="2854"/>
      <c r="BBF37" s="2854"/>
      <c r="BBG37" s="2854"/>
      <c r="BBH37" s="2854"/>
      <c r="BBI37" s="2854"/>
      <c r="BBJ37" s="2854"/>
      <c r="BBK37" s="2854"/>
      <c r="BBL37" s="2854"/>
      <c r="BBM37" s="2854"/>
      <c r="BBN37" s="2854"/>
      <c r="BBO37" s="2854"/>
      <c r="BBP37" s="2854"/>
      <c r="BBQ37" s="2854"/>
      <c r="BBR37" s="2854"/>
      <c r="BBS37" s="2854"/>
      <c r="BBT37" s="2854"/>
      <c r="BBU37" s="2854"/>
      <c r="BBV37" s="2854"/>
      <c r="BBW37" s="2854"/>
      <c r="BBX37" s="2854"/>
      <c r="BBY37" s="2854"/>
      <c r="BBZ37" s="2854"/>
      <c r="BCA37" s="2854"/>
      <c r="BCB37" s="2854"/>
      <c r="BCC37" s="2854"/>
      <c r="BCD37" s="2854"/>
      <c r="BCE37" s="2854"/>
      <c r="BCF37" s="2854"/>
      <c r="BCG37" s="2854"/>
      <c r="BCH37" s="2854"/>
      <c r="BCI37" s="2854"/>
      <c r="BCJ37" s="2854"/>
      <c r="BCK37" s="2854"/>
      <c r="BCL37" s="2854"/>
      <c r="BCM37" s="2854"/>
      <c r="BCN37" s="2854"/>
      <c r="BCO37" s="2854"/>
      <c r="BCP37" s="2854"/>
      <c r="BCQ37" s="2854"/>
      <c r="BCR37" s="2854"/>
      <c r="BCS37" s="2854"/>
      <c r="BCT37" s="2854"/>
      <c r="BCU37" s="2854"/>
      <c r="BCV37" s="2854"/>
      <c r="BCW37" s="2854"/>
      <c r="BCX37" s="2854"/>
      <c r="BCY37" s="2854"/>
      <c r="BCZ37" s="2854"/>
      <c r="BDA37" s="2854"/>
      <c r="BDB37" s="2854"/>
      <c r="BDC37" s="2854"/>
      <c r="BDD37" s="2854"/>
      <c r="BDE37" s="2854"/>
      <c r="BDF37" s="2854"/>
      <c r="BDG37" s="2854"/>
      <c r="BDH37" s="2854"/>
      <c r="BDI37" s="2854"/>
      <c r="BDJ37" s="2854"/>
      <c r="BDK37" s="2854"/>
      <c r="BDL37" s="2854"/>
      <c r="BDM37" s="2854"/>
      <c r="BDN37" s="2854"/>
      <c r="BDO37" s="2854"/>
      <c r="BDP37" s="2854"/>
      <c r="BDQ37" s="2854"/>
      <c r="BDR37" s="2854"/>
      <c r="BDS37" s="2854"/>
      <c r="BDT37" s="2854"/>
      <c r="BDU37" s="2854"/>
      <c r="BDV37" s="2854"/>
      <c r="BDW37" s="2854"/>
      <c r="BDX37" s="2854"/>
      <c r="BDY37" s="2854"/>
      <c r="BDZ37" s="2854"/>
      <c r="BEA37" s="2854"/>
      <c r="BEB37" s="2854"/>
      <c r="BEC37" s="2854"/>
      <c r="BED37" s="2854"/>
      <c r="BEE37" s="2854"/>
      <c r="BEF37" s="2854"/>
      <c r="BEG37" s="2854"/>
      <c r="BEH37" s="2854"/>
      <c r="BEI37" s="2854"/>
      <c r="BEJ37" s="2854"/>
      <c r="BEK37" s="2854"/>
      <c r="BEL37" s="2854"/>
      <c r="BEM37" s="2854"/>
      <c r="BEN37" s="2854"/>
      <c r="BEO37" s="2854"/>
      <c r="BEP37" s="2854"/>
      <c r="BEQ37" s="2854"/>
      <c r="BER37" s="2854"/>
      <c r="BES37" s="2854"/>
      <c r="BET37" s="2854"/>
      <c r="BEU37" s="2854"/>
      <c r="BEV37" s="2854"/>
      <c r="BEW37" s="2854"/>
      <c r="BEX37" s="2854"/>
      <c r="BEY37" s="2854"/>
      <c r="BEZ37" s="2854"/>
      <c r="BFA37" s="2854"/>
      <c r="BFB37" s="2854"/>
      <c r="BFC37" s="2854"/>
      <c r="BFD37" s="2854"/>
      <c r="BFE37" s="2854"/>
      <c r="BFF37" s="2854"/>
      <c r="BFG37" s="2854"/>
      <c r="BFH37" s="2854"/>
      <c r="BFI37" s="2854"/>
      <c r="BFJ37" s="2854"/>
      <c r="BFK37" s="2854"/>
      <c r="BFL37" s="2854"/>
      <c r="BFM37" s="2854"/>
      <c r="BFN37" s="2854"/>
      <c r="BFO37" s="2854"/>
      <c r="BFP37" s="2854"/>
      <c r="BFQ37" s="2854"/>
      <c r="BFR37" s="2854"/>
      <c r="BFS37" s="2854"/>
      <c r="BFT37" s="2854"/>
      <c r="BFU37" s="2854"/>
      <c r="BFV37" s="2854"/>
      <c r="BFW37" s="2854"/>
      <c r="BFX37" s="2854"/>
      <c r="BFY37" s="2854"/>
      <c r="BFZ37" s="2854"/>
      <c r="BGA37" s="2854"/>
      <c r="BGB37" s="2854"/>
      <c r="BGC37" s="2854"/>
      <c r="BGD37" s="2854"/>
      <c r="BGE37" s="2854"/>
      <c r="BGF37" s="2854"/>
      <c r="BGG37" s="2854"/>
      <c r="BGH37" s="2854"/>
      <c r="BGI37" s="2854"/>
      <c r="BGJ37" s="2854"/>
      <c r="BGK37" s="2854"/>
      <c r="BGL37" s="2854"/>
      <c r="BGM37" s="2854"/>
      <c r="BGN37" s="2854"/>
      <c r="BGO37" s="2854"/>
      <c r="BGP37" s="2854"/>
      <c r="BGQ37" s="2854"/>
      <c r="BGR37" s="2854"/>
      <c r="BGS37" s="2854"/>
      <c r="BGT37" s="2854"/>
      <c r="BGU37" s="2854"/>
      <c r="BGV37" s="2854"/>
      <c r="BGW37" s="2854"/>
      <c r="BGX37" s="2854"/>
      <c r="BGY37" s="2854"/>
      <c r="BGZ37" s="2854"/>
      <c r="BHA37" s="2854"/>
      <c r="BHB37" s="2854"/>
      <c r="BHC37" s="2854"/>
      <c r="BHD37" s="2854"/>
      <c r="BHE37" s="2854"/>
      <c r="BHF37" s="2854"/>
      <c r="BHG37" s="2854"/>
      <c r="BHH37" s="2854"/>
      <c r="BHI37" s="2854"/>
      <c r="BHJ37" s="2854"/>
      <c r="BHK37" s="2854"/>
      <c r="BHL37" s="2854"/>
      <c r="BHM37" s="2854"/>
      <c r="BHN37" s="2854"/>
      <c r="BHO37" s="2854"/>
      <c r="BHP37" s="2854"/>
      <c r="BHQ37" s="2854"/>
      <c r="BHR37" s="2854"/>
      <c r="BHS37" s="2854"/>
      <c r="BHT37" s="2854"/>
      <c r="BHU37" s="2854"/>
      <c r="BHV37" s="2854"/>
      <c r="BHW37" s="2854"/>
      <c r="BHX37" s="2854"/>
      <c r="BHY37" s="2854"/>
      <c r="BHZ37" s="2854"/>
      <c r="BIA37" s="2854"/>
      <c r="BIB37" s="2854"/>
      <c r="BIC37" s="2854"/>
      <c r="BID37" s="2854"/>
      <c r="BIE37" s="2854"/>
      <c r="BIF37" s="2854"/>
      <c r="BIG37" s="2854"/>
      <c r="BIH37" s="2854"/>
      <c r="BII37" s="2854"/>
      <c r="BIJ37" s="2854"/>
      <c r="BIK37" s="2854"/>
      <c r="BIL37" s="2854"/>
      <c r="BIM37" s="2854"/>
      <c r="BIN37" s="2854"/>
      <c r="BIO37" s="2854"/>
      <c r="BIP37" s="2854"/>
      <c r="BIQ37" s="2854"/>
      <c r="BIR37" s="2854"/>
      <c r="BIS37" s="2854"/>
      <c r="BIT37" s="2854"/>
      <c r="BIU37" s="2854"/>
      <c r="BIV37" s="2854"/>
      <c r="BIW37" s="2854"/>
      <c r="BIX37" s="2854"/>
      <c r="BIY37" s="2854"/>
      <c r="BIZ37" s="2854"/>
      <c r="BJA37" s="2854"/>
      <c r="BJB37" s="2854"/>
      <c r="BJC37" s="2854"/>
      <c r="BJD37" s="2854"/>
      <c r="BJE37" s="2854"/>
      <c r="BJF37" s="2854"/>
      <c r="BJG37" s="2854"/>
      <c r="BJH37" s="2854"/>
      <c r="BJI37" s="2854"/>
      <c r="BJJ37" s="2854"/>
      <c r="BJK37" s="2854"/>
      <c r="BJL37" s="2854"/>
      <c r="BJM37" s="2854"/>
      <c r="BJN37" s="2854"/>
      <c r="BJO37" s="2854"/>
      <c r="BJP37" s="2854"/>
      <c r="BJQ37" s="2854"/>
      <c r="BJR37" s="2854"/>
      <c r="BJS37" s="2854"/>
      <c r="BJT37" s="2854"/>
      <c r="BJU37" s="2854"/>
      <c r="BJV37" s="2854"/>
      <c r="BJW37" s="2854"/>
      <c r="BJX37" s="2854"/>
      <c r="BJY37" s="2854"/>
      <c r="BJZ37" s="2854"/>
      <c r="BKA37" s="2854"/>
      <c r="BKB37" s="2854"/>
      <c r="BKC37" s="2854"/>
      <c r="BKD37" s="2854"/>
      <c r="BKE37" s="2854"/>
      <c r="BKF37" s="2854"/>
      <c r="BKG37" s="2854"/>
      <c r="BKH37" s="2854"/>
      <c r="BKI37" s="2854"/>
      <c r="BKJ37" s="2854"/>
      <c r="BKK37" s="2854"/>
      <c r="BKL37" s="2854"/>
      <c r="BKM37" s="2854"/>
      <c r="BKN37" s="2854"/>
      <c r="BKO37" s="2854"/>
      <c r="BKP37" s="2854"/>
      <c r="BKQ37" s="2854"/>
      <c r="BKR37" s="2854"/>
      <c r="BKS37" s="2854"/>
      <c r="BKT37" s="2854"/>
      <c r="BKU37" s="2854"/>
      <c r="BKV37" s="2854"/>
      <c r="BKW37" s="2854"/>
      <c r="BKX37" s="2854"/>
      <c r="BKY37" s="2854"/>
      <c r="BKZ37" s="2854"/>
      <c r="BLA37" s="2854"/>
      <c r="BLB37" s="2854"/>
      <c r="BLC37" s="2854"/>
      <c r="BLD37" s="2854"/>
      <c r="BLE37" s="2854"/>
      <c r="BLF37" s="2854"/>
      <c r="BLG37" s="2854"/>
      <c r="BLH37" s="2854"/>
      <c r="BLI37" s="2854"/>
      <c r="BLJ37" s="2854"/>
      <c r="BLK37" s="2854"/>
      <c r="BLL37" s="2854"/>
      <c r="BLM37" s="2854"/>
      <c r="BLN37" s="2854"/>
      <c r="BLO37" s="2854"/>
      <c r="BLP37" s="2854"/>
      <c r="BLQ37" s="2854"/>
      <c r="BLR37" s="2854"/>
      <c r="BLS37" s="2854"/>
      <c r="BLT37" s="2854"/>
      <c r="BLU37" s="2854"/>
      <c r="BLV37" s="2854"/>
      <c r="BLW37" s="2854"/>
      <c r="BLX37" s="2854"/>
      <c r="BLY37" s="2854"/>
      <c r="BLZ37" s="2854"/>
      <c r="BMA37" s="2854"/>
      <c r="BMB37" s="2854"/>
      <c r="BMC37" s="2854"/>
      <c r="BMD37" s="2854"/>
      <c r="BME37" s="2854"/>
      <c r="BMF37" s="2854"/>
      <c r="BMG37" s="2854"/>
      <c r="BMH37" s="2854"/>
      <c r="BMI37" s="2854"/>
      <c r="BMJ37" s="2854"/>
      <c r="BMK37" s="2854"/>
      <c r="BML37" s="2854"/>
      <c r="BMM37" s="2854"/>
      <c r="BMN37" s="2854"/>
      <c r="BMO37" s="2854"/>
      <c r="BMP37" s="2854"/>
      <c r="BMQ37" s="2854"/>
      <c r="BMR37" s="2854"/>
      <c r="BMS37" s="2854"/>
      <c r="BMT37" s="2854"/>
      <c r="BMU37" s="2854"/>
      <c r="BMV37" s="2854"/>
      <c r="BMW37" s="2854"/>
      <c r="BMX37" s="2854"/>
      <c r="BMY37" s="2854"/>
      <c r="BMZ37" s="2854"/>
      <c r="BNA37" s="2854"/>
      <c r="BNB37" s="2854"/>
      <c r="BNC37" s="2854"/>
      <c r="BND37" s="2854"/>
      <c r="BNE37" s="2854"/>
      <c r="BNF37" s="2854"/>
      <c r="BNG37" s="2854"/>
      <c r="BNH37" s="2854"/>
      <c r="BNI37" s="2854"/>
      <c r="BNJ37" s="2854"/>
      <c r="BNK37" s="2854"/>
      <c r="BNL37" s="2854"/>
      <c r="BNM37" s="2854"/>
      <c r="BNN37" s="2854"/>
      <c r="BNO37" s="2854"/>
      <c r="BNP37" s="2854"/>
      <c r="BNQ37" s="2854"/>
      <c r="BNR37" s="2854"/>
      <c r="BNS37" s="2854"/>
      <c r="BNT37" s="2854"/>
      <c r="BNU37" s="2854"/>
      <c r="BNV37" s="2854"/>
      <c r="BNW37" s="2854"/>
      <c r="BNX37" s="2854"/>
      <c r="BNY37" s="2854"/>
      <c r="BNZ37" s="2854"/>
      <c r="BOA37" s="2854"/>
      <c r="BOB37" s="2854"/>
      <c r="BOC37" s="2854"/>
      <c r="BOD37" s="2854"/>
      <c r="BOE37" s="2854"/>
      <c r="BOF37" s="2854"/>
      <c r="BOG37" s="2854"/>
      <c r="BOH37" s="2854"/>
      <c r="BOI37" s="2854"/>
      <c r="BOJ37" s="2854"/>
      <c r="BOK37" s="2854"/>
      <c r="BOL37" s="2854"/>
      <c r="BOM37" s="2854"/>
      <c r="BON37" s="2854"/>
      <c r="BOO37" s="2854"/>
      <c r="BOP37" s="2854"/>
      <c r="BOQ37" s="2854"/>
      <c r="BOR37" s="2854"/>
      <c r="BOS37" s="2854"/>
      <c r="BOT37" s="2854"/>
      <c r="BOU37" s="2854"/>
      <c r="BOV37" s="2854"/>
      <c r="BOW37" s="2854"/>
      <c r="BOX37" s="2854"/>
      <c r="BOY37" s="2854"/>
      <c r="BOZ37" s="2854"/>
      <c r="BPA37" s="2854"/>
      <c r="BPB37" s="2854"/>
      <c r="BPC37" s="2854"/>
      <c r="BPD37" s="2854"/>
      <c r="BPE37" s="2854"/>
      <c r="BPF37" s="2854"/>
      <c r="BPG37" s="2854"/>
      <c r="BPH37" s="2854"/>
      <c r="BPI37" s="2854"/>
      <c r="BPJ37" s="2854"/>
      <c r="BPK37" s="2854"/>
      <c r="BPL37" s="2854"/>
      <c r="BPM37" s="2854"/>
      <c r="BPN37" s="2854"/>
      <c r="BPO37" s="2854"/>
      <c r="BPP37" s="2854"/>
      <c r="BPQ37" s="2854"/>
      <c r="BPR37" s="2854"/>
      <c r="BPS37" s="2854"/>
      <c r="BPT37" s="2854"/>
      <c r="BPU37" s="2854"/>
      <c r="BPV37" s="2854"/>
      <c r="BPW37" s="2854"/>
      <c r="BPX37" s="2854"/>
      <c r="BPY37" s="2854"/>
      <c r="BPZ37" s="2854"/>
      <c r="BQA37" s="2854"/>
      <c r="BQB37" s="2854"/>
      <c r="BQC37" s="2854"/>
      <c r="BQD37" s="2854"/>
      <c r="BQE37" s="2854"/>
      <c r="BQF37" s="2854"/>
      <c r="BQG37" s="2854"/>
      <c r="BQH37" s="2854"/>
      <c r="BQI37" s="2854"/>
      <c r="BQJ37" s="2854"/>
      <c r="BQK37" s="2854"/>
      <c r="BQL37" s="2854"/>
      <c r="BQM37" s="2854"/>
      <c r="BQN37" s="2854"/>
      <c r="BQO37" s="2854"/>
      <c r="BQP37" s="2854"/>
      <c r="BQQ37" s="2854"/>
      <c r="BQR37" s="2854"/>
      <c r="BQS37" s="2854"/>
      <c r="BQT37" s="2854"/>
      <c r="BQU37" s="2854"/>
      <c r="BQV37" s="2854"/>
      <c r="BQW37" s="2854"/>
      <c r="BQX37" s="2854"/>
      <c r="BQY37" s="2854"/>
      <c r="BQZ37" s="2854"/>
      <c r="BRA37" s="2854"/>
      <c r="BRB37" s="2854"/>
      <c r="BRC37" s="2854"/>
      <c r="BRD37" s="2854"/>
      <c r="BRE37" s="2854"/>
      <c r="BRF37" s="2854"/>
      <c r="BRG37" s="2854"/>
      <c r="BRH37" s="2854"/>
      <c r="BRI37" s="2854"/>
      <c r="BRJ37" s="2854"/>
      <c r="BRK37" s="2854"/>
      <c r="BRL37" s="2854"/>
      <c r="BRM37" s="2854"/>
      <c r="BRN37" s="2854"/>
      <c r="BRO37" s="2854"/>
      <c r="BRP37" s="2854"/>
      <c r="BRQ37" s="2854"/>
      <c r="BRR37" s="2854"/>
      <c r="BRS37" s="2854"/>
      <c r="BRT37" s="2854"/>
      <c r="BRU37" s="2854"/>
      <c r="BRV37" s="2854"/>
      <c r="BRW37" s="2854"/>
      <c r="BRX37" s="2854"/>
      <c r="BRY37" s="2854"/>
      <c r="BRZ37" s="2854"/>
      <c r="BSA37" s="2854"/>
      <c r="BSB37" s="2854"/>
      <c r="BSC37" s="2854"/>
      <c r="BSD37" s="2854"/>
      <c r="BSE37" s="2854"/>
      <c r="BSF37" s="2854"/>
      <c r="BSG37" s="2854"/>
      <c r="BSH37" s="2854"/>
      <c r="BSI37" s="2854"/>
      <c r="BSJ37" s="2854"/>
      <c r="BSK37" s="2854"/>
      <c r="BSL37" s="2854"/>
      <c r="BSM37" s="2854"/>
      <c r="BSN37" s="2854"/>
      <c r="BSO37" s="2854"/>
      <c r="BSP37" s="2854"/>
      <c r="BSQ37" s="2854"/>
      <c r="BSR37" s="2854"/>
      <c r="BSS37" s="2854"/>
      <c r="BST37" s="2854"/>
      <c r="BSU37" s="2854"/>
      <c r="BSV37" s="2854"/>
      <c r="BSW37" s="2854"/>
      <c r="BSX37" s="2854"/>
      <c r="BSY37" s="2854"/>
      <c r="BSZ37" s="2854"/>
      <c r="BTA37" s="2854"/>
      <c r="BTB37" s="2854"/>
      <c r="BTC37" s="2854"/>
      <c r="BTD37" s="2854"/>
      <c r="BTE37" s="2854"/>
      <c r="BTF37" s="2854"/>
      <c r="BTG37" s="2854"/>
      <c r="BTH37" s="2854"/>
      <c r="BTI37" s="2854"/>
      <c r="BTJ37" s="2854"/>
      <c r="BTK37" s="2854"/>
      <c r="BTL37" s="2854"/>
      <c r="BTM37" s="2854"/>
      <c r="BTN37" s="2854"/>
      <c r="BTO37" s="2854"/>
      <c r="BTP37" s="2854"/>
      <c r="BTQ37" s="2854"/>
      <c r="BTR37" s="2854"/>
      <c r="BTS37" s="2854"/>
      <c r="BTT37" s="2854"/>
      <c r="BTU37" s="2854"/>
      <c r="BTV37" s="2854"/>
      <c r="BTW37" s="2854"/>
      <c r="BTX37" s="2854"/>
      <c r="BTY37" s="2854"/>
      <c r="BTZ37" s="2854"/>
      <c r="BUA37" s="2854"/>
      <c r="BUB37" s="2854"/>
      <c r="BUC37" s="2854"/>
      <c r="BUD37" s="2854"/>
      <c r="BUE37" s="2854"/>
      <c r="BUF37" s="2854"/>
      <c r="BUG37" s="2854"/>
      <c r="BUH37" s="2854"/>
      <c r="BUI37" s="2854"/>
      <c r="BUJ37" s="2854"/>
      <c r="BUK37" s="2854"/>
      <c r="BUL37" s="2854"/>
      <c r="BUM37" s="2854"/>
      <c r="BUN37" s="2854"/>
      <c r="BUO37" s="2854"/>
      <c r="BUP37" s="2854"/>
      <c r="BUQ37" s="2854"/>
      <c r="BUR37" s="2854"/>
      <c r="BUS37" s="2854"/>
      <c r="BUT37" s="2854"/>
      <c r="BUU37" s="2854"/>
      <c r="BUV37" s="2854"/>
      <c r="BUW37" s="2854"/>
      <c r="BUX37" s="2854"/>
      <c r="BUY37" s="2854"/>
      <c r="BUZ37" s="2854"/>
      <c r="BVA37" s="2854"/>
      <c r="BVB37" s="2854"/>
      <c r="BVC37" s="2854"/>
      <c r="BVD37" s="2854"/>
      <c r="BVE37" s="2854"/>
      <c r="BVF37" s="2854"/>
      <c r="BVG37" s="2854"/>
      <c r="BVH37" s="2854"/>
      <c r="BVI37" s="2854"/>
      <c r="BVJ37" s="2854"/>
      <c r="BVK37" s="2854"/>
      <c r="BVL37" s="2854"/>
      <c r="BVM37" s="2854"/>
      <c r="BVN37" s="2854"/>
      <c r="BVO37" s="2854"/>
      <c r="BVP37" s="2854"/>
      <c r="BVQ37" s="2854"/>
      <c r="BVR37" s="2854"/>
      <c r="BVS37" s="2854"/>
      <c r="BVT37" s="2854"/>
      <c r="BVU37" s="2854"/>
      <c r="BVV37" s="2854"/>
      <c r="BVW37" s="2854"/>
      <c r="BVX37" s="2854"/>
      <c r="BVY37" s="2854"/>
      <c r="BVZ37" s="2854"/>
      <c r="BWA37" s="2854"/>
      <c r="BWB37" s="2854"/>
      <c r="BWC37" s="2854"/>
      <c r="BWD37" s="2854"/>
      <c r="BWE37" s="2854"/>
      <c r="BWF37" s="2854"/>
      <c r="BWG37" s="2854"/>
      <c r="BWH37" s="2854"/>
      <c r="BWI37" s="2854"/>
      <c r="BWJ37" s="2854"/>
      <c r="BWK37" s="2854"/>
      <c r="BWL37" s="2854"/>
      <c r="BWM37" s="2854"/>
      <c r="BWN37" s="2854"/>
      <c r="BWO37" s="2854"/>
      <c r="BWP37" s="2854"/>
      <c r="BWQ37" s="2854"/>
      <c r="BWR37" s="2854"/>
      <c r="BWS37" s="2854"/>
      <c r="BWT37" s="2854"/>
      <c r="BWU37" s="2854"/>
      <c r="BWV37" s="2854"/>
      <c r="BWW37" s="2854"/>
      <c r="BWX37" s="2854"/>
      <c r="BWY37" s="2854"/>
      <c r="BWZ37" s="2854"/>
      <c r="BXA37" s="2854"/>
      <c r="BXB37" s="2854"/>
      <c r="BXC37" s="2854"/>
      <c r="BXD37" s="2854"/>
      <c r="BXE37" s="2854"/>
      <c r="BXF37" s="2854"/>
      <c r="BXG37" s="2854"/>
      <c r="BXH37" s="2854"/>
      <c r="BXI37" s="2854"/>
      <c r="BXJ37" s="2854"/>
      <c r="BXK37" s="2854"/>
      <c r="BXL37" s="2854"/>
      <c r="BXM37" s="2854"/>
      <c r="BXN37" s="2854"/>
      <c r="BXO37" s="2854"/>
      <c r="BXP37" s="2854"/>
      <c r="BXQ37" s="2854"/>
      <c r="BXR37" s="2854"/>
      <c r="BXS37" s="2854"/>
      <c r="BXT37" s="2854"/>
      <c r="BXU37" s="2854"/>
      <c r="BXV37" s="2854"/>
      <c r="BXW37" s="2854"/>
      <c r="BXX37" s="2854"/>
      <c r="BXY37" s="2854"/>
      <c r="BXZ37" s="2854"/>
      <c r="BYA37" s="2854"/>
      <c r="BYB37" s="2854"/>
      <c r="BYC37" s="2854"/>
      <c r="BYD37" s="2854"/>
      <c r="BYE37" s="2854"/>
      <c r="BYF37" s="2854"/>
      <c r="BYG37" s="2854"/>
      <c r="BYH37" s="2854"/>
      <c r="BYI37" s="2854"/>
      <c r="BYJ37" s="2854"/>
      <c r="BYK37" s="2854"/>
      <c r="BYL37" s="2854"/>
      <c r="BYM37" s="2854"/>
      <c r="BYN37" s="2854"/>
      <c r="BYO37" s="2854"/>
      <c r="BYP37" s="2854"/>
      <c r="BYQ37" s="2854"/>
      <c r="BYR37" s="2854"/>
      <c r="BYS37" s="2854"/>
      <c r="BYT37" s="2854"/>
      <c r="BYU37" s="2854"/>
      <c r="BYV37" s="2854"/>
      <c r="BYW37" s="2854"/>
      <c r="BYX37" s="2854"/>
      <c r="BYY37" s="2854"/>
      <c r="BYZ37" s="2854"/>
      <c r="BZA37" s="2854"/>
      <c r="BZB37" s="2854"/>
      <c r="BZC37" s="2854"/>
      <c r="BZD37" s="2854"/>
      <c r="BZE37" s="2854"/>
      <c r="BZF37" s="2854"/>
      <c r="BZG37" s="2854"/>
      <c r="BZH37" s="2854"/>
      <c r="BZI37" s="2854"/>
      <c r="BZJ37" s="2854"/>
      <c r="BZK37" s="2854"/>
      <c r="BZL37" s="2854"/>
      <c r="BZM37" s="2854"/>
      <c r="BZN37" s="2854"/>
      <c r="BZO37" s="2854"/>
      <c r="BZP37" s="2854"/>
      <c r="BZQ37" s="2854"/>
      <c r="BZR37" s="2854"/>
      <c r="BZS37" s="2854"/>
      <c r="BZT37" s="2854"/>
      <c r="BZU37" s="2854"/>
      <c r="BZV37" s="2854"/>
      <c r="BZW37" s="2854"/>
      <c r="BZX37" s="2854"/>
      <c r="BZY37" s="2854"/>
      <c r="BZZ37" s="2854"/>
      <c r="CAA37" s="2854"/>
      <c r="CAB37" s="2854"/>
      <c r="CAC37" s="2854"/>
      <c r="CAD37" s="2854"/>
      <c r="CAE37" s="2854"/>
      <c r="CAF37" s="2854"/>
      <c r="CAG37" s="2854"/>
      <c r="CAH37" s="2854"/>
      <c r="CAI37" s="2854"/>
      <c r="CAJ37" s="2854"/>
      <c r="CAK37" s="2854"/>
      <c r="CAL37" s="2854"/>
      <c r="CAM37" s="2854"/>
      <c r="CAN37" s="2854"/>
      <c r="CAO37" s="2854"/>
      <c r="CAP37" s="2854"/>
      <c r="CAQ37" s="2854"/>
      <c r="CAR37" s="2854"/>
      <c r="CAS37" s="2854"/>
      <c r="CAT37" s="2854"/>
      <c r="CAU37" s="2854"/>
      <c r="CAV37" s="2854"/>
      <c r="CAW37" s="2854"/>
      <c r="CAX37" s="2854"/>
      <c r="CAY37" s="2854"/>
      <c r="CAZ37" s="2854"/>
      <c r="CBA37" s="2854"/>
      <c r="CBB37" s="2854"/>
      <c r="CBC37" s="2854"/>
      <c r="CBD37" s="2854"/>
      <c r="CBE37" s="2854"/>
      <c r="CBF37" s="2854"/>
      <c r="CBG37" s="2854"/>
      <c r="CBH37" s="2854"/>
      <c r="CBI37" s="2854"/>
      <c r="CBJ37" s="2854"/>
      <c r="CBK37" s="2854"/>
      <c r="CBL37" s="2854"/>
      <c r="CBM37" s="2854"/>
      <c r="CBN37" s="2854"/>
      <c r="CBO37" s="2854"/>
      <c r="CBP37" s="2854"/>
      <c r="CBQ37" s="2854"/>
      <c r="CBR37" s="2854"/>
      <c r="CBS37" s="2854"/>
      <c r="CBT37" s="2854"/>
      <c r="CBU37" s="2854"/>
      <c r="CBV37" s="2854"/>
      <c r="CBW37" s="2854"/>
      <c r="CBX37" s="2854"/>
      <c r="CBY37" s="2854"/>
      <c r="CBZ37" s="2854"/>
      <c r="CCA37" s="2854"/>
      <c r="CCB37" s="2854"/>
      <c r="CCC37" s="2854"/>
      <c r="CCD37" s="2854"/>
      <c r="CCE37" s="2854"/>
      <c r="CCF37" s="2854"/>
      <c r="CCG37" s="2854"/>
      <c r="CCH37" s="2854"/>
      <c r="CCI37" s="2854"/>
      <c r="CCJ37" s="2854"/>
      <c r="CCK37" s="2854"/>
      <c r="CCL37" s="2854"/>
      <c r="CCM37" s="2854"/>
      <c r="CCN37" s="2854"/>
      <c r="CCO37" s="2854"/>
      <c r="CCP37" s="2854"/>
      <c r="CCQ37" s="2854"/>
      <c r="CCR37" s="2854"/>
      <c r="CCS37" s="2854"/>
      <c r="CCT37" s="2854"/>
      <c r="CCU37" s="2854"/>
      <c r="CCV37" s="2854"/>
      <c r="CCW37" s="2854"/>
      <c r="CCX37" s="2854"/>
      <c r="CCY37" s="2854"/>
      <c r="CCZ37" s="2854"/>
      <c r="CDA37" s="2854"/>
      <c r="CDB37" s="2854"/>
      <c r="CDC37" s="2854"/>
      <c r="CDD37" s="2854"/>
      <c r="CDE37" s="2854"/>
      <c r="CDF37" s="2854"/>
      <c r="CDG37" s="2854"/>
      <c r="CDH37" s="2854"/>
      <c r="CDI37" s="2854"/>
      <c r="CDJ37" s="2854"/>
      <c r="CDK37" s="2854"/>
      <c r="CDL37" s="2854"/>
      <c r="CDM37" s="2854"/>
      <c r="CDN37" s="2854"/>
      <c r="CDO37" s="2854"/>
      <c r="CDP37" s="2854"/>
      <c r="CDQ37" s="2854"/>
      <c r="CDR37" s="2854"/>
      <c r="CDS37" s="2854"/>
      <c r="CDT37" s="2854"/>
      <c r="CDU37" s="2854"/>
      <c r="CDV37" s="2854"/>
      <c r="CDW37" s="2854"/>
      <c r="CDX37" s="2854"/>
      <c r="CDY37" s="2854"/>
      <c r="CDZ37" s="2854"/>
      <c r="CEA37" s="2854"/>
      <c r="CEB37" s="2854"/>
      <c r="CEC37" s="2854"/>
      <c r="CED37" s="2854"/>
      <c r="CEE37" s="2854"/>
      <c r="CEF37" s="2854"/>
      <c r="CEG37" s="2854"/>
      <c r="CEH37" s="2854"/>
      <c r="CEI37" s="2854"/>
      <c r="CEJ37" s="2854"/>
      <c r="CEK37" s="2854"/>
      <c r="CEL37" s="2854"/>
      <c r="CEM37" s="2854"/>
      <c r="CEN37" s="2854"/>
      <c r="CEO37" s="2854"/>
      <c r="CEP37" s="2854"/>
      <c r="CEQ37" s="2854"/>
      <c r="CER37" s="2854"/>
      <c r="CES37" s="2854"/>
      <c r="CET37" s="2854"/>
      <c r="CEU37" s="2854"/>
      <c r="CEV37" s="2854"/>
      <c r="CEW37" s="2854"/>
      <c r="CEX37" s="2854"/>
      <c r="CEY37" s="2854"/>
      <c r="CEZ37" s="2854"/>
      <c r="CFA37" s="2854"/>
      <c r="CFB37" s="2854"/>
      <c r="CFC37" s="2854"/>
      <c r="CFD37" s="2854"/>
      <c r="CFE37" s="2854"/>
      <c r="CFF37" s="2854"/>
      <c r="CFG37" s="2854"/>
      <c r="CFH37" s="2854"/>
      <c r="CFI37" s="2854"/>
      <c r="CFJ37" s="2854"/>
      <c r="CFK37" s="2854"/>
      <c r="CFL37" s="2854"/>
      <c r="CFM37" s="2854"/>
      <c r="CFN37" s="2854"/>
      <c r="CFO37" s="2854"/>
      <c r="CFP37" s="2854"/>
      <c r="CFQ37" s="2854"/>
      <c r="CFR37" s="2854"/>
      <c r="CFS37" s="2854"/>
      <c r="CFT37" s="2854"/>
      <c r="CFU37" s="2854"/>
      <c r="CFV37" s="2854"/>
      <c r="CFW37" s="2854"/>
      <c r="CFX37" s="2854"/>
      <c r="CFY37" s="2854"/>
      <c r="CFZ37" s="2854"/>
      <c r="CGA37" s="2854"/>
      <c r="CGB37" s="2854"/>
      <c r="CGC37" s="2854"/>
      <c r="CGD37" s="2854"/>
      <c r="CGE37" s="2854"/>
      <c r="CGF37" s="2854"/>
      <c r="CGG37" s="2854"/>
      <c r="CGH37" s="2854"/>
      <c r="CGI37" s="2854"/>
      <c r="CGJ37" s="2854"/>
      <c r="CGK37" s="2854"/>
      <c r="CGL37" s="2854"/>
      <c r="CGM37" s="2854"/>
      <c r="CGN37" s="2854"/>
      <c r="CGO37" s="2854"/>
      <c r="CGP37" s="2854"/>
      <c r="CGQ37" s="2854"/>
      <c r="CGR37" s="2854"/>
      <c r="CGS37" s="2854"/>
      <c r="CGT37" s="2854"/>
      <c r="CGU37" s="2854"/>
      <c r="CGV37" s="2854"/>
      <c r="CGW37" s="2854"/>
      <c r="CGX37" s="2854"/>
      <c r="CGY37" s="2854"/>
      <c r="CGZ37" s="2854"/>
      <c r="CHA37" s="2854"/>
      <c r="CHB37" s="2854"/>
      <c r="CHC37" s="2854"/>
      <c r="CHD37" s="2854"/>
      <c r="CHE37" s="2854"/>
      <c r="CHF37" s="2854"/>
      <c r="CHG37" s="2854"/>
      <c r="CHH37" s="2854"/>
      <c r="CHI37" s="2854"/>
      <c r="CHJ37" s="2854"/>
      <c r="CHK37" s="2854"/>
      <c r="CHL37" s="2854"/>
      <c r="CHM37" s="2854"/>
      <c r="CHN37" s="2854"/>
      <c r="CHO37" s="2854"/>
      <c r="CHP37" s="2854"/>
      <c r="CHQ37" s="2854"/>
      <c r="CHR37" s="2854"/>
      <c r="CHS37" s="2854"/>
      <c r="CHT37" s="2854"/>
      <c r="CHU37" s="2854"/>
      <c r="CHV37" s="2854"/>
      <c r="CHW37" s="2854"/>
      <c r="CHX37" s="2854"/>
      <c r="CHY37" s="2854"/>
      <c r="CHZ37" s="2854"/>
      <c r="CIA37" s="2854"/>
      <c r="CIB37" s="2854"/>
      <c r="CIC37" s="2854"/>
      <c r="CID37" s="2854"/>
      <c r="CIE37" s="2854"/>
      <c r="CIF37" s="2854"/>
      <c r="CIG37" s="2854"/>
      <c r="CIH37" s="2854"/>
      <c r="CII37" s="2854"/>
      <c r="CIJ37" s="2854"/>
      <c r="CIK37" s="2854"/>
      <c r="CIL37" s="2854"/>
      <c r="CIM37" s="2854"/>
      <c r="CIN37" s="2854"/>
      <c r="CIO37" s="2854"/>
      <c r="CIP37" s="2854"/>
      <c r="CIQ37" s="2854"/>
      <c r="CIR37" s="2854"/>
      <c r="CIS37" s="2854"/>
      <c r="CIT37" s="2854"/>
      <c r="CIU37" s="2854"/>
      <c r="CIV37" s="2854"/>
      <c r="CIW37" s="2854"/>
      <c r="CIX37" s="2854"/>
      <c r="CIY37" s="2854"/>
      <c r="CIZ37" s="2854"/>
      <c r="CJA37" s="2854"/>
      <c r="CJB37" s="2854"/>
      <c r="CJC37" s="2854"/>
      <c r="CJD37" s="2854"/>
      <c r="CJE37" s="2854"/>
      <c r="CJF37" s="2854"/>
      <c r="CJG37" s="2854"/>
      <c r="CJH37" s="2854"/>
      <c r="CJI37" s="2854"/>
      <c r="CJJ37" s="2854"/>
      <c r="CJK37" s="2854"/>
      <c r="CJL37" s="2854"/>
      <c r="CJM37" s="2854"/>
      <c r="CJN37" s="2854"/>
      <c r="CJO37" s="2854"/>
      <c r="CJP37" s="2854"/>
      <c r="CJQ37" s="2854"/>
      <c r="CJR37" s="2854"/>
      <c r="CJS37" s="2854"/>
      <c r="CJT37" s="2854"/>
      <c r="CJU37" s="2854"/>
      <c r="CJV37" s="2854"/>
      <c r="CJW37" s="2854"/>
      <c r="CJX37" s="2854"/>
      <c r="CJY37" s="2854"/>
      <c r="CJZ37" s="2854"/>
      <c r="CKA37" s="2854"/>
      <c r="CKB37" s="2854"/>
      <c r="CKC37" s="2854"/>
      <c r="CKD37" s="2854"/>
      <c r="CKE37" s="2854"/>
      <c r="CKF37" s="2854"/>
      <c r="CKG37" s="2854"/>
      <c r="CKH37" s="2854"/>
      <c r="CKI37" s="2854"/>
      <c r="CKJ37" s="2854"/>
      <c r="CKK37" s="2854"/>
      <c r="CKL37" s="2854"/>
      <c r="CKM37" s="2854"/>
      <c r="CKN37" s="2854"/>
      <c r="CKO37" s="2854"/>
      <c r="CKP37" s="2854"/>
      <c r="CKQ37" s="2854"/>
      <c r="CKR37" s="2854"/>
      <c r="CKS37" s="2854"/>
      <c r="CKT37" s="2854"/>
      <c r="CKU37" s="2854"/>
      <c r="CKV37" s="2854"/>
      <c r="CKW37" s="2854"/>
      <c r="CKX37" s="2854"/>
      <c r="CKY37" s="2854"/>
      <c r="CKZ37" s="2854"/>
      <c r="CLA37" s="2854"/>
      <c r="CLB37" s="2854"/>
      <c r="CLC37" s="2854"/>
      <c r="CLD37" s="2854"/>
      <c r="CLE37" s="2854"/>
      <c r="CLF37" s="2854"/>
      <c r="CLG37" s="2854"/>
      <c r="CLH37" s="2854"/>
      <c r="CLI37" s="2854"/>
      <c r="CLJ37" s="2854"/>
      <c r="CLK37" s="2854"/>
      <c r="CLL37" s="2854"/>
      <c r="CLM37" s="2854"/>
      <c r="CLN37" s="2854"/>
      <c r="CLO37" s="2854"/>
      <c r="CLP37" s="2854"/>
      <c r="CLQ37" s="2854"/>
      <c r="CLR37" s="2854"/>
      <c r="CLS37" s="2854"/>
      <c r="CLT37" s="2854"/>
      <c r="CLU37" s="2854"/>
      <c r="CLV37" s="2854"/>
      <c r="CLW37" s="2854"/>
    </row>
    <row r="38" spans="1:2363" ht="15" hidden="1" customHeight="1" x14ac:dyDescent="0.25">
      <c r="A38" s="3877"/>
      <c r="B38" s="3878" t="s">
        <v>673</v>
      </c>
      <c r="C38" s="3002"/>
      <c r="D38" s="3537" t="s">
        <v>670</v>
      </c>
      <c r="E38" s="3372"/>
      <c r="F38" s="2249"/>
      <c r="G38" s="1904"/>
      <c r="H38" s="1801"/>
      <c r="I38" s="1799"/>
      <c r="J38" s="2249"/>
      <c r="K38" s="1801"/>
      <c r="L38" s="1799"/>
      <c r="M38" s="1857"/>
      <c r="N38" s="1904"/>
      <c r="O38" s="2279"/>
      <c r="P38" s="2295"/>
      <c r="Q38" s="2199"/>
      <c r="R38" s="2718"/>
      <c r="S38" s="2718"/>
      <c r="T38" s="2907"/>
      <c r="U38" s="2295"/>
      <c r="V38" s="2302">
        <f>U38+R38+P38+Q38</f>
        <v>0</v>
      </c>
      <c r="W38" s="2199"/>
      <c r="X38" s="2926"/>
      <c r="Y38" s="3008"/>
      <c r="Z38" s="2342"/>
      <c r="AA38" s="1894">
        <v>0</v>
      </c>
      <c r="AB38" s="1894">
        <v>0</v>
      </c>
      <c r="AC38" s="1854">
        <f t="shared" si="58"/>
        <v>0</v>
      </c>
      <c r="AD38" s="1897">
        <v>0</v>
      </c>
      <c r="AE38" s="1897"/>
      <c r="AF38" s="1893">
        <v>0</v>
      </c>
      <c r="AG38" s="2870"/>
      <c r="AH38" s="1993">
        <f t="shared" si="72"/>
        <v>0</v>
      </c>
      <c r="AI38" s="1970">
        <v>0</v>
      </c>
      <c r="AJ38" s="1848">
        <f t="shared" si="63"/>
        <v>0</v>
      </c>
      <c r="AK38" s="2454">
        <f t="shared" ref="AK38:AK47" si="74">AI38+AJ38</f>
        <v>0</v>
      </c>
      <c r="AL38" s="2514">
        <v>0</v>
      </c>
      <c r="AM38" s="2514">
        <v>0</v>
      </c>
      <c r="AN38" s="2696">
        <f t="shared" si="64"/>
        <v>0</v>
      </c>
      <c r="AO38" s="2181">
        <v>0</v>
      </c>
      <c r="AP38" s="2166">
        <v>0</v>
      </c>
      <c r="AQ38" s="2166">
        <v>0</v>
      </c>
      <c r="AR38" s="2166"/>
      <c r="AS38" s="2157">
        <f t="shared" si="65"/>
        <v>0</v>
      </c>
      <c r="AT38" s="2504">
        <v>0</v>
      </c>
      <c r="AU38" s="2158">
        <v>0</v>
      </c>
      <c r="AV38" s="2173">
        <v>0</v>
      </c>
      <c r="AW38" s="2159">
        <f>AU38+AV38</f>
        <v>0</v>
      </c>
      <c r="AX38" s="2514">
        <v>0</v>
      </c>
      <c r="AY38" s="2514">
        <v>0</v>
      </c>
      <c r="AZ38" s="2696">
        <f>AX38-AY38</f>
        <v>0</v>
      </c>
      <c r="BA38" s="3296">
        <v>0</v>
      </c>
      <c r="BB38" s="3086">
        <v>0</v>
      </c>
      <c r="BC38" s="3086">
        <v>0</v>
      </c>
      <c r="BD38" s="3086"/>
      <c r="BE38" s="3087">
        <f t="shared" si="60"/>
        <v>0</v>
      </c>
      <c r="BF38" s="2122"/>
      <c r="BG38" s="2158">
        <v>0</v>
      </c>
      <c r="BH38" s="2173">
        <v>0</v>
      </c>
      <c r="BI38" s="2159">
        <f t="shared" si="61"/>
        <v>0</v>
      </c>
      <c r="BJ38" s="2051">
        <f t="shared" ref="BJ38" si="75">AA38+AL38</f>
        <v>0</v>
      </c>
      <c r="BK38" s="1851">
        <v>0</v>
      </c>
      <c r="BL38" s="1884">
        <f t="shared" si="67"/>
        <v>0</v>
      </c>
      <c r="BM38" s="2611">
        <f t="shared" ref="BM38:BM42" si="76">AD38+AO38</f>
        <v>0</v>
      </c>
      <c r="BN38" s="1893">
        <f t="shared" si="68"/>
        <v>0</v>
      </c>
      <c r="BO38" s="1893">
        <f t="shared" si="69"/>
        <v>0</v>
      </c>
      <c r="BP38" s="1893">
        <f t="shared" ref="BP38:BP45" si="77">BM38+BO38</f>
        <v>0</v>
      </c>
      <c r="BQ38" s="2866">
        <f t="shared" ref="BQ38:BQ49" si="78">BM38+BN38</f>
        <v>0</v>
      </c>
      <c r="BR38" s="1889">
        <f t="shared" ref="BR38:BR49" si="79">AI38+AU38</f>
        <v>0</v>
      </c>
      <c r="BS38" s="1894">
        <f>AJ38+AV38</f>
        <v>0</v>
      </c>
      <c r="BT38" s="2451">
        <f t="shared" ref="BT38:BT49" si="80">BR38+BS38</f>
        <v>0</v>
      </c>
      <c r="BU38" s="3147"/>
      <c r="BV38" s="3058"/>
      <c r="BW38" s="3058"/>
      <c r="BX38" s="3058"/>
      <c r="BY38" s="3147"/>
      <c r="BZ38" s="3147"/>
      <c r="CA38" s="3147"/>
      <c r="CB38" s="3147"/>
      <c r="CC38" s="3147"/>
      <c r="CD38" s="3147"/>
      <c r="CE38" s="3147"/>
      <c r="CF38" s="3147"/>
      <c r="CG38" s="3147"/>
      <c r="CH38" s="1050"/>
      <c r="CI38" s="2854"/>
      <c r="CJ38" s="2854"/>
      <c r="CK38" s="2854"/>
      <c r="CL38" s="2854"/>
      <c r="CM38" s="2854"/>
      <c r="CN38" s="2854"/>
      <c r="CO38" s="2854"/>
      <c r="CP38" s="2854"/>
      <c r="CQ38" s="2854"/>
      <c r="CR38" s="2854"/>
      <c r="CS38" s="2854"/>
      <c r="CT38" s="2854"/>
      <c r="CU38" s="2854"/>
      <c r="CV38" s="2854"/>
      <c r="CW38" s="2854"/>
      <c r="CX38" s="2854"/>
      <c r="CY38" s="2854"/>
      <c r="CZ38" s="2854"/>
      <c r="DA38" s="2854"/>
      <c r="DB38" s="2854"/>
      <c r="DC38" s="2854"/>
      <c r="DD38" s="2854"/>
      <c r="DE38" s="2854"/>
      <c r="DF38" s="2854"/>
      <c r="DG38" s="2854"/>
      <c r="DH38" s="2854"/>
      <c r="DI38" s="2854"/>
      <c r="DJ38" s="2854"/>
      <c r="DK38" s="2854"/>
      <c r="DL38" s="2854"/>
      <c r="DM38" s="2854"/>
      <c r="DN38" s="2854"/>
      <c r="DO38" s="2854"/>
      <c r="DP38" s="2854"/>
      <c r="DQ38" s="2854"/>
      <c r="DR38" s="2854"/>
      <c r="DS38" s="2854"/>
      <c r="DT38" s="2854"/>
      <c r="DU38" s="2854"/>
      <c r="DV38" s="2854"/>
      <c r="DW38" s="2854"/>
      <c r="DX38" s="2854"/>
      <c r="DY38" s="2854"/>
      <c r="DZ38" s="2854"/>
      <c r="EA38" s="2854"/>
      <c r="EB38" s="2854"/>
      <c r="EC38" s="2854"/>
      <c r="ED38" s="2854"/>
      <c r="EE38" s="2854"/>
      <c r="EF38" s="2854"/>
      <c r="EG38" s="2854"/>
      <c r="EH38" s="2854"/>
      <c r="EI38" s="2854"/>
      <c r="EJ38" s="2854"/>
      <c r="EK38" s="2854"/>
      <c r="EL38" s="2854"/>
      <c r="EM38" s="2854"/>
      <c r="EN38" s="2854"/>
      <c r="EO38" s="2854"/>
      <c r="EP38" s="2854"/>
      <c r="EQ38" s="2854"/>
      <c r="ER38" s="2854"/>
      <c r="ES38" s="2854"/>
      <c r="ET38" s="2854"/>
      <c r="EU38" s="2854"/>
      <c r="EV38" s="2854"/>
      <c r="EW38" s="2854"/>
      <c r="EX38" s="2854"/>
      <c r="EY38" s="2854"/>
      <c r="EZ38" s="2854"/>
      <c r="FA38" s="2854"/>
      <c r="FB38" s="2854"/>
      <c r="FC38" s="2854"/>
      <c r="FD38" s="2854"/>
      <c r="FE38" s="2854"/>
      <c r="FF38" s="2854"/>
      <c r="FG38" s="2854"/>
      <c r="FH38" s="2854"/>
      <c r="FI38" s="2854"/>
      <c r="FJ38" s="2854"/>
      <c r="FK38" s="2854"/>
      <c r="FL38" s="2854"/>
      <c r="FM38" s="2854"/>
      <c r="FN38" s="2854"/>
      <c r="FO38" s="2854"/>
      <c r="FP38" s="2854"/>
      <c r="FQ38" s="2854"/>
      <c r="FR38" s="2854"/>
      <c r="FS38" s="2854"/>
      <c r="FT38" s="2854"/>
      <c r="FU38" s="2854"/>
      <c r="FV38" s="2854"/>
      <c r="FW38" s="2854"/>
      <c r="FX38" s="2854"/>
      <c r="FY38" s="2854"/>
      <c r="FZ38" s="2854"/>
      <c r="GA38" s="2854"/>
      <c r="GB38" s="2854"/>
      <c r="GC38" s="2854"/>
      <c r="GD38" s="2854"/>
      <c r="GE38" s="2854"/>
      <c r="GF38" s="2854"/>
      <c r="GG38" s="2854"/>
      <c r="GH38" s="2854"/>
      <c r="GI38" s="2854"/>
      <c r="GJ38" s="2854"/>
      <c r="GK38" s="2854"/>
      <c r="GL38" s="2854"/>
      <c r="GM38" s="2854"/>
      <c r="GN38" s="2854"/>
      <c r="GO38" s="2854"/>
      <c r="GP38" s="2854"/>
      <c r="GQ38" s="2854"/>
      <c r="GR38" s="2854"/>
      <c r="GS38" s="2854"/>
      <c r="GT38" s="2854"/>
      <c r="GU38" s="2854"/>
      <c r="GV38" s="2854"/>
      <c r="GW38" s="2854"/>
      <c r="GX38" s="2854"/>
      <c r="GY38" s="2854"/>
      <c r="GZ38" s="2854"/>
      <c r="HA38" s="2854"/>
      <c r="HB38" s="2854"/>
      <c r="HC38" s="2854"/>
      <c r="HD38" s="2854"/>
      <c r="HE38" s="2854"/>
      <c r="HF38" s="2854"/>
      <c r="HG38" s="2854"/>
      <c r="HH38" s="2854"/>
      <c r="HI38" s="2854"/>
      <c r="HJ38" s="2854"/>
      <c r="HK38" s="2854"/>
      <c r="HL38" s="2854"/>
      <c r="HM38" s="2854"/>
      <c r="HN38" s="2854"/>
      <c r="HO38" s="2854"/>
      <c r="HP38" s="2854"/>
      <c r="HQ38" s="2854"/>
      <c r="HR38" s="2854"/>
      <c r="HS38" s="2854"/>
      <c r="HT38" s="2854"/>
      <c r="HU38" s="2854"/>
      <c r="HV38" s="2854"/>
      <c r="HW38" s="2854"/>
      <c r="HX38" s="2854"/>
      <c r="HY38" s="2854"/>
      <c r="HZ38" s="2854"/>
      <c r="IA38" s="2854"/>
      <c r="IB38" s="2854"/>
      <c r="IC38" s="2854"/>
      <c r="ID38" s="2854"/>
      <c r="IE38" s="2854"/>
      <c r="IF38" s="2854"/>
      <c r="IG38" s="2854"/>
      <c r="IH38" s="2854"/>
      <c r="II38" s="2854"/>
      <c r="IJ38" s="2854"/>
      <c r="IK38" s="2854"/>
      <c r="IL38" s="2854"/>
      <c r="IM38" s="2854"/>
      <c r="IN38" s="2854"/>
      <c r="IO38" s="2854"/>
      <c r="IP38" s="2854"/>
      <c r="IQ38" s="2854"/>
      <c r="IR38" s="2854"/>
      <c r="IS38" s="2854"/>
      <c r="IT38" s="2854"/>
      <c r="IU38" s="2854"/>
      <c r="IV38" s="2854"/>
      <c r="IW38" s="2854"/>
      <c r="IX38" s="2854"/>
      <c r="IY38" s="2854"/>
      <c r="IZ38" s="2854"/>
      <c r="JA38" s="2854"/>
      <c r="JB38" s="2854"/>
      <c r="JC38" s="2854"/>
      <c r="JD38" s="2854"/>
      <c r="JE38" s="2854"/>
      <c r="JF38" s="2854"/>
      <c r="JG38" s="2854"/>
      <c r="JH38" s="2854"/>
      <c r="JI38" s="2854"/>
      <c r="JJ38" s="2854"/>
      <c r="JK38" s="2854"/>
      <c r="JL38" s="2854"/>
      <c r="JM38" s="2854"/>
      <c r="JN38" s="2854"/>
      <c r="JO38" s="2854"/>
      <c r="JP38" s="2854"/>
      <c r="JQ38" s="2854"/>
      <c r="JR38" s="2854"/>
      <c r="JS38" s="2854"/>
      <c r="JT38" s="2854"/>
      <c r="JU38" s="2854"/>
      <c r="JV38" s="2854"/>
      <c r="JW38" s="2854"/>
      <c r="JX38" s="2854"/>
      <c r="JY38" s="2854"/>
      <c r="JZ38" s="2854"/>
      <c r="KA38" s="2854"/>
      <c r="KB38" s="2854"/>
      <c r="KC38" s="2854"/>
      <c r="KD38" s="2854"/>
      <c r="KE38" s="2854"/>
      <c r="KF38" s="2854"/>
      <c r="KG38" s="2854"/>
      <c r="KH38" s="2854"/>
      <c r="KI38" s="2854"/>
      <c r="KJ38" s="2854"/>
      <c r="KK38" s="2854"/>
      <c r="KL38" s="2854"/>
      <c r="KM38" s="2854"/>
      <c r="KN38" s="2854"/>
      <c r="KO38" s="2854"/>
      <c r="KP38" s="2854"/>
      <c r="KQ38" s="2854"/>
      <c r="KR38" s="2854"/>
      <c r="KS38" s="2854"/>
      <c r="KT38" s="2854"/>
      <c r="KU38" s="2854"/>
      <c r="KV38" s="2854"/>
      <c r="KW38" s="2854"/>
      <c r="KX38" s="2854"/>
      <c r="KY38" s="2854"/>
      <c r="KZ38" s="2854"/>
      <c r="LA38" s="2854"/>
      <c r="LB38" s="2854"/>
      <c r="LC38" s="2854"/>
      <c r="LD38" s="2854"/>
      <c r="LE38" s="2854"/>
      <c r="LF38" s="2854"/>
      <c r="LG38" s="2854"/>
      <c r="LH38" s="2854"/>
      <c r="LI38" s="2854"/>
      <c r="LJ38" s="2854"/>
      <c r="LK38" s="2854"/>
      <c r="LL38" s="2854"/>
      <c r="LM38" s="2854"/>
      <c r="LN38" s="2854"/>
      <c r="LO38" s="2854"/>
      <c r="LP38" s="2854"/>
      <c r="LQ38" s="2854"/>
      <c r="LR38" s="2854"/>
      <c r="LS38" s="2854"/>
      <c r="LT38" s="2854"/>
      <c r="LU38" s="2854"/>
      <c r="LV38" s="2854"/>
      <c r="LW38" s="2854"/>
      <c r="LX38" s="2854"/>
      <c r="LY38" s="2854"/>
      <c r="LZ38" s="2854"/>
      <c r="MA38" s="2854"/>
      <c r="MB38" s="2854"/>
      <c r="MC38" s="2854"/>
      <c r="MD38" s="2854"/>
      <c r="ME38" s="2854"/>
      <c r="MF38" s="2854"/>
      <c r="MG38" s="2854"/>
      <c r="MH38" s="2854"/>
      <c r="MI38" s="2854"/>
      <c r="MJ38" s="2854"/>
      <c r="MK38" s="2854"/>
      <c r="ML38" s="2854"/>
      <c r="MM38" s="2854"/>
      <c r="MN38" s="2854"/>
      <c r="MO38" s="2854"/>
      <c r="MP38" s="2854"/>
      <c r="MQ38" s="2854"/>
      <c r="MR38" s="2854"/>
      <c r="MS38" s="2854"/>
      <c r="MT38" s="2854"/>
      <c r="MU38" s="2854"/>
      <c r="MV38" s="2854"/>
      <c r="MW38" s="2854"/>
      <c r="MX38" s="2854"/>
      <c r="MY38" s="2854"/>
      <c r="MZ38" s="2854"/>
      <c r="NA38" s="2854"/>
      <c r="NB38" s="2854"/>
      <c r="NC38" s="2854"/>
      <c r="ND38" s="2854"/>
      <c r="NE38" s="2854"/>
      <c r="NF38" s="2854"/>
      <c r="NG38" s="2854"/>
      <c r="NH38" s="2854"/>
      <c r="NI38" s="2854"/>
      <c r="NJ38" s="2854"/>
      <c r="NK38" s="2854"/>
      <c r="NL38" s="2854"/>
      <c r="NM38" s="2854"/>
      <c r="NN38" s="2854"/>
      <c r="NO38" s="2854"/>
      <c r="NP38" s="2854"/>
      <c r="NQ38" s="2854"/>
      <c r="NR38" s="2854"/>
      <c r="NS38" s="2854"/>
      <c r="NT38" s="2854"/>
      <c r="NU38" s="2854"/>
      <c r="NV38" s="2854"/>
      <c r="NW38" s="2854"/>
      <c r="NX38" s="2854"/>
      <c r="NY38" s="2854"/>
      <c r="NZ38" s="2854"/>
      <c r="OA38" s="2854"/>
      <c r="OB38" s="2854"/>
      <c r="OC38" s="2854"/>
      <c r="OD38" s="2854"/>
      <c r="OE38" s="2854"/>
      <c r="OF38" s="2854"/>
      <c r="OG38" s="2854"/>
      <c r="OH38" s="2854"/>
      <c r="OI38" s="2854"/>
      <c r="OJ38" s="2854"/>
      <c r="OK38" s="2854"/>
      <c r="OL38" s="2854"/>
      <c r="OM38" s="2854"/>
      <c r="ON38" s="2854"/>
      <c r="OO38" s="2854"/>
      <c r="OP38" s="2854"/>
      <c r="OQ38" s="2854"/>
      <c r="OR38" s="2854"/>
      <c r="OS38" s="2854"/>
      <c r="OT38" s="2854"/>
      <c r="OU38" s="2854"/>
      <c r="OV38" s="2854"/>
      <c r="OW38" s="2854"/>
      <c r="OX38" s="2854"/>
      <c r="OY38" s="2854"/>
      <c r="OZ38" s="2854"/>
      <c r="PA38" s="2854"/>
      <c r="PB38" s="2854"/>
      <c r="PC38" s="2854"/>
      <c r="PD38" s="2854"/>
      <c r="PE38" s="2854"/>
      <c r="PF38" s="2854"/>
      <c r="PG38" s="2854"/>
      <c r="PH38" s="2854"/>
      <c r="PI38" s="2854"/>
      <c r="PJ38" s="2854"/>
      <c r="PK38" s="2854"/>
      <c r="PL38" s="2854"/>
      <c r="PM38" s="2854"/>
      <c r="PN38" s="2854"/>
      <c r="PO38" s="2854"/>
      <c r="PP38" s="2854"/>
      <c r="PQ38" s="2854"/>
      <c r="PR38" s="2854"/>
      <c r="PS38" s="2854"/>
      <c r="PT38" s="2854"/>
      <c r="PU38" s="2854"/>
      <c r="PV38" s="2854"/>
      <c r="PW38" s="2854"/>
      <c r="PX38" s="2854"/>
      <c r="PY38" s="2854"/>
      <c r="PZ38" s="2854"/>
      <c r="QA38" s="2854"/>
      <c r="QB38" s="2854"/>
      <c r="QC38" s="2854"/>
      <c r="QD38" s="2854"/>
      <c r="QE38" s="2854"/>
      <c r="QF38" s="2854"/>
      <c r="QG38" s="2854"/>
      <c r="QH38" s="2854"/>
      <c r="QI38" s="2854"/>
      <c r="QJ38" s="2854"/>
      <c r="QK38" s="2854"/>
      <c r="QL38" s="2854"/>
      <c r="QM38" s="2854"/>
      <c r="QN38" s="2854"/>
      <c r="QO38" s="2854"/>
      <c r="QP38" s="2854"/>
      <c r="QQ38" s="2854"/>
      <c r="QR38" s="2854"/>
      <c r="QS38" s="2854"/>
      <c r="QT38" s="2854"/>
      <c r="QU38" s="2854"/>
      <c r="QV38" s="2854"/>
      <c r="QW38" s="2854"/>
      <c r="QX38" s="2854"/>
      <c r="QY38" s="2854"/>
      <c r="QZ38" s="2854"/>
      <c r="RA38" s="2854"/>
      <c r="RB38" s="2854"/>
      <c r="RC38" s="2854"/>
      <c r="RD38" s="2854"/>
      <c r="RE38" s="2854"/>
      <c r="RF38" s="2854"/>
      <c r="RG38" s="2854"/>
      <c r="RH38" s="2854"/>
      <c r="RI38" s="2854"/>
      <c r="RJ38" s="2854"/>
      <c r="RK38" s="2854"/>
      <c r="RL38" s="2854"/>
      <c r="RM38" s="2854"/>
      <c r="RN38" s="2854"/>
      <c r="RO38" s="2854"/>
      <c r="RP38" s="2854"/>
      <c r="RQ38" s="2854"/>
      <c r="RR38" s="2854"/>
      <c r="RS38" s="2854"/>
      <c r="RT38" s="2854"/>
      <c r="RU38" s="2854"/>
      <c r="RV38" s="2854"/>
      <c r="RW38" s="2854"/>
      <c r="RX38" s="2854"/>
      <c r="RY38" s="2854"/>
      <c r="RZ38" s="2854"/>
      <c r="SA38" s="2854"/>
      <c r="SB38" s="2854"/>
      <c r="SC38" s="2854"/>
      <c r="SD38" s="2854"/>
      <c r="SE38" s="2854"/>
      <c r="SF38" s="2854"/>
      <c r="SG38" s="2854"/>
      <c r="SH38" s="2854"/>
      <c r="SI38" s="2854"/>
      <c r="SJ38" s="2854"/>
      <c r="SK38" s="2854"/>
      <c r="SL38" s="2854"/>
      <c r="SM38" s="2854"/>
      <c r="SN38" s="2854"/>
      <c r="SO38" s="2854"/>
      <c r="SP38" s="2854"/>
      <c r="SQ38" s="2854"/>
      <c r="SR38" s="2854"/>
      <c r="SS38" s="2854"/>
      <c r="ST38" s="2854"/>
      <c r="SU38" s="2854"/>
      <c r="SV38" s="2854"/>
      <c r="SW38" s="2854"/>
      <c r="SX38" s="2854"/>
      <c r="SY38" s="2854"/>
      <c r="SZ38" s="2854"/>
      <c r="TA38" s="2854"/>
      <c r="TB38" s="2854"/>
      <c r="TC38" s="2854"/>
      <c r="TD38" s="2854"/>
      <c r="TE38" s="2854"/>
      <c r="TF38" s="2854"/>
      <c r="TG38" s="2854"/>
      <c r="TH38" s="2854"/>
      <c r="TI38" s="2854"/>
      <c r="TJ38" s="2854"/>
      <c r="TK38" s="2854"/>
      <c r="TL38" s="2854"/>
      <c r="TM38" s="2854"/>
      <c r="TN38" s="2854"/>
      <c r="TO38" s="2854"/>
      <c r="TP38" s="2854"/>
      <c r="TQ38" s="2854"/>
      <c r="TR38" s="2854"/>
      <c r="TS38" s="2854"/>
      <c r="TT38" s="2854"/>
      <c r="TU38" s="3783"/>
      <c r="TV38" s="3783"/>
      <c r="TW38" s="3783"/>
      <c r="TX38" s="3783"/>
      <c r="TY38" s="3783"/>
      <c r="TZ38" s="3783"/>
      <c r="UA38" s="3783"/>
      <c r="UB38" s="3783"/>
      <c r="UC38" s="3783"/>
      <c r="UD38" s="3783"/>
      <c r="UE38" s="3783"/>
      <c r="UF38" s="3783"/>
      <c r="UG38" s="3783"/>
      <c r="UH38" s="3783"/>
      <c r="UI38" s="3783"/>
      <c r="UJ38" s="3783"/>
      <c r="UK38" s="3783"/>
      <c r="UL38" s="3783"/>
      <c r="UM38" s="3783"/>
      <c r="UN38" s="3783"/>
      <c r="UO38" s="3783"/>
      <c r="UP38" s="2854"/>
      <c r="UQ38" s="2854"/>
      <c r="UR38" s="2854"/>
      <c r="US38" s="2854"/>
      <c r="UT38" s="2854"/>
      <c r="UU38" s="2854"/>
      <c r="UV38" s="2854"/>
      <c r="UW38" s="2854"/>
      <c r="UX38" s="2854"/>
      <c r="UY38" s="2854"/>
      <c r="UZ38" s="2854"/>
      <c r="VA38" s="2854"/>
      <c r="VB38" s="2854"/>
      <c r="VC38" s="2854"/>
      <c r="VD38" s="2854"/>
      <c r="VE38" s="2854"/>
      <c r="VF38" s="2854"/>
      <c r="VG38" s="2854"/>
      <c r="VH38" s="2854"/>
      <c r="VI38" s="2854"/>
      <c r="VJ38" s="2854"/>
      <c r="VK38" s="2854"/>
      <c r="VL38" s="2854"/>
      <c r="VM38" s="2854"/>
      <c r="VN38" s="2854"/>
      <c r="VO38" s="2854"/>
      <c r="VP38" s="2854"/>
      <c r="VQ38" s="2854"/>
      <c r="VR38" s="2854"/>
      <c r="VS38" s="2854"/>
      <c r="VT38" s="2854"/>
      <c r="VU38" s="2854"/>
      <c r="VV38" s="2854"/>
      <c r="VW38" s="2854"/>
      <c r="VX38" s="2854"/>
      <c r="VY38" s="2854"/>
      <c r="VZ38" s="2854"/>
      <c r="WA38" s="2854"/>
      <c r="WB38" s="2854"/>
      <c r="WC38" s="2854"/>
      <c r="WD38" s="2854"/>
      <c r="WE38" s="2854"/>
      <c r="WF38" s="2854"/>
      <c r="WG38" s="2854"/>
      <c r="WH38" s="2854"/>
      <c r="WI38" s="2854"/>
      <c r="WJ38" s="2854"/>
      <c r="WK38" s="2854"/>
      <c r="WL38" s="2854"/>
      <c r="WM38" s="2854"/>
      <c r="WN38" s="2854"/>
      <c r="WO38" s="2854"/>
      <c r="WP38" s="2854"/>
      <c r="WQ38" s="2854"/>
      <c r="WR38" s="2854"/>
      <c r="WS38" s="2854"/>
      <c r="WT38" s="2854"/>
      <c r="WU38" s="2854"/>
      <c r="WV38" s="2854"/>
      <c r="WW38" s="2854"/>
      <c r="WX38" s="2854"/>
      <c r="WY38" s="2854"/>
      <c r="WZ38" s="2854"/>
      <c r="XA38" s="2854"/>
      <c r="XB38" s="2854"/>
      <c r="XC38" s="2854"/>
      <c r="XD38" s="2854"/>
      <c r="XE38" s="2854"/>
      <c r="XF38" s="2854"/>
      <c r="XG38" s="2854"/>
      <c r="XH38" s="2854"/>
      <c r="XI38" s="2854"/>
      <c r="XJ38" s="2854"/>
      <c r="XK38" s="2854"/>
      <c r="XL38" s="2854"/>
      <c r="XM38" s="2854"/>
      <c r="XN38" s="2854"/>
      <c r="XO38" s="2854"/>
      <c r="XP38" s="2854"/>
      <c r="XQ38" s="2854"/>
      <c r="XR38" s="2854"/>
      <c r="XS38" s="2854"/>
      <c r="XT38" s="2854"/>
      <c r="XU38" s="2854"/>
      <c r="XV38" s="2854"/>
      <c r="XW38" s="2854"/>
      <c r="XX38" s="2854"/>
      <c r="XY38" s="2854"/>
      <c r="XZ38" s="2854"/>
      <c r="YA38" s="2854"/>
      <c r="YB38" s="2854"/>
      <c r="YC38" s="2854"/>
      <c r="YD38" s="2854"/>
      <c r="YE38" s="2854"/>
      <c r="YF38" s="2854"/>
      <c r="YG38" s="2854"/>
      <c r="YH38" s="2854"/>
      <c r="YI38" s="2854"/>
      <c r="YJ38" s="2854"/>
      <c r="YK38" s="2854"/>
      <c r="YL38" s="2854"/>
      <c r="YM38" s="2854"/>
      <c r="YN38" s="2854"/>
      <c r="YO38" s="2854"/>
      <c r="YP38" s="2854"/>
      <c r="YQ38" s="2854"/>
      <c r="YR38" s="2854"/>
      <c r="YS38" s="2854"/>
      <c r="YT38" s="2854"/>
      <c r="YU38" s="2854"/>
      <c r="YV38" s="2854"/>
      <c r="YW38" s="2854"/>
      <c r="YX38" s="2854"/>
      <c r="YY38" s="2854"/>
      <c r="YZ38" s="2854"/>
      <c r="ZA38" s="2854"/>
      <c r="ZB38" s="2854"/>
      <c r="ZC38" s="2854"/>
      <c r="ZD38" s="2854"/>
      <c r="ZE38" s="2854"/>
      <c r="ZF38" s="2854"/>
      <c r="ZG38" s="2854"/>
      <c r="ZH38" s="2854"/>
      <c r="ZI38" s="2854"/>
      <c r="ZJ38" s="2854"/>
      <c r="ZK38" s="2854"/>
      <c r="ZL38" s="2854"/>
      <c r="ZM38" s="2854"/>
      <c r="ZN38" s="2854"/>
      <c r="ZO38" s="2854"/>
      <c r="ZP38" s="2854"/>
      <c r="ZQ38" s="2854"/>
      <c r="ZR38" s="2854"/>
      <c r="ZS38" s="2854"/>
      <c r="ZT38" s="2854"/>
      <c r="ZU38" s="2854"/>
      <c r="ZV38" s="2854"/>
      <c r="ZW38" s="2854"/>
      <c r="ZX38" s="2854"/>
      <c r="ZY38" s="2854"/>
      <c r="ZZ38" s="2854"/>
      <c r="AAA38" s="2854"/>
      <c r="AAB38" s="2854"/>
      <c r="AAC38" s="2854"/>
      <c r="AAD38" s="2854"/>
      <c r="AAE38" s="2854"/>
      <c r="AAF38" s="2854"/>
      <c r="AAG38" s="2854"/>
      <c r="AAH38" s="2854"/>
      <c r="AAI38" s="2854"/>
      <c r="AAJ38" s="2854"/>
      <c r="AAK38" s="2854"/>
      <c r="AAL38" s="2854"/>
      <c r="AAM38" s="2854"/>
      <c r="AAN38" s="2854"/>
      <c r="AAO38" s="2854"/>
      <c r="AAP38" s="2854"/>
      <c r="AAQ38" s="2854"/>
      <c r="AAR38" s="2854"/>
      <c r="AAS38" s="2854"/>
      <c r="AAT38" s="2854"/>
      <c r="AAU38" s="2854"/>
      <c r="AAV38" s="2854"/>
      <c r="AAW38" s="2854"/>
      <c r="AAX38" s="2854"/>
      <c r="AAY38" s="2854"/>
      <c r="AAZ38" s="2854"/>
      <c r="ABA38" s="2854"/>
      <c r="ABB38" s="2854"/>
      <c r="ABC38" s="2854"/>
      <c r="ABD38" s="2854"/>
      <c r="ABE38" s="2854"/>
      <c r="ABF38" s="2854"/>
      <c r="ABG38" s="2854"/>
      <c r="ABH38" s="2854"/>
      <c r="ABI38" s="2854"/>
      <c r="ABJ38" s="2854"/>
      <c r="ABK38" s="2854"/>
      <c r="ABL38" s="2854"/>
      <c r="ABM38" s="2854"/>
      <c r="ABN38" s="2854"/>
      <c r="ABO38" s="2854"/>
      <c r="ABP38" s="2854"/>
      <c r="ABQ38" s="2854"/>
      <c r="ABR38" s="2854"/>
      <c r="ABS38" s="2854"/>
      <c r="ABT38" s="2854"/>
      <c r="ABU38" s="2854"/>
      <c r="ABV38" s="2854"/>
      <c r="ABW38" s="2854"/>
      <c r="ABX38" s="2854"/>
      <c r="ABY38" s="2854"/>
      <c r="ABZ38" s="2854"/>
      <c r="ACA38" s="2854"/>
      <c r="ACB38" s="2854"/>
      <c r="ACC38" s="2854"/>
      <c r="ACD38" s="2854"/>
      <c r="ACE38" s="2854"/>
      <c r="ACF38" s="2854"/>
      <c r="ACG38" s="2854"/>
      <c r="ACH38" s="2854"/>
      <c r="ACI38" s="2854"/>
      <c r="ACJ38" s="2854"/>
      <c r="ACK38" s="2854"/>
      <c r="ACL38" s="2854"/>
      <c r="ACM38" s="2854"/>
      <c r="ACN38" s="2854"/>
      <c r="ACO38" s="2854"/>
      <c r="ACP38" s="2854"/>
      <c r="ACQ38" s="2854"/>
      <c r="ACR38" s="2854"/>
      <c r="ACS38" s="2854"/>
      <c r="ACT38" s="2854"/>
      <c r="ACU38" s="2854"/>
      <c r="ACV38" s="2854"/>
      <c r="ACW38" s="2854"/>
      <c r="ACX38" s="2854"/>
      <c r="ACY38" s="2854"/>
      <c r="ACZ38" s="2854"/>
      <c r="ADA38" s="2854"/>
      <c r="ADB38" s="2854"/>
      <c r="ADC38" s="2854"/>
      <c r="ADD38" s="2854"/>
      <c r="ADE38" s="2854"/>
      <c r="ADF38" s="2854"/>
      <c r="ADG38" s="2854"/>
      <c r="ADH38" s="2854"/>
      <c r="ADI38" s="2854"/>
      <c r="ADJ38" s="2854"/>
      <c r="ADK38" s="2854"/>
      <c r="ADL38" s="2854"/>
      <c r="ADM38" s="2854"/>
      <c r="ADN38" s="2854"/>
      <c r="ADO38" s="2854"/>
      <c r="ADP38" s="2854"/>
      <c r="ADQ38" s="2854"/>
      <c r="ADR38" s="2854"/>
      <c r="ADS38" s="2854"/>
      <c r="ADT38" s="2854"/>
      <c r="ADU38" s="2854"/>
      <c r="ADV38" s="2854"/>
      <c r="ADW38" s="2854"/>
      <c r="ADX38" s="2854"/>
      <c r="ADY38" s="2854"/>
      <c r="ADZ38" s="2854"/>
      <c r="AEA38" s="2854"/>
      <c r="AEB38" s="2854"/>
      <c r="AEC38" s="2854"/>
      <c r="AED38" s="2854"/>
      <c r="AEE38" s="2854"/>
      <c r="AEF38" s="2854"/>
      <c r="AEG38" s="2854"/>
      <c r="AEH38" s="2854"/>
      <c r="AEI38" s="2854"/>
      <c r="AEJ38" s="2854"/>
      <c r="AEK38" s="2854"/>
      <c r="AEL38" s="2854"/>
      <c r="AEM38" s="2854"/>
      <c r="AEN38" s="2854"/>
      <c r="AEO38" s="2854"/>
      <c r="AEP38" s="2854"/>
      <c r="AEQ38" s="2854"/>
      <c r="AER38" s="2854"/>
      <c r="AES38" s="2854"/>
      <c r="AET38" s="2854"/>
      <c r="AEU38" s="2854"/>
      <c r="AEV38" s="2854"/>
      <c r="AEW38" s="2854"/>
      <c r="AEX38" s="2854"/>
      <c r="AEY38" s="2854"/>
      <c r="AEZ38" s="2854"/>
      <c r="AFA38" s="2854"/>
      <c r="AFB38" s="2854"/>
      <c r="AFC38" s="2854"/>
      <c r="AFD38" s="2854"/>
      <c r="AFE38" s="2854"/>
      <c r="AFF38" s="2854"/>
      <c r="AFG38" s="2854"/>
      <c r="AFH38" s="2854"/>
      <c r="AFI38" s="2854"/>
      <c r="AFJ38" s="2854"/>
      <c r="AFK38" s="2854"/>
      <c r="AFL38" s="2854"/>
      <c r="AFM38" s="2854"/>
      <c r="AFN38" s="2854"/>
      <c r="AFO38" s="2854"/>
      <c r="AFP38" s="2854"/>
      <c r="AFQ38" s="2854"/>
      <c r="AFR38" s="2854"/>
      <c r="AFS38" s="2854"/>
      <c r="AFT38" s="2854"/>
      <c r="AFU38" s="2854"/>
      <c r="AFV38" s="2854"/>
      <c r="AFW38" s="2854"/>
      <c r="AFX38" s="2854"/>
      <c r="AFY38" s="2854"/>
      <c r="AFZ38" s="2854"/>
      <c r="AGA38" s="2854"/>
      <c r="AGB38" s="2854"/>
      <c r="AGC38" s="2854"/>
      <c r="AGD38" s="2854"/>
      <c r="AGE38" s="2854"/>
      <c r="AGF38" s="2854"/>
      <c r="AGG38" s="2854"/>
      <c r="AGH38" s="2854"/>
      <c r="AGI38" s="2854"/>
      <c r="AGJ38" s="2854"/>
      <c r="AGK38" s="2854"/>
      <c r="AGL38" s="2854"/>
      <c r="AGM38" s="2854"/>
      <c r="AGN38" s="2854"/>
      <c r="AGO38" s="2854"/>
      <c r="AGP38" s="2854"/>
      <c r="AGQ38" s="2854"/>
      <c r="AGR38" s="2854"/>
      <c r="AGS38" s="2854"/>
      <c r="AGT38" s="2854"/>
      <c r="AGU38" s="2854"/>
      <c r="AGV38" s="2854"/>
      <c r="AGW38" s="2854"/>
      <c r="AGX38" s="2854"/>
      <c r="AGY38" s="2854"/>
      <c r="AGZ38" s="2854"/>
      <c r="AHA38" s="2854"/>
      <c r="AHB38" s="2854"/>
      <c r="AHC38" s="2854"/>
      <c r="AHD38" s="2854"/>
      <c r="AHE38" s="2854"/>
      <c r="AHF38" s="2854"/>
      <c r="AHG38" s="2854"/>
      <c r="AHH38" s="2854"/>
      <c r="AHI38" s="2854"/>
      <c r="AHJ38" s="2854"/>
      <c r="AHK38" s="2854"/>
      <c r="AHL38" s="2854"/>
      <c r="AHM38" s="2854"/>
      <c r="AHN38" s="2854"/>
      <c r="AHO38" s="2854"/>
      <c r="AHP38" s="2854"/>
      <c r="AHQ38" s="2854"/>
      <c r="AHR38" s="2854"/>
      <c r="AHS38" s="2854"/>
      <c r="AHT38" s="2854"/>
      <c r="AHU38" s="2854"/>
      <c r="AHV38" s="2854"/>
      <c r="AHW38" s="2854"/>
      <c r="AHX38" s="2854"/>
      <c r="AHY38" s="2854"/>
      <c r="AHZ38" s="2854"/>
      <c r="AIA38" s="2854"/>
      <c r="AIB38" s="2854"/>
      <c r="AIC38" s="2854"/>
      <c r="AID38" s="2854"/>
      <c r="AIE38" s="2854"/>
      <c r="AIF38" s="2854"/>
      <c r="AIG38" s="2854"/>
      <c r="AIH38" s="2854"/>
      <c r="AII38" s="2854"/>
      <c r="AIJ38" s="2854"/>
      <c r="AIK38" s="2854"/>
      <c r="AIL38" s="2854"/>
      <c r="AIM38" s="2854"/>
      <c r="AIN38" s="2854"/>
      <c r="AIO38" s="2854"/>
      <c r="AIP38" s="2854"/>
      <c r="AIQ38" s="2854"/>
      <c r="AIR38" s="2854"/>
      <c r="AIS38" s="2854"/>
      <c r="AIT38" s="2854"/>
      <c r="AIU38" s="2854"/>
      <c r="AIV38" s="2854"/>
      <c r="AIW38" s="2854"/>
      <c r="AIX38" s="2854"/>
      <c r="AIY38" s="2854"/>
      <c r="AIZ38" s="2854"/>
      <c r="AJA38" s="2854"/>
      <c r="AJB38" s="2854"/>
      <c r="AJC38" s="2854"/>
      <c r="AJD38" s="2854"/>
      <c r="AJE38" s="2854"/>
      <c r="AJF38" s="2854"/>
      <c r="AJG38" s="2854"/>
      <c r="AJH38" s="2854"/>
      <c r="AJI38" s="2854"/>
      <c r="AJJ38" s="2854"/>
      <c r="AJK38" s="2854"/>
      <c r="AJL38" s="2854"/>
      <c r="AJM38" s="2854"/>
      <c r="AJN38" s="2854"/>
      <c r="AJO38" s="2854"/>
      <c r="AJP38" s="2854"/>
      <c r="AJQ38" s="2854"/>
      <c r="AJR38" s="2854"/>
      <c r="AJS38" s="2854"/>
      <c r="AJT38" s="2854"/>
      <c r="AJU38" s="2854"/>
      <c r="AJV38" s="2854"/>
      <c r="AJW38" s="2854"/>
      <c r="AJX38" s="2854"/>
      <c r="AJY38" s="2854"/>
      <c r="AJZ38" s="2854"/>
      <c r="AKA38" s="2854"/>
      <c r="AKB38" s="2854"/>
      <c r="AKC38" s="2854"/>
      <c r="AKD38" s="2854"/>
      <c r="AKE38" s="2854"/>
      <c r="AKF38" s="2854"/>
      <c r="AKG38" s="2854"/>
      <c r="AKH38" s="2854"/>
      <c r="AKI38" s="2854"/>
      <c r="AKJ38" s="2854"/>
      <c r="AKK38" s="2854"/>
      <c r="AKL38" s="2854"/>
      <c r="AKM38" s="2854"/>
      <c r="AKN38" s="2854"/>
      <c r="AKO38" s="2854"/>
      <c r="AKP38" s="2854"/>
      <c r="AKQ38" s="2854"/>
      <c r="AKR38" s="2854"/>
      <c r="AKS38" s="2854"/>
      <c r="AKT38" s="2854"/>
      <c r="AKU38" s="2854"/>
      <c r="AKV38" s="2854"/>
      <c r="AKW38" s="2854"/>
      <c r="AKX38" s="2854"/>
      <c r="AKY38" s="2854"/>
      <c r="AKZ38" s="2854"/>
      <c r="ALA38" s="2854"/>
      <c r="ALB38" s="2854"/>
      <c r="ALC38" s="2854"/>
      <c r="ALD38" s="2854"/>
      <c r="ALE38" s="2854"/>
      <c r="ALF38" s="2854"/>
      <c r="ALG38" s="2854"/>
      <c r="ALH38" s="2854"/>
      <c r="ALI38" s="2854"/>
      <c r="ALJ38" s="2854"/>
      <c r="ALK38" s="2854"/>
      <c r="ALL38" s="2854"/>
      <c r="ALM38" s="2854"/>
      <c r="ALN38" s="2854"/>
      <c r="ALO38" s="2854"/>
      <c r="ALP38" s="2854"/>
      <c r="ALQ38" s="2854"/>
      <c r="ALR38" s="2854"/>
      <c r="ALS38" s="2854"/>
      <c r="ALT38" s="2854"/>
      <c r="ALU38" s="2854"/>
      <c r="ALV38" s="2854"/>
      <c r="ALW38" s="2854"/>
      <c r="ALX38" s="2854"/>
      <c r="ALY38" s="2854"/>
      <c r="ALZ38" s="2854"/>
      <c r="AMA38" s="2854"/>
      <c r="AMB38" s="2854"/>
      <c r="AMC38" s="2854"/>
      <c r="AMD38" s="2854"/>
      <c r="AME38" s="2854"/>
      <c r="AMF38" s="2854"/>
      <c r="AMG38" s="2854"/>
      <c r="AMH38" s="2854"/>
      <c r="AMI38" s="2854"/>
      <c r="AMJ38" s="2854"/>
      <c r="AMK38" s="2854"/>
      <c r="AML38" s="2854"/>
      <c r="AMM38" s="2854"/>
      <c r="AMN38" s="2854"/>
      <c r="AMO38" s="2854"/>
      <c r="AMP38" s="2854"/>
      <c r="AMQ38" s="2854"/>
      <c r="AMR38" s="2854"/>
      <c r="AMS38" s="2854"/>
      <c r="AMT38" s="2854"/>
      <c r="AMU38" s="2854"/>
      <c r="AMV38" s="2854"/>
      <c r="AMW38" s="2854"/>
      <c r="AMX38" s="2854"/>
      <c r="AMY38" s="2854"/>
      <c r="AMZ38" s="2854"/>
      <c r="ANA38" s="2854"/>
      <c r="ANB38" s="2854"/>
      <c r="ANC38" s="2854"/>
      <c r="AND38" s="2854"/>
      <c r="ANE38" s="2854"/>
      <c r="ANF38" s="2854"/>
      <c r="ANG38" s="2854"/>
      <c r="ANH38" s="2854"/>
      <c r="ANI38" s="2854"/>
      <c r="ANJ38" s="2854"/>
      <c r="ANK38" s="2854"/>
      <c r="ANL38" s="2854"/>
      <c r="ANM38" s="2854"/>
      <c r="ANN38" s="2854"/>
      <c r="ANO38" s="2854"/>
      <c r="ANP38" s="2854"/>
      <c r="ANQ38" s="2854"/>
      <c r="ANR38" s="2854"/>
      <c r="ANS38" s="2854"/>
      <c r="ANT38" s="2854"/>
      <c r="ANU38" s="2854"/>
      <c r="ANV38" s="2854"/>
      <c r="ANW38" s="2854"/>
      <c r="ANX38" s="2854"/>
      <c r="ANY38" s="2854"/>
      <c r="ANZ38" s="2854"/>
      <c r="AOA38" s="2854"/>
      <c r="AOB38" s="2854"/>
      <c r="AOC38" s="2854"/>
      <c r="AOD38" s="2854"/>
      <c r="AOE38" s="2854"/>
      <c r="AOF38" s="2854"/>
      <c r="AOG38" s="2854"/>
      <c r="AOH38" s="2854"/>
      <c r="AOI38" s="2854"/>
      <c r="AOJ38" s="2854"/>
      <c r="AOK38" s="2854"/>
      <c r="AOL38" s="2854"/>
      <c r="AOM38" s="2854"/>
      <c r="AON38" s="2854"/>
      <c r="AOO38" s="2854"/>
      <c r="AOP38" s="2854"/>
      <c r="AOQ38" s="2854"/>
      <c r="AOR38" s="2854"/>
      <c r="AOS38" s="2854"/>
      <c r="AOT38" s="2854"/>
      <c r="AOU38" s="2854"/>
      <c r="AOV38" s="2854"/>
      <c r="AOW38" s="2854"/>
      <c r="AOX38" s="2854"/>
      <c r="AOY38" s="2854"/>
      <c r="AOZ38" s="2854"/>
      <c r="APA38" s="2854"/>
      <c r="APB38" s="2854"/>
      <c r="APC38" s="2854"/>
      <c r="APD38" s="2854"/>
      <c r="APE38" s="2854"/>
      <c r="APF38" s="2854"/>
      <c r="APG38" s="2854"/>
      <c r="APH38" s="2854"/>
      <c r="API38" s="2854"/>
      <c r="APJ38" s="2854"/>
      <c r="APK38" s="2854"/>
      <c r="APL38" s="2854"/>
      <c r="APM38" s="2854"/>
      <c r="APN38" s="2854"/>
      <c r="APO38" s="2854"/>
      <c r="APP38" s="2854"/>
      <c r="APQ38" s="2854"/>
      <c r="APR38" s="2854"/>
      <c r="APS38" s="2854"/>
      <c r="APT38" s="2854"/>
      <c r="APU38" s="2854"/>
      <c r="APV38" s="2854"/>
      <c r="APW38" s="2854"/>
      <c r="APX38" s="2854"/>
      <c r="APY38" s="2854"/>
      <c r="APZ38" s="2854"/>
      <c r="AQA38" s="2854"/>
      <c r="AQB38" s="2854"/>
      <c r="AQC38" s="2854"/>
      <c r="AQD38" s="2854"/>
      <c r="AQE38" s="2854"/>
      <c r="AQF38" s="2854"/>
      <c r="AQG38" s="2854"/>
      <c r="AQH38" s="2854"/>
      <c r="AQI38" s="2854"/>
      <c r="AQJ38" s="2854"/>
      <c r="AQK38" s="2854"/>
      <c r="AQL38" s="2854"/>
      <c r="AQM38" s="2854"/>
      <c r="AQN38" s="2854"/>
      <c r="AQO38" s="2854"/>
      <c r="AQP38" s="2854"/>
      <c r="AQQ38" s="2854"/>
      <c r="AQR38" s="2854"/>
      <c r="AQS38" s="2854"/>
      <c r="AQT38" s="2854"/>
      <c r="AQU38" s="2854"/>
      <c r="AQV38" s="2854"/>
      <c r="AQW38" s="2854"/>
      <c r="AQX38" s="2854"/>
      <c r="AQY38" s="2854"/>
      <c r="AQZ38" s="2854"/>
      <c r="ARA38" s="2854"/>
      <c r="ARB38" s="2854"/>
      <c r="ARC38" s="2854"/>
      <c r="ARD38" s="2854"/>
      <c r="ARE38" s="2854"/>
      <c r="ARF38" s="2854"/>
      <c r="ARG38" s="2854"/>
      <c r="ARH38" s="2854"/>
      <c r="ARI38" s="2854"/>
      <c r="ARJ38" s="2854"/>
      <c r="ARK38" s="2854"/>
      <c r="ARL38" s="2854"/>
      <c r="ARM38" s="2854"/>
      <c r="ARN38" s="2854"/>
      <c r="ARO38" s="2854"/>
      <c r="ARP38" s="2854"/>
      <c r="ARQ38" s="2854"/>
      <c r="ARR38" s="2854"/>
      <c r="ARS38" s="2854"/>
      <c r="ART38" s="2854"/>
      <c r="ARU38" s="2854"/>
      <c r="ARV38" s="2854"/>
      <c r="ARW38" s="2854"/>
      <c r="ARX38" s="2854"/>
      <c r="ARY38" s="2854"/>
      <c r="ARZ38" s="2854"/>
      <c r="ASA38" s="2854"/>
      <c r="ASB38" s="2854"/>
      <c r="ASC38" s="2854"/>
      <c r="ASD38" s="2854"/>
      <c r="ASE38" s="2854"/>
      <c r="ASF38" s="2854"/>
      <c r="ASG38" s="2854"/>
      <c r="ASH38" s="2854"/>
      <c r="ASI38" s="2854"/>
      <c r="ASJ38" s="2854"/>
      <c r="ASK38" s="2854"/>
      <c r="ASL38" s="2854"/>
      <c r="ASM38" s="2854"/>
      <c r="ASN38" s="2854"/>
      <c r="ASO38" s="2854"/>
      <c r="ASP38" s="2854"/>
      <c r="ASQ38" s="2854"/>
      <c r="ASR38" s="2854"/>
      <c r="ASS38" s="2854"/>
      <c r="AST38" s="2854"/>
      <c r="ASU38" s="2854"/>
      <c r="ASV38" s="2854"/>
      <c r="ASW38" s="2854"/>
      <c r="ASX38" s="2854"/>
      <c r="ASY38" s="2854"/>
      <c r="ASZ38" s="2854"/>
      <c r="ATA38" s="2854"/>
      <c r="ATB38" s="2854"/>
      <c r="ATC38" s="2854"/>
      <c r="ATD38" s="2854"/>
      <c r="ATE38" s="2854"/>
      <c r="ATF38" s="2854"/>
      <c r="ATG38" s="2854"/>
      <c r="ATH38" s="2854"/>
      <c r="ATI38" s="2854"/>
      <c r="ATJ38" s="2854"/>
      <c r="ATK38" s="2854"/>
      <c r="ATL38" s="2854"/>
      <c r="ATM38" s="2854"/>
      <c r="ATN38" s="2854"/>
      <c r="ATO38" s="2854"/>
      <c r="ATP38" s="2854"/>
      <c r="ATQ38" s="2854"/>
      <c r="ATR38" s="2854"/>
      <c r="ATS38" s="2854"/>
      <c r="ATT38" s="2854"/>
      <c r="ATU38" s="2854"/>
      <c r="ATV38" s="2854"/>
      <c r="ATW38" s="2854"/>
      <c r="ATX38" s="2854"/>
      <c r="ATY38" s="2854"/>
      <c r="ATZ38" s="2854"/>
      <c r="AUA38" s="2854"/>
      <c r="AUB38" s="2854"/>
      <c r="AUC38" s="2854"/>
      <c r="AUD38" s="2854"/>
      <c r="AUE38" s="2854"/>
      <c r="AUF38" s="2854"/>
      <c r="AUG38" s="2854"/>
      <c r="AUH38" s="2854"/>
      <c r="AUI38" s="2854"/>
      <c r="AUJ38" s="2854"/>
      <c r="AUK38" s="2854"/>
      <c r="AUL38" s="2854"/>
      <c r="AUM38" s="2854"/>
      <c r="AUN38" s="2854"/>
      <c r="AUO38" s="2854"/>
      <c r="AUP38" s="2854"/>
      <c r="AUQ38" s="2854"/>
      <c r="AUR38" s="2854"/>
      <c r="AUS38" s="2854"/>
      <c r="AUT38" s="2854"/>
      <c r="AUU38" s="2854"/>
      <c r="AUV38" s="2854"/>
      <c r="AUW38" s="2854"/>
      <c r="AUX38" s="2854"/>
      <c r="AUY38" s="2854"/>
      <c r="AUZ38" s="2854"/>
      <c r="AVA38" s="2854"/>
      <c r="AVB38" s="2854"/>
      <c r="AVC38" s="2854"/>
      <c r="AVD38" s="2854"/>
      <c r="AVE38" s="2854"/>
      <c r="AVF38" s="2854"/>
      <c r="AVG38" s="2854"/>
      <c r="AVH38" s="2854"/>
      <c r="AVI38" s="2854"/>
      <c r="AVJ38" s="2854"/>
      <c r="AVK38" s="2854"/>
      <c r="AVL38" s="2854"/>
      <c r="AVM38" s="2854"/>
      <c r="AVN38" s="2854"/>
      <c r="AVO38" s="2854"/>
      <c r="AVP38" s="2854"/>
      <c r="AVQ38" s="2854"/>
      <c r="AVR38" s="2854"/>
      <c r="AVS38" s="2854"/>
      <c r="AVT38" s="2854"/>
      <c r="AVU38" s="2854"/>
      <c r="AVV38" s="2854"/>
      <c r="AVW38" s="2854"/>
      <c r="AVX38" s="2854"/>
      <c r="AVY38" s="2854"/>
      <c r="AVZ38" s="2854"/>
      <c r="AWA38" s="2854"/>
      <c r="AWB38" s="2854"/>
      <c r="AWC38" s="2854"/>
      <c r="AWD38" s="2854"/>
      <c r="AWE38" s="2854"/>
      <c r="AWF38" s="2854"/>
      <c r="AWG38" s="2854"/>
      <c r="AWH38" s="2854"/>
      <c r="AWI38" s="2854"/>
      <c r="AWJ38" s="2854"/>
      <c r="AWK38" s="2854"/>
      <c r="AWL38" s="2854"/>
      <c r="AWM38" s="2854"/>
      <c r="AWN38" s="2854"/>
      <c r="AWO38" s="2854"/>
      <c r="AWP38" s="2854"/>
      <c r="AWQ38" s="2854"/>
      <c r="AWR38" s="2854"/>
      <c r="AWS38" s="2854"/>
      <c r="AWT38" s="2854"/>
      <c r="AWU38" s="2854"/>
      <c r="AWV38" s="2854"/>
      <c r="AWW38" s="2854"/>
      <c r="AWX38" s="2854"/>
      <c r="AWY38" s="2854"/>
      <c r="AWZ38" s="2854"/>
      <c r="AXA38" s="2854"/>
      <c r="AXB38" s="2854"/>
      <c r="AXC38" s="2854"/>
      <c r="AXD38" s="2854"/>
      <c r="AXE38" s="2854"/>
      <c r="AXF38" s="2854"/>
      <c r="AXG38" s="2854"/>
      <c r="AXH38" s="2854"/>
      <c r="AXI38" s="2854"/>
      <c r="AXJ38" s="2854"/>
      <c r="AXK38" s="2854"/>
      <c r="AXL38" s="2854"/>
      <c r="AXM38" s="2854"/>
      <c r="AXN38" s="2854"/>
      <c r="AXO38" s="2854"/>
      <c r="AXP38" s="2854"/>
      <c r="AXQ38" s="2854"/>
      <c r="AXR38" s="2854"/>
      <c r="AXS38" s="2854"/>
      <c r="AXT38" s="2854"/>
      <c r="AXU38" s="2854"/>
      <c r="AXV38" s="2854"/>
      <c r="AXW38" s="2854"/>
      <c r="AXX38" s="2854"/>
      <c r="AXY38" s="2854"/>
      <c r="AXZ38" s="2854"/>
      <c r="AYA38" s="2854"/>
      <c r="AYB38" s="2854"/>
      <c r="AYC38" s="2854"/>
      <c r="AYD38" s="2854"/>
      <c r="AYE38" s="2854"/>
      <c r="AYF38" s="2854"/>
      <c r="AYG38" s="2854"/>
      <c r="AYH38" s="2854"/>
      <c r="AYI38" s="2854"/>
      <c r="AYJ38" s="2854"/>
      <c r="AYK38" s="2854"/>
      <c r="AYL38" s="2854"/>
      <c r="AYM38" s="2854"/>
      <c r="AYN38" s="2854"/>
      <c r="AYO38" s="2854"/>
      <c r="AYP38" s="2854"/>
      <c r="AYQ38" s="2854"/>
      <c r="AYR38" s="2854"/>
      <c r="AYS38" s="2854"/>
      <c r="AYT38" s="2854"/>
      <c r="AYU38" s="2854"/>
      <c r="AYV38" s="2854"/>
      <c r="AYW38" s="2854"/>
      <c r="AYX38" s="2854"/>
      <c r="AYY38" s="2854"/>
      <c r="AYZ38" s="2854"/>
      <c r="AZA38" s="2854"/>
      <c r="AZB38" s="2854"/>
      <c r="AZC38" s="2854"/>
      <c r="AZD38" s="2854"/>
      <c r="AZE38" s="2854"/>
      <c r="AZF38" s="2854"/>
      <c r="AZG38" s="2854"/>
      <c r="AZH38" s="2854"/>
      <c r="AZI38" s="2854"/>
      <c r="AZJ38" s="2854"/>
      <c r="AZK38" s="2854"/>
      <c r="AZL38" s="2854"/>
      <c r="AZM38" s="2854"/>
      <c r="AZN38" s="2854"/>
      <c r="AZO38" s="2854"/>
      <c r="AZP38" s="2854"/>
      <c r="AZQ38" s="2854"/>
      <c r="AZR38" s="2854"/>
      <c r="AZS38" s="2854"/>
      <c r="AZT38" s="2854"/>
      <c r="AZU38" s="2854"/>
      <c r="AZV38" s="2854"/>
      <c r="AZW38" s="2854"/>
      <c r="AZX38" s="2854"/>
      <c r="AZY38" s="2854"/>
      <c r="AZZ38" s="2854"/>
      <c r="BAA38" s="2854"/>
      <c r="BAB38" s="2854"/>
      <c r="BAC38" s="2854"/>
      <c r="BAD38" s="2854"/>
      <c r="BAE38" s="2854"/>
      <c r="BAF38" s="2854"/>
      <c r="BAG38" s="2854"/>
      <c r="BAH38" s="2854"/>
      <c r="BAI38" s="2854"/>
      <c r="BAJ38" s="2854"/>
      <c r="BAK38" s="2854"/>
      <c r="BAL38" s="2854"/>
      <c r="BAM38" s="2854"/>
      <c r="BAN38" s="2854"/>
      <c r="BAO38" s="2854"/>
      <c r="BAP38" s="2854"/>
      <c r="BAQ38" s="2854"/>
      <c r="BAR38" s="2854"/>
      <c r="BAS38" s="2854"/>
      <c r="BAT38" s="2854"/>
      <c r="BAU38" s="2854"/>
      <c r="BAV38" s="2854"/>
      <c r="BAW38" s="2854"/>
      <c r="BAX38" s="2854"/>
      <c r="BAY38" s="2854"/>
      <c r="BAZ38" s="2854"/>
      <c r="BBA38" s="2854"/>
      <c r="BBB38" s="2854"/>
      <c r="BBC38" s="2854"/>
      <c r="BBD38" s="2854"/>
      <c r="BBE38" s="2854"/>
      <c r="BBF38" s="2854"/>
      <c r="BBG38" s="2854"/>
      <c r="BBH38" s="2854"/>
      <c r="BBI38" s="2854"/>
      <c r="BBJ38" s="2854"/>
      <c r="BBK38" s="2854"/>
      <c r="BBL38" s="2854"/>
      <c r="BBM38" s="2854"/>
      <c r="BBN38" s="2854"/>
      <c r="BBO38" s="2854"/>
      <c r="BBP38" s="2854"/>
      <c r="BBQ38" s="2854"/>
      <c r="BBR38" s="2854"/>
      <c r="BBS38" s="2854"/>
      <c r="BBT38" s="2854"/>
      <c r="BBU38" s="2854"/>
      <c r="BBV38" s="2854"/>
      <c r="BBW38" s="2854"/>
      <c r="BBX38" s="2854"/>
      <c r="BBY38" s="2854"/>
      <c r="BBZ38" s="2854"/>
      <c r="BCA38" s="2854"/>
      <c r="BCB38" s="2854"/>
      <c r="BCC38" s="2854"/>
      <c r="BCD38" s="2854"/>
      <c r="BCE38" s="2854"/>
      <c r="BCF38" s="2854"/>
      <c r="BCG38" s="2854"/>
      <c r="BCH38" s="2854"/>
      <c r="BCI38" s="2854"/>
      <c r="BCJ38" s="2854"/>
      <c r="BCK38" s="2854"/>
      <c r="BCL38" s="2854"/>
      <c r="BCM38" s="2854"/>
      <c r="BCN38" s="2854"/>
      <c r="BCO38" s="2854"/>
      <c r="BCP38" s="2854"/>
      <c r="BCQ38" s="2854"/>
      <c r="BCR38" s="2854"/>
      <c r="BCS38" s="2854"/>
      <c r="BCT38" s="2854"/>
      <c r="BCU38" s="2854"/>
      <c r="BCV38" s="2854"/>
      <c r="BCW38" s="2854"/>
      <c r="BCX38" s="2854"/>
      <c r="BCY38" s="2854"/>
      <c r="BCZ38" s="2854"/>
      <c r="BDA38" s="2854"/>
      <c r="BDB38" s="2854"/>
      <c r="BDC38" s="2854"/>
      <c r="BDD38" s="2854"/>
      <c r="BDE38" s="2854"/>
      <c r="BDF38" s="2854"/>
      <c r="BDG38" s="2854"/>
      <c r="BDH38" s="2854"/>
      <c r="BDI38" s="2854"/>
      <c r="BDJ38" s="2854"/>
      <c r="BDK38" s="2854"/>
      <c r="BDL38" s="2854"/>
      <c r="BDM38" s="2854"/>
      <c r="BDN38" s="2854"/>
      <c r="BDO38" s="2854"/>
      <c r="BDP38" s="2854"/>
      <c r="BDQ38" s="2854"/>
      <c r="BDR38" s="2854"/>
      <c r="BDS38" s="2854"/>
      <c r="BDT38" s="2854"/>
      <c r="BDU38" s="2854"/>
      <c r="BDV38" s="2854"/>
      <c r="BDW38" s="2854"/>
      <c r="BDX38" s="2854"/>
      <c r="BDY38" s="2854"/>
      <c r="BDZ38" s="2854"/>
      <c r="BEA38" s="2854"/>
      <c r="BEB38" s="2854"/>
      <c r="BEC38" s="2854"/>
      <c r="BED38" s="2854"/>
      <c r="BEE38" s="2854"/>
      <c r="BEF38" s="2854"/>
      <c r="BEG38" s="2854"/>
      <c r="BEH38" s="2854"/>
      <c r="BEI38" s="2854"/>
      <c r="BEJ38" s="2854"/>
      <c r="BEK38" s="2854"/>
      <c r="BEL38" s="2854"/>
      <c r="BEM38" s="2854"/>
      <c r="BEN38" s="2854"/>
      <c r="BEO38" s="2854"/>
      <c r="BEP38" s="2854"/>
      <c r="BEQ38" s="2854"/>
      <c r="BER38" s="2854"/>
      <c r="BES38" s="2854"/>
      <c r="BET38" s="2854"/>
      <c r="BEU38" s="2854"/>
      <c r="BEV38" s="2854"/>
      <c r="BEW38" s="2854"/>
      <c r="BEX38" s="2854"/>
      <c r="BEY38" s="2854"/>
      <c r="BEZ38" s="2854"/>
      <c r="BFA38" s="2854"/>
      <c r="BFB38" s="2854"/>
      <c r="BFC38" s="2854"/>
      <c r="BFD38" s="2854"/>
      <c r="BFE38" s="2854"/>
      <c r="BFF38" s="2854"/>
      <c r="BFG38" s="2854"/>
      <c r="BFH38" s="2854"/>
      <c r="BFI38" s="2854"/>
      <c r="BFJ38" s="2854"/>
      <c r="BFK38" s="2854"/>
      <c r="BFL38" s="2854"/>
      <c r="BFM38" s="2854"/>
      <c r="BFN38" s="2854"/>
      <c r="BFO38" s="2854"/>
      <c r="BFP38" s="2854"/>
      <c r="BFQ38" s="2854"/>
      <c r="BFR38" s="2854"/>
      <c r="BFS38" s="2854"/>
      <c r="BFT38" s="2854"/>
      <c r="BFU38" s="2854"/>
      <c r="BFV38" s="2854"/>
      <c r="BFW38" s="2854"/>
      <c r="BFX38" s="2854"/>
      <c r="BFY38" s="2854"/>
      <c r="BFZ38" s="2854"/>
      <c r="BGA38" s="2854"/>
      <c r="BGB38" s="2854"/>
      <c r="BGC38" s="2854"/>
      <c r="BGD38" s="2854"/>
      <c r="BGE38" s="2854"/>
      <c r="BGF38" s="2854"/>
      <c r="BGG38" s="2854"/>
      <c r="BGH38" s="2854"/>
      <c r="BGI38" s="2854"/>
      <c r="BGJ38" s="2854"/>
      <c r="BGK38" s="2854"/>
      <c r="BGL38" s="2854"/>
      <c r="BGM38" s="2854"/>
      <c r="BGN38" s="2854"/>
      <c r="BGO38" s="2854"/>
      <c r="BGP38" s="2854"/>
      <c r="BGQ38" s="2854"/>
      <c r="BGR38" s="2854"/>
      <c r="BGS38" s="2854"/>
      <c r="BGT38" s="2854"/>
      <c r="BGU38" s="2854"/>
      <c r="BGV38" s="2854"/>
      <c r="BGW38" s="2854"/>
      <c r="BGX38" s="2854"/>
      <c r="BGY38" s="2854"/>
      <c r="BGZ38" s="2854"/>
      <c r="BHA38" s="2854"/>
      <c r="BHB38" s="2854"/>
      <c r="BHC38" s="2854"/>
      <c r="BHD38" s="2854"/>
      <c r="BHE38" s="2854"/>
      <c r="BHF38" s="2854"/>
      <c r="BHG38" s="2854"/>
      <c r="BHH38" s="2854"/>
      <c r="BHI38" s="2854"/>
      <c r="BHJ38" s="2854"/>
      <c r="BHK38" s="2854"/>
      <c r="BHL38" s="2854"/>
      <c r="BHM38" s="2854"/>
      <c r="BHN38" s="2854"/>
      <c r="BHO38" s="2854"/>
      <c r="BHP38" s="2854"/>
      <c r="BHQ38" s="2854"/>
      <c r="BHR38" s="2854"/>
      <c r="BHS38" s="2854"/>
      <c r="BHT38" s="2854"/>
      <c r="BHU38" s="2854"/>
      <c r="BHV38" s="2854"/>
      <c r="BHW38" s="2854"/>
      <c r="BHX38" s="2854"/>
      <c r="BHY38" s="2854"/>
      <c r="BHZ38" s="2854"/>
      <c r="BIA38" s="2854"/>
      <c r="BIB38" s="2854"/>
      <c r="BIC38" s="2854"/>
      <c r="BID38" s="2854"/>
      <c r="BIE38" s="2854"/>
      <c r="BIF38" s="2854"/>
      <c r="BIG38" s="2854"/>
      <c r="BIH38" s="2854"/>
      <c r="BII38" s="2854"/>
      <c r="BIJ38" s="2854"/>
      <c r="BIK38" s="2854"/>
      <c r="BIL38" s="2854"/>
      <c r="BIM38" s="2854"/>
      <c r="BIN38" s="2854"/>
      <c r="BIO38" s="2854"/>
      <c r="BIP38" s="2854"/>
      <c r="BIQ38" s="2854"/>
      <c r="BIR38" s="2854"/>
      <c r="BIS38" s="2854"/>
      <c r="BIT38" s="2854"/>
      <c r="BIU38" s="2854"/>
      <c r="BIV38" s="2854"/>
      <c r="BIW38" s="2854"/>
      <c r="BIX38" s="2854"/>
      <c r="BIY38" s="2854"/>
      <c r="BIZ38" s="2854"/>
      <c r="BJA38" s="2854"/>
      <c r="BJB38" s="2854"/>
      <c r="BJC38" s="2854"/>
      <c r="BJD38" s="2854"/>
      <c r="BJE38" s="2854"/>
      <c r="BJF38" s="2854"/>
      <c r="BJG38" s="2854"/>
      <c r="BJH38" s="2854"/>
      <c r="BJI38" s="2854"/>
      <c r="BJJ38" s="2854"/>
      <c r="BJK38" s="2854"/>
      <c r="BJL38" s="2854"/>
      <c r="BJM38" s="2854"/>
      <c r="BJN38" s="2854"/>
      <c r="BJO38" s="2854"/>
      <c r="BJP38" s="2854"/>
      <c r="BJQ38" s="2854"/>
      <c r="BJR38" s="2854"/>
      <c r="BJS38" s="2854"/>
      <c r="BJT38" s="2854"/>
      <c r="BJU38" s="2854"/>
      <c r="BJV38" s="2854"/>
      <c r="BJW38" s="2854"/>
      <c r="BJX38" s="2854"/>
      <c r="BJY38" s="2854"/>
      <c r="BJZ38" s="2854"/>
      <c r="BKA38" s="2854"/>
      <c r="BKB38" s="2854"/>
      <c r="BKC38" s="2854"/>
      <c r="BKD38" s="2854"/>
      <c r="BKE38" s="2854"/>
      <c r="BKF38" s="2854"/>
      <c r="BKG38" s="2854"/>
      <c r="BKH38" s="2854"/>
      <c r="BKI38" s="2854"/>
      <c r="BKJ38" s="2854"/>
      <c r="BKK38" s="2854"/>
      <c r="BKL38" s="2854"/>
      <c r="BKM38" s="2854"/>
      <c r="BKN38" s="2854"/>
      <c r="BKO38" s="2854"/>
      <c r="BKP38" s="2854"/>
      <c r="BKQ38" s="2854"/>
      <c r="BKR38" s="2854"/>
      <c r="BKS38" s="2854"/>
      <c r="BKT38" s="2854"/>
      <c r="BKU38" s="2854"/>
      <c r="BKV38" s="2854"/>
      <c r="BKW38" s="2854"/>
      <c r="BKX38" s="2854"/>
      <c r="BKY38" s="2854"/>
      <c r="BKZ38" s="2854"/>
      <c r="BLA38" s="2854"/>
      <c r="BLB38" s="2854"/>
      <c r="BLC38" s="2854"/>
      <c r="BLD38" s="2854"/>
      <c r="BLE38" s="2854"/>
      <c r="BLF38" s="2854"/>
      <c r="BLG38" s="2854"/>
      <c r="BLH38" s="2854"/>
      <c r="BLI38" s="2854"/>
      <c r="BLJ38" s="2854"/>
      <c r="BLK38" s="2854"/>
      <c r="BLL38" s="2854"/>
      <c r="BLM38" s="2854"/>
      <c r="BLN38" s="2854"/>
      <c r="BLO38" s="2854"/>
      <c r="BLP38" s="2854"/>
      <c r="BLQ38" s="2854"/>
      <c r="BLR38" s="2854"/>
      <c r="BLS38" s="2854"/>
      <c r="BLT38" s="2854"/>
      <c r="BLU38" s="2854"/>
      <c r="BLV38" s="2854"/>
      <c r="BLW38" s="2854"/>
      <c r="BLX38" s="2854"/>
      <c r="BLY38" s="2854"/>
      <c r="BLZ38" s="2854"/>
      <c r="BMA38" s="2854"/>
      <c r="BMB38" s="2854"/>
      <c r="BMC38" s="2854"/>
      <c r="BMD38" s="2854"/>
      <c r="BME38" s="2854"/>
      <c r="BMF38" s="2854"/>
      <c r="BMG38" s="2854"/>
      <c r="BMH38" s="2854"/>
      <c r="BMI38" s="2854"/>
      <c r="BMJ38" s="2854"/>
      <c r="BMK38" s="2854"/>
      <c r="BML38" s="2854"/>
      <c r="BMM38" s="2854"/>
      <c r="BMN38" s="2854"/>
      <c r="BMO38" s="2854"/>
      <c r="BMP38" s="2854"/>
      <c r="BMQ38" s="2854"/>
      <c r="BMR38" s="2854"/>
      <c r="BMS38" s="2854"/>
      <c r="BMT38" s="2854"/>
      <c r="BMU38" s="2854"/>
      <c r="BMV38" s="2854"/>
      <c r="BMW38" s="2854"/>
      <c r="BMX38" s="2854"/>
      <c r="BMY38" s="2854"/>
      <c r="BMZ38" s="2854"/>
      <c r="BNA38" s="2854"/>
      <c r="BNB38" s="2854"/>
      <c r="BNC38" s="2854"/>
      <c r="BND38" s="2854"/>
      <c r="BNE38" s="2854"/>
      <c r="BNF38" s="2854"/>
      <c r="BNG38" s="2854"/>
      <c r="BNH38" s="2854"/>
      <c r="BNI38" s="2854"/>
      <c r="BNJ38" s="2854"/>
      <c r="BNK38" s="2854"/>
      <c r="BNL38" s="2854"/>
      <c r="BNM38" s="2854"/>
      <c r="BNN38" s="2854"/>
      <c r="BNO38" s="2854"/>
      <c r="BNP38" s="2854"/>
      <c r="BNQ38" s="2854"/>
      <c r="BNR38" s="2854"/>
      <c r="BNS38" s="2854"/>
      <c r="BNT38" s="2854"/>
      <c r="BNU38" s="2854"/>
      <c r="BNV38" s="2854"/>
      <c r="BNW38" s="2854"/>
      <c r="BNX38" s="2854"/>
      <c r="BNY38" s="2854"/>
      <c r="BNZ38" s="2854"/>
      <c r="BOA38" s="2854"/>
      <c r="BOB38" s="2854"/>
      <c r="BOC38" s="2854"/>
      <c r="BOD38" s="2854"/>
      <c r="BOE38" s="2854"/>
      <c r="BOF38" s="2854"/>
      <c r="BOG38" s="2854"/>
      <c r="BOH38" s="2854"/>
      <c r="BOI38" s="2854"/>
      <c r="BOJ38" s="2854"/>
      <c r="BOK38" s="2854"/>
      <c r="BOL38" s="2854"/>
      <c r="BOM38" s="2854"/>
      <c r="BON38" s="2854"/>
      <c r="BOO38" s="2854"/>
      <c r="BOP38" s="2854"/>
      <c r="BOQ38" s="2854"/>
      <c r="BOR38" s="2854"/>
      <c r="BOS38" s="2854"/>
      <c r="BOT38" s="2854"/>
      <c r="BOU38" s="2854"/>
      <c r="BOV38" s="2854"/>
      <c r="BOW38" s="2854"/>
      <c r="BOX38" s="2854"/>
      <c r="BOY38" s="2854"/>
      <c r="BOZ38" s="2854"/>
      <c r="BPA38" s="2854"/>
      <c r="BPB38" s="2854"/>
      <c r="BPC38" s="2854"/>
      <c r="BPD38" s="2854"/>
      <c r="BPE38" s="2854"/>
      <c r="BPF38" s="2854"/>
      <c r="BPG38" s="2854"/>
      <c r="BPH38" s="2854"/>
      <c r="BPI38" s="2854"/>
      <c r="BPJ38" s="2854"/>
      <c r="BPK38" s="2854"/>
      <c r="BPL38" s="2854"/>
      <c r="BPM38" s="2854"/>
      <c r="BPN38" s="2854"/>
      <c r="BPO38" s="2854"/>
      <c r="BPP38" s="2854"/>
      <c r="BPQ38" s="2854"/>
      <c r="BPR38" s="2854"/>
      <c r="BPS38" s="2854"/>
      <c r="BPT38" s="2854"/>
      <c r="BPU38" s="2854"/>
      <c r="BPV38" s="2854"/>
      <c r="BPW38" s="2854"/>
      <c r="BPX38" s="2854"/>
      <c r="BPY38" s="2854"/>
      <c r="BPZ38" s="2854"/>
      <c r="BQA38" s="2854"/>
      <c r="BQB38" s="2854"/>
      <c r="BQC38" s="2854"/>
      <c r="BQD38" s="2854"/>
      <c r="BQE38" s="2854"/>
      <c r="BQF38" s="2854"/>
      <c r="BQG38" s="2854"/>
      <c r="BQH38" s="2854"/>
      <c r="BQI38" s="2854"/>
      <c r="BQJ38" s="2854"/>
      <c r="BQK38" s="2854"/>
      <c r="BQL38" s="2854"/>
      <c r="BQM38" s="2854"/>
      <c r="BQN38" s="2854"/>
      <c r="BQO38" s="2854"/>
      <c r="BQP38" s="2854"/>
      <c r="BQQ38" s="2854"/>
      <c r="BQR38" s="2854"/>
      <c r="BQS38" s="2854"/>
      <c r="BQT38" s="2854"/>
      <c r="BQU38" s="2854"/>
      <c r="BQV38" s="2854"/>
      <c r="BQW38" s="2854"/>
      <c r="BQX38" s="2854"/>
      <c r="BQY38" s="2854"/>
      <c r="BQZ38" s="2854"/>
      <c r="BRA38" s="2854"/>
      <c r="BRB38" s="2854"/>
      <c r="BRC38" s="2854"/>
      <c r="BRD38" s="2854"/>
      <c r="BRE38" s="2854"/>
      <c r="BRF38" s="2854"/>
      <c r="BRG38" s="2854"/>
      <c r="BRH38" s="2854"/>
      <c r="BRI38" s="2854"/>
      <c r="BRJ38" s="2854"/>
      <c r="BRK38" s="2854"/>
      <c r="BRL38" s="2854"/>
      <c r="BRM38" s="2854"/>
      <c r="BRN38" s="2854"/>
      <c r="BRO38" s="2854"/>
      <c r="BRP38" s="2854"/>
      <c r="BRQ38" s="2854"/>
      <c r="BRR38" s="2854"/>
      <c r="BRS38" s="2854"/>
      <c r="BRT38" s="2854"/>
      <c r="BRU38" s="2854"/>
      <c r="BRV38" s="2854"/>
      <c r="BRW38" s="2854"/>
      <c r="BRX38" s="2854"/>
      <c r="BRY38" s="2854"/>
      <c r="BRZ38" s="2854"/>
      <c r="BSA38" s="2854"/>
      <c r="BSB38" s="2854"/>
      <c r="BSC38" s="2854"/>
      <c r="BSD38" s="2854"/>
      <c r="BSE38" s="2854"/>
      <c r="BSF38" s="2854"/>
      <c r="BSG38" s="2854"/>
      <c r="BSH38" s="2854"/>
      <c r="BSI38" s="2854"/>
      <c r="BSJ38" s="2854"/>
      <c r="BSK38" s="2854"/>
      <c r="BSL38" s="2854"/>
      <c r="BSM38" s="2854"/>
      <c r="BSN38" s="2854"/>
      <c r="BSO38" s="2854"/>
      <c r="BSP38" s="2854"/>
      <c r="BSQ38" s="2854"/>
      <c r="BSR38" s="2854"/>
      <c r="BSS38" s="2854"/>
      <c r="BST38" s="2854"/>
      <c r="BSU38" s="2854"/>
      <c r="BSV38" s="2854"/>
      <c r="BSW38" s="2854"/>
      <c r="BSX38" s="2854"/>
      <c r="BSY38" s="2854"/>
      <c r="BSZ38" s="2854"/>
      <c r="BTA38" s="2854"/>
      <c r="BTB38" s="2854"/>
      <c r="BTC38" s="2854"/>
      <c r="BTD38" s="2854"/>
      <c r="BTE38" s="2854"/>
      <c r="BTF38" s="2854"/>
      <c r="BTG38" s="2854"/>
      <c r="BTH38" s="2854"/>
      <c r="BTI38" s="2854"/>
      <c r="BTJ38" s="2854"/>
      <c r="BTK38" s="2854"/>
      <c r="BTL38" s="2854"/>
      <c r="BTM38" s="2854"/>
      <c r="BTN38" s="2854"/>
      <c r="BTO38" s="2854"/>
      <c r="BTP38" s="2854"/>
      <c r="BTQ38" s="2854"/>
      <c r="BTR38" s="2854"/>
      <c r="BTS38" s="2854"/>
      <c r="BTT38" s="2854"/>
      <c r="BTU38" s="2854"/>
      <c r="BTV38" s="2854"/>
      <c r="BTW38" s="2854"/>
      <c r="BTX38" s="2854"/>
      <c r="BTY38" s="2854"/>
      <c r="BTZ38" s="2854"/>
      <c r="BUA38" s="2854"/>
      <c r="BUB38" s="2854"/>
      <c r="BUC38" s="2854"/>
      <c r="BUD38" s="2854"/>
      <c r="BUE38" s="2854"/>
      <c r="BUF38" s="2854"/>
      <c r="BUG38" s="2854"/>
      <c r="BUH38" s="2854"/>
      <c r="BUI38" s="2854"/>
      <c r="BUJ38" s="2854"/>
      <c r="BUK38" s="2854"/>
      <c r="BUL38" s="2854"/>
      <c r="BUM38" s="2854"/>
      <c r="BUN38" s="2854"/>
      <c r="BUO38" s="2854"/>
      <c r="BUP38" s="2854"/>
      <c r="BUQ38" s="2854"/>
      <c r="BUR38" s="2854"/>
      <c r="BUS38" s="2854"/>
      <c r="BUT38" s="2854"/>
      <c r="BUU38" s="2854"/>
      <c r="BUV38" s="2854"/>
      <c r="BUW38" s="2854"/>
      <c r="BUX38" s="2854"/>
      <c r="BUY38" s="2854"/>
      <c r="BUZ38" s="2854"/>
      <c r="BVA38" s="2854"/>
      <c r="BVB38" s="2854"/>
      <c r="BVC38" s="2854"/>
      <c r="BVD38" s="2854"/>
      <c r="BVE38" s="2854"/>
      <c r="BVF38" s="2854"/>
      <c r="BVG38" s="2854"/>
      <c r="BVH38" s="2854"/>
      <c r="BVI38" s="2854"/>
      <c r="BVJ38" s="2854"/>
      <c r="BVK38" s="2854"/>
      <c r="BVL38" s="2854"/>
      <c r="BVM38" s="2854"/>
      <c r="BVN38" s="2854"/>
      <c r="BVO38" s="2854"/>
      <c r="BVP38" s="2854"/>
      <c r="BVQ38" s="2854"/>
      <c r="BVR38" s="2854"/>
      <c r="BVS38" s="2854"/>
      <c r="BVT38" s="2854"/>
      <c r="BVU38" s="2854"/>
      <c r="BVV38" s="2854"/>
      <c r="BVW38" s="2854"/>
      <c r="BVX38" s="2854"/>
      <c r="BVY38" s="2854"/>
      <c r="BVZ38" s="2854"/>
      <c r="BWA38" s="2854"/>
      <c r="BWB38" s="2854"/>
      <c r="BWC38" s="2854"/>
      <c r="BWD38" s="2854"/>
      <c r="BWE38" s="2854"/>
      <c r="BWF38" s="2854"/>
      <c r="BWG38" s="2854"/>
      <c r="BWH38" s="2854"/>
      <c r="BWI38" s="2854"/>
      <c r="BWJ38" s="2854"/>
      <c r="BWK38" s="2854"/>
      <c r="BWL38" s="2854"/>
      <c r="BWM38" s="2854"/>
      <c r="BWN38" s="2854"/>
      <c r="BWO38" s="2854"/>
      <c r="BWP38" s="2854"/>
      <c r="BWQ38" s="2854"/>
      <c r="BWR38" s="2854"/>
      <c r="BWS38" s="2854"/>
      <c r="BWT38" s="2854"/>
      <c r="BWU38" s="2854"/>
      <c r="BWV38" s="2854"/>
      <c r="BWW38" s="2854"/>
      <c r="BWX38" s="2854"/>
      <c r="BWY38" s="2854"/>
      <c r="BWZ38" s="2854"/>
      <c r="BXA38" s="2854"/>
      <c r="BXB38" s="2854"/>
      <c r="BXC38" s="2854"/>
      <c r="BXD38" s="2854"/>
      <c r="BXE38" s="2854"/>
      <c r="BXF38" s="2854"/>
      <c r="BXG38" s="2854"/>
      <c r="BXH38" s="2854"/>
      <c r="BXI38" s="2854"/>
      <c r="BXJ38" s="2854"/>
      <c r="BXK38" s="2854"/>
      <c r="BXL38" s="2854"/>
      <c r="BXM38" s="2854"/>
      <c r="BXN38" s="2854"/>
      <c r="BXO38" s="2854"/>
      <c r="BXP38" s="2854"/>
      <c r="BXQ38" s="2854"/>
      <c r="BXR38" s="2854"/>
      <c r="BXS38" s="2854"/>
      <c r="BXT38" s="2854"/>
      <c r="BXU38" s="2854"/>
      <c r="BXV38" s="2854"/>
      <c r="BXW38" s="2854"/>
      <c r="BXX38" s="2854"/>
      <c r="BXY38" s="2854"/>
      <c r="BXZ38" s="2854"/>
      <c r="BYA38" s="2854"/>
      <c r="BYB38" s="2854"/>
      <c r="BYC38" s="2854"/>
      <c r="BYD38" s="2854"/>
      <c r="BYE38" s="2854"/>
      <c r="BYF38" s="2854"/>
      <c r="BYG38" s="2854"/>
      <c r="BYH38" s="2854"/>
      <c r="BYI38" s="2854"/>
      <c r="BYJ38" s="2854"/>
      <c r="BYK38" s="2854"/>
      <c r="BYL38" s="2854"/>
      <c r="BYM38" s="2854"/>
      <c r="BYN38" s="2854"/>
      <c r="BYO38" s="2854"/>
      <c r="BYP38" s="2854"/>
      <c r="BYQ38" s="2854"/>
      <c r="BYR38" s="2854"/>
      <c r="BYS38" s="2854"/>
      <c r="BYT38" s="2854"/>
      <c r="BYU38" s="2854"/>
      <c r="BYV38" s="2854"/>
      <c r="BYW38" s="2854"/>
      <c r="BYX38" s="2854"/>
      <c r="BYY38" s="2854"/>
      <c r="BYZ38" s="2854"/>
      <c r="BZA38" s="2854"/>
      <c r="BZB38" s="2854"/>
      <c r="BZC38" s="2854"/>
      <c r="BZD38" s="2854"/>
      <c r="BZE38" s="2854"/>
      <c r="BZF38" s="2854"/>
      <c r="BZG38" s="2854"/>
      <c r="BZH38" s="2854"/>
      <c r="BZI38" s="2854"/>
      <c r="BZJ38" s="2854"/>
      <c r="BZK38" s="2854"/>
      <c r="BZL38" s="2854"/>
      <c r="BZM38" s="2854"/>
      <c r="BZN38" s="2854"/>
      <c r="BZO38" s="2854"/>
      <c r="BZP38" s="2854"/>
      <c r="BZQ38" s="2854"/>
      <c r="BZR38" s="2854"/>
      <c r="BZS38" s="2854"/>
      <c r="BZT38" s="2854"/>
      <c r="BZU38" s="2854"/>
      <c r="BZV38" s="2854"/>
      <c r="BZW38" s="2854"/>
      <c r="BZX38" s="2854"/>
      <c r="BZY38" s="2854"/>
      <c r="BZZ38" s="2854"/>
      <c r="CAA38" s="2854"/>
      <c r="CAB38" s="2854"/>
      <c r="CAC38" s="2854"/>
      <c r="CAD38" s="2854"/>
      <c r="CAE38" s="2854"/>
      <c r="CAF38" s="2854"/>
      <c r="CAG38" s="2854"/>
      <c r="CAH38" s="2854"/>
      <c r="CAI38" s="2854"/>
      <c r="CAJ38" s="2854"/>
      <c r="CAK38" s="2854"/>
      <c r="CAL38" s="2854"/>
      <c r="CAM38" s="2854"/>
      <c r="CAN38" s="2854"/>
      <c r="CAO38" s="2854"/>
      <c r="CAP38" s="2854"/>
      <c r="CAQ38" s="2854"/>
      <c r="CAR38" s="2854"/>
      <c r="CAS38" s="2854"/>
      <c r="CAT38" s="2854"/>
      <c r="CAU38" s="2854"/>
      <c r="CAV38" s="2854"/>
      <c r="CAW38" s="2854"/>
      <c r="CAX38" s="2854"/>
      <c r="CAY38" s="2854"/>
      <c r="CAZ38" s="2854"/>
      <c r="CBA38" s="2854"/>
      <c r="CBB38" s="2854"/>
      <c r="CBC38" s="2854"/>
      <c r="CBD38" s="2854"/>
      <c r="CBE38" s="2854"/>
      <c r="CBF38" s="2854"/>
      <c r="CBG38" s="2854"/>
      <c r="CBH38" s="2854"/>
      <c r="CBI38" s="2854"/>
      <c r="CBJ38" s="2854"/>
      <c r="CBK38" s="2854"/>
      <c r="CBL38" s="2854"/>
      <c r="CBM38" s="2854"/>
      <c r="CBN38" s="2854"/>
      <c r="CBO38" s="2854"/>
      <c r="CBP38" s="2854"/>
      <c r="CBQ38" s="2854"/>
      <c r="CBR38" s="2854"/>
      <c r="CBS38" s="2854"/>
      <c r="CBT38" s="2854"/>
      <c r="CBU38" s="2854"/>
      <c r="CBV38" s="2854"/>
      <c r="CBW38" s="2854"/>
      <c r="CBX38" s="2854"/>
      <c r="CBY38" s="2854"/>
      <c r="CBZ38" s="2854"/>
      <c r="CCA38" s="2854"/>
      <c r="CCB38" s="2854"/>
      <c r="CCC38" s="2854"/>
      <c r="CCD38" s="2854"/>
      <c r="CCE38" s="2854"/>
      <c r="CCF38" s="2854"/>
      <c r="CCG38" s="2854"/>
      <c r="CCH38" s="2854"/>
      <c r="CCI38" s="2854"/>
      <c r="CCJ38" s="2854"/>
      <c r="CCK38" s="2854"/>
      <c r="CCL38" s="2854"/>
      <c r="CCM38" s="2854"/>
      <c r="CCN38" s="2854"/>
      <c r="CCO38" s="2854"/>
      <c r="CCP38" s="2854"/>
      <c r="CCQ38" s="2854"/>
      <c r="CCR38" s="2854"/>
      <c r="CCS38" s="2854"/>
      <c r="CCT38" s="2854"/>
      <c r="CCU38" s="2854"/>
      <c r="CCV38" s="2854"/>
      <c r="CCW38" s="2854"/>
      <c r="CCX38" s="2854"/>
      <c r="CCY38" s="2854"/>
      <c r="CCZ38" s="2854"/>
      <c r="CDA38" s="2854"/>
      <c r="CDB38" s="2854"/>
      <c r="CDC38" s="2854"/>
      <c r="CDD38" s="2854"/>
      <c r="CDE38" s="2854"/>
      <c r="CDF38" s="2854"/>
      <c r="CDG38" s="2854"/>
      <c r="CDH38" s="2854"/>
      <c r="CDI38" s="2854"/>
      <c r="CDJ38" s="2854"/>
      <c r="CDK38" s="2854"/>
      <c r="CDL38" s="2854"/>
      <c r="CDM38" s="2854"/>
      <c r="CDN38" s="2854"/>
      <c r="CDO38" s="2854"/>
      <c r="CDP38" s="2854"/>
      <c r="CDQ38" s="2854"/>
      <c r="CDR38" s="2854"/>
      <c r="CDS38" s="2854"/>
      <c r="CDT38" s="2854"/>
      <c r="CDU38" s="2854"/>
      <c r="CDV38" s="2854"/>
      <c r="CDW38" s="2854"/>
      <c r="CDX38" s="2854"/>
      <c r="CDY38" s="2854"/>
      <c r="CDZ38" s="2854"/>
      <c r="CEA38" s="2854"/>
      <c r="CEB38" s="2854"/>
      <c r="CEC38" s="2854"/>
      <c r="CED38" s="2854"/>
      <c r="CEE38" s="2854"/>
      <c r="CEF38" s="2854"/>
      <c r="CEG38" s="2854"/>
      <c r="CEH38" s="2854"/>
      <c r="CEI38" s="2854"/>
      <c r="CEJ38" s="2854"/>
      <c r="CEK38" s="2854"/>
      <c r="CEL38" s="2854"/>
      <c r="CEM38" s="2854"/>
      <c r="CEN38" s="2854"/>
      <c r="CEO38" s="2854"/>
      <c r="CEP38" s="2854"/>
      <c r="CEQ38" s="2854"/>
      <c r="CER38" s="2854"/>
      <c r="CES38" s="2854"/>
      <c r="CET38" s="2854"/>
      <c r="CEU38" s="2854"/>
      <c r="CEV38" s="2854"/>
      <c r="CEW38" s="2854"/>
      <c r="CEX38" s="2854"/>
      <c r="CEY38" s="2854"/>
      <c r="CEZ38" s="2854"/>
      <c r="CFA38" s="2854"/>
      <c r="CFB38" s="2854"/>
      <c r="CFC38" s="2854"/>
      <c r="CFD38" s="2854"/>
      <c r="CFE38" s="2854"/>
      <c r="CFF38" s="2854"/>
      <c r="CFG38" s="2854"/>
      <c r="CFH38" s="2854"/>
      <c r="CFI38" s="2854"/>
      <c r="CFJ38" s="2854"/>
      <c r="CFK38" s="2854"/>
      <c r="CFL38" s="2854"/>
      <c r="CFM38" s="2854"/>
      <c r="CFN38" s="2854"/>
      <c r="CFO38" s="2854"/>
      <c r="CFP38" s="2854"/>
      <c r="CFQ38" s="2854"/>
      <c r="CFR38" s="2854"/>
      <c r="CFS38" s="2854"/>
      <c r="CFT38" s="2854"/>
      <c r="CFU38" s="2854"/>
      <c r="CFV38" s="2854"/>
      <c r="CFW38" s="2854"/>
      <c r="CFX38" s="2854"/>
      <c r="CFY38" s="2854"/>
      <c r="CFZ38" s="2854"/>
      <c r="CGA38" s="2854"/>
      <c r="CGB38" s="2854"/>
      <c r="CGC38" s="2854"/>
      <c r="CGD38" s="2854"/>
      <c r="CGE38" s="2854"/>
      <c r="CGF38" s="2854"/>
      <c r="CGG38" s="2854"/>
      <c r="CGH38" s="2854"/>
      <c r="CGI38" s="2854"/>
      <c r="CGJ38" s="2854"/>
      <c r="CGK38" s="2854"/>
      <c r="CGL38" s="2854"/>
      <c r="CGM38" s="2854"/>
      <c r="CGN38" s="2854"/>
      <c r="CGO38" s="2854"/>
      <c r="CGP38" s="2854"/>
      <c r="CGQ38" s="2854"/>
      <c r="CGR38" s="2854"/>
      <c r="CGS38" s="2854"/>
      <c r="CGT38" s="2854"/>
      <c r="CGU38" s="2854"/>
      <c r="CGV38" s="2854"/>
      <c r="CGW38" s="2854"/>
      <c r="CGX38" s="2854"/>
      <c r="CGY38" s="2854"/>
      <c r="CGZ38" s="2854"/>
      <c r="CHA38" s="2854"/>
      <c r="CHB38" s="2854"/>
      <c r="CHC38" s="2854"/>
      <c r="CHD38" s="2854"/>
      <c r="CHE38" s="2854"/>
      <c r="CHF38" s="2854"/>
      <c r="CHG38" s="2854"/>
      <c r="CHH38" s="2854"/>
      <c r="CHI38" s="2854"/>
      <c r="CHJ38" s="2854"/>
      <c r="CHK38" s="2854"/>
      <c r="CHL38" s="2854"/>
      <c r="CHM38" s="2854"/>
      <c r="CHN38" s="2854"/>
      <c r="CHO38" s="2854"/>
      <c r="CHP38" s="2854"/>
      <c r="CHQ38" s="2854"/>
      <c r="CHR38" s="2854"/>
      <c r="CHS38" s="2854"/>
      <c r="CHT38" s="2854"/>
      <c r="CHU38" s="2854"/>
      <c r="CHV38" s="2854"/>
      <c r="CHW38" s="2854"/>
      <c r="CHX38" s="2854"/>
      <c r="CHY38" s="2854"/>
      <c r="CHZ38" s="2854"/>
      <c r="CIA38" s="2854"/>
      <c r="CIB38" s="2854"/>
      <c r="CIC38" s="2854"/>
      <c r="CID38" s="2854"/>
      <c r="CIE38" s="2854"/>
      <c r="CIF38" s="2854"/>
      <c r="CIG38" s="2854"/>
      <c r="CIH38" s="2854"/>
      <c r="CII38" s="2854"/>
      <c r="CIJ38" s="2854"/>
      <c r="CIK38" s="2854"/>
      <c r="CIL38" s="2854"/>
      <c r="CIM38" s="2854"/>
      <c r="CIN38" s="2854"/>
      <c r="CIO38" s="2854"/>
      <c r="CIP38" s="2854"/>
      <c r="CIQ38" s="2854"/>
      <c r="CIR38" s="2854"/>
      <c r="CIS38" s="2854"/>
      <c r="CIT38" s="2854"/>
      <c r="CIU38" s="2854"/>
      <c r="CIV38" s="2854"/>
      <c r="CIW38" s="2854"/>
      <c r="CIX38" s="2854"/>
      <c r="CIY38" s="2854"/>
      <c r="CIZ38" s="2854"/>
      <c r="CJA38" s="2854"/>
      <c r="CJB38" s="2854"/>
      <c r="CJC38" s="2854"/>
      <c r="CJD38" s="2854"/>
      <c r="CJE38" s="2854"/>
      <c r="CJF38" s="2854"/>
      <c r="CJG38" s="2854"/>
      <c r="CJH38" s="2854"/>
      <c r="CJI38" s="2854"/>
      <c r="CJJ38" s="2854"/>
      <c r="CJK38" s="2854"/>
      <c r="CJL38" s="2854"/>
      <c r="CJM38" s="2854"/>
      <c r="CJN38" s="2854"/>
      <c r="CJO38" s="2854"/>
      <c r="CJP38" s="2854"/>
      <c r="CJQ38" s="2854"/>
      <c r="CJR38" s="2854"/>
      <c r="CJS38" s="2854"/>
      <c r="CJT38" s="2854"/>
      <c r="CJU38" s="2854"/>
      <c r="CJV38" s="2854"/>
      <c r="CJW38" s="2854"/>
      <c r="CJX38" s="2854"/>
      <c r="CJY38" s="2854"/>
      <c r="CJZ38" s="2854"/>
      <c r="CKA38" s="2854"/>
      <c r="CKB38" s="2854"/>
      <c r="CKC38" s="2854"/>
      <c r="CKD38" s="2854"/>
      <c r="CKE38" s="2854"/>
      <c r="CKF38" s="2854"/>
      <c r="CKG38" s="2854"/>
      <c r="CKH38" s="2854"/>
      <c r="CKI38" s="2854"/>
      <c r="CKJ38" s="2854"/>
      <c r="CKK38" s="2854"/>
      <c r="CKL38" s="2854"/>
      <c r="CKM38" s="2854"/>
      <c r="CKN38" s="2854"/>
      <c r="CKO38" s="2854"/>
      <c r="CKP38" s="2854"/>
      <c r="CKQ38" s="2854"/>
      <c r="CKR38" s="2854"/>
      <c r="CKS38" s="2854"/>
      <c r="CKT38" s="2854"/>
      <c r="CKU38" s="2854"/>
      <c r="CKV38" s="2854"/>
      <c r="CKW38" s="2854"/>
      <c r="CKX38" s="2854"/>
      <c r="CKY38" s="2854"/>
      <c r="CKZ38" s="2854"/>
      <c r="CLA38" s="2854"/>
      <c r="CLB38" s="2854"/>
      <c r="CLC38" s="2854"/>
      <c r="CLD38" s="2854"/>
      <c r="CLE38" s="2854"/>
      <c r="CLF38" s="2854"/>
      <c r="CLG38" s="2854"/>
      <c r="CLH38" s="2854"/>
      <c r="CLI38" s="2854"/>
      <c r="CLJ38" s="2854"/>
      <c r="CLK38" s="2854"/>
      <c r="CLL38" s="2854"/>
      <c r="CLM38" s="2854"/>
      <c r="CLN38" s="2854"/>
      <c r="CLO38" s="2854"/>
      <c r="CLP38" s="2854"/>
      <c r="CLQ38" s="2854"/>
      <c r="CLR38" s="2854"/>
      <c r="CLS38" s="2854"/>
      <c r="CLT38" s="2854"/>
      <c r="CLU38" s="2854"/>
      <c r="CLV38" s="2854"/>
      <c r="CLW38" s="2854"/>
    </row>
    <row r="39" spans="1:2363" ht="15" customHeight="1" x14ac:dyDescent="0.25">
      <c r="A39" s="3877"/>
      <c r="B39" s="3878"/>
      <c r="C39" s="3369">
        <v>3</v>
      </c>
      <c r="D39" s="3309" t="s">
        <v>664</v>
      </c>
      <c r="E39" s="3373"/>
      <c r="F39" s="1857"/>
      <c r="G39" s="2613"/>
      <c r="H39" s="2109"/>
      <c r="I39" s="1817"/>
      <c r="J39" s="2249"/>
      <c r="K39" s="2109"/>
      <c r="L39" s="1817"/>
      <c r="M39" s="1904"/>
      <c r="N39" s="1799">
        <f>F39+I39+L39</f>
        <v>0</v>
      </c>
      <c r="O39" s="2281">
        <f>F39+I39</f>
        <v>0</v>
      </c>
      <c r="P39" s="2295"/>
      <c r="Q39" s="2249"/>
      <c r="R39" s="2720"/>
      <c r="S39" s="2720"/>
      <c r="T39" s="3526"/>
      <c r="U39" s="3527"/>
      <c r="V39" s="2603">
        <f>+P39+Q39+R39+S39+T39+U39</f>
        <v>0</v>
      </c>
      <c r="W39" s="2366"/>
      <c r="X39" s="2927"/>
      <c r="Y39" s="3009"/>
      <c r="Z39" s="2342"/>
      <c r="AA39" s="1894">
        <v>0</v>
      </c>
      <c r="AB39" s="1894">
        <v>0</v>
      </c>
      <c r="AC39" s="2682">
        <f t="shared" si="58"/>
        <v>0</v>
      </c>
      <c r="AD39" s="1897">
        <v>0</v>
      </c>
      <c r="AE39" s="1897">
        <v>0</v>
      </c>
      <c r="AF39" s="1893">
        <v>0</v>
      </c>
      <c r="AG39" s="2870"/>
      <c r="AH39" s="1993">
        <f>AD39+AF39+AE39+AG39</f>
        <v>0</v>
      </c>
      <c r="AI39" s="1889">
        <v>0</v>
      </c>
      <c r="AJ39" s="1848">
        <v>0</v>
      </c>
      <c r="AK39" s="2454">
        <f t="shared" si="74"/>
        <v>0</v>
      </c>
      <c r="AL39" s="2514">
        <v>0</v>
      </c>
      <c r="AM39" s="2514">
        <v>0</v>
      </c>
      <c r="AN39" s="2696">
        <f>+AL39-AM39</f>
        <v>0</v>
      </c>
      <c r="AO39" s="2181">
        <v>0</v>
      </c>
      <c r="AP39" s="2166">
        <v>0</v>
      </c>
      <c r="AQ39" s="2166">
        <v>0</v>
      </c>
      <c r="AR39" s="2166"/>
      <c r="AS39" s="2157">
        <f t="shared" si="65"/>
        <v>0</v>
      </c>
      <c r="AT39" s="2504">
        <v>0</v>
      </c>
      <c r="AU39" s="2158">
        <v>0</v>
      </c>
      <c r="AV39" s="2168">
        <v>0</v>
      </c>
      <c r="AW39" s="2159">
        <f>AU39+AV39</f>
        <v>0</v>
      </c>
      <c r="AX39" s="2514">
        <v>0</v>
      </c>
      <c r="AY39" s="2514">
        <v>0</v>
      </c>
      <c r="AZ39" s="2696">
        <f>+AX39-AY39</f>
        <v>0</v>
      </c>
      <c r="BA39" s="3296">
        <v>0</v>
      </c>
      <c r="BB39" s="3086">
        <v>0</v>
      </c>
      <c r="BC39" s="3086">
        <v>0</v>
      </c>
      <c r="BD39" s="3086"/>
      <c r="BE39" s="3087">
        <f t="shared" si="60"/>
        <v>0</v>
      </c>
      <c r="BF39" s="2504">
        <v>0</v>
      </c>
      <c r="BG39" s="2158">
        <v>0</v>
      </c>
      <c r="BH39" s="1835">
        <v>0</v>
      </c>
      <c r="BI39" s="2159">
        <f>BG39+BH39</f>
        <v>0</v>
      </c>
      <c r="BJ39" s="2048">
        <f>+Z39-AX39</f>
        <v>0</v>
      </c>
      <c r="BK39" s="1851">
        <f>+Z39-AY39</f>
        <v>0</v>
      </c>
      <c r="BL39" s="1884">
        <f t="shared" si="67"/>
        <v>0</v>
      </c>
      <c r="BM39" s="2611">
        <v>0</v>
      </c>
      <c r="BN39" s="3441">
        <v>0</v>
      </c>
      <c r="BO39" s="3444">
        <f>+AQ39+AF39</f>
        <v>0</v>
      </c>
      <c r="BP39" s="1893">
        <v>0</v>
      </c>
      <c r="BQ39" s="3455">
        <f>BM39+BN39+BO39+BP39</f>
        <v>0</v>
      </c>
      <c r="BR39" s="3457">
        <v>0</v>
      </c>
      <c r="BS39" s="1858">
        <v>0</v>
      </c>
      <c r="BT39" s="3449">
        <f>+BR39+BS39</f>
        <v>0</v>
      </c>
      <c r="BU39" s="3528"/>
      <c r="BV39" s="3058"/>
      <c r="BW39" s="3058"/>
      <c r="BX39" s="3058"/>
      <c r="BY39" s="3147"/>
      <c r="BZ39" s="3147"/>
      <c r="CA39" s="3147"/>
      <c r="CB39" s="3147"/>
      <c r="CC39" s="3147"/>
      <c r="CD39" s="3147"/>
      <c r="CE39" s="3147"/>
      <c r="CF39" s="3147"/>
      <c r="CG39" s="3147"/>
      <c r="CH39" s="1050"/>
      <c r="CI39" s="2854"/>
      <c r="CJ39" s="2854"/>
      <c r="CK39" s="2854"/>
      <c r="CL39" s="2854"/>
      <c r="CM39" s="2854"/>
      <c r="CN39" s="2854"/>
      <c r="CO39" s="2854"/>
      <c r="CP39" s="2854"/>
      <c r="CQ39" s="2854"/>
      <c r="CR39" s="2854"/>
      <c r="CS39" s="2854"/>
      <c r="CT39" s="2854"/>
      <c r="CU39" s="2854"/>
      <c r="CV39" s="2854"/>
      <c r="CW39" s="2854"/>
      <c r="CX39" s="2854"/>
      <c r="CY39" s="2854"/>
      <c r="CZ39" s="2854"/>
      <c r="DA39" s="2854"/>
      <c r="DB39" s="2854"/>
      <c r="DC39" s="2854"/>
      <c r="DD39" s="2854"/>
      <c r="DE39" s="2854"/>
      <c r="DF39" s="2854"/>
      <c r="DG39" s="2854"/>
      <c r="DH39" s="2854"/>
      <c r="DI39" s="2854"/>
      <c r="DJ39" s="2854"/>
      <c r="DK39" s="2854"/>
      <c r="DL39" s="2854"/>
      <c r="DM39" s="2854"/>
      <c r="DN39" s="2854"/>
      <c r="DO39" s="2854"/>
      <c r="DP39" s="2854"/>
      <c r="DQ39" s="2854"/>
      <c r="DR39" s="2854"/>
      <c r="DS39" s="2854"/>
      <c r="DT39" s="2854"/>
      <c r="DU39" s="2854"/>
      <c r="DV39" s="2854"/>
      <c r="DW39" s="2854"/>
      <c r="DX39" s="2854"/>
      <c r="DY39" s="2854"/>
      <c r="DZ39" s="2854"/>
      <c r="EA39" s="2854"/>
      <c r="EB39" s="2854"/>
      <c r="EC39" s="2854"/>
      <c r="ED39" s="2854"/>
      <c r="EE39" s="2854"/>
      <c r="EF39" s="2854"/>
      <c r="EG39" s="2854"/>
      <c r="EH39" s="2854"/>
      <c r="EI39" s="2854"/>
      <c r="EJ39" s="2854"/>
      <c r="EK39" s="2854"/>
      <c r="EL39" s="2854"/>
      <c r="EM39" s="2854"/>
      <c r="EN39" s="2854"/>
      <c r="EO39" s="2854"/>
      <c r="EP39" s="2854"/>
      <c r="EQ39" s="2854"/>
      <c r="ER39" s="2854"/>
      <c r="ES39" s="2854"/>
      <c r="ET39" s="2854"/>
      <c r="EU39" s="2854"/>
      <c r="EV39" s="2854"/>
      <c r="EW39" s="2854"/>
      <c r="EX39" s="2854"/>
      <c r="EY39" s="2854"/>
      <c r="EZ39" s="2854"/>
      <c r="FA39" s="2854"/>
      <c r="FB39" s="2854"/>
      <c r="FC39" s="2854"/>
      <c r="FD39" s="2854"/>
      <c r="FE39" s="2854"/>
      <c r="FF39" s="2854"/>
      <c r="FG39" s="2854"/>
      <c r="FH39" s="2854"/>
      <c r="FI39" s="2854"/>
      <c r="FJ39" s="2854"/>
      <c r="FK39" s="2854"/>
      <c r="FL39" s="2854"/>
      <c r="FM39" s="2854"/>
      <c r="FN39" s="2854"/>
      <c r="FO39" s="2854"/>
      <c r="FP39" s="2854"/>
      <c r="FQ39" s="2854"/>
      <c r="FR39" s="2854"/>
      <c r="FS39" s="2854"/>
      <c r="FT39" s="2854"/>
      <c r="FU39" s="2854"/>
      <c r="FV39" s="2854"/>
      <c r="FW39" s="2854"/>
      <c r="FX39" s="2854"/>
      <c r="FY39" s="2854"/>
      <c r="FZ39" s="2854"/>
      <c r="GA39" s="2854"/>
      <c r="GB39" s="2854"/>
      <c r="GC39" s="2854"/>
      <c r="GD39" s="2854"/>
      <c r="GE39" s="2854"/>
      <c r="GF39" s="2854"/>
      <c r="GG39" s="2854"/>
      <c r="GH39" s="2854"/>
      <c r="GI39" s="2854"/>
      <c r="GJ39" s="2854"/>
      <c r="GK39" s="2854"/>
      <c r="GL39" s="2854"/>
      <c r="GM39" s="2854"/>
      <c r="GN39" s="2854"/>
      <c r="GO39" s="2854"/>
      <c r="GP39" s="2854"/>
      <c r="GQ39" s="2854"/>
      <c r="GR39" s="2854"/>
      <c r="GS39" s="2854"/>
      <c r="GT39" s="2854"/>
      <c r="GU39" s="2854"/>
      <c r="GV39" s="2854"/>
      <c r="GW39" s="2854"/>
      <c r="GX39" s="2854"/>
      <c r="GY39" s="2854"/>
      <c r="GZ39" s="2854"/>
      <c r="HA39" s="2854"/>
      <c r="HB39" s="2854"/>
      <c r="HC39" s="2854"/>
      <c r="HD39" s="2854"/>
      <c r="HE39" s="2854"/>
      <c r="HF39" s="2854"/>
      <c r="HG39" s="2854"/>
      <c r="HH39" s="2854"/>
      <c r="HI39" s="2854"/>
      <c r="HJ39" s="2854"/>
      <c r="HK39" s="2854"/>
      <c r="HL39" s="2854"/>
      <c r="HM39" s="2854"/>
      <c r="HN39" s="2854"/>
      <c r="HO39" s="2854"/>
      <c r="HP39" s="2854"/>
      <c r="HQ39" s="2854"/>
      <c r="HR39" s="2854"/>
      <c r="HS39" s="2854"/>
      <c r="HT39" s="2854"/>
      <c r="HU39" s="2854"/>
      <c r="HV39" s="2854"/>
      <c r="HW39" s="2854"/>
      <c r="HX39" s="2854"/>
      <c r="HY39" s="2854"/>
      <c r="HZ39" s="2854"/>
      <c r="IA39" s="2854"/>
      <c r="IB39" s="2854"/>
      <c r="IC39" s="2854"/>
      <c r="ID39" s="2854"/>
      <c r="IE39" s="2854"/>
      <c r="IF39" s="2854"/>
      <c r="IG39" s="2854"/>
      <c r="IH39" s="2854"/>
      <c r="II39" s="2854"/>
      <c r="IJ39" s="2854"/>
      <c r="IK39" s="2854"/>
      <c r="IL39" s="2854"/>
      <c r="IM39" s="2854"/>
      <c r="IN39" s="2854"/>
      <c r="IO39" s="2854"/>
      <c r="IP39" s="2854"/>
      <c r="IQ39" s="2854"/>
      <c r="IR39" s="2854"/>
      <c r="IS39" s="2854"/>
      <c r="IT39" s="2854"/>
      <c r="IU39" s="2854"/>
      <c r="IV39" s="2854"/>
      <c r="IW39" s="2854"/>
      <c r="IX39" s="2854"/>
      <c r="IY39" s="2854"/>
      <c r="IZ39" s="2854"/>
      <c r="JA39" s="2854"/>
      <c r="JB39" s="2854"/>
      <c r="JC39" s="2854"/>
      <c r="JD39" s="2854"/>
      <c r="JE39" s="2854"/>
      <c r="JF39" s="2854"/>
      <c r="JG39" s="2854"/>
      <c r="JH39" s="2854"/>
      <c r="JI39" s="2854"/>
      <c r="JJ39" s="2854"/>
      <c r="JK39" s="2854"/>
      <c r="JL39" s="2854"/>
      <c r="JM39" s="2854"/>
      <c r="JN39" s="2854"/>
      <c r="JO39" s="2854"/>
      <c r="JP39" s="2854"/>
      <c r="JQ39" s="2854"/>
      <c r="JR39" s="2854"/>
      <c r="JS39" s="2854"/>
      <c r="JT39" s="2854"/>
      <c r="JU39" s="2854"/>
      <c r="JV39" s="2854"/>
      <c r="JW39" s="2854"/>
      <c r="JX39" s="2854"/>
      <c r="JY39" s="2854"/>
      <c r="JZ39" s="2854"/>
      <c r="KA39" s="2854"/>
      <c r="KB39" s="2854"/>
      <c r="KC39" s="2854"/>
      <c r="KD39" s="2854"/>
      <c r="KE39" s="2854"/>
      <c r="KF39" s="2854"/>
      <c r="KG39" s="2854"/>
      <c r="KH39" s="2854"/>
      <c r="KI39" s="2854"/>
      <c r="KJ39" s="2854"/>
      <c r="KK39" s="2854"/>
      <c r="KL39" s="2854"/>
      <c r="KM39" s="2854"/>
      <c r="KN39" s="2854"/>
      <c r="KO39" s="2854"/>
      <c r="KP39" s="2854"/>
      <c r="KQ39" s="2854"/>
      <c r="KR39" s="2854"/>
      <c r="KS39" s="2854"/>
      <c r="KT39" s="2854"/>
      <c r="KU39" s="2854"/>
      <c r="KV39" s="2854"/>
      <c r="KW39" s="2854"/>
      <c r="KX39" s="2854"/>
      <c r="KY39" s="2854"/>
      <c r="KZ39" s="2854"/>
      <c r="LA39" s="2854"/>
      <c r="LB39" s="2854"/>
      <c r="LC39" s="2854"/>
      <c r="LD39" s="2854"/>
      <c r="LE39" s="2854"/>
      <c r="LF39" s="2854"/>
      <c r="LG39" s="2854"/>
      <c r="LH39" s="2854"/>
      <c r="LI39" s="2854"/>
      <c r="LJ39" s="2854"/>
      <c r="LK39" s="2854"/>
      <c r="LL39" s="2854"/>
      <c r="LM39" s="2854"/>
      <c r="LN39" s="2854"/>
      <c r="LO39" s="2854"/>
      <c r="LP39" s="2854"/>
      <c r="LQ39" s="2854"/>
      <c r="LR39" s="2854"/>
      <c r="LS39" s="2854"/>
      <c r="LT39" s="2854"/>
      <c r="LU39" s="2854"/>
      <c r="LV39" s="2854"/>
      <c r="LW39" s="2854"/>
      <c r="LX39" s="2854"/>
      <c r="LY39" s="2854"/>
      <c r="LZ39" s="2854"/>
      <c r="MA39" s="2854"/>
      <c r="MB39" s="2854"/>
      <c r="MC39" s="2854"/>
      <c r="MD39" s="2854"/>
      <c r="ME39" s="2854"/>
      <c r="MF39" s="2854"/>
      <c r="MG39" s="2854"/>
      <c r="MH39" s="2854"/>
      <c r="MI39" s="2854"/>
      <c r="MJ39" s="2854"/>
      <c r="MK39" s="2854"/>
      <c r="ML39" s="2854"/>
      <c r="MM39" s="2854"/>
      <c r="MN39" s="2854"/>
      <c r="MO39" s="2854"/>
      <c r="MP39" s="2854"/>
      <c r="MQ39" s="2854"/>
      <c r="MR39" s="2854"/>
      <c r="MS39" s="2854"/>
      <c r="MT39" s="2854"/>
      <c r="MU39" s="2854"/>
      <c r="MV39" s="2854"/>
      <c r="MW39" s="2854"/>
      <c r="MX39" s="2854"/>
      <c r="MY39" s="2854"/>
      <c r="MZ39" s="2854"/>
      <c r="NA39" s="2854"/>
      <c r="NB39" s="2854"/>
      <c r="NC39" s="2854"/>
      <c r="ND39" s="2854"/>
      <c r="NE39" s="2854"/>
      <c r="NF39" s="2854"/>
      <c r="NG39" s="2854"/>
      <c r="NH39" s="2854"/>
      <c r="NI39" s="2854"/>
      <c r="NJ39" s="2854"/>
      <c r="NK39" s="2854"/>
      <c r="NL39" s="2854"/>
      <c r="NM39" s="2854"/>
      <c r="NN39" s="2854"/>
      <c r="NO39" s="2854"/>
      <c r="NP39" s="2854"/>
      <c r="NQ39" s="2854"/>
      <c r="NR39" s="2854"/>
      <c r="NS39" s="2854"/>
      <c r="NT39" s="2854"/>
      <c r="NU39" s="2854"/>
      <c r="NV39" s="2854"/>
      <c r="NW39" s="2854"/>
      <c r="NX39" s="2854"/>
      <c r="NY39" s="2854"/>
      <c r="NZ39" s="2854"/>
      <c r="OA39" s="2854"/>
      <c r="OB39" s="2854"/>
      <c r="OC39" s="2854"/>
      <c r="OD39" s="2854"/>
      <c r="OE39" s="2854"/>
      <c r="OF39" s="2854"/>
      <c r="OG39" s="2854"/>
      <c r="OH39" s="2854"/>
      <c r="OI39" s="2854"/>
      <c r="OJ39" s="2854"/>
      <c r="OK39" s="2854"/>
      <c r="OL39" s="2854"/>
      <c r="OM39" s="2854"/>
      <c r="ON39" s="2854"/>
      <c r="OO39" s="2854"/>
      <c r="OP39" s="2854"/>
      <c r="OQ39" s="2854"/>
      <c r="OR39" s="2854"/>
      <c r="OS39" s="2854"/>
      <c r="OT39" s="2854"/>
      <c r="OU39" s="2854"/>
      <c r="OV39" s="2854"/>
      <c r="OW39" s="2854"/>
      <c r="OX39" s="2854"/>
      <c r="OY39" s="2854"/>
      <c r="OZ39" s="2854"/>
      <c r="PA39" s="2854"/>
      <c r="PB39" s="2854"/>
      <c r="PC39" s="2854"/>
      <c r="PD39" s="2854"/>
      <c r="PE39" s="2854"/>
      <c r="PF39" s="2854"/>
      <c r="PG39" s="2854"/>
      <c r="PH39" s="2854"/>
      <c r="PI39" s="2854"/>
      <c r="PJ39" s="2854"/>
      <c r="PK39" s="2854"/>
      <c r="PL39" s="2854"/>
      <c r="PM39" s="2854"/>
      <c r="PN39" s="2854"/>
      <c r="PO39" s="2854"/>
      <c r="PP39" s="2854"/>
      <c r="PQ39" s="2854"/>
      <c r="PR39" s="2854"/>
      <c r="PS39" s="2854"/>
      <c r="PT39" s="2854"/>
      <c r="PU39" s="2854"/>
      <c r="PV39" s="2854"/>
      <c r="PW39" s="2854"/>
      <c r="PX39" s="2854"/>
      <c r="PY39" s="2854"/>
      <c r="PZ39" s="2854"/>
      <c r="QA39" s="2854"/>
      <c r="QB39" s="2854"/>
      <c r="QC39" s="2854"/>
      <c r="QD39" s="2854"/>
      <c r="QE39" s="2854"/>
      <c r="QF39" s="2854"/>
      <c r="QG39" s="2854"/>
      <c r="QH39" s="2854"/>
      <c r="QI39" s="2854"/>
      <c r="QJ39" s="2854"/>
      <c r="QK39" s="2854"/>
      <c r="QL39" s="2854"/>
      <c r="QM39" s="2854"/>
      <c r="QN39" s="2854"/>
      <c r="QO39" s="2854"/>
      <c r="QP39" s="2854"/>
      <c r="QQ39" s="2854"/>
      <c r="QR39" s="2854"/>
      <c r="QS39" s="2854"/>
      <c r="QT39" s="2854"/>
      <c r="QU39" s="2854"/>
      <c r="QV39" s="2854"/>
      <c r="QW39" s="2854"/>
      <c r="QX39" s="2854"/>
      <c r="QY39" s="2854"/>
      <c r="QZ39" s="2854"/>
      <c r="RA39" s="2854"/>
      <c r="RB39" s="2854"/>
      <c r="RC39" s="2854"/>
      <c r="RD39" s="2854"/>
      <c r="RE39" s="2854"/>
      <c r="RF39" s="2854"/>
      <c r="RG39" s="2854"/>
      <c r="RH39" s="2854"/>
      <c r="RI39" s="2854"/>
      <c r="RJ39" s="2854"/>
      <c r="RK39" s="2854"/>
      <c r="RL39" s="2854"/>
      <c r="RM39" s="2854"/>
      <c r="RN39" s="2854"/>
      <c r="RO39" s="2854"/>
      <c r="RP39" s="2854"/>
      <c r="RQ39" s="2854"/>
      <c r="RR39" s="2854"/>
      <c r="RS39" s="2854"/>
      <c r="RT39" s="2854"/>
      <c r="RU39" s="2854"/>
      <c r="RV39" s="2854"/>
      <c r="RW39" s="2854"/>
      <c r="RX39" s="2854"/>
      <c r="RY39" s="2854"/>
      <c r="RZ39" s="2854"/>
      <c r="SA39" s="2854"/>
      <c r="SB39" s="2854"/>
      <c r="SC39" s="2854"/>
      <c r="SD39" s="2854"/>
      <c r="SE39" s="2854"/>
      <c r="SF39" s="2854"/>
      <c r="SG39" s="2854"/>
      <c r="SH39" s="2854"/>
      <c r="SI39" s="2854"/>
      <c r="SJ39" s="2854"/>
      <c r="SK39" s="2854"/>
      <c r="SL39" s="2854"/>
      <c r="SM39" s="2854"/>
      <c r="SN39" s="2854"/>
      <c r="SO39" s="2854"/>
      <c r="SP39" s="2854"/>
      <c r="SQ39" s="2854"/>
      <c r="SR39" s="2854"/>
      <c r="SS39" s="2854"/>
      <c r="ST39" s="2854"/>
      <c r="SU39" s="2854"/>
      <c r="SV39" s="2854"/>
      <c r="SW39" s="2854"/>
      <c r="SX39" s="2854"/>
      <c r="SY39" s="2854"/>
      <c r="SZ39" s="2854"/>
      <c r="TA39" s="2854"/>
      <c r="TB39" s="2854"/>
      <c r="TC39" s="2854"/>
      <c r="TD39" s="2854"/>
      <c r="TE39" s="2854"/>
      <c r="TF39" s="2854"/>
      <c r="TG39" s="2854"/>
      <c r="TH39" s="2854"/>
      <c r="TI39" s="2854"/>
      <c r="TJ39" s="2854"/>
      <c r="TK39" s="2854"/>
      <c r="TL39" s="2854"/>
      <c r="TM39" s="2854"/>
      <c r="TN39" s="2854"/>
      <c r="TO39" s="2854"/>
      <c r="TP39" s="2854"/>
      <c r="TQ39" s="2854"/>
      <c r="TR39" s="2854"/>
      <c r="TS39" s="2854"/>
      <c r="TT39" s="2854"/>
      <c r="TU39" s="3783"/>
      <c r="TV39" s="3783"/>
      <c r="TW39" s="3783"/>
      <c r="TX39" s="3783"/>
      <c r="TY39" s="3783"/>
      <c r="TZ39" s="3783"/>
      <c r="UA39" s="3783"/>
      <c r="UB39" s="3783"/>
      <c r="UC39" s="3783"/>
      <c r="UD39" s="3783"/>
      <c r="UE39" s="3783"/>
      <c r="UF39" s="3783"/>
      <c r="UG39" s="3783"/>
      <c r="UH39" s="3783"/>
      <c r="UI39" s="3783"/>
      <c r="UJ39" s="3783"/>
      <c r="UK39" s="3783"/>
      <c r="UL39" s="3783"/>
      <c r="UM39" s="3783"/>
      <c r="UN39" s="3783"/>
      <c r="UO39" s="3783"/>
      <c r="UP39" s="2854"/>
      <c r="UQ39" s="2854"/>
      <c r="UR39" s="2854"/>
      <c r="US39" s="2854"/>
      <c r="UT39" s="2854"/>
      <c r="UU39" s="2854"/>
      <c r="UV39" s="2854"/>
      <c r="UW39" s="2854"/>
      <c r="UX39" s="2854"/>
      <c r="UY39" s="2854"/>
      <c r="UZ39" s="2854"/>
      <c r="VA39" s="2854"/>
      <c r="VB39" s="2854"/>
      <c r="VC39" s="2854"/>
      <c r="VD39" s="2854"/>
      <c r="VE39" s="2854"/>
      <c r="VF39" s="2854"/>
      <c r="VG39" s="2854"/>
      <c r="VH39" s="2854"/>
      <c r="VI39" s="2854"/>
      <c r="VJ39" s="2854"/>
      <c r="VK39" s="2854"/>
      <c r="VL39" s="2854"/>
      <c r="VM39" s="2854"/>
      <c r="VN39" s="2854"/>
      <c r="VO39" s="2854"/>
      <c r="VP39" s="2854"/>
      <c r="VQ39" s="2854"/>
      <c r="VR39" s="2854"/>
      <c r="VS39" s="2854"/>
      <c r="VT39" s="2854"/>
      <c r="VU39" s="2854"/>
      <c r="VV39" s="2854"/>
      <c r="VW39" s="2854"/>
      <c r="VX39" s="2854"/>
      <c r="VY39" s="2854"/>
      <c r="VZ39" s="2854"/>
      <c r="WA39" s="2854"/>
      <c r="WB39" s="2854"/>
      <c r="WC39" s="2854"/>
      <c r="WD39" s="2854"/>
      <c r="WE39" s="2854"/>
      <c r="WF39" s="2854"/>
      <c r="WG39" s="2854"/>
      <c r="WH39" s="2854"/>
      <c r="WI39" s="2854"/>
      <c r="WJ39" s="2854"/>
      <c r="WK39" s="2854"/>
      <c r="WL39" s="2854"/>
      <c r="WM39" s="2854"/>
      <c r="WN39" s="2854"/>
      <c r="WO39" s="2854"/>
      <c r="WP39" s="2854"/>
      <c r="WQ39" s="2854"/>
      <c r="WR39" s="2854"/>
      <c r="WS39" s="2854"/>
      <c r="WT39" s="2854"/>
      <c r="WU39" s="2854"/>
      <c r="WV39" s="2854"/>
      <c r="WW39" s="2854"/>
      <c r="WX39" s="2854"/>
      <c r="WY39" s="2854"/>
      <c r="WZ39" s="2854"/>
      <c r="XA39" s="2854"/>
      <c r="XB39" s="2854"/>
      <c r="XC39" s="2854"/>
      <c r="XD39" s="2854"/>
      <c r="XE39" s="2854"/>
      <c r="XF39" s="2854"/>
      <c r="XG39" s="2854"/>
      <c r="XH39" s="2854"/>
      <c r="XI39" s="2854"/>
      <c r="XJ39" s="2854"/>
      <c r="XK39" s="2854"/>
      <c r="XL39" s="2854"/>
      <c r="XM39" s="2854"/>
      <c r="XN39" s="2854"/>
      <c r="XO39" s="2854"/>
      <c r="XP39" s="2854"/>
      <c r="XQ39" s="2854"/>
      <c r="XR39" s="2854"/>
      <c r="XS39" s="2854"/>
      <c r="XT39" s="2854"/>
      <c r="XU39" s="2854"/>
      <c r="XV39" s="2854"/>
      <c r="XW39" s="2854"/>
      <c r="XX39" s="2854"/>
      <c r="XY39" s="2854"/>
      <c r="XZ39" s="2854"/>
      <c r="YA39" s="2854"/>
      <c r="YB39" s="2854"/>
      <c r="YC39" s="2854"/>
      <c r="YD39" s="2854"/>
      <c r="YE39" s="2854"/>
      <c r="YF39" s="2854"/>
      <c r="YG39" s="2854"/>
      <c r="YH39" s="2854"/>
      <c r="YI39" s="2854"/>
      <c r="YJ39" s="2854"/>
      <c r="YK39" s="2854"/>
      <c r="YL39" s="2854"/>
      <c r="YM39" s="2854"/>
      <c r="YN39" s="2854"/>
      <c r="YO39" s="2854"/>
      <c r="YP39" s="2854"/>
      <c r="YQ39" s="2854"/>
      <c r="YR39" s="2854"/>
      <c r="YS39" s="2854"/>
      <c r="YT39" s="2854"/>
      <c r="YU39" s="2854"/>
      <c r="YV39" s="2854"/>
      <c r="YW39" s="2854"/>
      <c r="YX39" s="2854"/>
      <c r="YY39" s="2854"/>
      <c r="YZ39" s="2854"/>
      <c r="ZA39" s="2854"/>
      <c r="ZB39" s="2854"/>
      <c r="ZC39" s="2854"/>
      <c r="ZD39" s="2854"/>
      <c r="ZE39" s="2854"/>
      <c r="ZF39" s="2854"/>
      <c r="ZG39" s="2854"/>
      <c r="ZH39" s="2854"/>
      <c r="ZI39" s="2854"/>
      <c r="ZJ39" s="2854"/>
      <c r="ZK39" s="2854"/>
      <c r="ZL39" s="2854"/>
      <c r="ZM39" s="2854"/>
      <c r="ZN39" s="2854"/>
      <c r="ZO39" s="2854"/>
      <c r="ZP39" s="2854"/>
      <c r="ZQ39" s="2854"/>
      <c r="ZR39" s="2854"/>
      <c r="ZS39" s="2854"/>
      <c r="ZT39" s="2854"/>
      <c r="ZU39" s="2854"/>
      <c r="ZV39" s="2854"/>
      <c r="ZW39" s="2854"/>
      <c r="ZX39" s="2854"/>
      <c r="ZY39" s="2854"/>
      <c r="ZZ39" s="2854"/>
      <c r="AAA39" s="2854"/>
      <c r="AAB39" s="2854"/>
      <c r="AAC39" s="2854"/>
      <c r="AAD39" s="2854"/>
      <c r="AAE39" s="2854"/>
      <c r="AAF39" s="2854"/>
      <c r="AAG39" s="2854"/>
      <c r="AAH39" s="2854"/>
      <c r="AAI39" s="2854"/>
      <c r="AAJ39" s="2854"/>
      <c r="AAK39" s="2854"/>
      <c r="AAL39" s="2854"/>
      <c r="AAM39" s="2854"/>
      <c r="AAN39" s="2854"/>
      <c r="AAO39" s="2854"/>
      <c r="AAP39" s="2854"/>
      <c r="AAQ39" s="2854"/>
      <c r="AAR39" s="2854"/>
      <c r="AAS39" s="2854"/>
      <c r="AAT39" s="2854"/>
      <c r="AAU39" s="2854"/>
      <c r="AAV39" s="2854"/>
      <c r="AAW39" s="2854"/>
      <c r="AAX39" s="2854"/>
      <c r="AAY39" s="2854"/>
      <c r="AAZ39" s="2854"/>
      <c r="ABA39" s="2854"/>
      <c r="ABB39" s="2854"/>
      <c r="ABC39" s="2854"/>
      <c r="ABD39" s="2854"/>
      <c r="ABE39" s="2854"/>
      <c r="ABF39" s="2854"/>
      <c r="ABG39" s="2854"/>
      <c r="ABH39" s="2854"/>
      <c r="ABI39" s="2854"/>
      <c r="ABJ39" s="2854"/>
      <c r="ABK39" s="2854"/>
      <c r="ABL39" s="2854"/>
      <c r="ABM39" s="2854"/>
      <c r="ABN39" s="2854"/>
      <c r="ABO39" s="2854"/>
      <c r="ABP39" s="2854"/>
      <c r="ABQ39" s="2854"/>
      <c r="ABR39" s="2854"/>
      <c r="ABS39" s="2854"/>
      <c r="ABT39" s="2854"/>
      <c r="ABU39" s="2854"/>
      <c r="ABV39" s="2854"/>
      <c r="ABW39" s="2854"/>
      <c r="ABX39" s="2854"/>
      <c r="ABY39" s="2854"/>
      <c r="ABZ39" s="2854"/>
      <c r="ACA39" s="2854"/>
      <c r="ACB39" s="2854"/>
      <c r="ACC39" s="2854"/>
      <c r="ACD39" s="2854"/>
      <c r="ACE39" s="2854"/>
      <c r="ACF39" s="2854"/>
      <c r="ACG39" s="2854"/>
      <c r="ACH39" s="2854"/>
      <c r="ACI39" s="2854"/>
      <c r="ACJ39" s="2854"/>
      <c r="ACK39" s="2854"/>
      <c r="ACL39" s="2854"/>
      <c r="ACM39" s="2854"/>
      <c r="ACN39" s="2854"/>
      <c r="ACO39" s="2854"/>
      <c r="ACP39" s="2854"/>
      <c r="ACQ39" s="2854"/>
      <c r="ACR39" s="2854"/>
      <c r="ACS39" s="2854"/>
      <c r="ACT39" s="2854"/>
      <c r="ACU39" s="2854"/>
      <c r="ACV39" s="2854"/>
      <c r="ACW39" s="2854"/>
      <c r="ACX39" s="2854"/>
      <c r="ACY39" s="2854"/>
      <c r="ACZ39" s="2854"/>
      <c r="ADA39" s="2854"/>
      <c r="ADB39" s="2854"/>
      <c r="ADC39" s="2854"/>
      <c r="ADD39" s="2854"/>
      <c r="ADE39" s="2854"/>
      <c r="ADF39" s="2854"/>
      <c r="ADG39" s="2854"/>
      <c r="ADH39" s="2854"/>
      <c r="ADI39" s="2854"/>
      <c r="ADJ39" s="2854"/>
      <c r="ADK39" s="2854"/>
      <c r="ADL39" s="2854"/>
      <c r="ADM39" s="2854"/>
      <c r="ADN39" s="2854"/>
      <c r="ADO39" s="2854"/>
      <c r="ADP39" s="2854"/>
      <c r="ADQ39" s="2854"/>
      <c r="ADR39" s="2854"/>
      <c r="ADS39" s="2854"/>
      <c r="ADT39" s="2854"/>
      <c r="ADU39" s="2854"/>
      <c r="ADV39" s="2854"/>
      <c r="ADW39" s="2854"/>
      <c r="ADX39" s="2854"/>
      <c r="ADY39" s="2854"/>
      <c r="ADZ39" s="2854"/>
      <c r="AEA39" s="2854"/>
      <c r="AEB39" s="2854"/>
      <c r="AEC39" s="2854"/>
      <c r="AED39" s="2854"/>
      <c r="AEE39" s="2854"/>
      <c r="AEF39" s="2854"/>
      <c r="AEG39" s="2854"/>
      <c r="AEH39" s="2854"/>
      <c r="AEI39" s="2854"/>
      <c r="AEJ39" s="2854"/>
      <c r="AEK39" s="2854"/>
      <c r="AEL39" s="2854"/>
      <c r="AEM39" s="2854"/>
      <c r="AEN39" s="2854"/>
      <c r="AEO39" s="2854"/>
      <c r="AEP39" s="2854"/>
      <c r="AEQ39" s="2854"/>
      <c r="AER39" s="2854"/>
      <c r="AES39" s="2854"/>
      <c r="AET39" s="2854"/>
      <c r="AEU39" s="2854"/>
      <c r="AEV39" s="2854"/>
      <c r="AEW39" s="2854"/>
      <c r="AEX39" s="2854"/>
      <c r="AEY39" s="2854"/>
      <c r="AEZ39" s="2854"/>
      <c r="AFA39" s="2854"/>
      <c r="AFB39" s="2854"/>
      <c r="AFC39" s="2854"/>
      <c r="AFD39" s="2854"/>
      <c r="AFE39" s="2854"/>
      <c r="AFF39" s="2854"/>
      <c r="AFG39" s="2854"/>
      <c r="AFH39" s="2854"/>
      <c r="AFI39" s="2854"/>
      <c r="AFJ39" s="2854"/>
      <c r="AFK39" s="2854"/>
      <c r="AFL39" s="2854"/>
      <c r="AFM39" s="2854"/>
      <c r="AFN39" s="2854"/>
      <c r="AFO39" s="2854"/>
      <c r="AFP39" s="2854"/>
      <c r="AFQ39" s="2854"/>
      <c r="AFR39" s="2854"/>
      <c r="AFS39" s="2854"/>
      <c r="AFT39" s="2854"/>
      <c r="AFU39" s="2854"/>
      <c r="AFV39" s="2854"/>
      <c r="AFW39" s="2854"/>
      <c r="AFX39" s="2854"/>
      <c r="AFY39" s="2854"/>
      <c r="AFZ39" s="2854"/>
      <c r="AGA39" s="2854"/>
      <c r="AGB39" s="2854"/>
      <c r="AGC39" s="2854"/>
      <c r="AGD39" s="2854"/>
      <c r="AGE39" s="2854"/>
      <c r="AGF39" s="2854"/>
      <c r="AGG39" s="2854"/>
      <c r="AGH39" s="2854"/>
      <c r="AGI39" s="2854"/>
      <c r="AGJ39" s="2854"/>
      <c r="AGK39" s="2854"/>
      <c r="AGL39" s="2854"/>
      <c r="AGM39" s="2854"/>
      <c r="AGN39" s="2854"/>
      <c r="AGO39" s="2854"/>
      <c r="AGP39" s="2854"/>
      <c r="AGQ39" s="2854"/>
      <c r="AGR39" s="2854"/>
      <c r="AGS39" s="2854"/>
      <c r="AGT39" s="2854"/>
      <c r="AGU39" s="2854"/>
      <c r="AGV39" s="2854"/>
      <c r="AGW39" s="2854"/>
      <c r="AGX39" s="2854"/>
      <c r="AGY39" s="2854"/>
      <c r="AGZ39" s="2854"/>
      <c r="AHA39" s="2854"/>
      <c r="AHB39" s="2854"/>
      <c r="AHC39" s="2854"/>
      <c r="AHD39" s="2854"/>
      <c r="AHE39" s="2854"/>
      <c r="AHF39" s="2854"/>
      <c r="AHG39" s="2854"/>
      <c r="AHH39" s="2854"/>
      <c r="AHI39" s="2854"/>
      <c r="AHJ39" s="2854"/>
      <c r="AHK39" s="2854"/>
      <c r="AHL39" s="2854"/>
      <c r="AHM39" s="2854"/>
      <c r="AHN39" s="2854"/>
      <c r="AHO39" s="2854"/>
      <c r="AHP39" s="2854"/>
      <c r="AHQ39" s="2854"/>
      <c r="AHR39" s="2854"/>
      <c r="AHS39" s="2854"/>
      <c r="AHT39" s="2854"/>
      <c r="AHU39" s="2854"/>
      <c r="AHV39" s="2854"/>
      <c r="AHW39" s="2854"/>
      <c r="AHX39" s="2854"/>
      <c r="AHY39" s="2854"/>
      <c r="AHZ39" s="2854"/>
      <c r="AIA39" s="2854"/>
      <c r="AIB39" s="2854"/>
      <c r="AIC39" s="2854"/>
      <c r="AID39" s="2854"/>
      <c r="AIE39" s="2854"/>
      <c r="AIF39" s="2854"/>
      <c r="AIG39" s="2854"/>
      <c r="AIH39" s="2854"/>
      <c r="AII39" s="2854"/>
      <c r="AIJ39" s="2854"/>
      <c r="AIK39" s="2854"/>
      <c r="AIL39" s="2854"/>
      <c r="AIM39" s="2854"/>
      <c r="AIN39" s="2854"/>
      <c r="AIO39" s="2854"/>
      <c r="AIP39" s="2854"/>
      <c r="AIQ39" s="2854"/>
      <c r="AIR39" s="2854"/>
      <c r="AIS39" s="2854"/>
      <c r="AIT39" s="2854"/>
      <c r="AIU39" s="2854"/>
      <c r="AIV39" s="2854"/>
      <c r="AIW39" s="2854"/>
      <c r="AIX39" s="2854"/>
      <c r="AIY39" s="2854"/>
      <c r="AIZ39" s="2854"/>
      <c r="AJA39" s="2854"/>
      <c r="AJB39" s="2854"/>
      <c r="AJC39" s="2854"/>
      <c r="AJD39" s="2854"/>
      <c r="AJE39" s="2854"/>
      <c r="AJF39" s="2854"/>
      <c r="AJG39" s="2854"/>
      <c r="AJH39" s="2854"/>
      <c r="AJI39" s="2854"/>
      <c r="AJJ39" s="2854"/>
      <c r="AJK39" s="2854"/>
      <c r="AJL39" s="2854"/>
      <c r="AJM39" s="2854"/>
      <c r="AJN39" s="2854"/>
      <c r="AJO39" s="2854"/>
      <c r="AJP39" s="2854"/>
      <c r="AJQ39" s="2854"/>
      <c r="AJR39" s="2854"/>
      <c r="AJS39" s="2854"/>
      <c r="AJT39" s="2854"/>
      <c r="AJU39" s="2854"/>
      <c r="AJV39" s="2854"/>
      <c r="AJW39" s="2854"/>
      <c r="AJX39" s="2854"/>
      <c r="AJY39" s="2854"/>
      <c r="AJZ39" s="2854"/>
      <c r="AKA39" s="2854"/>
      <c r="AKB39" s="2854"/>
      <c r="AKC39" s="2854"/>
      <c r="AKD39" s="2854"/>
      <c r="AKE39" s="2854"/>
      <c r="AKF39" s="2854"/>
      <c r="AKG39" s="2854"/>
      <c r="AKH39" s="2854"/>
      <c r="AKI39" s="2854"/>
      <c r="AKJ39" s="2854"/>
      <c r="AKK39" s="2854"/>
      <c r="AKL39" s="2854"/>
      <c r="AKM39" s="2854"/>
      <c r="AKN39" s="2854"/>
      <c r="AKO39" s="2854"/>
      <c r="AKP39" s="2854"/>
      <c r="AKQ39" s="2854"/>
      <c r="AKR39" s="2854"/>
      <c r="AKS39" s="2854"/>
      <c r="AKT39" s="2854"/>
      <c r="AKU39" s="2854"/>
      <c r="AKV39" s="2854"/>
      <c r="AKW39" s="2854"/>
      <c r="AKX39" s="2854"/>
      <c r="AKY39" s="2854"/>
      <c r="AKZ39" s="2854"/>
      <c r="ALA39" s="2854"/>
      <c r="ALB39" s="2854"/>
      <c r="ALC39" s="2854"/>
      <c r="ALD39" s="2854"/>
      <c r="ALE39" s="2854"/>
      <c r="ALF39" s="2854"/>
      <c r="ALG39" s="2854"/>
      <c r="ALH39" s="2854"/>
      <c r="ALI39" s="2854"/>
      <c r="ALJ39" s="2854"/>
      <c r="ALK39" s="2854"/>
      <c r="ALL39" s="2854"/>
      <c r="ALM39" s="2854"/>
      <c r="ALN39" s="2854"/>
      <c r="ALO39" s="2854"/>
      <c r="ALP39" s="2854"/>
      <c r="ALQ39" s="2854"/>
      <c r="ALR39" s="2854"/>
      <c r="ALS39" s="2854"/>
      <c r="ALT39" s="2854"/>
      <c r="ALU39" s="2854"/>
      <c r="ALV39" s="2854"/>
      <c r="ALW39" s="2854"/>
      <c r="ALX39" s="2854"/>
      <c r="ALY39" s="2854"/>
      <c r="ALZ39" s="2854"/>
      <c r="AMA39" s="2854"/>
      <c r="AMB39" s="2854"/>
      <c r="AMC39" s="2854"/>
      <c r="AMD39" s="2854"/>
      <c r="AME39" s="2854"/>
      <c r="AMF39" s="2854"/>
      <c r="AMG39" s="2854"/>
      <c r="AMH39" s="2854"/>
      <c r="AMI39" s="2854"/>
      <c r="AMJ39" s="2854"/>
      <c r="AMK39" s="2854"/>
      <c r="AML39" s="2854"/>
      <c r="AMM39" s="2854"/>
      <c r="AMN39" s="2854"/>
      <c r="AMO39" s="2854"/>
      <c r="AMP39" s="2854"/>
      <c r="AMQ39" s="2854"/>
      <c r="AMR39" s="2854"/>
      <c r="AMS39" s="2854"/>
      <c r="AMT39" s="2854"/>
      <c r="AMU39" s="2854"/>
      <c r="AMV39" s="2854"/>
      <c r="AMW39" s="2854"/>
      <c r="AMX39" s="2854"/>
      <c r="AMY39" s="2854"/>
      <c r="AMZ39" s="2854"/>
      <c r="ANA39" s="2854"/>
      <c r="ANB39" s="2854"/>
      <c r="ANC39" s="2854"/>
      <c r="AND39" s="2854"/>
      <c r="ANE39" s="2854"/>
      <c r="ANF39" s="2854"/>
      <c r="ANG39" s="2854"/>
      <c r="ANH39" s="2854"/>
      <c r="ANI39" s="2854"/>
      <c r="ANJ39" s="2854"/>
      <c r="ANK39" s="2854"/>
      <c r="ANL39" s="2854"/>
      <c r="ANM39" s="2854"/>
      <c r="ANN39" s="2854"/>
      <c r="ANO39" s="2854"/>
      <c r="ANP39" s="2854"/>
      <c r="ANQ39" s="2854"/>
      <c r="ANR39" s="2854"/>
      <c r="ANS39" s="2854"/>
      <c r="ANT39" s="2854"/>
      <c r="ANU39" s="2854"/>
      <c r="ANV39" s="2854"/>
      <c r="ANW39" s="2854"/>
      <c r="ANX39" s="2854"/>
      <c r="ANY39" s="2854"/>
      <c r="ANZ39" s="2854"/>
      <c r="AOA39" s="2854"/>
      <c r="AOB39" s="2854"/>
      <c r="AOC39" s="2854"/>
      <c r="AOD39" s="2854"/>
      <c r="AOE39" s="2854"/>
      <c r="AOF39" s="2854"/>
      <c r="AOG39" s="2854"/>
      <c r="AOH39" s="2854"/>
      <c r="AOI39" s="2854"/>
      <c r="AOJ39" s="2854"/>
      <c r="AOK39" s="2854"/>
      <c r="AOL39" s="2854"/>
      <c r="AOM39" s="2854"/>
      <c r="AON39" s="2854"/>
      <c r="AOO39" s="2854"/>
      <c r="AOP39" s="2854"/>
      <c r="AOQ39" s="2854"/>
      <c r="AOR39" s="2854"/>
      <c r="AOS39" s="2854"/>
      <c r="AOT39" s="2854"/>
      <c r="AOU39" s="2854"/>
      <c r="AOV39" s="2854"/>
      <c r="AOW39" s="2854"/>
      <c r="AOX39" s="2854"/>
      <c r="AOY39" s="2854"/>
      <c r="AOZ39" s="2854"/>
      <c r="APA39" s="2854"/>
      <c r="APB39" s="2854"/>
      <c r="APC39" s="2854"/>
      <c r="APD39" s="2854"/>
      <c r="APE39" s="2854"/>
      <c r="APF39" s="2854"/>
      <c r="APG39" s="2854"/>
      <c r="APH39" s="2854"/>
      <c r="API39" s="2854"/>
      <c r="APJ39" s="2854"/>
      <c r="APK39" s="2854"/>
      <c r="APL39" s="2854"/>
      <c r="APM39" s="2854"/>
      <c r="APN39" s="2854"/>
      <c r="APO39" s="2854"/>
      <c r="APP39" s="2854"/>
      <c r="APQ39" s="2854"/>
      <c r="APR39" s="2854"/>
      <c r="APS39" s="2854"/>
      <c r="APT39" s="2854"/>
      <c r="APU39" s="2854"/>
      <c r="APV39" s="2854"/>
      <c r="APW39" s="2854"/>
      <c r="APX39" s="2854"/>
      <c r="APY39" s="2854"/>
      <c r="APZ39" s="2854"/>
      <c r="AQA39" s="2854"/>
      <c r="AQB39" s="2854"/>
      <c r="AQC39" s="2854"/>
      <c r="AQD39" s="2854"/>
      <c r="AQE39" s="2854"/>
      <c r="AQF39" s="2854"/>
      <c r="AQG39" s="2854"/>
      <c r="AQH39" s="2854"/>
      <c r="AQI39" s="2854"/>
      <c r="AQJ39" s="2854"/>
      <c r="AQK39" s="2854"/>
      <c r="AQL39" s="2854"/>
      <c r="AQM39" s="2854"/>
      <c r="AQN39" s="2854"/>
      <c r="AQO39" s="2854"/>
      <c r="AQP39" s="2854"/>
      <c r="AQQ39" s="2854"/>
      <c r="AQR39" s="2854"/>
      <c r="AQS39" s="2854"/>
      <c r="AQT39" s="2854"/>
      <c r="AQU39" s="2854"/>
      <c r="AQV39" s="2854"/>
      <c r="AQW39" s="2854"/>
      <c r="AQX39" s="2854"/>
      <c r="AQY39" s="2854"/>
      <c r="AQZ39" s="2854"/>
      <c r="ARA39" s="2854"/>
      <c r="ARB39" s="2854"/>
      <c r="ARC39" s="2854"/>
      <c r="ARD39" s="2854"/>
      <c r="ARE39" s="2854"/>
      <c r="ARF39" s="2854"/>
      <c r="ARG39" s="2854"/>
      <c r="ARH39" s="2854"/>
      <c r="ARI39" s="2854"/>
      <c r="ARJ39" s="2854"/>
      <c r="ARK39" s="2854"/>
      <c r="ARL39" s="2854"/>
      <c r="ARM39" s="2854"/>
      <c r="ARN39" s="2854"/>
      <c r="ARO39" s="2854"/>
      <c r="ARP39" s="2854"/>
      <c r="ARQ39" s="2854"/>
      <c r="ARR39" s="2854"/>
      <c r="ARS39" s="2854"/>
      <c r="ART39" s="2854"/>
      <c r="ARU39" s="2854"/>
      <c r="ARV39" s="2854"/>
      <c r="ARW39" s="2854"/>
      <c r="ARX39" s="2854"/>
      <c r="ARY39" s="2854"/>
      <c r="ARZ39" s="2854"/>
      <c r="ASA39" s="2854"/>
      <c r="ASB39" s="2854"/>
      <c r="ASC39" s="2854"/>
      <c r="ASD39" s="2854"/>
      <c r="ASE39" s="2854"/>
      <c r="ASF39" s="2854"/>
      <c r="ASG39" s="2854"/>
      <c r="ASH39" s="2854"/>
      <c r="ASI39" s="2854"/>
      <c r="ASJ39" s="2854"/>
      <c r="ASK39" s="2854"/>
      <c r="ASL39" s="2854"/>
      <c r="ASM39" s="2854"/>
      <c r="ASN39" s="2854"/>
      <c r="ASO39" s="2854"/>
      <c r="ASP39" s="2854"/>
      <c r="ASQ39" s="2854"/>
      <c r="ASR39" s="2854"/>
      <c r="ASS39" s="2854"/>
      <c r="AST39" s="2854"/>
      <c r="ASU39" s="2854"/>
      <c r="ASV39" s="2854"/>
      <c r="ASW39" s="2854"/>
      <c r="ASX39" s="2854"/>
      <c r="ASY39" s="2854"/>
      <c r="ASZ39" s="2854"/>
      <c r="ATA39" s="2854"/>
      <c r="ATB39" s="2854"/>
      <c r="ATC39" s="2854"/>
      <c r="ATD39" s="2854"/>
      <c r="ATE39" s="2854"/>
      <c r="ATF39" s="2854"/>
      <c r="ATG39" s="2854"/>
      <c r="ATH39" s="2854"/>
      <c r="ATI39" s="2854"/>
      <c r="ATJ39" s="2854"/>
      <c r="ATK39" s="2854"/>
      <c r="ATL39" s="2854"/>
      <c r="ATM39" s="2854"/>
      <c r="ATN39" s="2854"/>
      <c r="ATO39" s="2854"/>
      <c r="ATP39" s="2854"/>
      <c r="ATQ39" s="2854"/>
      <c r="ATR39" s="2854"/>
      <c r="ATS39" s="2854"/>
      <c r="ATT39" s="2854"/>
      <c r="ATU39" s="2854"/>
      <c r="ATV39" s="2854"/>
      <c r="ATW39" s="2854"/>
      <c r="ATX39" s="2854"/>
      <c r="ATY39" s="2854"/>
      <c r="ATZ39" s="2854"/>
      <c r="AUA39" s="2854"/>
      <c r="AUB39" s="2854"/>
      <c r="AUC39" s="2854"/>
      <c r="AUD39" s="2854"/>
      <c r="AUE39" s="2854"/>
      <c r="AUF39" s="2854"/>
      <c r="AUG39" s="2854"/>
      <c r="AUH39" s="2854"/>
      <c r="AUI39" s="2854"/>
      <c r="AUJ39" s="2854"/>
      <c r="AUK39" s="2854"/>
      <c r="AUL39" s="2854"/>
      <c r="AUM39" s="2854"/>
      <c r="AUN39" s="2854"/>
      <c r="AUO39" s="2854"/>
      <c r="AUP39" s="2854"/>
      <c r="AUQ39" s="2854"/>
      <c r="AUR39" s="2854"/>
      <c r="AUS39" s="2854"/>
      <c r="AUT39" s="2854"/>
      <c r="AUU39" s="2854"/>
      <c r="AUV39" s="2854"/>
      <c r="AUW39" s="2854"/>
      <c r="AUX39" s="2854"/>
      <c r="AUY39" s="2854"/>
      <c r="AUZ39" s="2854"/>
      <c r="AVA39" s="2854"/>
      <c r="AVB39" s="2854"/>
      <c r="AVC39" s="2854"/>
      <c r="AVD39" s="2854"/>
      <c r="AVE39" s="2854"/>
      <c r="AVF39" s="2854"/>
      <c r="AVG39" s="2854"/>
      <c r="AVH39" s="2854"/>
      <c r="AVI39" s="2854"/>
      <c r="AVJ39" s="2854"/>
      <c r="AVK39" s="2854"/>
      <c r="AVL39" s="2854"/>
      <c r="AVM39" s="2854"/>
      <c r="AVN39" s="2854"/>
      <c r="AVO39" s="2854"/>
      <c r="AVP39" s="2854"/>
      <c r="AVQ39" s="2854"/>
      <c r="AVR39" s="2854"/>
      <c r="AVS39" s="2854"/>
      <c r="AVT39" s="2854"/>
      <c r="AVU39" s="2854"/>
      <c r="AVV39" s="2854"/>
      <c r="AVW39" s="2854"/>
      <c r="AVX39" s="2854"/>
      <c r="AVY39" s="2854"/>
      <c r="AVZ39" s="2854"/>
      <c r="AWA39" s="2854"/>
      <c r="AWB39" s="2854"/>
      <c r="AWC39" s="2854"/>
      <c r="AWD39" s="2854"/>
      <c r="AWE39" s="2854"/>
      <c r="AWF39" s="2854"/>
      <c r="AWG39" s="2854"/>
      <c r="AWH39" s="2854"/>
      <c r="AWI39" s="2854"/>
      <c r="AWJ39" s="2854"/>
      <c r="AWK39" s="2854"/>
      <c r="AWL39" s="2854"/>
      <c r="AWM39" s="2854"/>
      <c r="AWN39" s="2854"/>
      <c r="AWO39" s="2854"/>
      <c r="AWP39" s="2854"/>
      <c r="AWQ39" s="2854"/>
      <c r="AWR39" s="2854"/>
      <c r="AWS39" s="2854"/>
      <c r="AWT39" s="2854"/>
      <c r="AWU39" s="2854"/>
      <c r="AWV39" s="2854"/>
      <c r="AWW39" s="2854"/>
      <c r="AWX39" s="2854"/>
      <c r="AWY39" s="2854"/>
      <c r="AWZ39" s="2854"/>
      <c r="AXA39" s="2854"/>
      <c r="AXB39" s="2854"/>
      <c r="AXC39" s="2854"/>
      <c r="AXD39" s="2854"/>
      <c r="AXE39" s="2854"/>
      <c r="AXF39" s="2854"/>
      <c r="AXG39" s="2854"/>
      <c r="AXH39" s="2854"/>
      <c r="AXI39" s="2854"/>
      <c r="AXJ39" s="2854"/>
      <c r="AXK39" s="2854"/>
      <c r="AXL39" s="2854"/>
      <c r="AXM39" s="2854"/>
      <c r="AXN39" s="2854"/>
      <c r="AXO39" s="2854"/>
      <c r="AXP39" s="2854"/>
      <c r="AXQ39" s="2854"/>
      <c r="AXR39" s="2854"/>
      <c r="AXS39" s="2854"/>
      <c r="AXT39" s="2854"/>
      <c r="AXU39" s="2854"/>
      <c r="AXV39" s="2854"/>
      <c r="AXW39" s="2854"/>
      <c r="AXX39" s="2854"/>
      <c r="AXY39" s="2854"/>
      <c r="AXZ39" s="2854"/>
      <c r="AYA39" s="2854"/>
      <c r="AYB39" s="2854"/>
      <c r="AYC39" s="2854"/>
      <c r="AYD39" s="2854"/>
      <c r="AYE39" s="2854"/>
      <c r="AYF39" s="2854"/>
      <c r="AYG39" s="2854"/>
      <c r="AYH39" s="2854"/>
      <c r="AYI39" s="2854"/>
      <c r="AYJ39" s="2854"/>
      <c r="AYK39" s="2854"/>
      <c r="AYL39" s="2854"/>
      <c r="AYM39" s="2854"/>
      <c r="AYN39" s="2854"/>
      <c r="AYO39" s="2854"/>
      <c r="AYP39" s="2854"/>
      <c r="AYQ39" s="2854"/>
      <c r="AYR39" s="2854"/>
      <c r="AYS39" s="2854"/>
      <c r="AYT39" s="2854"/>
      <c r="AYU39" s="2854"/>
      <c r="AYV39" s="2854"/>
      <c r="AYW39" s="2854"/>
      <c r="AYX39" s="2854"/>
      <c r="AYY39" s="2854"/>
      <c r="AYZ39" s="2854"/>
      <c r="AZA39" s="2854"/>
      <c r="AZB39" s="2854"/>
      <c r="AZC39" s="2854"/>
      <c r="AZD39" s="2854"/>
      <c r="AZE39" s="2854"/>
      <c r="AZF39" s="2854"/>
      <c r="AZG39" s="2854"/>
      <c r="AZH39" s="2854"/>
      <c r="AZI39" s="2854"/>
      <c r="AZJ39" s="2854"/>
      <c r="AZK39" s="2854"/>
      <c r="AZL39" s="2854"/>
      <c r="AZM39" s="2854"/>
      <c r="AZN39" s="2854"/>
      <c r="AZO39" s="2854"/>
      <c r="AZP39" s="2854"/>
      <c r="AZQ39" s="2854"/>
      <c r="AZR39" s="2854"/>
      <c r="AZS39" s="2854"/>
      <c r="AZT39" s="2854"/>
      <c r="AZU39" s="2854"/>
      <c r="AZV39" s="2854"/>
      <c r="AZW39" s="2854"/>
      <c r="AZX39" s="2854"/>
      <c r="AZY39" s="2854"/>
      <c r="AZZ39" s="2854"/>
      <c r="BAA39" s="2854"/>
      <c r="BAB39" s="2854"/>
      <c r="BAC39" s="2854"/>
      <c r="BAD39" s="2854"/>
      <c r="BAE39" s="2854"/>
      <c r="BAF39" s="2854"/>
      <c r="BAG39" s="2854"/>
      <c r="BAH39" s="2854"/>
      <c r="BAI39" s="2854"/>
      <c r="BAJ39" s="2854"/>
      <c r="BAK39" s="2854"/>
      <c r="BAL39" s="2854"/>
      <c r="BAM39" s="2854"/>
      <c r="BAN39" s="2854"/>
      <c r="BAO39" s="2854"/>
      <c r="BAP39" s="2854"/>
      <c r="BAQ39" s="2854"/>
      <c r="BAR39" s="2854"/>
      <c r="BAS39" s="2854"/>
      <c r="BAT39" s="2854"/>
      <c r="BAU39" s="2854"/>
      <c r="BAV39" s="2854"/>
      <c r="BAW39" s="2854"/>
      <c r="BAX39" s="2854"/>
      <c r="BAY39" s="2854"/>
      <c r="BAZ39" s="2854"/>
      <c r="BBA39" s="2854"/>
      <c r="BBB39" s="2854"/>
      <c r="BBC39" s="2854"/>
      <c r="BBD39" s="2854"/>
      <c r="BBE39" s="2854"/>
      <c r="BBF39" s="2854"/>
      <c r="BBG39" s="2854"/>
      <c r="BBH39" s="2854"/>
      <c r="BBI39" s="2854"/>
      <c r="BBJ39" s="2854"/>
      <c r="BBK39" s="2854"/>
      <c r="BBL39" s="2854"/>
      <c r="BBM39" s="2854"/>
      <c r="BBN39" s="2854"/>
      <c r="BBO39" s="2854"/>
      <c r="BBP39" s="2854"/>
      <c r="BBQ39" s="2854"/>
      <c r="BBR39" s="2854"/>
      <c r="BBS39" s="2854"/>
      <c r="BBT39" s="2854"/>
      <c r="BBU39" s="2854"/>
      <c r="BBV39" s="2854"/>
      <c r="BBW39" s="2854"/>
      <c r="BBX39" s="2854"/>
      <c r="BBY39" s="2854"/>
      <c r="BBZ39" s="2854"/>
      <c r="BCA39" s="2854"/>
      <c r="BCB39" s="2854"/>
      <c r="BCC39" s="2854"/>
      <c r="BCD39" s="2854"/>
      <c r="BCE39" s="2854"/>
      <c r="BCF39" s="2854"/>
      <c r="BCG39" s="2854"/>
      <c r="BCH39" s="2854"/>
      <c r="BCI39" s="2854"/>
      <c r="BCJ39" s="2854"/>
      <c r="BCK39" s="2854"/>
      <c r="BCL39" s="2854"/>
      <c r="BCM39" s="2854"/>
      <c r="BCN39" s="2854"/>
      <c r="BCO39" s="2854"/>
      <c r="BCP39" s="2854"/>
      <c r="BCQ39" s="2854"/>
      <c r="BCR39" s="2854"/>
      <c r="BCS39" s="2854"/>
      <c r="BCT39" s="2854"/>
      <c r="BCU39" s="2854"/>
      <c r="BCV39" s="2854"/>
      <c r="BCW39" s="2854"/>
      <c r="BCX39" s="2854"/>
      <c r="BCY39" s="2854"/>
      <c r="BCZ39" s="2854"/>
      <c r="BDA39" s="2854"/>
      <c r="BDB39" s="2854"/>
      <c r="BDC39" s="2854"/>
      <c r="BDD39" s="2854"/>
      <c r="BDE39" s="2854"/>
      <c r="BDF39" s="2854"/>
      <c r="BDG39" s="2854"/>
      <c r="BDH39" s="2854"/>
      <c r="BDI39" s="2854"/>
      <c r="BDJ39" s="2854"/>
      <c r="BDK39" s="2854"/>
      <c r="BDL39" s="2854"/>
      <c r="BDM39" s="2854"/>
      <c r="BDN39" s="2854"/>
      <c r="BDO39" s="2854"/>
      <c r="BDP39" s="2854"/>
      <c r="BDQ39" s="2854"/>
      <c r="BDR39" s="2854"/>
      <c r="BDS39" s="2854"/>
      <c r="BDT39" s="2854"/>
      <c r="BDU39" s="2854"/>
      <c r="BDV39" s="2854"/>
      <c r="BDW39" s="2854"/>
      <c r="BDX39" s="2854"/>
      <c r="BDY39" s="2854"/>
      <c r="BDZ39" s="2854"/>
      <c r="BEA39" s="2854"/>
      <c r="BEB39" s="2854"/>
      <c r="BEC39" s="2854"/>
      <c r="BED39" s="2854"/>
      <c r="BEE39" s="2854"/>
      <c r="BEF39" s="2854"/>
      <c r="BEG39" s="2854"/>
      <c r="BEH39" s="2854"/>
      <c r="BEI39" s="2854"/>
      <c r="BEJ39" s="2854"/>
      <c r="BEK39" s="2854"/>
      <c r="BEL39" s="2854"/>
      <c r="BEM39" s="2854"/>
      <c r="BEN39" s="2854"/>
      <c r="BEO39" s="2854"/>
      <c r="BEP39" s="2854"/>
      <c r="BEQ39" s="2854"/>
      <c r="BER39" s="2854"/>
      <c r="BES39" s="2854"/>
      <c r="BET39" s="2854"/>
      <c r="BEU39" s="2854"/>
      <c r="BEV39" s="2854"/>
      <c r="BEW39" s="2854"/>
      <c r="BEX39" s="2854"/>
      <c r="BEY39" s="2854"/>
      <c r="BEZ39" s="2854"/>
      <c r="BFA39" s="2854"/>
      <c r="BFB39" s="2854"/>
      <c r="BFC39" s="2854"/>
      <c r="BFD39" s="2854"/>
      <c r="BFE39" s="2854"/>
      <c r="BFF39" s="2854"/>
      <c r="BFG39" s="2854"/>
      <c r="BFH39" s="2854"/>
      <c r="BFI39" s="2854"/>
      <c r="BFJ39" s="2854"/>
      <c r="BFK39" s="2854"/>
      <c r="BFL39" s="2854"/>
      <c r="BFM39" s="2854"/>
      <c r="BFN39" s="2854"/>
      <c r="BFO39" s="2854"/>
      <c r="BFP39" s="2854"/>
      <c r="BFQ39" s="2854"/>
      <c r="BFR39" s="2854"/>
      <c r="BFS39" s="2854"/>
      <c r="BFT39" s="2854"/>
      <c r="BFU39" s="2854"/>
      <c r="BFV39" s="2854"/>
      <c r="BFW39" s="2854"/>
      <c r="BFX39" s="2854"/>
      <c r="BFY39" s="2854"/>
      <c r="BFZ39" s="2854"/>
      <c r="BGA39" s="2854"/>
      <c r="BGB39" s="2854"/>
      <c r="BGC39" s="2854"/>
      <c r="BGD39" s="2854"/>
      <c r="BGE39" s="2854"/>
      <c r="BGF39" s="2854"/>
      <c r="BGG39" s="2854"/>
      <c r="BGH39" s="2854"/>
      <c r="BGI39" s="2854"/>
      <c r="BGJ39" s="2854"/>
      <c r="BGK39" s="2854"/>
      <c r="BGL39" s="2854"/>
      <c r="BGM39" s="2854"/>
      <c r="BGN39" s="2854"/>
      <c r="BGO39" s="2854"/>
      <c r="BGP39" s="2854"/>
      <c r="BGQ39" s="2854"/>
      <c r="BGR39" s="2854"/>
      <c r="BGS39" s="2854"/>
      <c r="BGT39" s="2854"/>
      <c r="BGU39" s="2854"/>
      <c r="BGV39" s="2854"/>
      <c r="BGW39" s="2854"/>
      <c r="BGX39" s="2854"/>
      <c r="BGY39" s="2854"/>
      <c r="BGZ39" s="2854"/>
      <c r="BHA39" s="2854"/>
      <c r="BHB39" s="2854"/>
      <c r="BHC39" s="2854"/>
      <c r="BHD39" s="2854"/>
      <c r="BHE39" s="2854"/>
      <c r="BHF39" s="2854"/>
      <c r="BHG39" s="2854"/>
      <c r="BHH39" s="2854"/>
      <c r="BHI39" s="2854"/>
      <c r="BHJ39" s="2854"/>
      <c r="BHK39" s="2854"/>
      <c r="BHL39" s="2854"/>
      <c r="BHM39" s="2854"/>
      <c r="BHN39" s="2854"/>
      <c r="BHO39" s="2854"/>
      <c r="BHP39" s="2854"/>
      <c r="BHQ39" s="2854"/>
      <c r="BHR39" s="2854"/>
      <c r="BHS39" s="2854"/>
      <c r="BHT39" s="2854"/>
      <c r="BHU39" s="2854"/>
      <c r="BHV39" s="2854"/>
      <c r="BHW39" s="2854"/>
      <c r="BHX39" s="2854"/>
      <c r="BHY39" s="2854"/>
      <c r="BHZ39" s="2854"/>
      <c r="BIA39" s="2854"/>
      <c r="BIB39" s="2854"/>
      <c r="BIC39" s="2854"/>
      <c r="BID39" s="2854"/>
      <c r="BIE39" s="2854"/>
      <c r="BIF39" s="2854"/>
      <c r="BIG39" s="2854"/>
      <c r="BIH39" s="2854"/>
      <c r="BII39" s="2854"/>
      <c r="BIJ39" s="2854"/>
      <c r="BIK39" s="2854"/>
      <c r="BIL39" s="2854"/>
      <c r="BIM39" s="2854"/>
      <c r="BIN39" s="2854"/>
      <c r="BIO39" s="2854"/>
      <c r="BIP39" s="2854"/>
      <c r="BIQ39" s="2854"/>
      <c r="BIR39" s="2854"/>
      <c r="BIS39" s="2854"/>
      <c r="BIT39" s="2854"/>
      <c r="BIU39" s="2854"/>
      <c r="BIV39" s="2854"/>
      <c r="BIW39" s="2854"/>
      <c r="BIX39" s="2854"/>
      <c r="BIY39" s="2854"/>
      <c r="BIZ39" s="2854"/>
      <c r="BJA39" s="2854"/>
      <c r="BJB39" s="2854"/>
      <c r="BJC39" s="2854"/>
      <c r="BJD39" s="2854"/>
      <c r="BJE39" s="2854"/>
      <c r="BJF39" s="2854"/>
      <c r="BJG39" s="2854"/>
      <c r="BJH39" s="2854"/>
      <c r="BJI39" s="2854"/>
      <c r="BJJ39" s="2854"/>
      <c r="BJK39" s="2854"/>
      <c r="BJL39" s="2854"/>
      <c r="BJM39" s="2854"/>
      <c r="BJN39" s="2854"/>
      <c r="BJO39" s="2854"/>
      <c r="BJP39" s="2854"/>
      <c r="BJQ39" s="2854"/>
      <c r="BJR39" s="2854"/>
      <c r="BJS39" s="2854"/>
      <c r="BJT39" s="2854"/>
      <c r="BJU39" s="2854"/>
      <c r="BJV39" s="2854"/>
      <c r="BJW39" s="2854"/>
      <c r="BJX39" s="2854"/>
      <c r="BJY39" s="2854"/>
      <c r="BJZ39" s="2854"/>
      <c r="BKA39" s="2854"/>
      <c r="BKB39" s="2854"/>
      <c r="BKC39" s="2854"/>
      <c r="BKD39" s="2854"/>
      <c r="BKE39" s="2854"/>
      <c r="BKF39" s="2854"/>
      <c r="BKG39" s="2854"/>
      <c r="BKH39" s="2854"/>
      <c r="BKI39" s="2854"/>
      <c r="BKJ39" s="2854"/>
      <c r="BKK39" s="2854"/>
      <c r="BKL39" s="2854"/>
      <c r="BKM39" s="2854"/>
      <c r="BKN39" s="2854"/>
      <c r="BKO39" s="2854"/>
      <c r="BKP39" s="2854"/>
      <c r="BKQ39" s="2854"/>
      <c r="BKR39" s="2854"/>
      <c r="BKS39" s="2854"/>
      <c r="BKT39" s="2854"/>
      <c r="BKU39" s="2854"/>
      <c r="BKV39" s="2854"/>
      <c r="BKW39" s="2854"/>
      <c r="BKX39" s="2854"/>
      <c r="BKY39" s="2854"/>
      <c r="BKZ39" s="2854"/>
      <c r="BLA39" s="2854"/>
      <c r="BLB39" s="2854"/>
      <c r="BLC39" s="2854"/>
      <c r="BLD39" s="2854"/>
      <c r="BLE39" s="2854"/>
      <c r="BLF39" s="2854"/>
      <c r="BLG39" s="2854"/>
      <c r="BLH39" s="2854"/>
      <c r="BLI39" s="2854"/>
      <c r="BLJ39" s="2854"/>
      <c r="BLK39" s="2854"/>
      <c r="BLL39" s="2854"/>
      <c r="BLM39" s="2854"/>
      <c r="BLN39" s="2854"/>
      <c r="BLO39" s="2854"/>
      <c r="BLP39" s="2854"/>
      <c r="BLQ39" s="2854"/>
      <c r="BLR39" s="2854"/>
      <c r="BLS39" s="2854"/>
      <c r="BLT39" s="2854"/>
      <c r="BLU39" s="2854"/>
      <c r="BLV39" s="2854"/>
      <c r="BLW39" s="2854"/>
      <c r="BLX39" s="2854"/>
      <c r="BLY39" s="2854"/>
      <c r="BLZ39" s="2854"/>
      <c r="BMA39" s="2854"/>
      <c r="BMB39" s="2854"/>
      <c r="BMC39" s="2854"/>
      <c r="BMD39" s="2854"/>
      <c r="BME39" s="2854"/>
      <c r="BMF39" s="2854"/>
      <c r="BMG39" s="2854"/>
      <c r="BMH39" s="2854"/>
      <c r="BMI39" s="2854"/>
      <c r="BMJ39" s="2854"/>
      <c r="BMK39" s="2854"/>
      <c r="BML39" s="2854"/>
      <c r="BMM39" s="2854"/>
      <c r="BMN39" s="2854"/>
      <c r="BMO39" s="2854"/>
      <c r="BMP39" s="2854"/>
      <c r="BMQ39" s="2854"/>
      <c r="BMR39" s="2854"/>
      <c r="BMS39" s="2854"/>
      <c r="BMT39" s="2854"/>
      <c r="BMU39" s="2854"/>
      <c r="BMV39" s="2854"/>
      <c r="BMW39" s="2854"/>
      <c r="BMX39" s="2854"/>
      <c r="BMY39" s="2854"/>
      <c r="BMZ39" s="2854"/>
      <c r="BNA39" s="2854"/>
      <c r="BNB39" s="2854"/>
      <c r="BNC39" s="2854"/>
      <c r="BND39" s="2854"/>
      <c r="BNE39" s="2854"/>
      <c r="BNF39" s="2854"/>
      <c r="BNG39" s="2854"/>
      <c r="BNH39" s="2854"/>
      <c r="BNI39" s="2854"/>
      <c r="BNJ39" s="2854"/>
      <c r="BNK39" s="2854"/>
      <c r="BNL39" s="2854"/>
      <c r="BNM39" s="2854"/>
      <c r="BNN39" s="2854"/>
      <c r="BNO39" s="2854"/>
      <c r="BNP39" s="2854"/>
      <c r="BNQ39" s="2854"/>
      <c r="BNR39" s="2854"/>
      <c r="BNS39" s="2854"/>
      <c r="BNT39" s="2854"/>
      <c r="BNU39" s="2854"/>
      <c r="BNV39" s="2854"/>
      <c r="BNW39" s="2854"/>
      <c r="BNX39" s="2854"/>
      <c r="BNY39" s="2854"/>
      <c r="BNZ39" s="2854"/>
      <c r="BOA39" s="2854"/>
      <c r="BOB39" s="2854"/>
      <c r="BOC39" s="2854"/>
      <c r="BOD39" s="2854"/>
      <c r="BOE39" s="2854"/>
      <c r="BOF39" s="2854"/>
      <c r="BOG39" s="2854"/>
      <c r="BOH39" s="2854"/>
      <c r="BOI39" s="2854"/>
      <c r="BOJ39" s="2854"/>
      <c r="BOK39" s="2854"/>
      <c r="BOL39" s="2854"/>
      <c r="BOM39" s="2854"/>
      <c r="BON39" s="2854"/>
      <c r="BOO39" s="2854"/>
      <c r="BOP39" s="2854"/>
      <c r="BOQ39" s="2854"/>
      <c r="BOR39" s="2854"/>
      <c r="BOS39" s="2854"/>
      <c r="BOT39" s="2854"/>
      <c r="BOU39" s="2854"/>
      <c r="BOV39" s="2854"/>
      <c r="BOW39" s="2854"/>
      <c r="BOX39" s="2854"/>
      <c r="BOY39" s="2854"/>
      <c r="BOZ39" s="2854"/>
      <c r="BPA39" s="2854"/>
      <c r="BPB39" s="2854"/>
      <c r="BPC39" s="2854"/>
      <c r="BPD39" s="2854"/>
      <c r="BPE39" s="2854"/>
      <c r="BPF39" s="2854"/>
      <c r="BPG39" s="2854"/>
      <c r="BPH39" s="2854"/>
      <c r="BPI39" s="2854"/>
      <c r="BPJ39" s="2854"/>
      <c r="BPK39" s="2854"/>
      <c r="BPL39" s="2854"/>
      <c r="BPM39" s="2854"/>
      <c r="BPN39" s="2854"/>
      <c r="BPO39" s="2854"/>
      <c r="BPP39" s="2854"/>
      <c r="BPQ39" s="2854"/>
      <c r="BPR39" s="2854"/>
      <c r="BPS39" s="2854"/>
      <c r="BPT39" s="2854"/>
      <c r="BPU39" s="2854"/>
      <c r="BPV39" s="2854"/>
      <c r="BPW39" s="2854"/>
      <c r="BPX39" s="2854"/>
      <c r="BPY39" s="2854"/>
      <c r="BPZ39" s="2854"/>
      <c r="BQA39" s="2854"/>
      <c r="BQB39" s="2854"/>
      <c r="BQC39" s="2854"/>
      <c r="BQD39" s="2854"/>
      <c r="BQE39" s="2854"/>
      <c r="BQF39" s="2854"/>
      <c r="BQG39" s="2854"/>
      <c r="BQH39" s="2854"/>
      <c r="BQI39" s="2854"/>
      <c r="BQJ39" s="2854"/>
      <c r="BQK39" s="2854"/>
      <c r="BQL39" s="2854"/>
      <c r="BQM39" s="2854"/>
      <c r="BQN39" s="2854"/>
      <c r="BQO39" s="2854"/>
      <c r="BQP39" s="2854"/>
      <c r="BQQ39" s="2854"/>
      <c r="BQR39" s="2854"/>
      <c r="BQS39" s="2854"/>
      <c r="BQT39" s="2854"/>
      <c r="BQU39" s="2854"/>
      <c r="BQV39" s="2854"/>
      <c r="BQW39" s="2854"/>
      <c r="BQX39" s="2854"/>
      <c r="BQY39" s="2854"/>
      <c r="BQZ39" s="2854"/>
      <c r="BRA39" s="2854"/>
      <c r="BRB39" s="2854"/>
      <c r="BRC39" s="2854"/>
      <c r="BRD39" s="2854"/>
      <c r="BRE39" s="2854"/>
      <c r="BRF39" s="2854"/>
      <c r="BRG39" s="2854"/>
      <c r="BRH39" s="2854"/>
      <c r="BRI39" s="2854"/>
      <c r="BRJ39" s="2854"/>
      <c r="BRK39" s="2854"/>
      <c r="BRL39" s="2854"/>
      <c r="BRM39" s="2854"/>
      <c r="BRN39" s="2854"/>
      <c r="BRO39" s="2854"/>
      <c r="BRP39" s="2854"/>
      <c r="BRQ39" s="2854"/>
      <c r="BRR39" s="2854"/>
      <c r="BRS39" s="2854"/>
      <c r="BRT39" s="2854"/>
      <c r="BRU39" s="2854"/>
      <c r="BRV39" s="2854"/>
      <c r="BRW39" s="2854"/>
      <c r="BRX39" s="2854"/>
      <c r="BRY39" s="2854"/>
      <c r="BRZ39" s="2854"/>
      <c r="BSA39" s="2854"/>
      <c r="BSB39" s="2854"/>
      <c r="BSC39" s="2854"/>
      <c r="BSD39" s="2854"/>
      <c r="BSE39" s="2854"/>
      <c r="BSF39" s="2854"/>
      <c r="BSG39" s="2854"/>
      <c r="BSH39" s="2854"/>
      <c r="BSI39" s="2854"/>
      <c r="BSJ39" s="2854"/>
      <c r="BSK39" s="2854"/>
      <c r="BSL39" s="2854"/>
      <c r="BSM39" s="2854"/>
      <c r="BSN39" s="2854"/>
      <c r="BSO39" s="2854"/>
      <c r="BSP39" s="2854"/>
      <c r="BSQ39" s="2854"/>
      <c r="BSR39" s="2854"/>
      <c r="BSS39" s="2854"/>
      <c r="BST39" s="2854"/>
      <c r="BSU39" s="2854"/>
      <c r="BSV39" s="2854"/>
      <c r="BSW39" s="2854"/>
      <c r="BSX39" s="2854"/>
      <c r="BSY39" s="2854"/>
      <c r="BSZ39" s="2854"/>
      <c r="BTA39" s="2854"/>
      <c r="BTB39" s="2854"/>
      <c r="BTC39" s="2854"/>
      <c r="BTD39" s="2854"/>
      <c r="BTE39" s="2854"/>
      <c r="BTF39" s="2854"/>
      <c r="BTG39" s="2854"/>
      <c r="BTH39" s="2854"/>
      <c r="BTI39" s="2854"/>
      <c r="BTJ39" s="2854"/>
      <c r="BTK39" s="2854"/>
      <c r="BTL39" s="2854"/>
      <c r="BTM39" s="2854"/>
      <c r="BTN39" s="2854"/>
      <c r="BTO39" s="2854"/>
      <c r="BTP39" s="2854"/>
      <c r="BTQ39" s="2854"/>
      <c r="BTR39" s="2854"/>
      <c r="BTS39" s="2854"/>
      <c r="BTT39" s="2854"/>
      <c r="BTU39" s="2854"/>
      <c r="BTV39" s="2854"/>
      <c r="BTW39" s="2854"/>
      <c r="BTX39" s="2854"/>
      <c r="BTY39" s="2854"/>
      <c r="BTZ39" s="2854"/>
      <c r="BUA39" s="2854"/>
      <c r="BUB39" s="2854"/>
      <c r="BUC39" s="2854"/>
      <c r="BUD39" s="2854"/>
      <c r="BUE39" s="2854"/>
      <c r="BUF39" s="2854"/>
      <c r="BUG39" s="2854"/>
      <c r="BUH39" s="2854"/>
      <c r="BUI39" s="2854"/>
      <c r="BUJ39" s="2854"/>
      <c r="BUK39" s="2854"/>
      <c r="BUL39" s="2854"/>
      <c r="BUM39" s="2854"/>
      <c r="BUN39" s="2854"/>
      <c r="BUO39" s="2854"/>
      <c r="BUP39" s="2854"/>
      <c r="BUQ39" s="2854"/>
      <c r="BUR39" s="2854"/>
      <c r="BUS39" s="2854"/>
      <c r="BUT39" s="2854"/>
      <c r="BUU39" s="2854"/>
      <c r="BUV39" s="2854"/>
      <c r="BUW39" s="2854"/>
      <c r="BUX39" s="2854"/>
      <c r="BUY39" s="2854"/>
      <c r="BUZ39" s="2854"/>
      <c r="BVA39" s="2854"/>
      <c r="BVB39" s="2854"/>
      <c r="BVC39" s="2854"/>
      <c r="BVD39" s="2854"/>
      <c r="BVE39" s="2854"/>
      <c r="BVF39" s="2854"/>
      <c r="BVG39" s="2854"/>
      <c r="BVH39" s="2854"/>
      <c r="BVI39" s="2854"/>
      <c r="BVJ39" s="2854"/>
      <c r="BVK39" s="2854"/>
      <c r="BVL39" s="2854"/>
      <c r="BVM39" s="2854"/>
      <c r="BVN39" s="2854"/>
      <c r="BVO39" s="2854"/>
      <c r="BVP39" s="2854"/>
      <c r="BVQ39" s="2854"/>
      <c r="BVR39" s="2854"/>
      <c r="BVS39" s="2854"/>
      <c r="BVT39" s="2854"/>
      <c r="BVU39" s="2854"/>
      <c r="BVV39" s="2854"/>
      <c r="BVW39" s="2854"/>
      <c r="BVX39" s="2854"/>
      <c r="BVY39" s="2854"/>
      <c r="BVZ39" s="2854"/>
      <c r="BWA39" s="2854"/>
      <c r="BWB39" s="2854"/>
      <c r="BWC39" s="2854"/>
      <c r="BWD39" s="2854"/>
      <c r="BWE39" s="2854"/>
      <c r="BWF39" s="2854"/>
      <c r="BWG39" s="2854"/>
      <c r="BWH39" s="2854"/>
      <c r="BWI39" s="2854"/>
      <c r="BWJ39" s="2854"/>
      <c r="BWK39" s="2854"/>
      <c r="BWL39" s="2854"/>
      <c r="BWM39" s="2854"/>
      <c r="BWN39" s="2854"/>
      <c r="BWO39" s="2854"/>
      <c r="BWP39" s="2854"/>
      <c r="BWQ39" s="2854"/>
      <c r="BWR39" s="2854"/>
      <c r="BWS39" s="2854"/>
      <c r="BWT39" s="2854"/>
      <c r="BWU39" s="2854"/>
      <c r="BWV39" s="2854"/>
      <c r="BWW39" s="2854"/>
      <c r="BWX39" s="2854"/>
      <c r="BWY39" s="2854"/>
      <c r="BWZ39" s="2854"/>
      <c r="BXA39" s="2854"/>
      <c r="BXB39" s="2854"/>
      <c r="BXC39" s="2854"/>
      <c r="BXD39" s="2854"/>
      <c r="BXE39" s="2854"/>
      <c r="BXF39" s="2854"/>
      <c r="BXG39" s="2854"/>
      <c r="BXH39" s="2854"/>
      <c r="BXI39" s="2854"/>
      <c r="BXJ39" s="2854"/>
      <c r="BXK39" s="2854"/>
      <c r="BXL39" s="2854"/>
      <c r="BXM39" s="2854"/>
      <c r="BXN39" s="2854"/>
      <c r="BXO39" s="2854"/>
      <c r="BXP39" s="2854"/>
      <c r="BXQ39" s="2854"/>
      <c r="BXR39" s="2854"/>
      <c r="BXS39" s="2854"/>
      <c r="BXT39" s="2854"/>
      <c r="BXU39" s="2854"/>
      <c r="BXV39" s="2854"/>
      <c r="BXW39" s="2854"/>
      <c r="BXX39" s="2854"/>
      <c r="BXY39" s="2854"/>
      <c r="BXZ39" s="2854"/>
      <c r="BYA39" s="2854"/>
      <c r="BYB39" s="2854"/>
      <c r="BYC39" s="2854"/>
      <c r="BYD39" s="2854"/>
      <c r="BYE39" s="2854"/>
      <c r="BYF39" s="2854"/>
      <c r="BYG39" s="2854"/>
      <c r="BYH39" s="2854"/>
      <c r="BYI39" s="2854"/>
      <c r="BYJ39" s="2854"/>
      <c r="BYK39" s="2854"/>
      <c r="BYL39" s="2854"/>
      <c r="BYM39" s="2854"/>
      <c r="BYN39" s="2854"/>
      <c r="BYO39" s="2854"/>
      <c r="BYP39" s="2854"/>
      <c r="BYQ39" s="2854"/>
      <c r="BYR39" s="2854"/>
      <c r="BYS39" s="2854"/>
      <c r="BYT39" s="2854"/>
      <c r="BYU39" s="2854"/>
      <c r="BYV39" s="2854"/>
      <c r="BYW39" s="2854"/>
      <c r="BYX39" s="2854"/>
      <c r="BYY39" s="2854"/>
      <c r="BYZ39" s="2854"/>
      <c r="BZA39" s="2854"/>
      <c r="BZB39" s="2854"/>
      <c r="BZC39" s="2854"/>
      <c r="BZD39" s="2854"/>
      <c r="BZE39" s="2854"/>
      <c r="BZF39" s="2854"/>
      <c r="BZG39" s="2854"/>
      <c r="BZH39" s="2854"/>
      <c r="BZI39" s="2854"/>
      <c r="BZJ39" s="2854"/>
      <c r="BZK39" s="2854"/>
      <c r="BZL39" s="2854"/>
      <c r="BZM39" s="2854"/>
      <c r="BZN39" s="2854"/>
      <c r="BZO39" s="2854"/>
      <c r="BZP39" s="2854"/>
      <c r="BZQ39" s="2854"/>
      <c r="BZR39" s="2854"/>
      <c r="BZS39" s="2854"/>
      <c r="BZT39" s="2854"/>
      <c r="BZU39" s="2854"/>
      <c r="BZV39" s="2854"/>
      <c r="BZW39" s="2854"/>
      <c r="BZX39" s="2854"/>
      <c r="BZY39" s="2854"/>
      <c r="BZZ39" s="2854"/>
      <c r="CAA39" s="2854"/>
      <c r="CAB39" s="2854"/>
      <c r="CAC39" s="2854"/>
      <c r="CAD39" s="2854"/>
      <c r="CAE39" s="2854"/>
      <c r="CAF39" s="2854"/>
      <c r="CAG39" s="2854"/>
      <c r="CAH39" s="2854"/>
      <c r="CAI39" s="2854"/>
      <c r="CAJ39" s="2854"/>
      <c r="CAK39" s="2854"/>
      <c r="CAL39" s="2854"/>
      <c r="CAM39" s="2854"/>
      <c r="CAN39" s="2854"/>
      <c r="CAO39" s="2854"/>
      <c r="CAP39" s="2854"/>
      <c r="CAQ39" s="2854"/>
      <c r="CAR39" s="2854"/>
      <c r="CAS39" s="2854"/>
      <c r="CAT39" s="2854"/>
      <c r="CAU39" s="2854"/>
      <c r="CAV39" s="2854"/>
      <c r="CAW39" s="2854"/>
      <c r="CAX39" s="2854"/>
      <c r="CAY39" s="2854"/>
      <c r="CAZ39" s="2854"/>
      <c r="CBA39" s="2854"/>
      <c r="CBB39" s="2854"/>
      <c r="CBC39" s="2854"/>
      <c r="CBD39" s="2854"/>
      <c r="CBE39" s="2854"/>
      <c r="CBF39" s="2854"/>
      <c r="CBG39" s="2854"/>
      <c r="CBH39" s="2854"/>
      <c r="CBI39" s="2854"/>
      <c r="CBJ39" s="2854"/>
      <c r="CBK39" s="2854"/>
      <c r="CBL39" s="2854"/>
      <c r="CBM39" s="2854"/>
      <c r="CBN39" s="2854"/>
      <c r="CBO39" s="2854"/>
      <c r="CBP39" s="2854"/>
      <c r="CBQ39" s="2854"/>
      <c r="CBR39" s="2854"/>
      <c r="CBS39" s="2854"/>
      <c r="CBT39" s="2854"/>
      <c r="CBU39" s="2854"/>
      <c r="CBV39" s="2854"/>
      <c r="CBW39" s="2854"/>
      <c r="CBX39" s="2854"/>
      <c r="CBY39" s="2854"/>
      <c r="CBZ39" s="2854"/>
      <c r="CCA39" s="2854"/>
      <c r="CCB39" s="2854"/>
      <c r="CCC39" s="2854"/>
      <c r="CCD39" s="2854"/>
      <c r="CCE39" s="2854"/>
      <c r="CCF39" s="2854"/>
      <c r="CCG39" s="2854"/>
      <c r="CCH39" s="2854"/>
      <c r="CCI39" s="2854"/>
      <c r="CCJ39" s="2854"/>
      <c r="CCK39" s="2854"/>
      <c r="CCL39" s="2854"/>
      <c r="CCM39" s="2854"/>
      <c r="CCN39" s="2854"/>
      <c r="CCO39" s="2854"/>
      <c r="CCP39" s="2854"/>
      <c r="CCQ39" s="2854"/>
      <c r="CCR39" s="2854"/>
      <c r="CCS39" s="2854"/>
      <c r="CCT39" s="2854"/>
      <c r="CCU39" s="2854"/>
      <c r="CCV39" s="2854"/>
      <c r="CCW39" s="2854"/>
      <c r="CCX39" s="2854"/>
      <c r="CCY39" s="2854"/>
      <c r="CCZ39" s="2854"/>
      <c r="CDA39" s="2854"/>
      <c r="CDB39" s="2854"/>
      <c r="CDC39" s="2854"/>
      <c r="CDD39" s="2854"/>
      <c r="CDE39" s="2854"/>
      <c r="CDF39" s="2854"/>
      <c r="CDG39" s="2854"/>
      <c r="CDH39" s="2854"/>
      <c r="CDI39" s="2854"/>
      <c r="CDJ39" s="2854"/>
      <c r="CDK39" s="2854"/>
      <c r="CDL39" s="2854"/>
      <c r="CDM39" s="2854"/>
      <c r="CDN39" s="2854"/>
      <c r="CDO39" s="2854"/>
      <c r="CDP39" s="2854"/>
      <c r="CDQ39" s="2854"/>
      <c r="CDR39" s="2854"/>
      <c r="CDS39" s="2854"/>
      <c r="CDT39" s="2854"/>
      <c r="CDU39" s="2854"/>
      <c r="CDV39" s="2854"/>
      <c r="CDW39" s="2854"/>
      <c r="CDX39" s="2854"/>
      <c r="CDY39" s="2854"/>
      <c r="CDZ39" s="2854"/>
      <c r="CEA39" s="2854"/>
      <c r="CEB39" s="2854"/>
      <c r="CEC39" s="2854"/>
      <c r="CED39" s="2854"/>
      <c r="CEE39" s="2854"/>
      <c r="CEF39" s="2854"/>
      <c r="CEG39" s="2854"/>
      <c r="CEH39" s="2854"/>
      <c r="CEI39" s="2854"/>
      <c r="CEJ39" s="2854"/>
      <c r="CEK39" s="2854"/>
      <c r="CEL39" s="2854"/>
      <c r="CEM39" s="2854"/>
      <c r="CEN39" s="2854"/>
      <c r="CEO39" s="2854"/>
      <c r="CEP39" s="2854"/>
      <c r="CEQ39" s="2854"/>
      <c r="CER39" s="2854"/>
      <c r="CES39" s="2854"/>
      <c r="CET39" s="2854"/>
      <c r="CEU39" s="2854"/>
      <c r="CEV39" s="2854"/>
      <c r="CEW39" s="2854"/>
      <c r="CEX39" s="2854"/>
      <c r="CEY39" s="2854"/>
      <c r="CEZ39" s="2854"/>
      <c r="CFA39" s="2854"/>
      <c r="CFB39" s="2854"/>
      <c r="CFC39" s="2854"/>
      <c r="CFD39" s="2854"/>
      <c r="CFE39" s="2854"/>
      <c r="CFF39" s="2854"/>
      <c r="CFG39" s="2854"/>
      <c r="CFH39" s="2854"/>
      <c r="CFI39" s="2854"/>
      <c r="CFJ39" s="2854"/>
      <c r="CFK39" s="2854"/>
      <c r="CFL39" s="2854"/>
      <c r="CFM39" s="2854"/>
      <c r="CFN39" s="2854"/>
      <c r="CFO39" s="2854"/>
      <c r="CFP39" s="2854"/>
      <c r="CFQ39" s="2854"/>
      <c r="CFR39" s="2854"/>
      <c r="CFS39" s="2854"/>
      <c r="CFT39" s="2854"/>
      <c r="CFU39" s="2854"/>
      <c r="CFV39" s="2854"/>
      <c r="CFW39" s="2854"/>
      <c r="CFX39" s="2854"/>
      <c r="CFY39" s="2854"/>
      <c r="CFZ39" s="2854"/>
      <c r="CGA39" s="2854"/>
      <c r="CGB39" s="2854"/>
      <c r="CGC39" s="2854"/>
      <c r="CGD39" s="2854"/>
      <c r="CGE39" s="2854"/>
      <c r="CGF39" s="2854"/>
      <c r="CGG39" s="2854"/>
      <c r="CGH39" s="2854"/>
      <c r="CGI39" s="2854"/>
      <c r="CGJ39" s="2854"/>
      <c r="CGK39" s="2854"/>
      <c r="CGL39" s="2854"/>
      <c r="CGM39" s="2854"/>
      <c r="CGN39" s="2854"/>
      <c r="CGO39" s="2854"/>
      <c r="CGP39" s="2854"/>
      <c r="CGQ39" s="2854"/>
      <c r="CGR39" s="2854"/>
      <c r="CGS39" s="2854"/>
      <c r="CGT39" s="2854"/>
      <c r="CGU39" s="2854"/>
      <c r="CGV39" s="2854"/>
      <c r="CGW39" s="2854"/>
      <c r="CGX39" s="2854"/>
      <c r="CGY39" s="2854"/>
      <c r="CGZ39" s="2854"/>
      <c r="CHA39" s="2854"/>
      <c r="CHB39" s="2854"/>
      <c r="CHC39" s="2854"/>
      <c r="CHD39" s="2854"/>
      <c r="CHE39" s="2854"/>
      <c r="CHF39" s="2854"/>
      <c r="CHG39" s="2854"/>
      <c r="CHH39" s="2854"/>
      <c r="CHI39" s="2854"/>
      <c r="CHJ39" s="2854"/>
      <c r="CHK39" s="2854"/>
      <c r="CHL39" s="2854"/>
      <c r="CHM39" s="2854"/>
      <c r="CHN39" s="2854"/>
      <c r="CHO39" s="2854"/>
      <c r="CHP39" s="2854"/>
      <c r="CHQ39" s="2854"/>
      <c r="CHR39" s="2854"/>
      <c r="CHS39" s="2854"/>
      <c r="CHT39" s="2854"/>
      <c r="CHU39" s="2854"/>
      <c r="CHV39" s="2854"/>
      <c r="CHW39" s="2854"/>
      <c r="CHX39" s="2854"/>
      <c r="CHY39" s="2854"/>
      <c r="CHZ39" s="2854"/>
      <c r="CIA39" s="2854"/>
      <c r="CIB39" s="2854"/>
      <c r="CIC39" s="2854"/>
      <c r="CID39" s="2854"/>
      <c r="CIE39" s="2854"/>
      <c r="CIF39" s="2854"/>
      <c r="CIG39" s="2854"/>
      <c r="CIH39" s="2854"/>
      <c r="CII39" s="2854"/>
      <c r="CIJ39" s="2854"/>
      <c r="CIK39" s="2854"/>
      <c r="CIL39" s="2854"/>
      <c r="CIM39" s="2854"/>
      <c r="CIN39" s="2854"/>
      <c r="CIO39" s="2854"/>
      <c r="CIP39" s="2854"/>
      <c r="CIQ39" s="2854"/>
      <c r="CIR39" s="2854"/>
      <c r="CIS39" s="2854"/>
      <c r="CIT39" s="2854"/>
      <c r="CIU39" s="2854"/>
      <c r="CIV39" s="2854"/>
      <c r="CIW39" s="2854"/>
      <c r="CIX39" s="2854"/>
      <c r="CIY39" s="2854"/>
      <c r="CIZ39" s="2854"/>
      <c r="CJA39" s="2854"/>
      <c r="CJB39" s="2854"/>
      <c r="CJC39" s="2854"/>
      <c r="CJD39" s="2854"/>
      <c r="CJE39" s="2854"/>
      <c r="CJF39" s="2854"/>
      <c r="CJG39" s="2854"/>
      <c r="CJH39" s="2854"/>
      <c r="CJI39" s="2854"/>
      <c r="CJJ39" s="2854"/>
      <c r="CJK39" s="2854"/>
      <c r="CJL39" s="2854"/>
      <c r="CJM39" s="2854"/>
      <c r="CJN39" s="2854"/>
      <c r="CJO39" s="2854"/>
      <c r="CJP39" s="2854"/>
      <c r="CJQ39" s="2854"/>
      <c r="CJR39" s="2854"/>
      <c r="CJS39" s="2854"/>
      <c r="CJT39" s="2854"/>
      <c r="CJU39" s="2854"/>
      <c r="CJV39" s="2854"/>
      <c r="CJW39" s="2854"/>
      <c r="CJX39" s="2854"/>
      <c r="CJY39" s="2854"/>
      <c r="CJZ39" s="2854"/>
      <c r="CKA39" s="2854"/>
      <c r="CKB39" s="2854"/>
      <c r="CKC39" s="2854"/>
      <c r="CKD39" s="2854"/>
      <c r="CKE39" s="2854"/>
      <c r="CKF39" s="2854"/>
      <c r="CKG39" s="2854"/>
      <c r="CKH39" s="2854"/>
      <c r="CKI39" s="2854"/>
      <c r="CKJ39" s="2854"/>
      <c r="CKK39" s="2854"/>
      <c r="CKL39" s="2854"/>
      <c r="CKM39" s="2854"/>
      <c r="CKN39" s="2854"/>
      <c r="CKO39" s="2854"/>
      <c r="CKP39" s="2854"/>
      <c r="CKQ39" s="2854"/>
      <c r="CKR39" s="2854"/>
      <c r="CKS39" s="2854"/>
      <c r="CKT39" s="2854"/>
      <c r="CKU39" s="2854"/>
      <c r="CKV39" s="2854"/>
      <c r="CKW39" s="2854"/>
      <c r="CKX39" s="2854"/>
      <c r="CKY39" s="2854"/>
      <c r="CKZ39" s="2854"/>
      <c r="CLA39" s="2854"/>
      <c r="CLB39" s="2854"/>
      <c r="CLC39" s="2854"/>
      <c r="CLD39" s="2854"/>
      <c r="CLE39" s="2854"/>
      <c r="CLF39" s="2854"/>
      <c r="CLG39" s="2854"/>
      <c r="CLH39" s="2854"/>
      <c r="CLI39" s="2854"/>
      <c r="CLJ39" s="2854"/>
      <c r="CLK39" s="2854"/>
      <c r="CLL39" s="2854"/>
      <c r="CLM39" s="2854"/>
      <c r="CLN39" s="2854"/>
      <c r="CLO39" s="2854"/>
      <c r="CLP39" s="2854"/>
      <c r="CLQ39" s="2854"/>
      <c r="CLR39" s="2854"/>
      <c r="CLS39" s="2854"/>
      <c r="CLT39" s="2854"/>
      <c r="CLU39" s="2854"/>
      <c r="CLV39" s="2854"/>
      <c r="CLW39" s="2854"/>
    </row>
    <row r="40" spans="1:2363" ht="15.75" customHeight="1" x14ac:dyDescent="0.25">
      <c r="A40" s="3877"/>
      <c r="B40" s="3878"/>
      <c r="C40" s="3370">
        <v>4</v>
      </c>
      <c r="D40" s="2209"/>
      <c r="E40" s="3373"/>
      <c r="F40" s="2246"/>
      <c r="G40" s="2613"/>
      <c r="H40" s="2248"/>
      <c r="I40" s="2247"/>
      <c r="J40" s="2249"/>
      <c r="K40" s="2248"/>
      <c r="L40" s="2247"/>
      <c r="M40" s="2247"/>
      <c r="N40" s="1799">
        <f>F40+I40+L40</f>
        <v>0</v>
      </c>
      <c r="O40" s="2281">
        <f>F40+I40</f>
        <v>0</v>
      </c>
      <c r="P40" s="2295"/>
      <c r="Q40" s="2199"/>
      <c r="R40" s="2719"/>
      <c r="S40" s="2719"/>
      <c r="T40" s="2883"/>
      <c r="U40" s="2301"/>
      <c r="V40" s="2296">
        <f>+P40+Q40+R40+S40+T40+U40</f>
        <v>0</v>
      </c>
      <c r="W40" s="2297"/>
      <c r="X40" s="2928"/>
      <c r="Y40" s="3010"/>
      <c r="Z40" s="2128"/>
      <c r="AA40" s="1894">
        <v>0</v>
      </c>
      <c r="AB40" s="1894">
        <v>0</v>
      </c>
      <c r="AC40" s="1854">
        <f t="shared" si="58"/>
        <v>0</v>
      </c>
      <c r="AD40" s="1897">
        <v>0</v>
      </c>
      <c r="AE40" s="1897"/>
      <c r="AF40" s="1893">
        <v>0</v>
      </c>
      <c r="AG40" s="2866"/>
      <c r="AH40" s="2062">
        <f>AD40+AF40+AE40+AG40</f>
        <v>0</v>
      </c>
      <c r="AI40" s="1851">
        <v>0</v>
      </c>
      <c r="AJ40" s="1894">
        <v>0</v>
      </c>
      <c r="AK40" s="2451">
        <v>0</v>
      </c>
      <c r="AL40" s="2515">
        <v>0</v>
      </c>
      <c r="AM40" s="2515">
        <v>0</v>
      </c>
      <c r="AN40" s="2695">
        <f>+AL40-AM40</f>
        <v>0</v>
      </c>
      <c r="AO40" s="2181">
        <v>0</v>
      </c>
      <c r="AP40" s="2166">
        <v>0</v>
      </c>
      <c r="AQ40" s="2166">
        <v>0</v>
      </c>
      <c r="AR40" s="2166"/>
      <c r="AS40" s="2157">
        <f t="shared" si="65"/>
        <v>0</v>
      </c>
      <c r="AT40" s="2504">
        <v>0</v>
      </c>
      <c r="AU40" s="2158">
        <v>0</v>
      </c>
      <c r="AV40" s="2168">
        <v>0</v>
      </c>
      <c r="AW40" s="2159">
        <v>0</v>
      </c>
      <c r="AX40" s="2514">
        <v>0</v>
      </c>
      <c r="AY40" s="2515">
        <v>0</v>
      </c>
      <c r="AZ40" s="2695">
        <f>AX40-AY40</f>
        <v>0</v>
      </c>
      <c r="BA40" s="3296">
        <v>0</v>
      </c>
      <c r="BB40" s="3086">
        <v>0</v>
      </c>
      <c r="BC40" s="3086">
        <v>0</v>
      </c>
      <c r="BD40" s="3086"/>
      <c r="BE40" s="3087">
        <f>+BA40+BB40+BC40+BD40+AZ40</f>
        <v>0</v>
      </c>
      <c r="BF40" s="2504"/>
      <c r="BG40" s="2158">
        <v>0</v>
      </c>
      <c r="BH40" s="2168">
        <f t="shared" ref="BH40:BH41" si="81">+BB40</f>
        <v>0</v>
      </c>
      <c r="BI40" s="2159">
        <f>BG40+BH40</f>
        <v>0</v>
      </c>
      <c r="BJ40" s="2048">
        <f>AA40+AL40+AX40</f>
        <v>0</v>
      </c>
      <c r="BK40" s="1851">
        <f t="shared" ref="BJ40:BK41" si="82">AB40+AM40+AY40</f>
        <v>0</v>
      </c>
      <c r="BL40" s="1884">
        <f t="shared" si="67"/>
        <v>0</v>
      </c>
      <c r="BM40" s="2611">
        <f t="shared" si="76"/>
        <v>0</v>
      </c>
      <c r="BN40" s="3441">
        <f>+AP40+AE40</f>
        <v>0</v>
      </c>
      <c r="BO40" s="2065">
        <f>+AQ40+AF40</f>
        <v>0</v>
      </c>
      <c r="BP40" s="1893">
        <v>0</v>
      </c>
      <c r="BQ40" s="3456">
        <f t="shared" ref="BQ40" si="83">BE40+AS40+AH40</f>
        <v>0</v>
      </c>
      <c r="BR40" s="3457">
        <f>AI40+AU40</f>
        <v>0</v>
      </c>
      <c r="BS40" s="1858">
        <f>AJ40+AV40</f>
        <v>0</v>
      </c>
      <c r="BT40" s="3449">
        <f>+AW40+AK40</f>
        <v>0</v>
      </c>
      <c r="BU40" s="3147"/>
      <c r="BV40" s="3058"/>
      <c r="BW40" s="3058"/>
      <c r="BX40" s="3058"/>
      <c r="BY40" s="3147"/>
      <c r="BZ40" s="3147"/>
      <c r="CA40" s="3147"/>
      <c r="CB40" s="3147"/>
      <c r="CC40" s="3147"/>
      <c r="CD40" s="3147"/>
      <c r="CE40" s="3147"/>
      <c r="CF40" s="3147"/>
      <c r="CG40" s="3147"/>
      <c r="CH40" s="1050"/>
      <c r="CI40" s="2854"/>
      <c r="CJ40" s="2854"/>
      <c r="CK40" s="2854"/>
      <c r="CL40" s="2854"/>
      <c r="CM40" s="2854"/>
      <c r="CN40" s="2854"/>
      <c r="CO40" s="2854"/>
      <c r="CP40" s="2854"/>
      <c r="CQ40" s="2854"/>
      <c r="CR40" s="2854"/>
      <c r="CS40" s="2854"/>
      <c r="CT40" s="2854"/>
      <c r="CU40" s="2854"/>
      <c r="CV40" s="2854"/>
      <c r="CW40" s="2854"/>
      <c r="CX40" s="2854"/>
      <c r="CY40" s="2854"/>
      <c r="CZ40" s="2854"/>
      <c r="DA40" s="2854"/>
      <c r="DB40" s="2854"/>
      <c r="DC40" s="2854"/>
      <c r="DD40" s="2854"/>
      <c r="DE40" s="2854"/>
      <c r="DF40" s="2854"/>
      <c r="DG40" s="2854"/>
      <c r="DH40" s="2854"/>
      <c r="DI40" s="2854"/>
      <c r="DJ40" s="2854"/>
      <c r="DK40" s="2854"/>
      <c r="DL40" s="2854"/>
      <c r="DM40" s="2854"/>
      <c r="DN40" s="2854"/>
      <c r="DO40" s="2854"/>
      <c r="DP40" s="2854"/>
      <c r="DQ40" s="2854"/>
      <c r="DR40" s="2854"/>
      <c r="DS40" s="2854"/>
      <c r="DT40" s="2854"/>
      <c r="DU40" s="2854"/>
      <c r="DV40" s="2854"/>
      <c r="DW40" s="2854"/>
      <c r="DX40" s="2854"/>
      <c r="DY40" s="2854"/>
      <c r="DZ40" s="2854"/>
      <c r="EA40" s="2854"/>
      <c r="EB40" s="2854"/>
      <c r="EC40" s="2854"/>
      <c r="ED40" s="2854"/>
      <c r="EE40" s="2854"/>
      <c r="EF40" s="2854"/>
      <c r="EG40" s="2854"/>
      <c r="EH40" s="2854"/>
      <c r="EI40" s="2854"/>
      <c r="EJ40" s="2854"/>
      <c r="EK40" s="2854"/>
      <c r="EL40" s="2854"/>
      <c r="EM40" s="2854"/>
      <c r="EN40" s="2854"/>
      <c r="EO40" s="2854"/>
      <c r="EP40" s="2854"/>
      <c r="EQ40" s="2854"/>
      <c r="ER40" s="2854"/>
      <c r="ES40" s="2854"/>
      <c r="ET40" s="2854"/>
      <c r="EU40" s="2854"/>
      <c r="EV40" s="2854"/>
      <c r="EW40" s="2854"/>
      <c r="EX40" s="2854"/>
      <c r="EY40" s="2854"/>
      <c r="EZ40" s="2854"/>
      <c r="FA40" s="2854"/>
      <c r="FB40" s="2854"/>
      <c r="FC40" s="2854"/>
      <c r="FD40" s="2854"/>
      <c r="FE40" s="2854"/>
      <c r="FF40" s="2854"/>
      <c r="FG40" s="2854"/>
      <c r="FH40" s="2854"/>
      <c r="FI40" s="2854"/>
      <c r="FJ40" s="2854"/>
      <c r="FK40" s="2854"/>
      <c r="FL40" s="2854"/>
      <c r="FM40" s="2854"/>
      <c r="FN40" s="2854"/>
      <c r="FO40" s="2854"/>
      <c r="FP40" s="2854"/>
      <c r="FQ40" s="2854"/>
      <c r="FR40" s="2854"/>
      <c r="FS40" s="2854"/>
      <c r="FT40" s="2854"/>
      <c r="FU40" s="2854"/>
      <c r="FV40" s="2854"/>
      <c r="FW40" s="2854"/>
      <c r="FX40" s="2854"/>
      <c r="FY40" s="2854"/>
      <c r="FZ40" s="2854"/>
      <c r="GA40" s="2854"/>
      <c r="GB40" s="2854"/>
      <c r="GC40" s="2854"/>
      <c r="GD40" s="2854"/>
      <c r="GE40" s="2854"/>
      <c r="GF40" s="2854"/>
      <c r="GG40" s="2854"/>
      <c r="GH40" s="2854"/>
      <c r="GI40" s="2854"/>
      <c r="GJ40" s="2854"/>
      <c r="GK40" s="2854"/>
      <c r="GL40" s="2854"/>
      <c r="GM40" s="2854"/>
      <c r="GN40" s="2854"/>
      <c r="GO40" s="2854"/>
      <c r="GP40" s="2854"/>
      <c r="GQ40" s="2854"/>
      <c r="GR40" s="2854"/>
      <c r="GS40" s="2854"/>
      <c r="GT40" s="2854"/>
      <c r="GU40" s="2854"/>
      <c r="GV40" s="2854"/>
      <c r="GW40" s="2854"/>
      <c r="GX40" s="2854"/>
      <c r="GY40" s="2854"/>
      <c r="GZ40" s="2854"/>
      <c r="HA40" s="2854"/>
      <c r="HB40" s="2854"/>
      <c r="HC40" s="2854"/>
      <c r="HD40" s="2854"/>
      <c r="HE40" s="2854"/>
      <c r="HF40" s="2854"/>
      <c r="HG40" s="2854"/>
      <c r="HH40" s="2854"/>
      <c r="HI40" s="2854"/>
      <c r="HJ40" s="2854"/>
      <c r="HK40" s="2854"/>
      <c r="HL40" s="2854"/>
      <c r="HM40" s="2854"/>
      <c r="HN40" s="2854"/>
      <c r="HO40" s="2854"/>
      <c r="HP40" s="2854"/>
      <c r="HQ40" s="2854"/>
      <c r="HR40" s="2854"/>
      <c r="HS40" s="2854"/>
      <c r="HT40" s="2854"/>
      <c r="HU40" s="2854"/>
      <c r="HV40" s="2854"/>
      <c r="HW40" s="2854"/>
      <c r="HX40" s="2854"/>
      <c r="HY40" s="2854"/>
      <c r="HZ40" s="2854"/>
      <c r="IA40" s="2854"/>
      <c r="IB40" s="2854"/>
      <c r="IC40" s="2854"/>
      <c r="ID40" s="2854"/>
      <c r="IE40" s="2854"/>
      <c r="IF40" s="2854"/>
      <c r="IG40" s="2854"/>
      <c r="IH40" s="2854"/>
      <c r="II40" s="2854"/>
      <c r="IJ40" s="2854"/>
      <c r="IK40" s="2854"/>
      <c r="IL40" s="2854"/>
      <c r="IM40" s="2854"/>
      <c r="IN40" s="2854"/>
      <c r="IO40" s="2854"/>
      <c r="IP40" s="2854"/>
      <c r="IQ40" s="2854"/>
      <c r="IR40" s="2854"/>
      <c r="IS40" s="2854"/>
      <c r="IT40" s="2854"/>
      <c r="IU40" s="2854"/>
      <c r="IV40" s="2854"/>
      <c r="IW40" s="2854"/>
      <c r="IX40" s="2854"/>
      <c r="IY40" s="2854"/>
      <c r="IZ40" s="2854"/>
      <c r="JA40" s="2854"/>
      <c r="JB40" s="2854"/>
      <c r="JC40" s="2854"/>
      <c r="JD40" s="2854"/>
      <c r="JE40" s="2854"/>
      <c r="JF40" s="2854"/>
      <c r="JG40" s="2854"/>
      <c r="JH40" s="2854"/>
      <c r="JI40" s="2854"/>
      <c r="JJ40" s="2854"/>
      <c r="JK40" s="2854"/>
      <c r="JL40" s="2854"/>
      <c r="JM40" s="2854"/>
      <c r="JN40" s="2854"/>
      <c r="JO40" s="2854"/>
      <c r="JP40" s="2854"/>
      <c r="JQ40" s="2854"/>
      <c r="JR40" s="2854"/>
      <c r="JS40" s="2854"/>
      <c r="JT40" s="2854"/>
      <c r="JU40" s="2854"/>
      <c r="JV40" s="2854"/>
      <c r="JW40" s="2854"/>
      <c r="JX40" s="2854"/>
      <c r="JY40" s="2854"/>
      <c r="JZ40" s="2854"/>
      <c r="KA40" s="2854"/>
      <c r="KB40" s="2854"/>
      <c r="KC40" s="2854"/>
      <c r="KD40" s="2854"/>
      <c r="KE40" s="2854"/>
      <c r="KF40" s="2854"/>
      <c r="KG40" s="2854"/>
      <c r="KH40" s="2854"/>
      <c r="KI40" s="2854"/>
      <c r="KJ40" s="2854"/>
      <c r="KK40" s="2854"/>
      <c r="KL40" s="2854"/>
      <c r="KM40" s="2854"/>
      <c r="KN40" s="2854"/>
      <c r="KO40" s="2854"/>
      <c r="KP40" s="2854"/>
      <c r="KQ40" s="2854"/>
      <c r="KR40" s="2854"/>
      <c r="KS40" s="2854"/>
      <c r="KT40" s="2854"/>
      <c r="KU40" s="2854"/>
      <c r="KV40" s="2854"/>
      <c r="KW40" s="2854"/>
      <c r="KX40" s="2854"/>
      <c r="KY40" s="2854"/>
      <c r="KZ40" s="2854"/>
      <c r="LA40" s="2854"/>
      <c r="LB40" s="2854"/>
      <c r="LC40" s="2854"/>
      <c r="LD40" s="2854"/>
      <c r="LE40" s="2854"/>
      <c r="LF40" s="2854"/>
      <c r="LG40" s="2854"/>
      <c r="LH40" s="2854"/>
      <c r="LI40" s="2854"/>
      <c r="LJ40" s="2854"/>
      <c r="LK40" s="2854"/>
      <c r="LL40" s="2854"/>
      <c r="LM40" s="2854"/>
      <c r="LN40" s="2854"/>
      <c r="LO40" s="2854"/>
      <c r="LP40" s="2854"/>
      <c r="LQ40" s="2854"/>
      <c r="LR40" s="2854"/>
      <c r="LS40" s="2854"/>
      <c r="LT40" s="2854"/>
      <c r="LU40" s="2854"/>
      <c r="LV40" s="2854"/>
      <c r="LW40" s="2854"/>
      <c r="LX40" s="2854"/>
      <c r="LY40" s="2854"/>
      <c r="LZ40" s="2854"/>
      <c r="MA40" s="2854"/>
      <c r="MB40" s="2854"/>
      <c r="MC40" s="2854"/>
      <c r="MD40" s="2854"/>
      <c r="ME40" s="2854"/>
      <c r="MF40" s="2854"/>
      <c r="MG40" s="2854"/>
      <c r="MH40" s="2854"/>
      <c r="MI40" s="2854"/>
      <c r="MJ40" s="2854"/>
      <c r="MK40" s="2854"/>
      <c r="ML40" s="2854"/>
      <c r="MM40" s="2854"/>
      <c r="MN40" s="2854"/>
      <c r="MO40" s="2854"/>
      <c r="MP40" s="2854"/>
      <c r="MQ40" s="2854"/>
      <c r="MR40" s="2854"/>
      <c r="MS40" s="2854"/>
      <c r="MT40" s="2854"/>
      <c r="MU40" s="2854"/>
      <c r="MV40" s="2854"/>
      <c r="MW40" s="2854"/>
      <c r="MX40" s="2854"/>
      <c r="MY40" s="2854"/>
      <c r="MZ40" s="2854"/>
      <c r="NA40" s="2854"/>
      <c r="NB40" s="2854"/>
      <c r="NC40" s="2854"/>
      <c r="ND40" s="2854"/>
      <c r="NE40" s="2854"/>
      <c r="NF40" s="2854"/>
      <c r="NG40" s="2854"/>
      <c r="NH40" s="2854"/>
      <c r="NI40" s="2854"/>
      <c r="NJ40" s="2854"/>
      <c r="NK40" s="2854"/>
      <c r="NL40" s="2854"/>
      <c r="NM40" s="2854"/>
      <c r="NN40" s="2854"/>
      <c r="NO40" s="2854"/>
      <c r="NP40" s="2854"/>
      <c r="NQ40" s="2854"/>
      <c r="NR40" s="2854"/>
      <c r="NS40" s="2854"/>
      <c r="NT40" s="2854"/>
      <c r="NU40" s="2854"/>
      <c r="NV40" s="2854"/>
      <c r="NW40" s="2854"/>
      <c r="NX40" s="2854"/>
      <c r="NY40" s="2854"/>
      <c r="NZ40" s="2854"/>
      <c r="OA40" s="2854"/>
      <c r="OB40" s="2854"/>
      <c r="OC40" s="2854"/>
      <c r="OD40" s="2854"/>
      <c r="OE40" s="2854"/>
      <c r="OF40" s="2854"/>
      <c r="OG40" s="2854"/>
      <c r="OH40" s="2854"/>
      <c r="OI40" s="2854"/>
      <c r="OJ40" s="2854"/>
      <c r="OK40" s="2854"/>
      <c r="OL40" s="2854"/>
      <c r="OM40" s="2854"/>
      <c r="ON40" s="2854"/>
      <c r="OO40" s="2854"/>
      <c r="OP40" s="2854"/>
      <c r="OQ40" s="2854"/>
      <c r="OR40" s="2854"/>
      <c r="OS40" s="2854"/>
      <c r="OT40" s="2854"/>
      <c r="OU40" s="2854"/>
      <c r="OV40" s="2854"/>
      <c r="OW40" s="2854"/>
      <c r="OX40" s="2854"/>
      <c r="OY40" s="2854"/>
      <c r="OZ40" s="2854"/>
      <c r="PA40" s="2854"/>
      <c r="PB40" s="2854"/>
      <c r="PC40" s="2854"/>
      <c r="PD40" s="2854"/>
      <c r="PE40" s="2854"/>
      <c r="PF40" s="2854"/>
      <c r="PG40" s="2854"/>
      <c r="PH40" s="2854"/>
      <c r="PI40" s="2854"/>
      <c r="PJ40" s="2854"/>
      <c r="PK40" s="2854"/>
      <c r="PL40" s="2854"/>
      <c r="PM40" s="2854"/>
      <c r="PN40" s="2854"/>
      <c r="PO40" s="2854"/>
      <c r="PP40" s="2854"/>
      <c r="PQ40" s="2854"/>
      <c r="PR40" s="2854"/>
      <c r="PS40" s="2854"/>
      <c r="PT40" s="2854"/>
      <c r="PU40" s="2854"/>
      <c r="PV40" s="2854"/>
      <c r="PW40" s="2854"/>
      <c r="PX40" s="2854"/>
      <c r="PY40" s="2854"/>
      <c r="PZ40" s="2854"/>
      <c r="QA40" s="2854"/>
      <c r="QB40" s="2854"/>
      <c r="QC40" s="2854"/>
      <c r="QD40" s="2854"/>
      <c r="QE40" s="2854"/>
      <c r="QF40" s="2854"/>
      <c r="QG40" s="2854"/>
      <c r="QH40" s="2854"/>
      <c r="QI40" s="2854"/>
      <c r="QJ40" s="2854"/>
      <c r="QK40" s="2854"/>
      <c r="QL40" s="2854"/>
      <c r="QM40" s="2854"/>
      <c r="QN40" s="2854"/>
      <c r="QO40" s="2854"/>
      <c r="QP40" s="2854"/>
      <c r="QQ40" s="2854"/>
      <c r="QR40" s="2854"/>
      <c r="QS40" s="2854"/>
      <c r="QT40" s="2854"/>
      <c r="QU40" s="2854"/>
      <c r="QV40" s="2854"/>
      <c r="QW40" s="2854"/>
      <c r="QX40" s="2854"/>
      <c r="QY40" s="2854"/>
      <c r="QZ40" s="2854"/>
      <c r="RA40" s="2854"/>
      <c r="RB40" s="2854"/>
      <c r="RC40" s="2854"/>
      <c r="RD40" s="2854"/>
      <c r="RE40" s="2854"/>
      <c r="RF40" s="2854"/>
      <c r="RG40" s="2854"/>
      <c r="RH40" s="2854"/>
      <c r="RI40" s="2854"/>
      <c r="RJ40" s="2854"/>
      <c r="RK40" s="2854"/>
      <c r="RL40" s="2854"/>
      <c r="RM40" s="2854"/>
      <c r="RN40" s="2854"/>
      <c r="RO40" s="2854"/>
      <c r="RP40" s="2854"/>
      <c r="RQ40" s="2854"/>
      <c r="RR40" s="2854"/>
      <c r="RS40" s="2854"/>
      <c r="RT40" s="2854"/>
      <c r="RU40" s="2854"/>
      <c r="RV40" s="2854"/>
      <c r="RW40" s="2854"/>
      <c r="RX40" s="2854"/>
      <c r="RY40" s="2854"/>
      <c r="RZ40" s="2854"/>
      <c r="SA40" s="2854"/>
      <c r="SB40" s="2854"/>
      <c r="SC40" s="2854"/>
      <c r="SD40" s="2854"/>
      <c r="SE40" s="2854"/>
      <c r="SF40" s="2854"/>
      <c r="SG40" s="2854"/>
      <c r="SH40" s="2854"/>
      <c r="SI40" s="2854"/>
      <c r="SJ40" s="2854"/>
      <c r="SK40" s="2854"/>
      <c r="SL40" s="2854"/>
      <c r="SM40" s="2854"/>
      <c r="SN40" s="2854"/>
      <c r="SO40" s="2854"/>
      <c r="SP40" s="2854"/>
      <c r="SQ40" s="2854"/>
      <c r="SR40" s="2854"/>
      <c r="SS40" s="2854"/>
      <c r="ST40" s="2854"/>
      <c r="SU40" s="2854"/>
      <c r="SV40" s="2854"/>
      <c r="SW40" s="2854"/>
      <c r="SX40" s="2854"/>
      <c r="SY40" s="2854"/>
      <c r="SZ40" s="2854"/>
      <c r="TA40" s="2854"/>
      <c r="TB40" s="2854"/>
      <c r="TC40" s="2854"/>
      <c r="TD40" s="2854"/>
      <c r="TE40" s="2854"/>
      <c r="TF40" s="2854"/>
      <c r="TG40" s="2854"/>
      <c r="TH40" s="2854"/>
      <c r="TI40" s="2854"/>
      <c r="TJ40" s="2854"/>
      <c r="TK40" s="2854"/>
      <c r="TL40" s="2854"/>
      <c r="TM40" s="2854"/>
      <c r="TN40" s="2854"/>
      <c r="TO40" s="2854"/>
      <c r="TP40" s="2854"/>
      <c r="TQ40" s="2854"/>
      <c r="TR40" s="2854"/>
      <c r="TS40" s="2854"/>
      <c r="TT40" s="2854"/>
      <c r="TU40" s="3783"/>
      <c r="TV40" s="3783"/>
      <c r="TW40" s="3783"/>
      <c r="TX40" s="3783"/>
      <c r="TY40" s="3783"/>
      <c r="TZ40" s="3783"/>
      <c r="UA40" s="3783"/>
      <c r="UB40" s="3783"/>
      <c r="UC40" s="3783"/>
      <c r="UD40" s="3783"/>
      <c r="UE40" s="3783"/>
      <c r="UF40" s="3783"/>
      <c r="UG40" s="3783"/>
      <c r="UH40" s="3783"/>
      <c r="UI40" s="3783"/>
      <c r="UJ40" s="3783"/>
      <c r="UK40" s="3783"/>
      <c r="UL40" s="3783"/>
      <c r="UM40" s="3783"/>
      <c r="UN40" s="3783"/>
      <c r="UO40" s="3783"/>
      <c r="UP40" s="2854"/>
      <c r="UQ40" s="2854"/>
      <c r="UR40" s="2854"/>
      <c r="US40" s="2854"/>
      <c r="UT40" s="2854"/>
      <c r="UU40" s="2854"/>
      <c r="UV40" s="2854"/>
      <c r="UW40" s="2854"/>
      <c r="UX40" s="2854"/>
      <c r="UY40" s="2854"/>
      <c r="UZ40" s="2854"/>
      <c r="VA40" s="2854"/>
      <c r="VB40" s="2854"/>
      <c r="VC40" s="2854"/>
      <c r="VD40" s="2854"/>
      <c r="VE40" s="2854"/>
      <c r="VF40" s="2854"/>
      <c r="VG40" s="2854"/>
      <c r="VH40" s="2854"/>
      <c r="VI40" s="2854"/>
      <c r="VJ40" s="2854"/>
      <c r="VK40" s="2854"/>
      <c r="VL40" s="2854"/>
      <c r="VM40" s="2854"/>
      <c r="VN40" s="2854"/>
      <c r="VO40" s="2854"/>
      <c r="VP40" s="2854"/>
      <c r="VQ40" s="2854"/>
      <c r="VR40" s="2854"/>
      <c r="VS40" s="2854"/>
      <c r="VT40" s="2854"/>
      <c r="VU40" s="2854"/>
      <c r="VV40" s="2854"/>
      <c r="VW40" s="2854"/>
      <c r="VX40" s="2854"/>
      <c r="VY40" s="2854"/>
      <c r="VZ40" s="2854"/>
      <c r="WA40" s="2854"/>
      <c r="WB40" s="2854"/>
      <c r="WC40" s="2854"/>
      <c r="WD40" s="2854"/>
      <c r="WE40" s="2854"/>
      <c r="WF40" s="2854"/>
      <c r="WG40" s="2854"/>
      <c r="WH40" s="2854"/>
      <c r="WI40" s="2854"/>
      <c r="WJ40" s="2854"/>
      <c r="WK40" s="2854"/>
      <c r="WL40" s="2854"/>
      <c r="WM40" s="2854"/>
      <c r="WN40" s="2854"/>
      <c r="WO40" s="2854"/>
      <c r="WP40" s="2854"/>
      <c r="WQ40" s="2854"/>
      <c r="WR40" s="2854"/>
      <c r="WS40" s="2854"/>
      <c r="WT40" s="2854"/>
      <c r="WU40" s="2854"/>
      <c r="WV40" s="2854"/>
      <c r="WW40" s="2854"/>
      <c r="WX40" s="2854"/>
      <c r="WY40" s="2854"/>
      <c r="WZ40" s="2854"/>
      <c r="XA40" s="2854"/>
      <c r="XB40" s="2854"/>
      <c r="XC40" s="2854"/>
      <c r="XD40" s="2854"/>
      <c r="XE40" s="2854"/>
      <c r="XF40" s="2854"/>
      <c r="XG40" s="2854"/>
      <c r="XH40" s="2854"/>
      <c r="XI40" s="2854"/>
      <c r="XJ40" s="2854"/>
      <c r="XK40" s="2854"/>
      <c r="XL40" s="2854"/>
      <c r="XM40" s="2854"/>
      <c r="XN40" s="2854"/>
      <c r="XO40" s="2854"/>
      <c r="XP40" s="2854"/>
      <c r="XQ40" s="2854"/>
      <c r="XR40" s="2854"/>
      <c r="XS40" s="2854"/>
      <c r="XT40" s="2854"/>
      <c r="XU40" s="2854"/>
      <c r="XV40" s="2854"/>
      <c r="XW40" s="2854"/>
      <c r="XX40" s="2854"/>
      <c r="XY40" s="2854"/>
      <c r="XZ40" s="2854"/>
      <c r="YA40" s="2854"/>
      <c r="YB40" s="2854"/>
      <c r="YC40" s="2854"/>
      <c r="YD40" s="2854"/>
      <c r="YE40" s="2854"/>
      <c r="YF40" s="2854"/>
      <c r="YG40" s="2854"/>
      <c r="YH40" s="2854"/>
      <c r="YI40" s="2854"/>
      <c r="YJ40" s="2854"/>
      <c r="YK40" s="2854"/>
      <c r="YL40" s="2854"/>
      <c r="YM40" s="2854"/>
      <c r="YN40" s="2854"/>
      <c r="YO40" s="2854"/>
      <c r="YP40" s="2854"/>
      <c r="YQ40" s="2854"/>
      <c r="YR40" s="2854"/>
      <c r="YS40" s="2854"/>
      <c r="YT40" s="2854"/>
      <c r="YU40" s="2854"/>
      <c r="YV40" s="2854"/>
      <c r="YW40" s="2854"/>
      <c r="YX40" s="2854"/>
      <c r="YY40" s="2854"/>
      <c r="YZ40" s="2854"/>
      <c r="ZA40" s="2854"/>
      <c r="ZB40" s="2854"/>
      <c r="ZC40" s="2854"/>
      <c r="ZD40" s="2854"/>
      <c r="ZE40" s="2854"/>
      <c r="ZF40" s="2854"/>
      <c r="ZG40" s="2854"/>
      <c r="ZH40" s="2854"/>
      <c r="ZI40" s="2854"/>
      <c r="ZJ40" s="2854"/>
      <c r="ZK40" s="2854"/>
      <c r="ZL40" s="2854"/>
      <c r="ZM40" s="2854"/>
      <c r="ZN40" s="2854"/>
      <c r="ZO40" s="2854"/>
      <c r="ZP40" s="2854"/>
      <c r="ZQ40" s="2854"/>
      <c r="ZR40" s="2854"/>
      <c r="ZS40" s="2854"/>
      <c r="ZT40" s="2854"/>
      <c r="ZU40" s="2854"/>
      <c r="ZV40" s="2854"/>
      <c r="ZW40" s="2854"/>
      <c r="ZX40" s="2854"/>
      <c r="ZY40" s="2854"/>
      <c r="ZZ40" s="2854"/>
      <c r="AAA40" s="2854"/>
      <c r="AAB40" s="2854"/>
      <c r="AAC40" s="2854"/>
      <c r="AAD40" s="2854"/>
      <c r="AAE40" s="2854"/>
      <c r="AAF40" s="2854"/>
      <c r="AAG40" s="2854"/>
      <c r="AAH40" s="2854"/>
      <c r="AAI40" s="2854"/>
      <c r="AAJ40" s="2854"/>
      <c r="AAK40" s="2854"/>
      <c r="AAL40" s="2854"/>
      <c r="AAM40" s="2854"/>
      <c r="AAN40" s="2854"/>
      <c r="AAO40" s="2854"/>
      <c r="AAP40" s="2854"/>
      <c r="AAQ40" s="2854"/>
      <c r="AAR40" s="2854"/>
      <c r="AAS40" s="2854"/>
      <c r="AAT40" s="2854"/>
      <c r="AAU40" s="2854"/>
      <c r="AAV40" s="2854"/>
      <c r="AAW40" s="2854"/>
      <c r="AAX40" s="2854"/>
      <c r="AAY40" s="2854"/>
      <c r="AAZ40" s="2854"/>
      <c r="ABA40" s="2854"/>
      <c r="ABB40" s="2854"/>
      <c r="ABC40" s="2854"/>
      <c r="ABD40" s="2854"/>
      <c r="ABE40" s="2854"/>
      <c r="ABF40" s="2854"/>
      <c r="ABG40" s="2854"/>
      <c r="ABH40" s="2854"/>
      <c r="ABI40" s="2854"/>
      <c r="ABJ40" s="2854"/>
      <c r="ABK40" s="2854"/>
      <c r="ABL40" s="2854"/>
      <c r="ABM40" s="2854"/>
      <c r="ABN40" s="2854"/>
      <c r="ABO40" s="2854"/>
      <c r="ABP40" s="2854"/>
      <c r="ABQ40" s="2854"/>
      <c r="ABR40" s="2854"/>
      <c r="ABS40" s="2854"/>
      <c r="ABT40" s="2854"/>
      <c r="ABU40" s="2854"/>
      <c r="ABV40" s="2854"/>
      <c r="ABW40" s="2854"/>
      <c r="ABX40" s="2854"/>
      <c r="ABY40" s="2854"/>
      <c r="ABZ40" s="2854"/>
      <c r="ACA40" s="2854"/>
      <c r="ACB40" s="2854"/>
      <c r="ACC40" s="2854"/>
      <c r="ACD40" s="2854"/>
      <c r="ACE40" s="2854"/>
      <c r="ACF40" s="2854"/>
      <c r="ACG40" s="2854"/>
      <c r="ACH40" s="2854"/>
      <c r="ACI40" s="2854"/>
      <c r="ACJ40" s="2854"/>
      <c r="ACK40" s="2854"/>
      <c r="ACL40" s="2854"/>
      <c r="ACM40" s="2854"/>
      <c r="ACN40" s="2854"/>
      <c r="ACO40" s="2854"/>
      <c r="ACP40" s="2854"/>
      <c r="ACQ40" s="2854"/>
      <c r="ACR40" s="2854"/>
      <c r="ACS40" s="2854"/>
      <c r="ACT40" s="2854"/>
      <c r="ACU40" s="2854"/>
      <c r="ACV40" s="2854"/>
      <c r="ACW40" s="2854"/>
      <c r="ACX40" s="2854"/>
      <c r="ACY40" s="2854"/>
      <c r="ACZ40" s="2854"/>
      <c r="ADA40" s="2854"/>
      <c r="ADB40" s="2854"/>
      <c r="ADC40" s="2854"/>
      <c r="ADD40" s="2854"/>
      <c r="ADE40" s="2854"/>
      <c r="ADF40" s="2854"/>
      <c r="ADG40" s="2854"/>
      <c r="ADH40" s="2854"/>
      <c r="ADI40" s="2854"/>
      <c r="ADJ40" s="2854"/>
      <c r="ADK40" s="2854"/>
      <c r="ADL40" s="2854"/>
      <c r="ADM40" s="2854"/>
      <c r="ADN40" s="2854"/>
      <c r="ADO40" s="2854"/>
      <c r="ADP40" s="2854"/>
      <c r="ADQ40" s="2854"/>
      <c r="ADR40" s="2854"/>
      <c r="ADS40" s="2854"/>
      <c r="ADT40" s="2854"/>
      <c r="ADU40" s="2854"/>
      <c r="ADV40" s="2854"/>
      <c r="ADW40" s="2854"/>
      <c r="ADX40" s="2854"/>
      <c r="ADY40" s="2854"/>
      <c r="ADZ40" s="2854"/>
      <c r="AEA40" s="2854"/>
      <c r="AEB40" s="2854"/>
      <c r="AEC40" s="2854"/>
      <c r="AED40" s="2854"/>
      <c r="AEE40" s="2854"/>
      <c r="AEF40" s="2854"/>
      <c r="AEG40" s="2854"/>
      <c r="AEH40" s="2854"/>
      <c r="AEI40" s="2854"/>
      <c r="AEJ40" s="2854"/>
      <c r="AEK40" s="2854"/>
      <c r="AEL40" s="2854"/>
      <c r="AEM40" s="2854"/>
      <c r="AEN40" s="2854"/>
      <c r="AEO40" s="2854"/>
      <c r="AEP40" s="2854"/>
      <c r="AEQ40" s="2854"/>
      <c r="AER40" s="2854"/>
      <c r="AES40" s="2854"/>
      <c r="AET40" s="2854"/>
      <c r="AEU40" s="2854"/>
      <c r="AEV40" s="2854"/>
      <c r="AEW40" s="2854"/>
      <c r="AEX40" s="2854"/>
      <c r="AEY40" s="2854"/>
      <c r="AEZ40" s="2854"/>
      <c r="AFA40" s="2854"/>
      <c r="AFB40" s="2854"/>
      <c r="AFC40" s="2854"/>
      <c r="AFD40" s="2854"/>
      <c r="AFE40" s="2854"/>
      <c r="AFF40" s="2854"/>
      <c r="AFG40" s="2854"/>
      <c r="AFH40" s="2854"/>
      <c r="AFI40" s="2854"/>
      <c r="AFJ40" s="2854"/>
      <c r="AFK40" s="2854"/>
      <c r="AFL40" s="2854"/>
      <c r="AFM40" s="2854"/>
      <c r="AFN40" s="2854"/>
      <c r="AFO40" s="2854"/>
      <c r="AFP40" s="2854"/>
      <c r="AFQ40" s="2854"/>
      <c r="AFR40" s="2854"/>
      <c r="AFS40" s="2854"/>
      <c r="AFT40" s="2854"/>
      <c r="AFU40" s="2854"/>
      <c r="AFV40" s="2854"/>
      <c r="AFW40" s="2854"/>
      <c r="AFX40" s="2854"/>
      <c r="AFY40" s="2854"/>
      <c r="AFZ40" s="2854"/>
      <c r="AGA40" s="2854"/>
      <c r="AGB40" s="2854"/>
      <c r="AGC40" s="2854"/>
      <c r="AGD40" s="2854"/>
      <c r="AGE40" s="2854"/>
      <c r="AGF40" s="2854"/>
      <c r="AGG40" s="2854"/>
      <c r="AGH40" s="2854"/>
      <c r="AGI40" s="2854"/>
      <c r="AGJ40" s="2854"/>
      <c r="AGK40" s="2854"/>
      <c r="AGL40" s="2854"/>
      <c r="AGM40" s="2854"/>
      <c r="AGN40" s="2854"/>
      <c r="AGO40" s="2854"/>
      <c r="AGP40" s="2854"/>
      <c r="AGQ40" s="2854"/>
      <c r="AGR40" s="2854"/>
      <c r="AGS40" s="2854"/>
      <c r="AGT40" s="2854"/>
      <c r="AGU40" s="2854"/>
      <c r="AGV40" s="2854"/>
      <c r="AGW40" s="2854"/>
      <c r="AGX40" s="2854"/>
      <c r="AGY40" s="2854"/>
      <c r="AGZ40" s="2854"/>
      <c r="AHA40" s="2854"/>
      <c r="AHB40" s="2854"/>
      <c r="AHC40" s="2854"/>
      <c r="AHD40" s="2854"/>
      <c r="AHE40" s="2854"/>
      <c r="AHF40" s="2854"/>
      <c r="AHG40" s="2854"/>
      <c r="AHH40" s="2854"/>
      <c r="AHI40" s="2854"/>
      <c r="AHJ40" s="2854"/>
      <c r="AHK40" s="2854"/>
      <c r="AHL40" s="2854"/>
      <c r="AHM40" s="2854"/>
      <c r="AHN40" s="2854"/>
      <c r="AHO40" s="2854"/>
      <c r="AHP40" s="2854"/>
      <c r="AHQ40" s="2854"/>
      <c r="AHR40" s="2854"/>
      <c r="AHS40" s="2854"/>
      <c r="AHT40" s="2854"/>
      <c r="AHU40" s="2854"/>
      <c r="AHV40" s="2854"/>
      <c r="AHW40" s="2854"/>
      <c r="AHX40" s="2854"/>
      <c r="AHY40" s="2854"/>
      <c r="AHZ40" s="2854"/>
      <c r="AIA40" s="2854"/>
      <c r="AIB40" s="2854"/>
      <c r="AIC40" s="2854"/>
      <c r="AID40" s="2854"/>
      <c r="AIE40" s="2854"/>
      <c r="AIF40" s="2854"/>
      <c r="AIG40" s="2854"/>
      <c r="AIH40" s="2854"/>
      <c r="AII40" s="2854"/>
      <c r="AIJ40" s="2854"/>
      <c r="AIK40" s="2854"/>
      <c r="AIL40" s="2854"/>
      <c r="AIM40" s="2854"/>
      <c r="AIN40" s="2854"/>
      <c r="AIO40" s="2854"/>
      <c r="AIP40" s="2854"/>
      <c r="AIQ40" s="2854"/>
      <c r="AIR40" s="2854"/>
      <c r="AIS40" s="2854"/>
      <c r="AIT40" s="2854"/>
      <c r="AIU40" s="2854"/>
      <c r="AIV40" s="2854"/>
      <c r="AIW40" s="2854"/>
      <c r="AIX40" s="2854"/>
      <c r="AIY40" s="2854"/>
      <c r="AIZ40" s="2854"/>
      <c r="AJA40" s="2854"/>
      <c r="AJB40" s="2854"/>
      <c r="AJC40" s="2854"/>
      <c r="AJD40" s="2854"/>
      <c r="AJE40" s="2854"/>
      <c r="AJF40" s="2854"/>
      <c r="AJG40" s="2854"/>
      <c r="AJH40" s="2854"/>
      <c r="AJI40" s="2854"/>
      <c r="AJJ40" s="2854"/>
      <c r="AJK40" s="2854"/>
      <c r="AJL40" s="2854"/>
      <c r="AJM40" s="2854"/>
      <c r="AJN40" s="2854"/>
      <c r="AJO40" s="2854"/>
      <c r="AJP40" s="2854"/>
      <c r="AJQ40" s="2854"/>
      <c r="AJR40" s="2854"/>
      <c r="AJS40" s="2854"/>
      <c r="AJT40" s="2854"/>
      <c r="AJU40" s="2854"/>
      <c r="AJV40" s="2854"/>
      <c r="AJW40" s="2854"/>
      <c r="AJX40" s="2854"/>
      <c r="AJY40" s="2854"/>
      <c r="AJZ40" s="2854"/>
      <c r="AKA40" s="2854"/>
      <c r="AKB40" s="2854"/>
      <c r="AKC40" s="2854"/>
      <c r="AKD40" s="2854"/>
      <c r="AKE40" s="2854"/>
      <c r="AKF40" s="2854"/>
      <c r="AKG40" s="2854"/>
      <c r="AKH40" s="2854"/>
      <c r="AKI40" s="2854"/>
      <c r="AKJ40" s="2854"/>
      <c r="AKK40" s="2854"/>
      <c r="AKL40" s="2854"/>
      <c r="AKM40" s="2854"/>
      <c r="AKN40" s="2854"/>
      <c r="AKO40" s="2854"/>
      <c r="AKP40" s="2854"/>
      <c r="AKQ40" s="2854"/>
      <c r="AKR40" s="2854"/>
      <c r="AKS40" s="2854"/>
      <c r="AKT40" s="2854"/>
      <c r="AKU40" s="2854"/>
      <c r="AKV40" s="2854"/>
      <c r="AKW40" s="2854"/>
      <c r="AKX40" s="2854"/>
      <c r="AKY40" s="2854"/>
      <c r="AKZ40" s="2854"/>
      <c r="ALA40" s="2854"/>
      <c r="ALB40" s="2854"/>
      <c r="ALC40" s="2854"/>
      <c r="ALD40" s="2854"/>
      <c r="ALE40" s="2854"/>
      <c r="ALF40" s="2854"/>
      <c r="ALG40" s="2854"/>
      <c r="ALH40" s="2854"/>
      <c r="ALI40" s="2854"/>
      <c r="ALJ40" s="2854"/>
      <c r="ALK40" s="2854"/>
      <c r="ALL40" s="2854"/>
      <c r="ALM40" s="2854"/>
      <c r="ALN40" s="2854"/>
      <c r="ALO40" s="2854"/>
      <c r="ALP40" s="2854"/>
      <c r="ALQ40" s="2854"/>
      <c r="ALR40" s="2854"/>
      <c r="ALS40" s="2854"/>
      <c r="ALT40" s="2854"/>
      <c r="ALU40" s="2854"/>
      <c r="ALV40" s="2854"/>
      <c r="ALW40" s="2854"/>
      <c r="ALX40" s="2854"/>
      <c r="ALY40" s="2854"/>
      <c r="ALZ40" s="2854"/>
      <c r="AMA40" s="2854"/>
      <c r="AMB40" s="2854"/>
      <c r="AMC40" s="2854"/>
      <c r="AMD40" s="2854"/>
      <c r="AME40" s="2854"/>
      <c r="AMF40" s="2854"/>
      <c r="AMG40" s="2854"/>
      <c r="AMH40" s="2854"/>
      <c r="AMI40" s="2854"/>
      <c r="AMJ40" s="2854"/>
      <c r="AMK40" s="2854"/>
      <c r="AML40" s="2854"/>
      <c r="AMM40" s="2854"/>
      <c r="AMN40" s="2854"/>
      <c r="AMO40" s="2854"/>
      <c r="AMP40" s="2854"/>
      <c r="AMQ40" s="2854"/>
      <c r="AMR40" s="2854"/>
      <c r="AMS40" s="2854"/>
      <c r="AMT40" s="2854"/>
      <c r="AMU40" s="2854"/>
      <c r="AMV40" s="2854"/>
      <c r="AMW40" s="2854"/>
      <c r="AMX40" s="2854"/>
      <c r="AMY40" s="2854"/>
      <c r="AMZ40" s="2854"/>
      <c r="ANA40" s="2854"/>
      <c r="ANB40" s="2854"/>
      <c r="ANC40" s="2854"/>
      <c r="AND40" s="2854"/>
      <c r="ANE40" s="2854"/>
      <c r="ANF40" s="2854"/>
      <c r="ANG40" s="2854"/>
      <c r="ANH40" s="2854"/>
      <c r="ANI40" s="2854"/>
      <c r="ANJ40" s="2854"/>
      <c r="ANK40" s="2854"/>
      <c r="ANL40" s="2854"/>
      <c r="ANM40" s="2854"/>
      <c r="ANN40" s="2854"/>
      <c r="ANO40" s="2854"/>
      <c r="ANP40" s="2854"/>
      <c r="ANQ40" s="2854"/>
      <c r="ANR40" s="2854"/>
      <c r="ANS40" s="2854"/>
      <c r="ANT40" s="2854"/>
      <c r="ANU40" s="2854"/>
      <c r="ANV40" s="2854"/>
      <c r="ANW40" s="2854"/>
      <c r="ANX40" s="2854"/>
      <c r="ANY40" s="2854"/>
      <c r="ANZ40" s="2854"/>
      <c r="AOA40" s="2854"/>
      <c r="AOB40" s="2854"/>
      <c r="AOC40" s="2854"/>
      <c r="AOD40" s="2854"/>
      <c r="AOE40" s="2854"/>
      <c r="AOF40" s="2854"/>
      <c r="AOG40" s="2854"/>
      <c r="AOH40" s="2854"/>
      <c r="AOI40" s="2854"/>
      <c r="AOJ40" s="2854"/>
      <c r="AOK40" s="2854"/>
      <c r="AOL40" s="2854"/>
      <c r="AOM40" s="2854"/>
      <c r="AON40" s="2854"/>
      <c r="AOO40" s="2854"/>
      <c r="AOP40" s="2854"/>
      <c r="AOQ40" s="2854"/>
      <c r="AOR40" s="2854"/>
      <c r="AOS40" s="2854"/>
      <c r="AOT40" s="2854"/>
      <c r="AOU40" s="2854"/>
      <c r="AOV40" s="2854"/>
      <c r="AOW40" s="2854"/>
      <c r="AOX40" s="2854"/>
      <c r="AOY40" s="2854"/>
      <c r="AOZ40" s="2854"/>
      <c r="APA40" s="2854"/>
      <c r="APB40" s="2854"/>
      <c r="APC40" s="2854"/>
      <c r="APD40" s="2854"/>
      <c r="APE40" s="2854"/>
      <c r="APF40" s="2854"/>
      <c r="APG40" s="2854"/>
      <c r="APH40" s="2854"/>
      <c r="API40" s="2854"/>
      <c r="APJ40" s="2854"/>
      <c r="APK40" s="2854"/>
      <c r="APL40" s="2854"/>
      <c r="APM40" s="2854"/>
      <c r="APN40" s="2854"/>
      <c r="APO40" s="2854"/>
      <c r="APP40" s="2854"/>
      <c r="APQ40" s="2854"/>
      <c r="APR40" s="2854"/>
      <c r="APS40" s="2854"/>
      <c r="APT40" s="2854"/>
      <c r="APU40" s="2854"/>
      <c r="APV40" s="2854"/>
      <c r="APW40" s="2854"/>
      <c r="APX40" s="2854"/>
      <c r="APY40" s="2854"/>
      <c r="APZ40" s="2854"/>
      <c r="AQA40" s="2854"/>
      <c r="AQB40" s="2854"/>
      <c r="AQC40" s="2854"/>
      <c r="AQD40" s="2854"/>
      <c r="AQE40" s="2854"/>
      <c r="AQF40" s="2854"/>
      <c r="AQG40" s="2854"/>
      <c r="AQH40" s="2854"/>
      <c r="AQI40" s="2854"/>
      <c r="AQJ40" s="2854"/>
      <c r="AQK40" s="2854"/>
      <c r="AQL40" s="2854"/>
      <c r="AQM40" s="2854"/>
      <c r="AQN40" s="2854"/>
      <c r="AQO40" s="2854"/>
      <c r="AQP40" s="2854"/>
      <c r="AQQ40" s="2854"/>
      <c r="AQR40" s="2854"/>
      <c r="AQS40" s="2854"/>
      <c r="AQT40" s="2854"/>
      <c r="AQU40" s="2854"/>
      <c r="AQV40" s="2854"/>
      <c r="AQW40" s="2854"/>
      <c r="AQX40" s="2854"/>
      <c r="AQY40" s="2854"/>
      <c r="AQZ40" s="2854"/>
      <c r="ARA40" s="2854"/>
      <c r="ARB40" s="2854"/>
      <c r="ARC40" s="2854"/>
      <c r="ARD40" s="2854"/>
      <c r="ARE40" s="2854"/>
      <c r="ARF40" s="2854"/>
      <c r="ARG40" s="2854"/>
      <c r="ARH40" s="2854"/>
      <c r="ARI40" s="2854"/>
      <c r="ARJ40" s="2854"/>
      <c r="ARK40" s="2854"/>
      <c r="ARL40" s="2854"/>
      <c r="ARM40" s="2854"/>
      <c r="ARN40" s="2854"/>
      <c r="ARO40" s="2854"/>
      <c r="ARP40" s="2854"/>
      <c r="ARQ40" s="2854"/>
      <c r="ARR40" s="2854"/>
      <c r="ARS40" s="2854"/>
      <c r="ART40" s="2854"/>
      <c r="ARU40" s="2854"/>
      <c r="ARV40" s="2854"/>
      <c r="ARW40" s="2854"/>
      <c r="ARX40" s="2854"/>
      <c r="ARY40" s="2854"/>
      <c r="ARZ40" s="2854"/>
      <c r="ASA40" s="2854"/>
      <c r="ASB40" s="2854"/>
      <c r="ASC40" s="2854"/>
      <c r="ASD40" s="2854"/>
      <c r="ASE40" s="2854"/>
      <c r="ASF40" s="2854"/>
      <c r="ASG40" s="2854"/>
      <c r="ASH40" s="2854"/>
      <c r="ASI40" s="2854"/>
      <c r="ASJ40" s="2854"/>
      <c r="ASK40" s="2854"/>
      <c r="ASL40" s="2854"/>
      <c r="ASM40" s="2854"/>
      <c r="ASN40" s="2854"/>
      <c r="ASO40" s="2854"/>
      <c r="ASP40" s="2854"/>
      <c r="ASQ40" s="2854"/>
      <c r="ASR40" s="2854"/>
      <c r="ASS40" s="2854"/>
      <c r="AST40" s="2854"/>
      <c r="ASU40" s="2854"/>
      <c r="ASV40" s="2854"/>
      <c r="ASW40" s="2854"/>
      <c r="ASX40" s="2854"/>
      <c r="ASY40" s="2854"/>
      <c r="ASZ40" s="2854"/>
      <c r="ATA40" s="2854"/>
      <c r="ATB40" s="2854"/>
      <c r="ATC40" s="2854"/>
      <c r="ATD40" s="2854"/>
      <c r="ATE40" s="2854"/>
      <c r="ATF40" s="2854"/>
      <c r="ATG40" s="2854"/>
      <c r="ATH40" s="2854"/>
      <c r="ATI40" s="2854"/>
      <c r="ATJ40" s="2854"/>
      <c r="ATK40" s="2854"/>
      <c r="ATL40" s="2854"/>
      <c r="ATM40" s="2854"/>
      <c r="ATN40" s="2854"/>
      <c r="ATO40" s="2854"/>
      <c r="ATP40" s="2854"/>
      <c r="ATQ40" s="2854"/>
      <c r="ATR40" s="2854"/>
      <c r="ATS40" s="2854"/>
      <c r="ATT40" s="2854"/>
      <c r="ATU40" s="2854"/>
      <c r="ATV40" s="2854"/>
      <c r="ATW40" s="2854"/>
      <c r="ATX40" s="2854"/>
      <c r="ATY40" s="2854"/>
      <c r="ATZ40" s="2854"/>
      <c r="AUA40" s="2854"/>
      <c r="AUB40" s="2854"/>
      <c r="AUC40" s="2854"/>
      <c r="AUD40" s="2854"/>
      <c r="AUE40" s="2854"/>
      <c r="AUF40" s="2854"/>
      <c r="AUG40" s="2854"/>
      <c r="AUH40" s="2854"/>
      <c r="AUI40" s="2854"/>
      <c r="AUJ40" s="2854"/>
      <c r="AUK40" s="2854"/>
      <c r="AUL40" s="2854"/>
      <c r="AUM40" s="2854"/>
      <c r="AUN40" s="2854"/>
      <c r="AUO40" s="2854"/>
      <c r="AUP40" s="2854"/>
      <c r="AUQ40" s="2854"/>
      <c r="AUR40" s="2854"/>
      <c r="AUS40" s="2854"/>
      <c r="AUT40" s="2854"/>
      <c r="AUU40" s="2854"/>
      <c r="AUV40" s="2854"/>
      <c r="AUW40" s="2854"/>
      <c r="AUX40" s="2854"/>
      <c r="AUY40" s="2854"/>
      <c r="AUZ40" s="2854"/>
      <c r="AVA40" s="2854"/>
      <c r="AVB40" s="2854"/>
      <c r="AVC40" s="2854"/>
      <c r="AVD40" s="2854"/>
      <c r="AVE40" s="2854"/>
      <c r="AVF40" s="2854"/>
      <c r="AVG40" s="2854"/>
      <c r="AVH40" s="2854"/>
      <c r="AVI40" s="2854"/>
      <c r="AVJ40" s="2854"/>
      <c r="AVK40" s="2854"/>
      <c r="AVL40" s="2854"/>
      <c r="AVM40" s="2854"/>
      <c r="AVN40" s="2854"/>
      <c r="AVO40" s="2854"/>
      <c r="AVP40" s="2854"/>
      <c r="AVQ40" s="2854"/>
      <c r="AVR40" s="2854"/>
      <c r="AVS40" s="2854"/>
      <c r="AVT40" s="2854"/>
      <c r="AVU40" s="2854"/>
      <c r="AVV40" s="2854"/>
      <c r="AVW40" s="2854"/>
      <c r="AVX40" s="2854"/>
      <c r="AVY40" s="2854"/>
      <c r="AVZ40" s="2854"/>
      <c r="AWA40" s="2854"/>
      <c r="AWB40" s="2854"/>
      <c r="AWC40" s="2854"/>
      <c r="AWD40" s="2854"/>
      <c r="AWE40" s="2854"/>
      <c r="AWF40" s="2854"/>
      <c r="AWG40" s="2854"/>
      <c r="AWH40" s="2854"/>
      <c r="AWI40" s="2854"/>
      <c r="AWJ40" s="2854"/>
      <c r="AWK40" s="2854"/>
      <c r="AWL40" s="2854"/>
      <c r="AWM40" s="2854"/>
      <c r="AWN40" s="2854"/>
      <c r="AWO40" s="2854"/>
      <c r="AWP40" s="2854"/>
      <c r="AWQ40" s="2854"/>
      <c r="AWR40" s="2854"/>
      <c r="AWS40" s="2854"/>
      <c r="AWT40" s="2854"/>
      <c r="AWU40" s="2854"/>
      <c r="AWV40" s="2854"/>
      <c r="AWW40" s="2854"/>
      <c r="AWX40" s="2854"/>
      <c r="AWY40" s="2854"/>
      <c r="AWZ40" s="2854"/>
      <c r="AXA40" s="2854"/>
      <c r="AXB40" s="2854"/>
      <c r="AXC40" s="2854"/>
      <c r="AXD40" s="2854"/>
      <c r="AXE40" s="2854"/>
      <c r="AXF40" s="2854"/>
      <c r="AXG40" s="2854"/>
      <c r="AXH40" s="2854"/>
      <c r="AXI40" s="2854"/>
      <c r="AXJ40" s="2854"/>
      <c r="AXK40" s="2854"/>
      <c r="AXL40" s="2854"/>
      <c r="AXM40" s="2854"/>
      <c r="AXN40" s="2854"/>
      <c r="AXO40" s="2854"/>
      <c r="AXP40" s="2854"/>
      <c r="AXQ40" s="2854"/>
      <c r="AXR40" s="2854"/>
      <c r="AXS40" s="2854"/>
      <c r="AXT40" s="2854"/>
      <c r="AXU40" s="2854"/>
      <c r="AXV40" s="2854"/>
      <c r="AXW40" s="2854"/>
      <c r="AXX40" s="2854"/>
      <c r="AXY40" s="2854"/>
      <c r="AXZ40" s="2854"/>
      <c r="AYA40" s="2854"/>
      <c r="AYB40" s="2854"/>
      <c r="AYC40" s="2854"/>
      <c r="AYD40" s="2854"/>
      <c r="AYE40" s="2854"/>
      <c r="AYF40" s="2854"/>
      <c r="AYG40" s="2854"/>
      <c r="AYH40" s="2854"/>
      <c r="AYI40" s="2854"/>
      <c r="AYJ40" s="2854"/>
      <c r="AYK40" s="2854"/>
      <c r="AYL40" s="2854"/>
      <c r="AYM40" s="2854"/>
      <c r="AYN40" s="2854"/>
      <c r="AYO40" s="2854"/>
      <c r="AYP40" s="2854"/>
      <c r="AYQ40" s="2854"/>
      <c r="AYR40" s="2854"/>
      <c r="AYS40" s="2854"/>
      <c r="AYT40" s="2854"/>
      <c r="AYU40" s="2854"/>
      <c r="AYV40" s="2854"/>
      <c r="AYW40" s="2854"/>
      <c r="AYX40" s="2854"/>
      <c r="AYY40" s="2854"/>
      <c r="AYZ40" s="2854"/>
      <c r="AZA40" s="2854"/>
      <c r="AZB40" s="2854"/>
      <c r="AZC40" s="2854"/>
      <c r="AZD40" s="2854"/>
      <c r="AZE40" s="2854"/>
      <c r="AZF40" s="2854"/>
      <c r="AZG40" s="2854"/>
      <c r="AZH40" s="2854"/>
      <c r="AZI40" s="2854"/>
      <c r="AZJ40" s="2854"/>
      <c r="AZK40" s="2854"/>
      <c r="AZL40" s="2854"/>
      <c r="AZM40" s="2854"/>
      <c r="AZN40" s="2854"/>
      <c r="AZO40" s="2854"/>
      <c r="AZP40" s="2854"/>
      <c r="AZQ40" s="2854"/>
      <c r="AZR40" s="2854"/>
      <c r="AZS40" s="2854"/>
      <c r="AZT40" s="2854"/>
      <c r="AZU40" s="2854"/>
      <c r="AZV40" s="2854"/>
      <c r="AZW40" s="2854"/>
      <c r="AZX40" s="2854"/>
      <c r="AZY40" s="2854"/>
      <c r="AZZ40" s="2854"/>
      <c r="BAA40" s="2854"/>
      <c r="BAB40" s="2854"/>
      <c r="BAC40" s="2854"/>
      <c r="BAD40" s="2854"/>
      <c r="BAE40" s="2854"/>
      <c r="BAF40" s="2854"/>
      <c r="BAG40" s="2854"/>
      <c r="BAH40" s="2854"/>
      <c r="BAI40" s="2854"/>
      <c r="BAJ40" s="2854"/>
      <c r="BAK40" s="2854"/>
      <c r="BAL40" s="2854"/>
      <c r="BAM40" s="2854"/>
      <c r="BAN40" s="2854"/>
      <c r="BAO40" s="2854"/>
      <c r="BAP40" s="2854"/>
      <c r="BAQ40" s="2854"/>
      <c r="BAR40" s="2854"/>
      <c r="BAS40" s="2854"/>
      <c r="BAT40" s="2854"/>
      <c r="BAU40" s="2854"/>
      <c r="BAV40" s="2854"/>
      <c r="BAW40" s="2854"/>
      <c r="BAX40" s="2854"/>
      <c r="BAY40" s="2854"/>
      <c r="BAZ40" s="2854"/>
      <c r="BBA40" s="2854"/>
      <c r="BBB40" s="2854"/>
      <c r="BBC40" s="2854"/>
      <c r="BBD40" s="2854"/>
      <c r="BBE40" s="2854"/>
      <c r="BBF40" s="2854"/>
      <c r="BBG40" s="2854"/>
      <c r="BBH40" s="2854"/>
      <c r="BBI40" s="2854"/>
      <c r="BBJ40" s="2854"/>
      <c r="BBK40" s="2854"/>
      <c r="BBL40" s="2854"/>
      <c r="BBM40" s="2854"/>
      <c r="BBN40" s="2854"/>
      <c r="BBO40" s="2854"/>
      <c r="BBP40" s="2854"/>
      <c r="BBQ40" s="2854"/>
      <c r="BBR40" s="2854"/>
      <c r="BBS40" s="2854"/>
      <c r="BBT40" s="2854"/>
      <c r="BBU40" s="2854"/>
      <c r="BBV40" s="2854"/>
      <c r="BBW40" s="2854"/>
      <c r="BBX40" s="2854"/>
      <c r="BBY40" s="2854"/>
      <c r="BBZ40" s="2854"/>
      <c r="BCA40" s="2854"/>
      <c r="BCB40" s="2854"/>
      <c r="BCC40" s="2854"/>
      <c r="BCD40" s="2854"/>
      <c r="BCE40" s="2854"/>
      <c r="BCF40" s="2854"/>
      <c r="BCG40" s="2854"/>
      <c r="BCH40" s="2854"/>
      <c r="BCI40" s="2854"/>
      <c r="BCJ40" s="2854"/>
      <c r="BCK40" s="2854"/>
      <c r="BCL40" s="2854"/>
      <c r="BCM40" s="2854"/>
      <c r="BCN40" s="2854"/>
      <c r="BCO40" s="2854"/>
      <c r="BCP40" s="2854"/>
      <c r="BCQ40" s="2854"/>
      <c r="BCR40" s="2854"/>
      <c r="BCS40" s="2854"/>
      <c r="BCT40" s="2854"/>
      <c r="BCU40" s="2854"/>
      <c r="BCV40" s="2854"/>
      <c r="BCW40" s="2854"/>
      <c r="BCX40" s="2854"/>
      <c r="BCY40" s="2854"/>
      <c r="BCZ40" s="2854"/>
      <c r="BDA40" s="2854"/>
      <c r="BDB40" s="2854"/>
      <c r="BDC40" s="2854"/>
      <c r="BDD40" s="2854"/>
      <c r="BDE40" s="2854"/>
      <c r="BDF40" s="2854"/>
      <c r="BDG40" s="2854"/>
      <c r="BDH40" s="2854"/>
      <c r="BDI40" s="2854"/>
      <c r="BDJ40" s="2854"/>
      <c r="BDK40" s="2854"/>
      <c r="BDL40" s="2854"/>
      <c r="BDM40" s="2854"/>
      <c r="BDN40" s="2854"/>
      <c r="BDO40" s="2854"/>
      <c r="BDP40" s="2854"/>
      <c r="BDQ40" s="2854"/>
      <c r="BDR40" s="2854"/>
      <c r="BDS40" s="2854"/>
      <c r="BDT40" s="2854"/>
      <c r="BDU40" s="2854"/>
      <c r="BDV40" s="2854"/>
      <c r="BDW40" s="2854"/>
      <c r="BDX40" s="2854"/>
      <c r="BDY40" s="2854"/>
      <c r="BDZ40" s="2854"/>
      <c r="BEA40" s="2854"/>
      <c r="BEB40" s="2854"/>
      <c r="BEC40" s="2854"/>
      <c r="BED40" s="2854"/>
      <c r="BEE40" s="2854"/>
      <c r="BEF40" s="2854"/>
      <c r="BEG40" s="2854"/>
      <c r="BEH40" s="2854"/>
      <c r="BEI40" s="2854"/>
      <c r="BEJ40" s="2854"/>
      <c r="BEK40" s="2854"/>
      <c r="BEL40" s="2854"/>
      <c r="BEM40" s="2854"/>
      <c r="BEN40" s="2854"/>
      <c r="BEO40" s="2854"/>
      <c r="BEP40" s="2854"/>
      <c r="BEQ40" s="2854"/>
      <c r="BER40" s="2854"/>
      <c r="BES40" s="2854"/>
      <c r="BET40" s="2854"/>
      <c r="BEU40" s="2854"/>
      <c r="BEV40" s="2854"/>
      <c r="BEW40" s="2854"/>
      <c r="BEX40" s="2854"/>
      <c r="BEY40" s="2854"/>
      <c r="BEZ40" s="2854"/>
      <c r="BFA40" s="2854"/>
      <c r="BFB40" s="2854"/>
      <c r="BFC40" s="2854"/>
      <c r="BFD40" s="2854"/>
      <c r="BFE40" s="2854"/>
      <c r="BFF40" s="2854"/>
      <c r="BFG40" s="2854"/>
      <c r="BFH40" s="2854"/>
      <c r="BFI40" s="2854"/>
      <c r="BFJ40" s="2854"/>
      <c r="BFK40" s="2854"/>
      <c r="BFL40" s="2854"/>
      <c r="BFM40" s="2854"/>
      <c r="BFN40" s="2854"/>
      <c r="BFO40" s="2854"/>
      <c r="BFP40" s="2854"/>
      <c r="BFQ40" s="2854"/>
      <c r="BFR40" s="2854"/>
      <c r="BFS40" s="2854"/>
      <c r="BFT40" s="2854"/>
      <c r="BFU40" s="2854"/>
      <c r="BFV40" s="2854"/>
      <c r="BFW40" s="2854"/>
      <c r="BFX40" s="2854"/>
      <c r="BFY40" s="2854"/>
      <c r="BFZ40" s="2854"/>
      <c r="BGA40" s="2854"/>
      <c r="BGB40" s="2854"/>
      <c r="BGC40" s="2854"/>
      <c r="BGD40" s="2854"/>
      <c r="BGE40" s="2854"/>
      <c r="BGF40" s="2854"/>
      <c r="BGG40" s="2854"/>
      <c r="BGH40" s="2854"/>
      <c r="BGI40" s="2854"/>
      <c r="BGJ40" s="2854"/>
      <c r="BGK40" s="2854"/>
      <c r="BGL40" s="2854"/>
      <c r="BGM40" s="2854"/>
      <c r="BGN40" s="2854"/>
      <c r="BGO40" s="2854"/>
      <c r="BGP40" s="2854"/>
      <c r="BGQ40" s="2854"/>
      <c r="BGR40" s="2854"/>
      <c r="BGS40" s="2854"/>
      <c r="BGT40" s="2854"/>
      <c r="BGU40" s="2854"/>
      <c r="BGV40" s="2854"/>
      <c r="BGW40" s="2854"/>
      <c r="BGX40" s="2854"/>
      <c r="BGY40" s="2854"/>
      <c r="BGZ40" s="2854"/>
      <c r="BHA40" s="2854"/>
      <c r="BHB40" s="2854"/>
      <c r="BHC40" s="2854"/>
      <c r="BHD40" s="2854"/>
      <c r="BHE40" s="2854"/>
      <c r="BHF40" s="2854"/>
      <c r="BHG40" s="2854"/>
      <c r="BHH40" s="2854"/>
      <c r="BHI40" s="2854"/>
      <c r="BHJ40" s="2854"/>
      <c r="BHK40" s="2854"/>
      <c r="BHL40" s="2854"/>
      <c r="BHM40" s="2854"/>
      <c r="BHN40" s="2854"/>
      <c r="BHO40" s="2854"/>
      <c r="BHP40" s="2854"/>
      <c r="BHQ40" s="2854"/>
      <c r="BHR40" s="2854"/>
      <c r="BHS40" s="2854"/>
      <c r="BHT40" s="2854"/>
      <c r="BHU40" s="2854"/>
      <c r="BHV40" s="2854"/>
      <c r="BHW40" s="2854"/>
      <c r="BHX40" s="2854"/>
      <c r="BHY40" s="2854"/>
      <c r="BHZ40" s="2854"/>
      <c r="BIA40" s="2854"/>
      <c r="BIB40" s="2854"/>
      <c r="BIC40" s="2854"/>
      <c r="BID40" s="2854"/>
      <c r="BIE40" s="2854"/>
      <c r="BIF40" s="2854"/>
      <c r="BIG40" s="2854"/>
      <c r="BIH40" s="2854"/>
      <c r="BII40" s="2854"/>
      <c r="BIJ40" s="2854"/>
      <c r="BIK40" s="2854"/>
      <c r="BIL40" s="2854"/>
      <c r="BIM40" s="2854"/>
      <c r="BIN40" s="2854"/>
      <c r="BIO40" s="2854"/>
      <c r="BIP40" s="2854"/>
      <c r="BIQ40" s="2854"/>
      <c r="BIR40" s="2854"/>
      <c r="BIS40" s="2854"/>
      <c r="BIT40" s="2854"/>
      <c r="BIU40" s="2854"/>
      <c r="BIV40" s="2854"/>
      <c r="BIW40" s="2854"/>
      <c r="BIX40" s="2854"/>
      <c r="BIY40" s="2854"/>
      <c r="BIZ40" s="2854"/>
      <c r="BJA40" s="2854"/>
      <c r="BJB40" s="2854"/>
      <c r="BJC40" s="2854"/>
      <c r="BJD40" s="2854"/>
      <c r="BJE40" s="2854"/>
      <c r="BJF40" s="2854"/>
      <c r="BJG40" s="2854"/>
      <c r="BJH40" s="2854"/>
      <c r="BJI40" s="2854"/>
      <c r="BJJ40" s="2854"/>
      <c r="BJK40" s="2854"/>
      <c r="BJL40" s="2854"/>
      <c r="BJM40" s="2854"/>
      <c r="BJN40" s="2854"/>
      <c r="BJO40" s="2854"/>
      <c r="BJP40" s="2854"/>
      <c r="BJQ40" s="2854"/>
      <c r="BJR40" s="2854"/>
      <c r="BJS40" s="2854"/>
      <c r="BJT40" s="2854"/>
      <c r="BJU40" s="2854"/>
      <c r="BJV40" s="2854"/>
      <c r="BJW40" s="2854"/>
      <c r="BJX40" s="2854"/>
      <c r="BJY40" s="2854"/>
      <c r="BJZ40" s="2854"/>
      <c r="BKA40" s="2854"/>
      <c r="BKB40" s="2854"/>
      <c r="BKC40" s="2854"/>
      <c r="BKD40" s="2854"/>
      <c r="BKE40" s="2854"/>
      <c r="BKF40" s="2854"/>
      <c r="BKG40" s="2854"/>
      <c r="BKH40" s="2854"/>
      <c r="BKI40" s="2854"/>
      <c r="BKJ40" s="2854"/>
      <c r="BKK40" s="2854"/>
      <c r="BKL40" s="2854"/>
      <c r="BKM40" s="2854"/>
      <c r="BKN40" s="2854"/>
      <c r="BKO40" s="2854"/>
      <c r="BKP40" s="2854"/>
      <c r="BKQ40" s="2854"/>
      <c r="BKR40" s="2854"/>
      <c r="BKS40" s="2854"/>
      <c r="BKT40" s="2854"/>
      <c r="BKU40" s="2854"/>
      <c r="BKV40" s="2854"/>
      <c r="BKW40" s="2854"/>
      <c r="BKX40" s="2854"/>
      <c r="BKY40" s="2854"/>
      <c r="BKZ40" s="2854"/>
      <c r="BLA40" s="2854"/>
      <c r="BLB40" s="2854"/>
      <c r="BLC40" s="2854"/>
      <c r="BLD40" s="2854"/>
      <c r="BLE40" s="2854"/>
      <c r="BLF40" s="2854"/>
      <c r="BLG40" s="2854"/>
      <c r="BLH40" s="2854"/>
      <c r="BLI40" s="2854"/>
      <c r="BLJ40" s="2854"/>
      <c r="BLK40" s="2854"/>
      <c r="BLL40" s="2854"/>
      <c r="BLM40" s="2854"/>
      <c r="BLN40" s="2854"/>
      <c r="BLO40" s="2854"/>
      <c r="BLP40" s="2854"/>
      <c r="BLQ40" s="2854"/>
      <c r="BLR40" s="2854"/>
      <c r="BLS40" s="2854"/>
      <c r="BLT40" s="2854"/>
      <c r="BLU40" s="2854"/>
      <c r="BLV40" s="2854"/>
      <c r="BLW40" s="2854"/>
      <c r="BLX40" s="2854"/>
      <c r="BLY40" s="2854"/>
      <c r="BLZ40" s="2854"/>
      <c r="BMA40" s="2854"/>
      <c r="BMB40" s="2854"/>
      <c r="BMC40" s="2854"/>
      <c r="BMD40" s="2854"/>
      <c r="BME40" s="2854"/>
      <c r="BMF40" s="2854"/>
      <c r="BMG40" s="2854"/>
      <c r="BMH40" s="2854"/>
      <c r="BMI40" s="2854"/>
      <c r="BMJ40" s="2854"/>
      <c r="BMK40" s="2854"/>
      <c r="BML40" s="2854"/>
      <c r="BMM40" s="2854"/>
      <c r="BMN40" s="2854"/>
      <c r="BMO40" s="2854"/>
      <c r="BMP40" s="2854"/>
      <c r="BMQ40" s="2854"/>
      <c r="BMR40" s="2854"/>
      <c r="BMS40" s="2854"/>
      <c r="BMT40" s="2854"/>
      <c r="BMU40" s="2854"/>
      <c r="BMV40" s="2854"/>
      <c r="BMW40" s="2854"/>
      <c r="BMX40" s="2854"/>
      <c r="BMY40" s="2854"/>
      <c r="BMZ40" s="2854"/>
      <c r="BNA40" s="2854"/>
      <c r="BNB40" s="2854"/>
      <c r="BNC40" s="2854"/>
      <c r="BND40" s="2854"/>
      <c r="BNE40" s="2854"/>
      <c r="BNF40" s="2854"/>
      <c r="BNG40" s="2854"/>
      <c r="BNH40" s="2854"/>
      <c r="BNI40" s="2854"/>
      <c r="BNJ40" s="2854"/>
      <c r="BNK40" s="2854"/>
      <c r="BNL40" s="2854"/>
      <c r="BNM40" s="2854"/>
      <c r="BNN40" s="2854"/>
      <c r="BNO40" s="2854"/>
      <c r="BNP40" s="2854"/>
      <c r="BNQ40" s="2854"/>
      <c r="BNR40" s="2854"/>
      <c r="BNS40" s="2854"/>
      <c r="BNT40" s="2854"/>
      <c r="BNU40" s="2854"/>
      <c r="BNV40" s="2854"/>
      <c r="BNW40" s="2854"/>
      <c r="BNX40" s="2854"/>
      <c r="BNY40" s="2854"/>
      <c r="BNZ40" s="2854"/>
      <c r="BOA40" s="2854"/>
      <c r="BOB40" s="2854"/>
      <c r="BOC40" s="2854"/>
      <c r="BOD40" s="2854"/>
      <c r="BOE40" s="2854"/>
      <c r="BOF40" s="2854"/>
      <c r="BOG40" s="2854"/>
      <c r="BOH40" s="2854"/>
      <c r="BOI40" s="2854"/>
      <c r="BOJ40" s="2854"/>
      <c r="BOK40" s="2854"/>
      <c r="BOL40" s="2854"/>
      <c r="BOM40" s="2854"/>
      <c r="BON40" s="2854"/>
      <c r="BOO40" s="2854"/>
      <c r="BOP40" s="2854"/>
      <c r="BOQ40" s="2854"/>
      <c r="BOR40" s="2854"/>
      <c r="BOS40" s="2854"/>
      <c r="BOT40" s="2854"/>
      <c r="BOU40" s="2854"/>
      <c r="BOV40" s="2854"/>
      <c r="BOW40" s="2854"/>
      <c r="BOX40" s="2854"/>
      <c r="BOY40" s="2854"/>
      <c r="BOZ40" s="2854"/>
      <c r="BPA40" s="2854"/>
      <c r="BPB40" s="2854"/>
      <c r="BPC40" s="2854"/>
      <c r="BPD40" s="2854"/>
      <c r="BPE40" s="2854"/>
      <c r="BPF40" s="2854"/>
      <c r="BPG40" s="2854"/>
      <c r="BPH40" s="2854"/>
      <c r="BPI40" s="2854"/>
      <c r="BPJ40" s="2854"/>
      <c r="BPK40" s="2854"/>
      <c r="BPL40" s="2854"/>
      <c r="BPM40" s="2854"/>
      <c r="BPN40" s="2854"/>
      <c r="BPO40" s="2854"/>
      <c r="BPP40" s="2854"/>
      <c r="BPQ40" s="2854"/>
      <c r="BPR40" s="2854"/>
      <c r="BPS40" s="2854"/>
      <c r="BPT40" s="2854"/>
      <c r="BPU40" s="2854"/>
      <c r="BPV40" s="2854"/>
      <c r="BPW40" s="2854"/>
      <c r="BPX40" s="2854"/>
      <c r="BPY40" s="2854"/>
      <c r="BPZ40" s="2854"/>
      <c r="BQA40" s="2854"/>
      <c r="BQB40" s="2854"/>
      <c r="BQC40" s="2854"/>
      <c r="BQD40" s="2854"/>
      <c r="BQE40" s="2854"/>
      <c r="BQF40" s="2854"/>
      <c r="BQG40" s="2854"/>
      <c r="BQH40" s="2854"/>
      <c r="BQI40" s="2854"/>
      <c r="BQJ40" s="2854"/>
      <c r="BQK40" s="2854"/>
      <c r="BQL40" s="2854"/>
      <c r="BQM40" s="2854"/>
      <c r="BQN40" s="2854"/>
      <c r="BQO40" s="2854"/>
      <c r="BQP40" s="2854"/>
      <c r="BQQ40" s="2854"/>
      <c r="BQR40" s="2854"/>
      <c r="BQS40" s="2854"/>
      <c r="BQT40" s="2854"/>
      <c r="BQU40" s="2854"/>
      <c r="BQV40" s="2854"/>
      <c r="BQW40" s="2854"/>
      <c r="BQX40" s="2854"/>
      <c r="BQY40" s="2854"/>
      <c r="BQZ40" s="2854"/>
      <c r="BRA40" s="2854"/>
      <c r="BRB40" s="2854"/>
      <c r="BRC40" s="2854"/>
      <c r="BRD40" s="2854"/>
      <c r="BRE40" s="2854"/>
      <c r="BRF40" s="2854"/>
      <c r="BRG40" s="2854"/>
      <c r="BRH40" s="2854"/>
      <c r="BRI40" s="2854"/>
      <c r="BRJ40" s="2854"/>
      <c r="BRK40" s="2854"/>
      <c r="BRL40" s="2854"/>
      <c r="BRM40" s="2854"/>
      <c r="BRN40" s="2854"/>
      <c r="BRO40" s="2854"/>
      <c r="BRP40" s="2854"/>
      <c r="BRQ40" s="2854"/>
      <c r="BRR40" s="2854"/>
      <c r="BRS40" s="2854"/>
      <c r="BRT40" s="2854"/>
      <c r="BRU40" s="2854"/>
      <c r="BRV40" s="2854"/>
      <c r="BRW40" s="2854"/>
      <c r="BRX40" s="2854"/>
      <c r="BRY40" s="2854"/>
      <c r="BRZ40" s="2854"/>
      <c r="BSA40" s="2854"/>
      <c r="BSB40" s="2854"/>
      <c r="BSC40" s="2854"/>
      <c r="BSD40" s="2854"/>
      <c r="BSE40" s="2854"/>
      <c r="BSF40" s="2854"/>
      <c r="BSG40" s="2854"/>
      <c r="BSH40" s="2854"/>
      <c r="BSI40" s="2854"/>
      <c r="BSJ40" s="2854"/>
      <c r="BSK40" s="2854"/>
      <c r="BSL40" s="2854"/>
      <c r="BSM40" s="2854"/>
      <c r="BSN40" s="2854"/>
      <c r="BSO40" s="2854"/>
      <c r="BSP40" s="2854"/>
      <c r="BSQ40" s="2854"/>
      <c r="BSR40" s="2854"/>
      <c r="BSS40" s="2854"/>
      <c r="BST40" s="2854"/>
      <c r="BSU40" s="2854"/>
      <c r="BSV40" s="2854"/>
      <c r="BSW40" s="2854"/>
      <c r="BSX40" s="2854"/>
      <c r="BSY40" s="2854"/>
      <c r="BSZ40" s="2854"/>
      <c r="BTA40" s="2854"/>
      <c r="BTB40" s="2854"/>
      <c r="BTC40" s="2854"/>
      <c r="BTD40" s="2854"/>
      <c r="BTE40" s="2854"/>
      <c r="BTF40" s="2854"/>
      <c r="BTG40" s="2854"/>
      <c r="BTH40" s="2854"/>
      <c r="BTI40" s="2854"/>
      <c r="BTJ40" s="2854"/>
      <c r="BTK40" s="2854"/>
      <c r="BTL40" s="2854"/>
      <c r="BTM40" s="2854"/>
      <c r="BTN40" s="2854"/>
      <c r="BTO40" s="2854"/>
      <c r="BTP40" s="2854"/>
      <c r="BTQ40" s="2854"/>
      <c r="BTR40" s="2854"/>
      <c r="BTS40" s="2854"/>
      <c r="BTT40" s="2854"/>
      <c r="BTU40" s="2854"/>
      <c r="BTV40" s="2854"/>
      <c r="BTW40" s="2854"/>
      <c r="BTX40" s="2854"/>
      <c r="BTY40" s="2854"/>
      <c r="BTZ40" s="2854"/>
      <c r="BUA40" s="2854"/>
      <c r="BUB40" s="2854"/>
      <c r="BUC40" s="2854"/>
      <c r="BUD40" s="2854"/>
      <c r="BUE40" s="2854"/>
      <c r="BUF40" s="2854"/>
      <c r="BUG40" s="2854"/>
      <c r="BUH40" s="2854"/>
      <c r="BUI40" s="2854"/>
      <c r="BUJ40" s="2854"/>
      <c r="BUK40" s="2854"/>
      <c r="BUL40" s="2854"/>
      <c r="BUM40" s="2854"/>
      <c r="BUN40" s="2854"/>
      <c r="BUO40" s="2854"/>
      <c r="BUP40" s="2854"/>
      <c r="BUQ40" s="2854"/>
      <c r="BUR40" s="2854"/>
      <c r="BUS40" s="2854"/>
      <c r="BUT40" s="2854"/>
      <c r="BUU40" s="2854"/>
      <c r="BUV40" s="2854"/>
      <c r="BUW40" s="2854"/>
      <c r="BUX40" s="2854"/>
      <c r="BUY40" s="2854"/>
      <c r="BUZ40" s="2854"/>
      <c r="BVA40" s="2854"/>
      <c r="BVB40" s="2854"/>
      <c r="BVC40" s="2854"/>
      <c r="BVD40" s="2854"/>
      <c r="BVE40" s="2854"/>
      <c r="BVF40" s="2854"/>
      <c r="BVG40" s="2854"/>
      <c r="BVH40" s="2854"/>
      <c r="BVI40" s="2854"/>
      <c r="BVJ40" s="2854"/>
      <c r="BVK40" s="2854"/>
      <c r="BVL40" s="2854"/>
      <c r="BVM40" s="2854"/>
      <c r="BVN40" s="2854"/>
      <c r="BVO40" s="2854"/>
      <c r="BVP40" s="2854"/>
      <c r="BVQ40" s="2854"/>
      <c r="BVR40" s="2854"/>
      <c r="BVS40" s="2854"/>
      <c r="BVT40" s="2854"/>
      <c r="BVU40" s="2854"/>
      <c r="BVV40" s="2854"/>
      <c r="BVW40" s="2854"/>
      <c r="BVX40" s="2854"/>
      <c r="BVY40" s="2854"/>
      <c r="BVZ40" s="2854"/>
      <c r="BWA40" s="2854"/>
      <c r="BWB40" s="2854"/>
      <c r="BWC40" s="2854"/>
      <c r="BWD40" s="2854"/>
      <c r="BWE40" s="2854"/>
      <c r="BWF40" s="2854"/>
      <c r="BWG40" s="2854"/>
      <c r="BWH40" s="2854"/>
      <c r="BWI40" s="2854"/>
      <c r="BWJ40" s="2854"/>
      <c r="BWK40" s="2854"/>
      <c r="BWL40" s="2854"/>
      <c r="BWM40" s="2854"/>
      <c r="BWN40" s="2854"/>
      <c r="BWO40" s="2854"/>
      <c r="BWP40" s="2854"/>
      <c r="BWQ40" s="2854"/>
      <c r="BWR40" s="2854"/>
      <c r="BWS40" s="2854"/>
      <c r="BWT40" s="2854"/>
      <c r="BWU40" s="2854"/>
      <c r="BWV40" s="2854"/>
      <c r="BWW40" s="2854"/>
      <c r="BWX40" s="2854"/>
      <c r="BWY40" s="2854"/>
      <c r="BWZ40" s="2854"/>
      <c r="BXA40" s="2854"/>
      <c r="BXB40" s="2854"/>
      <c r="BXC40" s="2854"/>
      <c r="BXD40" s="2854"/>
      <c r="BXE40" s="2854"/>
      <c r="BXF40" s="2854"/>
      <c r="BXG40" s="2854"/>
      <c r="BXH40" s="2854"/>
      <c r="BXI40" s="2854"/>
      <c r="BXJ40" s="2854"/>
      <c r="BXK40" s="2854"/>
      <c r="BXL40" s="2854"/>
      <c r="BXM40" s="2854"/>
      <c r="BXN40" s="2854"/>
      <c r="BXO40" s="2854"/>
      <c r="BXP40" s="2854"/>
      <c r="BXQ40" s="2854"/>
      <c r="BXR40" s="2854"/>
      <c r="BXS40" s="2854"/>
      <c r="BXT40" s="2854"/>
      <c r="BXU40" s="2854"/>
      <c r="BXV40" s="2854"/>
      <c r="BXW40" s="2854"/>
      <c r="BXX40" s="2854"/>
      <c r="BXY40" s="2854"/>
      <c r="BXZ40" s="2854"/>
      <c r="BYA40" s="2854"/>
      <c r="BYB40" s="2854"/>
      <c r="BYC40" s="2854"/>
      <c r="BYD40" s="2854"/>
      <c r="BYE40" s="2854"/>
      <c r="BYF40" s="2854"/>
      <c r="BYG40" s="2854"/>
      <c r="BYH40" s="2854"/>
      <c r="BYI40" s="2854"/>
      <c r="BYJ40" s="2854"/>
      <c r="BYK40" s="2854"/>
      <c r="BYL40" s="2854"/>
      <c r="BYM40" s="2854"/>
      <c r="BYN40" s="2854"/>
      <c r="BYO40" s="2854"/>
      <c r="BYP40" s="2854"/>
      <c r="BYQ40" s="2854"/>
      <c r="BYR40" s="2854"/>
      <c r="BYS40" s="2854"/>
      <c r="BYT40" s="2854"/>
      <c r="BYU40" s="2854"/>
      <c r="BYV40" s="2854"/>
      <c r="BYW40" s="2854"/>
      <c r="BYX40" s="2854"/>
      <c r="BYY40" s="2854"/>
      <c r="BYZ40" s="2854"/>
      <c r="BZA40" s="2854"/>
      <c r="BZB40" s="2854"/>
      <c r="BZC40" s="2854"/>
      <c r="BZD40" s="2854"/>
      <c r="BZE40" s="2854"/>
      <c r="BZF40" s="2854"/>
      <c r="BZG40" s="2854"/>
      <c r="BZH40" s="2854"/>
      <c r="BZI40" s="2854"/>
      <c r="BZJ40" s="2854"/>
      <c r="BZK40" s="2854"/>
      <c r="BZL40" s="2854"/>
      <c r="BZM40" s="2854"/>
      <c r="BZN40" s="2854"/>
      <c r="BZO40" s="2854"/>
      <c r="BZP40" s="2854"/>
      <c r="BZQ40" s="2854"/>
      <c r="BZR40" s="2854"/>
      <c r="BZS40" s="2854"/>
      <c r="BZT40" s="2854"/>
      <c r="BZU40" s="2854"/>
      <c r="BZV40" s="2854"/>
      <c r="BZW40" s="2854"/>
      <c r="BZX40" s="2854"/>
      <c r="BZY40" s="2854"/>
      <c r="BZZ40" s="2854"/>
      <c r="CAA40" s="2854"/>
      <c r="CAB40" s="2854"/>
      <c r="CAC40" s="2854"/>
      <c r="CAD40" s="2854"/>
      <c r="CAE40" s="2854"/>
      <c r="CAF40" s="2854"/>
      <c r="CAG40" s="2854"/>
      <c r="CAH40" s="2854"/>
      <c r="CAI40" s="2854"/>
      <c r="CAJ40" s="2854"/>
      <c r="CAK40" s="2854"/>
      <c r="CAL40" s="2854"/>
      <c r="CAM40" s="2854"/>
      <c r="CAN40" s="2854"/>
      <c r="CAO40" s="2854"/>
      <c r="CAP40" s="2854"/>
      <c r="CAQ40" s="2854"/>
      <c r="CAR40" s="2854"/>
      <c r="CAS40" s="2854"/>
      <c r="CAT40" s="2854"/>
      <c r="CAU40" s="2854"/>
      <c r="CAV40" s="2854"/>
      <c r="CAW40" s="2854"/>
      <c r="CAX40" s="2854"/>
      <c r="CAY40" s="2854"/>
      <c r="CAZ40" s="2854"/>
      <c r="CBA40" s="2854"/>
      <c r="CBB40" s="2854"/>
      <c r="CBC40" s="2854"/>
      <c r="CBD40" s="2854"/>
      <c r="CBE40" s="2854"/>
      <c r="CBF40" s="2854"/>
      <c r="CBG40" s="2854"/>
      <c r="CBH40" s="2854"/>
      <c r="CBI40" s="2854"/>
      <c r="CBJ40" s="2854"/>
      <c r="CBK40" s="2854"/>
      <c r="CBL40" s="2854"/>
      <c r="CBM40" s="2854"/>
      <c r="CBN40" s="2854"/>
      <c r="CBO40" s="2854"/>
      <c r="CBP40" s="2854"/>
      <c r="CBQ40" s="2854"/>
      <c r="CBR40" s="2854"/>
      <c r="CBS40" s="2854"/>
      <c r="CBT40" s="2854"/>
      <c r="CBU40" s="2854"/>
      <c r="CBV40" s="2854"/>
      <c r="CBW40" s="2854"/>
      <c r="CBX40" s="2854"/>
      <c r="CBY40" s="2854"/>
      <c r="CBZ40" s="2854"/>
      <c r="CCA40" s="2854"/>
      <c r="CCB40" s="2854"/>
      <c r="CCC40" s="2854"/>
      <c r="CCD40" s="2854"/>
      <c r="CCE40" s="2854"/>
      <c r="CCF40" s="2854"/>
      <c r="CCG40" s="2854"/>
      <c r="CCH40" s="2854"/>
      <c r="CCI40" s="2854"/>
      <c r="CCJ40" s="2854"/>
      <c r="CCK40" s="2854"/>
      <c r="CCL40" s="2854"/>
      <c r="CCM40" s="2854"/>
      <c r="CCN40" s="2854"/>
      <c r="CCO40" s="2854"/>
      <c r="CCP40" s="2854"/>
      <c r="CCQ40" s="2854"/>
      <c r="CCR40" s="2854"/>
      <c r="CCS40" s="2854"/>
      <c r="CCT40" s="2854"/>
      <c r="CCU40" s="2854"/>
      <c r="CCV40" s="2854"/>
      <c r="CCW40" s="2854"/>
      <c r="CCX40" s="2854"/>
      <c r="CCY40" s="2854"/>
      <c r="CCZ40" s="2854"/>
      <c r="CDA40" s="2854"/>
      <c r="CDB40" s="2854"/>
      <c r="CDC40" s="2854"/>
      <c r="CDD40" s="2854"/>
      <c r="CDE40" s="2854"/>
      <c r="CDF40" s="2854"/>
      <c r="CDG40" s="2854"/>
      <c r="CDH40" s="2854"/>
      <c r="CDI40" s="2854"/>
      <c r="CDJ40" s="2854"/>
      <c r="CDK40" s="2854"/>
      <c r="CDL40" s="2854"/>
      <c r="CDM40" s="2854"/>
      <c r="CDN40" s="2854"/>
      <c r="CDO40" s="2854"/>
      <c r="CDP40" s="2854"/>
      <c r="CDQ40" s="2854"/>
      <c r="CDR40" s="2854"/>
      <c r="CDS40" s="2854"/>
      <c r="CDT40" s="2854"/>
      <c r="CDU40" s="2854"/>
      <c r="CDV40" s="2854"/>
      <c r="CDW40" s="2854"/>
      <c r="CDX40" s="2854"/>
      <c r="CDY40" s="2854"/>
      <c r="CDZ40" s="2854"/>
      <c r="CEA40" s="2854"/>
      <c r="CEB40" s="2854"/>
      <c r="CEC40" s="2854"/>
      <c r="CED40" s="2854"/>
      <c r="CEE40" s="2854"/>
      <c r="CEF40" s="2854"/>
      <c r="CEG40" s="2854"/>
      <c r="CEH40" s="2854"/>
      <c r="CEI40" s="2854"/>
      <c r="CEJ40" s="2854"/>
      <c r="CEK40" s="2854"/>
      <c r="CEL40" s="2854"/>
      <c r="CEM40" s="2854"/>
      <c r="CEN40" s="2854"/>
      <c r="CEO40" s="2854"/>
      <c r="CEP40" s="2854"/>
      <c r="CEQ40" s="2854"/>
      <c r="CER40" s="2854"/>
      <c r="CES40" s="2854"/>
      <c r="CET40" s="2854"/>
      <c r="CEU40" s="2854"/>
      <c r="CEV40" s="2854"/>
      <c r="CEW40" s="2854"/>
      <c r="CEX40" s="2854"/>
      <c r="CEY40" s="2854"/>
      <c r="CEZ40" s="2854"/>
      <c r="CFA40" s="2854"/>
      <c r="CFB40" s="2854"/>
      <c r="CFC40" s="2854"/>
      <c r="CFD40" s="2854"/>
      <c r="CFE40" s="2854"/>
      <c r="CFF40" s="2854"/>
      <c r="CFG40" s="2854"/>
      <c r="CFH40" s="2854"/>
      <c r="CFI40" s="2854"/>
      <c r="CFJ40" s="2854"/>
      <c r="CFK40" s="2854"/>
      <c r="CFL40" s="2854"/>
      <c r="CFM40" s="2854"/>
      <c r="CFN40" s="2854"/>
      <c r="CFO40" s="2854"/>
      <c r="CFP40" s="2854"/>
      <c r="CFQ40" s="2854"/>
      <c r="CFR40" s="2854"/>
      <c r="CFS40" s="2854"/>
      <c r="CFT40" s="2854"/>
      <c r="CFU40" s="2854"/>
      <c r="CFV40" s="2854"/>
      <c r="CFW40" s="2854"/>
      <c r="CFX40" s="2854"/>
      <c r="CFY40" s="2854"/>
      <c r="CFZ40" s="2854"/>
      <c r="CGA40" s="2854"/>
      <c r="CGB40" s="2854"/>
      <c r="CGC40" s="2854"/>
      <c r="CGD40" s="2854"/>
      <c r="CGE40" s="2854"/>
      <c r="CGF40" s="2854"/>
      <c r="CGG40" s="2854"/>
      <c r="CGH40" s="2854"/>
      <c r="CGI40" s="2854"/>
      <c r="CGJ40" s="2854"/>
      <c r="CGK40" s="2854"/>
      <c r="CGL40" s="2854"/>
      <c r="CGM40" s="2854"/>
      <c r="CGN40" s="2854"/>
      <c r="CGO40" s="2854"/>
      <c r="CGP40" s="2854"/>
      <c r="CGQ40" s="2854"/>
      <c r="CGR40" s="2854"/>
      <c r="CGS40" s="2854"/>
      <c r="CGT40" s="2854"/>
      <c r="CGU40" s="2854"/>
      <c r="CGV40" s="2854"/>
      <c r="CGW40" s="2854"/>
      <c r="CGX40" s="2854"/>
      <c r="CGY40" s="2854"/>
      <c r="CGZ40" s="2854"/>
      <c r="CHA40" s="2854"/>
      <c r="CHB40" s="2854"/>
      <c r="CHC40" s="2854"/>
      <c r="CHD40" s="2854"/>
      <c r="CHE40" s="2854"/>
      <c r="CHF40" s="2854"/>
      <c r="CHG40" s="2854"/>
      <c r="CHH40" s="2854"/>
      <c r="CHI40" s="2854"/>
      <c r="CHJ40" s="2854"/>
      <c r="CHK40" s="2854"/>
      <c r="CHL40" s="2854"/>
      <c r="CHM40" s="2854"/>
      <c r="CHN40" s="2854"/>
      <c r="CHO40" s="2854"/>
      <c r="CHP40" s="2854"/>
      <c r="CHQ40" s="2854"/>
      <c r="CHR40" s="2854"/>
      <c r="CHS40" s="2854"/>
      <c r="CHT40" s="2854"/>
      <c r="CHU40" s="2854"/>
      <c r="CHV40" s="2854"/>
      <c r="CHW40" s="2854"/>
      <c r="CHX40" s="2854"/>
      <c r="CHY40" s="2854"/>
      <c r="CHZ40" s="2854"/>
      <c r="CIA40" s="2854"/>
      <c r="CIB40" s="2854"/>
      <c r="CIC40" s="2854"/>
      <c r="CID40" s="2854"/>
      <c r="CIE40" s="2854"/>
      <c r="CIF40" s="2854"/>
      <c r="CIG40" s="2854"/>
      <c r="CIH40" s="2854"/>
      <c r="CII40" s="2854"/>
      <c r="CIJ40" s="2854"/>
      <c r="CIK40" s="2854"/>
      <c r="CIL40" s="2854"/>
      <c r="CIM40" s="2854"/>
      <c r="CIN40" s="2854"/>
      <c r="CIO40" s="2854"/>
      <c r="CIP40" s="2854"/>
      <c r="CIQ40" s="2854"/>
      <c r="CIR40" s="2854"/>
      <c r="CIS40" s="2854"/>
      <c r="CIT40" s="2854"/>
      <c r="CIU40" s="2854"/>
      <c r="CIV40" s="2854"/>
      <c r="CIW40" s="2854"/>
      <c r="CIX40" s="2854"/>
      <c r="CIY40" s="2854"/>
      <c r="CIZ40" s="2854"/>
      <c r="CJA40" s="2854"/>
      <c r="CJB40" s="2854"/>
      <c r="CJC40" s="2854"/>
      <c r="CJD40" s="2854"/>
      <c r="CJE40" s="2854"/>
      <c r="CJF40" s="2854"/>
      <c r="CJG40" s="2854"/>
      <c r="CJH40" s="2854"/>
      <c r="CJI40" s="2854"/>
      <c r="CJJ40" s="2854"/>
      <c r="CJK40" s="2854"/>
      <c r="CJL40" s="2854"/>
      <c r="CJM40" s="2854"/>
      <c r="CJN40" s="2854"/>
      <c r="CJO40" s="2854"/>
      <c r="CJP40" s="2854"/>
      <c r="CJQ40" s="2854"/>
      <c r="CJR40" s="2854"/>
      <c r="CJS40" s="2854"/>
      <c r="CJT40" s="2854"/>
      <c r="CJU40" s="2854"/>
      <c r="CJV40" s="2854"/>
      <c r="CJW40" s="2854"/>
      <c r="CJX40" s="2854"/>
      <c r="CJY40" s="2854"/>
      <c r="CJZ40" s="2854"/>
      <c r="CKA40" s="2854"/>
      <c r="CKB40" s="2854"/>
      <c r="CKC40" s="2854"/>
      <c r="CKD40" s="2854"/>
      <c r="CKE40" s="2854"/>
      <c r="CKF40" s="2854"/>
      <c r="CKG40" s="2854"/>
      <c r="CKH40" s="2854"/>
      <c r="CKI40" s="2854"/>
      <c r="CKJ40" s="2854"/>
      <c r="CKK40" s="2854"/>
      <c r="CKL40" s="2854"/>
      <c r="CKM40" s="2854"/>
      <c r="CKN40" s="2854"/>
      <c r="CKO40" s="2854"/>
      <c r="CKP40" s="2854"/>
      <c r="CKQ40" s="2854"/>
      <c r="CKR40" s="2854"/>
      <c r="CKS40" s="2854"/>
      <c r="CKT40" s="2854"/>
      <c r="CKU40" s="2854"/>
      <c r="CKV40" s="2854"/>
      <c r="CKW40" s="2854"/>
      <c r="CKX40" s="2854"/>
      <c r="CKY40" s="2854"/>
      <c r="CKZ40" s="2854"/>
      <c r="CLA40" s="2854"/>
      <c r="CLB40" s="2854"/>
      <c r="CLC40" s="2854"/>
      <c r="CLD40" s="2854"/>
      <c r="CLE40" s="2854"/>
      <c r="CLF40" s="2854"/>
      <c r="CLG40" s="2854"/>
      <c r="CLH40" s="2854"/>
      <c r="CLI40" s="2854"/>
      <c r="CLJ40" s="2854"/>
      <c r="CLK40" s="2854"/>
      <c r="CLL40" s="2854"/>
      <c r="CLM40" s="2854"/>
      <c r="CLN40" s="2854"/>
      <c r="CLO40" s="2854"/>
      <c r="CLP40" s="2854"/>
      <c r="CLQ40" s="2854"/>
      <c r="CLR40" s="2854"/>
      <c r="CLS40" s="2854"/>
      <c r="CLT40" s="2854"/>
      <c r="CLU40" s="2854"/>
      <c r="CLV40" s="2854"/>
      <c r="CLW40" s="2854"/>
    </row>
    <row r="41" spans="1:2363" ht="15.75" customHeight="1" x14ac:dyDescent="0.25">
      <c r="A41" s="3877"/>
      <c r="B41" s="3878"/>
      <c r="C41" s="3368">
        <v>5</v>
      </c>
      <c r="D41" s="2209"/>
      <c r="E41" s="3373"/>
      <c r="F41" s="2246"/>
      <c r="G41" s="2613"/>
      <c r="H41" s="2248"/>
      <c r="I41" s="2247"/>
      <c r="J41" s="2249"/>
      <c r="K41" s="2248"/>
      <c r="L41" s="2247"/>
      <c r="M41" s="2247"/>
      <c r="N41" s="1799">
        <f>F41+I41+L41</f>
        <v>0</v>
      </c>
      <c r="O41" s="2281">
        <f t="shared" ref="O41:O43" si="84">F41+I41</f>
        <v>0</v>
      </c>
      <c r="P41" s="2295">
        <v>0</v>
      </c>
      <c r="Q41" s="2199">
        <v>0</v>
      </c>
      <c r="R41" s="2719">
        <v>0</v>
      </c>
      <c r="S41" s="2719">
        <v>0</v>
      </c>
      <c r="T41" s="2883">
        <v>0</v>
      </c>
      <c r="U41" s="2295">
        <v>0</v>
      </c>
      <c r="V41" s="2296">
        <f>+P41+Q41+R41+S41+T41+U41</f>
        <v>0</v>
      </c>
      <c r="W41" s="2297"/>
      <c r="X41" s="2928"/>
      <c r="Y41" s="3010"/>
      <c r="Z41" s="2342"/>
      <c r="AA41" s="1894">
        <v>0</v>
      </c>
      <c r="AB41" s="1894">
        <v>0</v>
      </c>
      <c r="AC41" s="1854">
        <f t="shared" si="58"/>
        <v>0</v>
      </c>
      <c r="AD41" s="1897">
        <v>0</v>
      </c>
      <c r="AE41" s="1897"/>
      <c r="AF41" s="1893">
        <v>0</v>
      </c>
      <c r="AG41" s="2866"/>
      <c r="AH41" s="1993">
        <f t="shared" si="72"/>
        <v>0</v>
      </c>
      <c r="AI41" s="1851">
        <v>0</v>
      </c>
      <c r="AJ41" s="1894">
        <v>0</v>
      </c>
      <c r="AK41" s="2451">
        <v>0</v>
      </c>
      <c r="AL41" s="2515">
        <v>0</v>
      </c>
      <c r="AM41" s="2515">
        <v>0</v>
      </c>
      <c r="AN41" s="2695">
        <v>0</v>
      </c>
      <c r="AO41" s="2181">
        <v>0</v>
      </c>
      <c r="AP41" s="2166">
        <v>0</v>
      </c>
      <c r="AQ41" s="2166">
        <v>0</v>
      </c>
      <c r="AR41" s="2166"/>
      <c r="AS41" s="2157">
        <f t="shared" si="65"/>
        <v>0</v>
      </c>
      <c r="AT41" s="2504">
        <v>0</v>
      </c>
      <c r="AU41" s="2158">
        <v>0</v>
      </c>
      <c r="AV41" s="2173">
        <v>0</v>
      </c>
      <c r="AW41" s="2159">
        <v>0</v>
      </c>
      <c r="AX41" s="2514">
        <v>0</v>
      </c>
      <c r="AY41" s="2515">
        <v>0</v>
      </c>
      <c r="AZ41" s="2695">
        <f>AX41-AY41</f>
        <v>0</v>
      </c>
      <c r="BA41" s="3296">
        <v>0</v>
      </c>
      <c r="BB41" s="3086">
        <v>0</v>
      </c>
      <c r="BC41" s="3086">
        <v>0</v>
      </c>
      <c r="BD41" s="3086"/>
      <c r="BE41" s="3087">
        <f t="shared" si="60"/>
        <v>0</v>
      </c>
      <c r="BF41" s="2504"/>
      <c r="BG41" s="2158">
        <v>0</v>
      </c>
      <c r="BH41" s="2168">
        <f t="shared" si="81"/>
        <v>0</v>
      </c>
      <c r="BI41" s="2159">
        <f t="shared" si="61"/>
        <v>0</v>
      </c>
      <c r="BJ41" s="2048">
        <f t="shared" si="82"/>
        <v>0</v>
      </c>
      <c r="BK41" s="1851">
        <v>0</v>
      </c>
      <c r="BL41" s="1884">
        <f t="shared" si="67"/>
        <v>0</v>
      </c>
      <c r="BM41" s="2611">
        <f t="shared" si="76"/>
        <v>0</v>
      </c>
      <c r="BN41" s="2101">
        <f>+AP41</f>
        <v>0</v>
      </c>
      <c r="BO41" s="1893">
        <v>0</v>
      </c>
      <c r="BP41" s="1893">
        <v>0</v>
      </c>
      <c r="BQ41" s="2866">
        <f t="shared" si="78"/>
        <v>0</v>
      </c>
      <c r="BR41" s="3457">
        <f>AI41+AU41</f>
        <v>0</v>
      </c>
      <c r="BS41" s="1858">
        <f>AJ41+AV41</f>
        <v>0</v>
      </c>
      <c r="BT41" s="3449">
        <f>+AW41+AK41</f>
        <v>0</v>
      </c>
      <c r="BU41" s="3147"/>
      <c r="BV41" s="3058"/>
      <c r="BW41" s="3058"/>
      <c r="BX41" s="3058"/>
      <c r="BY41" s="3147"/>
      <c r="BZ41" s="3147"/>
      <c r="CA41" s="3147"/>
      <c r="CB41" s="3147"/>
      <c r="CC41" s="3147"/>
      <c r="CD41" s="3147"/>
      <c r="CE41" s="3147"/>
      <c r="CF41" s="3147"/>
      <c r="CG41" s="3147"/>
      <c r="CH41" s="1050"/>
      <c r="CI41" s="2854"/>
      <c r="CJ41" s="2854"/>
      <c r="CK41" s="2854"/>
      <c r="CL41" s="2854"/>
      <c r="CM41" s="2854"/>
      <c r="CN41" s="2854"/>
      <c r="CO41" s="2854"/>
      <c r="CP41" s="2854"/>
      <c r="CQ41" s="2854"/>
      <c r="CR41" s="2854"/>
      <c r="CS41" s="2854"/>
      <c r="CT41" s="2854"/>
      <c r="CU41" s="2854"/>
      <c r="CV41" s="2854"/>
      <c r="CW41" s="2854"/>
      <c r="CX41" s="2854"/>
      <c r="CY41" s="2854"/>
      <c r="CZ41" s="2854"/>
      <c r="DA41" s="2854"/>
      <c r="DB41" s="2854"/>
      <c r="DC41" s="2854"/>
      <c r="DD41" s="2854"/>
      <c r="DE41" s="2854"/>
      <c r="DF41" s="2854"/>
      <c r="DG41" s="2854"/>
      <c r="DH41" s="2854"/>
      <c r="DI41" s="2854"/>
      <c r="DJ41" s="2854"/>
      <c r="DK41" s="2854"/>
      <c r="DL41" s="2854"/>
      <c r="DM41" s="2854"/>
      <c r="DN41" s="2854"/>
      <c r="DO41" s="2854"/>
      <c r="DP41" s="2854"/>
      <c r="DQ41" s="2854"/>
      <c r="DR41" s="2854"/>
      <c r="DS41" s="2854"/>
      <c r="DT41" s="2854"/>
      <c r="DU41" s="2854"/>
      <c r="DV41" s="2854"/>
      <c r="DW41" s="2854"/>
      <c r="DX41" s="2854"/>
      <c r="DY41" s="2854"/>
      <c r="DZ41" s="2854"/>
      <c r="EA41" s="2854"/>
      <c r="EB41" s="2854"/>
      <c r="EC41" s="2854"/>
      <c r="ED41" s="2854"/>
      <c r="EE41" s="2854"/>
      <c r="EF41" s="2854"/>
      <c r="EG41" s="2854"/>
      <c r="EH41" s="2854"/>
      <c r="EI41" s="2854"/>
      <c r="EJ41" s="2854"/>
      <c r="EK41" s="2854"/>
      <c r="EL41" s="2854"/>
      <c r="EM41" s="2854"/>
      <c r="EN41" s="2854"/>
      <c r="EO41" s="2854"/>
      <c r="EP41" s="2854"/>
      <c r="EQ41" s="2854"/>
      <c r="ER41" s="2854"/>
      <c r="ES41" s="2854"/>
      <c r="ET41" s="2854"/>
      <c r="EU41" s="2854"/>
      <c r="EV41" s="2854"/>
      <c r="EW41" s="2854"/>
      <c r="EX41" s="2854"/>
      <c r="EY41" s="2854"/>
      <c r="EZ41" s="2854"/>
      <c r="FA41" s="2854"/>
      <c r="FB41" s="2854"/>
      <c r="FC41" s="2854"/>
      <c r="FD41" s="2854"/>
      <c r="FE41" s="2854"/>
      <c r="FF41" s="2854"/>
      <c r="FG41" s="2854"/>
      <c r="FH41" s="2854"/>
      <c r="FI41" s="2854"/>
      <c r="FJ41" s="2854"/>
      <c r="FK41" s="2854"/>
      <c r="FL41" s="2854"/>
      <c r="FM41" s="2854"/>
      <c r="FN41" s="2854"/>
      <c r="FO41" s="2854"/>
      <c r="FP41" s="2854"/>
      <c r="FQ41" s="2854"/>
      <c r="FR41" s="2854"/>
      <c r="FS41" s="2854"/>
      <c r="FT41" s="2854"/>
      <c r="FU41" s="2854"/>
      <c r="FV41" s="2854"/>
      <c r="FW41" s="2854"/>
      <c r="FX41" s="2854"/>
      <c r="FY41" s="2854"/>
      <c r="FZ41" s="2854"/>
      <c r="GA41" s="2854"/>
      <c r="GB41" s="2854"/>
      <c r="GC41" s="2854"/>
      <c r="GD41" s="2854"/>
      <c r="GE41" s="2854"/>
      <c r="GF41" s="2854"/>
      <c r="GG41" s="2854"/>
      <c r="GH41" s="2854"/>
      <c r="GI41" s="2854"/>
      <c r="GJ41" s="2854"/>
      <c r="GK41" s="2854"/>
      <c r="GL41" s="2854"/>
      <c r="GM41" s="2854"/>
      <c r="GN41" s="2854"/>
      <c r="GO41" s="2854"/>
      <c r="GP41" s="2854"/>
      <c r="GQ41" s="2854"/>
      <c r="GR41" s="2854"/>
      <c r="GS41" s="2854"/>
      <c r="GT41" s="2854"/>
      <c r="GU41" s="2854"/>
      <c r="GV41" s="2854"/>
      <c r="GW41" s="2854"/>
      <c r="GX41" s="2854"/>
      <c r="GY41" s="2854"/>
      <c r="GZ41" s="2854"/>
      <c r="HA41" s="2854"/>
      <c r="HB41" s="2854"/>
      <c r="HC41" s="2854"/>
      <c r="HD41" s="2854"/>
      <c r="HE41" s="2854"/>
      <c r="HF41" s="2854"/>
      <c r="HG41" s="2854"/>
      <c r="HH41" s="2854"/>
      <c r="HI41" s="2854"/>
      <c r="HJ41" s="2854"/>
      <c r="HK41" s="2854"/>
      <c r="HL41" s="2854"/>
      <c r="HM41" s="2854"/>
      <c r="HN41" s="2854"/>
      <c r="HO41" s="2854"/>
      <c r="HP41" s="2854"/>
      <c r="HQ41" s="2854"/>
      <c r="HR41" s="2854"/>
      <c r="HS41" s="2854"/>
      <c r="HT41" s="2854"/>
      <c r="HU41" s="2854"/>
      <c r="HV41" s="2854"/>
      <c r="HW41" s="2854"/>
      <c r="HX41" s="2854"/>
      <c r="HY41" s="2854"/>
      <c r="HZ41" s="2854"/>
      <c r="IA41" s="2854"/>
      <c r="IB41" s="2854"/>
      <c r="IC41" s="2854"/>
      <c r="ID41" s="2854"/>
      <c r="IE41" s="2854"/>
      <c r="IF41" s="2854"/>
      <c r="IG41" s="2854"/>
      <c r="IH41" s="2854"/>
      <c r="II41" s="2854"/>
      <c r="IJ41" s="2854"/>
      <c r="IK41" s="2854"/>
      <c r="IL41" s="2854"/>
      <c r="IM41" s="2854"/>
      <c r="IN41" s="2854"/>
      <c r="IO41" s="2854"/>
      <c r="IP41" s="2854"/>
      <c r="IQ41" s="2854"/>
      <c r="IR41" s="2854"/>
      <c r="IS41" s="2854"/>
      <c r="IT41" s="2854"/>
      <c r="IU41" s="2854"/>
      <c r="IV41" s="2854"/>
      <c r="IW41" s="2854"/>
      <c r="IX41" s="2854"/>
      <c r="IY41" s="2854"/>
      <c r="IZ41" s="2854"/>
      <c r="JA41" s="2854"/>
      <c r="JB41" s="2854"/>
      <c r="JC41" s="2854"/>
      <c r="JD41" s="2854"/>
      <c r="JE41" s="2854"/>
      <c r="JF41" s="2854"/>
      <c r="JG41" s="2854"/>
      <c r="JH41" s="2854"/>
      <c r="JI41" s="2854"/>
      <c r="JJ41" s="2854"/>
      <c r="JK41" s="2854"/>
      <c r="JL41" s="2854"/>
      <c r="JM41" s="2854"/>
      <c r="JN41" s="2854"/>
      <c r="JO41" s="2854"/>
      <c r="JP41" s="2854"/>
      <c r="JQ41" s="2854"/>
      <c r="JR41" s="2854"/>
      <c r="JS41" s="2854"/>
      <c r="JT41" s="2854"/>
      <c r="JU41" s="2854"/>
      <c r="JV41" s="2854"/>
      <c r="JW41" s="2854"/>
      <c r="JX41" s="2854"/>
      <c r="JY41" s="2854"/>
      <c r="JZ41" s="2854"/>
      <c r="KA41" s="2854"/>
      <c r="KB41" s="2854"/>
      <c r="KC41" s="2854"/>
      <c r="KD41" s="2854"/>
      <c r="KE41" s="2854"/>
      <c r="KF41" s="2854"/>
      <c r="KG41" s="2854"/>
      <c r="KH41" s="2854"/>
      <c r="KI41" s="2854"/>
      <c r="KJ41" s="2854"/>
      <c r="KK41" s="2854"/>
      <c r="KL41" s="2854"/>
      <c r="KM41" s="2854"/>
      <c r="KN41" s="2854"/>
      <c r="KO41" s="2854"/>
      <c r="KP41" s="2854"/>
      <c r="KQ41" s="2854"/>
      <c r="KR41" s="2854"/>
      <c r="KS41" s="2854"/>
      <c r="KT41" s="2854"/>
      <c r="KU41" s="2854"/>
      <c r="KV41" s="2854"/>
      <c r="KW41" s="2854"/>
      <c r="KX41" s="2854"/>
      <c r="KY41" s="2854"/>
      <c r="KZ41" s="2854"/>
      <c r="LA41" s="2854"/>
      <c r="LB41" s="2854"/>
      <c r="LC41" s="2854"/>
      <c r="LD41" s="2854"/>
      <c r="LE41" s="2854"/>
      <c r="LF41" s="2854"/>
      <c r="LG41" s="2854"/>
      <c r="LH41" s="2854"/>
      <c r="LI41" s="2854"/>
      <c r="LJ41" s="2854"/>
      <c r="LK41" s="2854"/>
      <c r="LL41" s="2854"/>
      <c r="LM41" s="2854"/>
      <c r="LN41" s="2854"/>
      <c r="LO41" s="2854"/>
      <c r="LP41" s="2854"/>
      <c r="LQ41" s="2854"/>
      <c r="LR41" s="2854"/>
      <c r="LS41" s="2854"/>
      <c r="LT41" s="2854"/>
      <c r="LU41" s="2854"/>
      <c r="LV41" s="2854"/>
      <c r="LW41" s="2854"/>
      <c r="LX41" s="2854"/>
      <c r="LY41" s="2854"/>
      <c r="LZ41" s="2854"/>
      <c r="MA41" s="2854"/>
      <c r="MB41" s="2854"/>
      <c r="MC41" s="2854"/>
      <c r="MD41" s="2854"/>
      <c r="ME41" s="2854"/>
      <c r="MF41" s="2854"/>
      <c r="MG41" s="2854"/>
      <c r="MH41" s="2854"/>
      <c r="MI41" s="2854"/>
      <c r="MJ41" s="2854"/>
      <c r="MK41" s="2854"/>
      <c r="ML41" s="2854"/>
      <c r="MM41" s="2854"/>
      <c r="MN41" s="2854"/>
      <c r="MO41" s="2854"/>
      <c r="MP41" s="2854"/>
      <c r="MQ41" s="2854"/>
      <c r="MR41" s="2854"/>
      <c r="MS41" s="2854"/>
      <c r="MT41" s="2854"/>
      <c r="MU41" s="2854"/>
      <c r="MV41" s="2854"/>
      <c r="MW41" s="2854"/>
      <c r="MX41" s="2854"/>
      <c r="MY41" s="2854"/>
      <c r="MZ41" s="2854"/>
      <c r="NA41" s="2854"/>
      <c r="NB41" s="2854"/>
      <c r="NC41" s="2854"/>
      <c r="ND41" s="2854"/>
      <c r="NE41" s="2854"/>
      <c r="NF41" s="2854"/>
      <c r="NG41" s="2854"/>
      <c r="NH41" s="2854"/>
      <c r="NI41" s="2854"/>
      <c r="NJ41" s="2854"/>
      <c r="NK41" s="2854"/>
      <c r="NL41" s="2854"/>
      <c r="NM41" s="2854"/>
      <c r="NN41" s="2854"/>
      <c r="NO41" s="2854"/>
      <c r="NP41" s="2854"/>
      <c r="NQ41" s="2854"/>
      <c r="NR41" s="2854"/>
      <c r="NS41" s="2854"/>
      <c r="NT41" s="2854"/>
      <c r="NU41" s="2854"/>
      <c r="NV41" s="2854"/>
      <c r="NW41" s="2854"/>
      <c r="NX41" s="2854"/>
      <c r="NY41" s="2854"/>
      <c r="NZ41" s="2854"/>
      <c r="OA41" s="2854"/>
      <c r="OB41" s="2854"/>
      <c r="OC41" s="2854"/>
      <c r="OD41" s="2854"/>
      <c r="OE41" s="2854"/>
      <c r="OF41" s="2854"/>
      <c r="OG41" s="2854"/>
      <c r="OH41" s="2854"/>
      <c r="OI41" s="2854"/>
      <c r="OJ41" s="2854"/>
      <c r="OK41" s="2854"/>
      <c r="OL41" s="2854"/>
      <c r="OM41" s="2854"/>
      <c r="ON41" s="2854"/>
      <c r="OO41" s="2854"/>
      <c r="OP41" s="2854"/>
      <c r="OQ41" s="2854"/>
      <c r="OR41" s="2854"/>
      <c r="OS41" s="2854"/>
      <c r="OT41" s="2854"/>
      <c r="OU41" s="2854"/>
      <c r="OV41" s="2854"/>
      <c r="OW41" s="2854"/>
      <c r="OX41" s="2854"/>
      <c r="OY41" s="2854"/>
      <c r="OZ41" s="2854"/>
      <c r="PA41" s="2854"/>
      <c r="PB41" s="2854"/>
      <c r="PC41" s="2854"/>
      <c r="PD41" s="2854"/>
      <c r="PE41" s="2854"/>
      <c r="PF41" s="2854"/>
      <c r="PG41" s="2854"/>
      <c r="PH41" s="2854"/>
      <c r="PI41" s="2854"/>
      <c r="PJ41" s="2854"/>
      <c r="PK41" s="2854"/>
      <c r="PL41" s="2854"/>
      <c r="PM41" s="2854"/>
      <c r="PN41" s="2854"/>
      <c r="PO41" s="2854"/>
      <c r="PP41" s="2854"/>
      <c r="PQ41" s="2854"/>
      <c r="PR41" s="2854"/>
      <c r="PS41" s="2854"/>
      <c r="PT41" s="2854"/>
      <c r="PU41" s="2854"/>
      <c r="PV41" s="2854"/>
      <c r="PW41" s="2854"/>
      <c r="PX41" s="2854"/>
      <c r="PY41" s="2854"/>
      <c r="PZ41" s="2854"/>
      <c r="QA41" s="2854"/>
      <c r="QB41" s="2854"/>
      <c r="QC41" s="2854"/>
      <c r="QD41" s="2854"/>
      <c r="QE41" s="2854"/>
      <c r="QF41" s="2854"/>
      <c r="QG41" s="2854"/>
      <c r="QH41" s="2854"/>
      <c r="QI41" s="2854"/>
      <c r="QJ41" s="2854"/>
      <c r="QK41" s="2854"/>
      <c r="QL41" s="2854"/>
      <c r="QM41" s="2854"/>
      <c r="QN41" s="2854"/>
      <c r="QO41" s="2854"/>
      <c r="QP41" s="2854"/>
      <c r="QQ41" s="2854"/>
      <c r="QR41" s="2854"/>
      <c r="QS41" s="2854"/>
      <c r="QT41" s="2854"/>
      <c r="QU41" s="2854"/>
      <c r="QV41" s="2854"/>
      <c r="QW41" s="2854"/>
      <c r="QX41" s="2854"/>
      <c r="QY41" s="2854"/>
      <c r="QZ41" s="2854"/>
      <c r="RA41" s="2854"/>
      <c r="RB41" s="2854"/>
      <c r="RC41" s="2854"/>
      <c r="RD41" s="2854"/>
      <c r="RE41" s="2854"/>
      <c r="RF41" s="2854"/>
      <c r="RG41" s="2854"/>
      <c r="RH41" s="2854"/>
      <c r="RI41" s="2854"/>
      <c r="RJ41" s="2854"/>
      <c r="RK41" s="2854"/>
      <c r="RL41" s="2854"/>
      <c r="RM41" s="2854"/>
      <c r="RN41" s="2854"/>
      <c r="RO41" s="2854"/>
      <c r="RP41" s="2854"/>
      <c r="RQ41" s="2854"/>
      <c r="RR41" s="2854"/>
      <c r="RS41" s="2854"/>
      <c r="RT41" s="2854"/>
      <c r="RU41" s="2854"/>
      <c r="RV41" s="2854"/>
      <c r="RW41" s="2854"/>
      <c r="RX41" s="2854"/>
      <c r="RY41" s="2854"/>
      <c r="RZ41" s="2854"/>
      <c r="SA41" s="2854"/>
      <c r="SB41" s="2854"/>
      <c r="SC41" s="2854"/>
      <c r="SD41" s="2854"/>
      <c r="SE41" s="2854"/>
      <c r="SF41" s="2854"/>
      <c r="SG41" s="2854"/>
      <c r="SH41" s="2854"/>
      <c r="SI41" s="2854"/>
      <c r="SJ41" s="2854"/>
      <c r="SK41" s="2854"/>
      <c r="SL41" s="2854"/>
      <c r="SM41" s="2854"/>
      <c r="SN41" s="2854"/>
      <c r="SO41" s="2854"/>
      <c r="SP41" s="2854"/>
      <c r="SQ41" s="2854"/>
      <c r="SR41" s="2854"/>
      <c r="SS41" s="2854"/>
      <c r="ST41" s="2854"/>
      <c r="SU41" s="2854"/>
      <c r="SV41" s="2854"/>
      <c r="SW41" s="2854"/>
      <c r="SX41" s="2854"/>
      <c r="SY41" s="2854"/>
      <c r="SZ41" s="2854"/>
      <c r="TA41" s="2854"/>
      <c r="TB41" s="2854"/>
      <c r="TC41" s="2854"/>
      <c r="TD41" s="2854"/>
      <c r="TE41" s="2854"/>
      <c r="TF41" s="2854"/>
      <c r="TG41" s="2854"/>
      <c r="TH41" s="2854"/>
      <c r="TI41" s="2854"/>
      <c r="TJ41" s="2854"/>
      <c r="TK41" s="2854"/>
      <c r="TL41" s="2854"/>
      <c r="TM41" s="2854"/>
      <c r="TN41" s="2854"/>
      <c r="TO41" s="2854"/>
      <c r="TP41" s="2854"/>
      <c r="TQ41" s="2854"/>
      <c r="TR41" s="2854"/>
      <c r="TS41" s="2854"/>
      <c r="TT41" s="2854"/>
      <c r="TU41" s="3783"/>
      <c r="TV41" s="3783"/>
      <c r="TW41" s="3783"/>
      <c r="TX41" s="3783"/>
      <c r="TY41" s="3783"/>
      <c r="TZ41" s="3783"/>
      <c r="UA41" s="3783"/>
      <c r="UB41" s="3783"/>
      <c r="UC41" s="3783"/>
      <c r="UD41" s="3783"/>
      <c r="UE41" s="3783"/>
      <c r="UF41" s="3783"/>
      <c r="UG41" s="3783"/>
      <c r="UH41" s="3783"/>
      <c r="UI41" s="3783"/>
      <c r="UJ41" s="3783"/>
      <c r="UK41" s="3783"/>
      <c r="UL41" s="3783"/>
      <c r="UM41" s="3783"/>
      <c r="UN41" s="3783"/>
      <c r="UO41" s="3783"/>
      <c r="UP41" s="2854"/>
      <c r="UQ41" s="2854"/>
      <c r="UR41" s="2854"/>
      <c r="US41" s="2854"/>
      <c r="UT41" s="2854"/>
      <c r="UU41" s="2854"/>
      <c r="UV41" s="2854"/>
      <c r="UW41" s="2854"/>
      <c r="UX41" s="2854"/>
      <c r="UY41" s="2854"/>
      <c r="UZ41" s="2854"/>
      <c r="VA41" s="2854"/>
      <c r="VB41" s="2854"/>
      <c r="VC41" s="2854"/>
      <c r="VD41" s="2854"/>
      <c r="VE41" s="2854"/>
      <c r="VF41" s="2854"/>
      <c r="VG41" s="2854"/>
      <c r="VH41" s="2854"/>
      <c r="VI41" s="2854"/>
      <c r="VJ41" s="2854"/>
      <c r="VK41" s="2854"/>
      <c r="VL41" s="2854"/>
      <c r="VM41" s="2854"/>
      <c r="VN41" s="2854"/>
      <c r="VO41" s="2854"/>
      <c r="VP41" s="2854"/>
      <c r="VQ41" s="2854"/>
      <c r="VR41" s="2854"/>
      <c r="VS41" s="2854"/>
      <c r="VT41" s="2854"/>
      <c r="VU41" s="2854"/>
      <c r="VV41" s="2854"/>
      <c r="VW41" s="2854"/>
      <c r="VX41" s="2854"/>
      <c r="VY41" s="2854"/>
      <c r="VZ41" s="2854"/>
      <c r="WA41" s="2854"/>
      <c r="WB41" s="2854"/>
      <c r="WC41" s="2854"/>
      <c r="WD41" s="2854"/>
      <c r="WE41" s="2854"/>
      <c r="WF41" s="2854"/>
      <c r="WG41" s="2854"/>
      <c r="WH41" s="2854"/>
      <c r="WI41" s="2854"/>
      <c r="WJ41" s="2854"/>
      <c r="WK41" s="2854"/>
      <c r="WL41" s="2854"/>
      <c r="WM41" s="2854"/>
      <c r="WN41" s="2854"/>
      <c r="WO41" s="2854"/>
      <c r="WP41" s="2854"/>
      <c r="WQ41" s="2854"/>
      <c r="WR41" s="2854"/>
      <c r="WS41" s="2854"/>
      <c r="WT41" s="2854"/>
      <c r="WU41" s="2854"/>
      <c r="WV41" s="2854"/>
      <c r="WW41" s="2854"/>
      <c r="WX41" s="2854"/>
      <c r="WY41" s="2854"/>
      <c r="WZ41" s="2854"/>
      <c r="XA41" s="2854"/>
      <c r="XB41" s="2854"/>
      <c r="XC41" s="2854"/>
      <c r="XD41" s="2854"/>
      <c r="XE41" s="2854"/>
      <c r="XF41" s="2854"/>
      <c r="XG41" s="2854"/>
      <c r="XH41" s="2854"/>
      <c r="XI41" s="2854"/>
      <c r="XJ41" s="2854"/>
      <c r="XK41" s="2854"/>
      <c r="XL41" s="2854"/>
      <c r="XM41" s="2854"/>
      <c r="XN41" s="2854"/>
      <c r="XO41" s="2854"/>
      <c r="XP41" s="2854"/>
      <c r="XQ41" s="2854"/>
      <c r="XR41" s="2854"/>
      <c r="XS41" s="2854"/>
      <c r="XT41" s="2854"/>
      <c r="XU41" s="2854"/>
      <c r="XV41" s="2854"/>
      <c r="XW41" s="2854"/>
      <c r="XX41" s="2854"/>
      <c r="XY41" s="2854"/>
      <c r="XZ41" s="2854"/>
      <c r="YA41" s="2854"/>
      <c r="YB41" s="2854"/>
      <c r="YC41" s="2854"/>
      <c r="YD41" s="2854"/>
      <c r="YE41" s="2854"/>
      <c r="YF41" s="2854"/>
      <c r="YG41" s="2854"/>
      <c r="YH41" s="2854"/>
      <c r="YI41" s="2854"/>
      <c r="YJ41" s="2854"/>
      <c r="YK41" s="2854"/>
      <c r="YL41" s="2854"/>
      <c r="YM41" s="2854"/>
      <c r="YN41" s="2854"/>
      <c r="YO41" s="2854"/>
      <c r="YP41" s="2854"/>
      <c r="YQ41" s="2854"/>
      <c r="YR41" s="2854"/>
      <c r="YS41" s="2854"/>
      <c r="YT41" s="2854"/>
      <c r="YU41" s="2854"/>
      <c r="YV41" s="2854"/>
      <c r="YW41" s="2854"/>
      <c r="YX41" s="2854"/>
      <c r="YY41" s="2854"/>
      <c r="YZ41" s="2854"/>
      <c r="ZA41" s="2854"/>
      <c r="ZB41" s="2854"/>
      <c r="ZC41" s="2854"/>
      <c r="ZD41" s="2854"/>
      <c r="ZE41" s="2854"/>
      <c r="ZF41" s="2854"/>
      <c r="ZG41" s="2854"/>
      <c r="ZH41" s="2854"/>
      <c r="ZI41" s="2854"/>
      <c r="ZJ41" s="2854"/>
      <c r="ZK41" s="2854"/>
      <c r="ZL41" s="2854"/>
      <c r="ZM41" s="2854"/>
      <c r="ZN41" s="2854"/>
      <c r="ZO41" s="2854"/>
      <c r="ZP41" s="2854"/>
      <c r="ZQ41" s="2854"/>
      <c r="ZR41" s="2854"/>
      <c r="ZS41" s="2854"/>
      <c r="ZT41" s="2854"/>
      <c r="ZU41" s="2854"/>
      <c r="ZV41" s="2854"/>
      <c r="ZW41" s="2854"/>
      <c r="ZX41" s="2854"/>
      <c r="ZY41" s="2854"/>
      <c r="ZZ41" s="2854"/>
      <c r="AAA41" s="2854"/>
      <c r="AAB41" s="2854"/>
      <c r="AAC41" s="2854"/>
      <c r="AAD41" s="2854"/>
      <c r="AAE41" s="2854"/>
      <c r="AAF41" s="2854"/>
      <c r="AAG41" s="2854"/>
      <c r="AAH41" s="2854"/>
      <c r="AAI41" s="2854"/>
      <c r="AAJ41" s="2854"/>
      <c r="AAK41" s="2854"/>
      <c r="AAL41" s="2854"/>
      <c r="AAM41" s="2854"/>
      <c r="AAN41" s="2854"/>
      <c r="AAO41" s="2854"/>
      <c r="AAP41" s="2854"/>
      <c r="AAQ41" s="2854"/>
      <c r="AAR41" s="2854"/>
      <c r="AAS41" s="2854"/>
      <c r="AAT41" s="2854"/>
      <c r="AAU41" s="2854"/>
      <c r="AAV41" s="2854"/>
      <c r="AAW41" s="2854"/>
      <c r="AAX41" s="2854"/>
      <c r="AAY41" s="2854"/>
      <c r="AAZ41" s="2854"/>
      <c r="ABA41" s="2854"/>
      <c r="ABB41" s="2854"/>
      <c r="ABC41" s="2854"/>
      <c r="ABD41" s="2854"/>
      <c r="ABE41" s="2854"/>
      <c r="ABF41" s="2854"/>
      <c r="ABG41" s="2854"/>
      <c r="ABH41" s="2854"/>
      <c r="ABI41" s="2854"/>
      <c r="ABJ41" s="2854"/>
      <c r="ABK41" s="2854"/>
      <c r="ABL41" s="2854"/>
      <c r="ABM41" s="2854"/>
      <c r="ABN41" s="2854"/>
      <c r="ABO41" s="2854"/>
      <c r="ABP41" s="2854"/>
      <c r="ABQ41" s="2854"/>
      <c r="ABR41" s="2854"/>
      <c r="ABS41" s="2854"/>
      <c r="ABT41" s="2854"/>
      <c r="ABU41" s="2854"/>
      <c r="ABV41" s="2854"/>
      <c r="ABW41" s="2854"/>
      <c r="ABX41" s="2854"/>
      <c r="ABY41" s="2854"/>
      <c r="ABZ41" s="2854"/>
      <c r="ACA41" s="2854"/>
      <c r="ACB41" s="2854"/>
      <c r="ACC41" s="2854"/>
      <c r="ACD41" s="2854"/>
      <c r="ACE41" s="2854"/>
      <c r="ACF41" s="2854"/>
      <c r="ACG41" s="2854"/>
      <c r="ACH41" s="2854"/>
      <c r="ACI41" s="2854"/>
      <c r="ACJ41" s="2854"/>
      <c r="ACK41" s="2854"/>
      <c r="ACL41" s="2854"/>
      <c r="ACM41" s="2854"/>
      <c r="ACN41" s="2854"/>
      <c r="ACO41" s="2854"/>
      <c r="ACP41" s="2854"/>
      <c r="ACQ41" s="2854"/>
      <c r="ACR41" s="2854"/>
      <c r="ACS41" s="2854"/>
      <c r="ACT41" s="2854"/>
      <c r="ACU41" s="2854"/>
      <c r="ACV41" s="2854"/>
      <c r="ACW41" s="2854"/>
      <c r="ACX41" s="2854"/>
      <c r="ACY41" s="2854"/>
      <c r="ACZ41" s="2854"/>
      <c r="ADA41" s="2854"/>
      <c r="ADB41" s="2854"/>
      <c r="ADC41" s="2854"/>
      <c r="ADD41" s="2854"/>
      <c r="ADE41" s="2854"/>
      <c r="ADF41" s="2854"/>
      <c r="ADG41" s="2854"/>
      <c r="ADH41" s="2854"/>
      <c r="ADI41" s="2854"/>
      <c r="ADJ41" s="2854"/>
      <c r="ADK41" s="2854"/>
      <c r="ADL41" s="2854"/>
      <c r="ADM41" s="2854"/>
      <c r="ADN41" s="2854"/>
      <c r="ADO41" s="2854"/>
      <c r="ADP41" s="2854"/>
      <c r="ADQ41" s="2854"/>
      <c r="ADR41" s="2854"/>
      <c r="ADS41" s="2854"/>
      <c r="ADT41" s="2854"/>
      <c r="ADU41" s="2854"/>
      <c r="ADV41" s="2854"/>
      <c r="ADW41" s="2854"/>
      <c r="ADX41" s="2854"/>
      <c r="ADY41" s="2854"/>
      <c r="ADZ41" s="2854"/>
      <c r="AEA41" s="2854"/>
      <c r="AEB41" s="2854"/>
      <c r="AEC41" s="2854"/>
      <c r="AED41" s="2854"/>
      <c r="AEE41" s="2854"/>
      <c r="AEF41" s="2854"/>
      <c r="AEG41" s="2854"/>
      <c r="AEH41" s="2854"/>
      <c r="AEI41" s="2854"/>
      <c r="AEJ41" s="2854"/>
      <c r="AEK41" s="2854"/>
      <c r="AEL41" s="2854"/>
      <c r="AEM41" s="2854"/>
      <c r="AEN41" s="2854"/>
      <c r="AEO41" s="2854"/>
      <c r="AEP41" s="2854"/>
      <c r="AEQ41" s="2854"/>
      <c r="AER41" s="2854"/>
      <c r="AES41" s="2854"/>
      <c r="AET41" s="2854"/>
      <c r="AEU41" s="2854"/>
      <c r="AEV41" s="2854"/>
      <c r="AEW41" s="2854"/>
      <c r="AEX41" s="2854"/>
      <c r="AEY41" s="2854"/>
      <c r="AEZ41" s="2854"/>
      <c r="AFA41" s="2854"/>
      <c r="AFB41" s="2854"/>
      <c r="AFC41" s="2854"/>
      <c r="AFD41" s="2854"/>
      <c r="AFE41" s="2854"/>
      <c r="AFF41" s="2854"/>
      <c r="AFG41" s="2854"/>
      <c r="AFH41" s="2854"/>
      <c r="AFI41" s="2854"/>
      <c r="AFJ41" s="2854"/>
      <c r="AFK41" s="2854"/>
      <c r="AFL41" s="2854"/>
      <c r="AFM41" s="2854"/>
      <c r="AFN41" s="2854"/>
      <c r="AFO41" s="2854"/>
      <c r="AFP41" s="2854"/>
      <c r="AFQ41" s="2854"/>
      <c r="AFR41" s="2854"/>
      <c r="AFS41" s="2854"/>
      <c r="AFT41" s="2854"/>
      <c r="AFU41" s="2854"/>
      <c r="AFV41" s="2854"/>
      <c r="AFW41" s="2854"/>
      <c r="AFX41" s="2854"/>
      <c r="AFY41" s="2854"/>
      <c r="AFZ41" s="2854"/>
      <c r="AGA41" s="2854"/>
      <c r="AGB41" s="2854"/>
      <c r="AGC41" s="2854"/>
      <c r="AGD41" s="2854"/>
      <c r="AGE41" s="2854"/>
      <c r="AGF41" s="2854"/>
      <c r="AGG41" s="2854"/>
      <c r="AGH41" s="2854"/>
      <c r="AGI41" s="2854"/>
      <c r="AGJ41" s="2854"/>
      <c r="AGK41" s="2854"/>
      <c r="AGL41" s="2854"/>
      <c r="AGM41" s="2854"/>
      <c r="AGN41" s="2854"/>
      <c r="AGO41" s="2854"/>
      <c r="AGP41" s="2854"/>
      <c r="AGQ41" s="2854"/>
      <c r="AGR41" s="2854"/>
      <c r="AGS41" s="2854"/>
      <c r="AGT41" s="2854"/>
      <c r="AGU41" s="2854"/>
      <c r="AGV41" s="2854"/>
      <c r="AGW41" s="2854"/>
      <c r="AGX41" s="2854"/>
      <c r="AGY41" s="2854"/>
      <c r="AGZ41" s="2854"/>
      <c r="AHA41" s="2854"/>
      <c r="AHB41" s="2854"/>
      <c r="AHC41" s="2854"/>
      <c r="AHD41" s="2854"/>
      <c r="AHE41" s="2854"/>
      <c r="AHF41" s="2854"/>
      <c r="AHG41" s="2854"/>
      <c r="AHH41" s="2854"/>
      <c r="AHI41" s="2854"/>
      <c r="AHJ41" s="2854"/>
      <c r="AHK41" s="2854"/>
      <c r="AHL41" s="2854"/>
      <c r="AHM41" s="2854"/>
      <c r="AHN41" s="2854"/>
      <c r="AHO41" s="2854"/>
      <c r="AHP41" s="2854"/>
      <c r="AHQ41" s="2854"/>
      <c r="AHR41" s="2854"/>
      <c r="AHS41" s="2854"/>
      <c r="AHT41" s="2854"/>
      <c r="AHU41" s="2854"/>
      <c r="AHV41" s="2854"/>
      <c r="AHW41" s="2854"/>
      <c r="AHX41" s="2854"/>
      <c r="AHY41" s="2854"/>
      <c r="AHZ41" s="2854"/>
      <c r="AIA41" s="2854"/>
      <c r="AIB41" s="2854"/>
      <c r="AIC41" s="2854"/>
      <c r="AID41" s="2854"/>
      <c r="AIE41" s="2854"/>
      <c r="AIF41" s="2854"/>
      <c r="AIG41" s="2854"/>
      <c r="AIH41" s="2854"/>
      <c r="AII41" s="2854"/>
      <c r="AIJ41" s="2854"/>
      <c r="AIK41" s="2854"/>
      <c r="AIL41" s="2854"/>
      <c r="AIM41" s="2854"/>
      <c r="AIN41" s="2854"/>
      <c r="AIO41" s="2854"/>
      <c r="AIP41" s="2854"/>
      <c r="AIQ41" s="2854"/>
      <c r="AIR41" s="2854"/>
      <c r="AIS41" s="2854"/>
      <c r="AIT41" s="2854"/>
      <c r="AIU41" s="2854"/>
      <c r="AIV41" s="2854"/>
      <c r="AIW41" s="2854"/>
      <c r="AIX41" s="2854"/>
      <c r="AIY41" s="2854"/>
      <c r="AIZ41" s="2854"/>
      <c r="AJA41" s="2854"/>
      <c r="AJB41" s="2854"/>
      <c r="AJC41" s="2854"/>
      <c r="AJD41" s="2854"/>
      <c r="AJE41" s="2854"/>
      <c r="AJF41" s="2854"/>
      <c r="AJG41" s="2854"/>
      <c r="AJH41" s="2854"/>
      <c r="AJI41" s="2854"/>
      <c r="AJJ41" s="2854"/>
      <c r="AJK41" s="2854"/>
      <c r="AJL41" s="2854"/>
      <c r="AJM41" s="2854"/>
      <c r="AJN41" s="2854"/>
      <c r="AJO41" s="2854"/>
      <c r="AJP41" s="2854"/>
      <c r="AJQ41" s="2854"/>
      <c r="AJR41" s="2854"/>
      <c r="AJS41" s="2854"/>
      <c r="AJT41" s="2854"/>
      <c r="AJU41" s="2854"/>
      <c r="AJV41" s="2854"/>
      <c r="AJW41" s="2854"/>
      <c r="AJX41" s="2854"/>
      <c r="AJY41" s="2854"/>
      <c r="AJZ41" s="2854"/>
      <c r="AKA41" s="2854"/>
      <c r="AKB41" s="2854"/>
      <c r="AKC41" s="2854"/>
      <c r="AKD41" s="2854"/>
      <c r="AKE41" s="2854"/>
      <c r="AKF41" s="2854"/>
      <c r="AKG41" s="2854"/>
      <c r="AKH41" s="2854"/>
      <c r="AKI41" s="2854"/>
      <c r="AKJ41" s="2854"/>
      <c r="AKK41" s="2854"/>
      <c r="AKL41" s="2854"/>
      <c r="AKM41" s="2854"/>
      <c r="AKN41" s="2854"/>
      <c r="AKO41" s="2854"/>
      <c r="AKP41" s="2854"/>
      <c r="AKQ41" s="2854"/>
      <c r="AKR41" s="2854"/>
      <c r="AKS41" s="2854"/>
      <c r="AKT41" s="2854"/>
      <c r="AKU41" s="2854"/>
      <c r="AKV41" s="2854"/>
      <c r="AKW41" s="2854"/>
      <c r="AKX41" s="2854"/>
      <c r="AKY41" s="2854"/>
      <c r="AKZ41" s="2854"/>
      <c r="ALA41" s="2854"/>
      <c r="ALB41" s="2854"/>
      <c r="ALC41" s="2854"/>
      <c r="ALD41" s="2854"/>
      <c r="ALE41" s="2854"/>
      <c r="ALF41" s="2854"/>
      <c r="ALG41" s="2854"/>
      <c r="ALH41" s="2854"/>
      <c r="ALI41" s="2854"/>
      <c r="ALJ41" s="2854"/>
      <c r="ALK41" s="2854"/>
      <c r="ALL41" s="2854"/>
      <c r="ALM41" s="2854"/>
      <c r="ALN41" s="2854"/>
      <c r="ALO41" s="2854"/>
      <c r="ALP41" s="2854"/>
      <c r="ALQ41" s="2854"/>
      <c r="ALR41" s="2854"/>
      <c r="ALS41" s="2854"/>
      <c r="ALT41" s="2854"/>
      <c r="ALU41" s="2854"/>
      <c r="ALV41" s="2854"/>
      <c r="ALW41" s="2854"/>
      <c r="ALX41" s="2854"/>
      <c r="ALY41" s="2854"/>
      <c r="ALZ41" s="2854"/>
      <c r="AMA41" s="2854"/>
      <c r="AMB41" s="2854"/>
      <c r="AMC41" s="2854"/>
      <c r="AMD41" s="2854"/>
      <c r="AME41" s="2854"/>
      <c r="AMF41" s="2854"/>
      <c r="AMG41" s="2854"/>
      <c r="AMH41" s="2854"/>
      <c r="AMI41" s="2854"/>
      <c r="AMJ41" s="2854"/>
      <c r="AMK41" s="2854"/>
      <c r="AML41" s="2854"/>
      <c r="AMM41" s="2854"/>
      <c r="AMN41" s="2854"/>
      <c r="AMO41" s="2854"/>
      <c r="AMP41" s="2854"/>
      <c r="AMQ41" s="2854"/>
      <c r="AMR41" s="2854"/>
      <c r="AMS41" s="2854"/>
      <c r="AMT41" s="2854"/>
      <c r="AMU41" s="2854"/>
      <c r="AMV41" s="2854"/>
      <c r="AMW41" s="2854"/>
      <c r="AMX41" s="2854"/>
      <c r="AMY41" s="2854"/>
      <c r="AMZ41" s="2854"/>
      <c r="ANA41" s="2854"/>
      <c r="ANB41" s="2854"/>
      <c r="ANC41" s="2854"/>
      <c r="AND41" s="2854"/>
      <c r="ANE41" s="2854"/>
      <c r="ANF41" s="2854"/>
      <c r="ANG41" s="2854"/>
      <c r="ANH41" s="2854"/>
      <c r="ANI41" s="2854"/>
      <c r="ANJ41" s="2854"/>
      <c r="ANK41" s="2854"/>
      <c r="ANL41" s="2854"/>
      <c r="ANM41" s="2854"/>
      <c r="ANN41" s="2854"/>
      <c r="ANO41" s="2854"/>
      <c r="ANP41" s="2854"/>
      <c r="ANQ41" s="2854"/>
      <c r="ANR41" s="2854"/>
      <c r="ANS41" s="2854"/>
      <c r="ANT41" s="2854"/>
      <c r="ANU41" s="2854"/>
      <c r="ANV41" s="2854"/>
      <c r="ANW41" s="2854"/>
      <c r="ANX41" s="2854"/>
      <c r="ANY41" s="2854"/>
      <c r="ANZ41" s="2854"/>
      <c r="AOA41" s="2854"/>
      <c r="AOB41" s="2854"/>
      <c r="AOC41" s="2854"/>
      <c r="AOD41" s="2854"/>
      <c r="AOE41" s="2854"/>
      <c r="AOF41" s="2854"/>
      <c r="AOG41" s="2854"/>
      <c r="AOH41" s="2854"/>
      <c r="AOI41" s="2854"/>
      <c r="AOJ41" s="2854"/>
      <c r="AOK41" s="2854"/>
      <c r="AOL41" s="2854"/>
      <c r="AOM41" s="2854"/>
      <c r="AON41" s="2854"/>
      <c r="AOO41" s="2854"/>
      <c r="AOP41" s="2854"/>
      <c r="AOQ41" s="2854"/>
      <c r="AOR41" s="2854"/>
      <c r="AOS41" s="2854"/>
      <c r="AOT41" s="2854"/>
      <c r="AOU41" s="2854"/>
      <c r="AOV41" s="2854"/>
      <c r="AOW41" s="2854"/>
      <c r="AOX41" s="2854"/>
      <c r="AOY41" s="2854"/>
      <c r="AOZ41" s="2854"/>
      <c r="APA41" s="2854"/>
      <c r="APB41" s="2854"/>
      <c r="APC41" s="2854"/>
      <c r="APD41" s="2854"/>
      <c r="APE41" s="2854"/>
      <c r="APF41" s="2854"/>
      <c r="APG41" s="2854"/>
      <c r="APH41" s="2854"/>
      <c r="API41" s="2854"/>
      <c r="APJ41" s="2854"/>
      <c r="APK41" s="2854"/>
      <c r="APL41" s="2854"/>
      <c r="APM41" s="2854"/>
      <c r="APN41" s="2854"/>
      <c r="APO41" s="2854"/>
      <c r="APP41" s="2854"/>
      <c r="APQ41" s="2854"/>
      <c r="APR41" s="2854"/>
      <c r="APS41" s="2854"/>
      <c r="APT41" s="2854"/>
      <c r="APU41" s="2854"/>
      <c r="APV41" s="2854"/>
      <c r="APW41" s="2854"/>
      <c r="APX41" s="2854"/>
      <c r="APY41" s="2854"/>
      <c r="APZ41" s="2854"/>
      <c r="AQA41" s="2854"/>
      <c r="AQB41" s="2854"/>
      <c r="AQC41" s="2854"/>
      <c r="AQD41" s="2854"/>
      <c r="AQE41" s="2854"/>
      <c r="AQF41" s="2854"/>
      <c r="AQG41" s="2854"/>
      <c r="AQH41" s="2854"/>
      <c r="AQI41" s="2854"/>
      <c r="AQJ41" s="2854"/>
      <c r="AQK41" s="2854"/>
      <c r="AQL41" s="2854"/>
      <c r="AQM41" s="2854"/>
      <c r="AQN41" s="2854"/>
      <c r="AQO41" s="2854"/>
      <c r="AQP41" s="2854"/>
      <c r="AQQ41" s="2854"/>
      <c r="AQR41" s="2854"/>
      <c r="AQS41" s="2854"/>
      <c r="AQT41" s="2854"/>
      <c r="AQU41" s="2854"/>
      <c r="AQV41" s="2854"/>
      <c r="AQW41" s="2854"/>
      <c r="AQX41" s="2854"/>
      <c r="AQY41" s="2854"/>
      <c r="AQZ41" s="2854"/>
      <c r="ARA41" s="2854"/>
      <c r="ARB41" s="2854"/>
      <c r="ARC41" s="2854"/>
      <c r="ARD41" s="2854"/>
      <c r="ARE41" s="2854"/>
      <c r="ARF41" s="2854"/>
      <c r="ARG41" s="2854"/>
      <c r="ARH41" s="2854"/>
      <c r="ARI41" s="2854"/>
      <c r="ARJ41" s="2854"/>
      <c r="ARK41" s="2854"/>
      <c r="ARL41" s="2854"/>
      <c r="ARM41" s="2854"/>
      <c r="ARN41" s="2854"/>
      <c r="ARO41" s="2854"/>
      <c r="ARP41" s="2854"/>
      <c r="ARQ41" s="2854"/>
      <c r="ARR41" s="2854"/>
      <c r="ARS41" s="2854"/>
      <c r="ART41" s="2854"/>
      <c r="ARU41" s="2854"/>
      <c r="ARV41" s="2854"/>
      <c r="ARW41" s="2854"/>
      <c r="ARX41" s="2854"/>
      <c r="ARY41" s="2854"/>
      <c r="ARZ41" s="2854"/>
      <c r="ASA41" s="2854"/>
      <c r="ASB41" s="2854"/>
      <c r="ASC41" s="2854"/>
      <c r="ASD41" s="2854"/>
      <c r="ASE41" s="2854"/>
      <c r="ASF41" s="2854"/>
      <c r="ASG41" s="2854"/>
      <c r="ASH41" s="2854"/>
      <c r="ASI41" s="2854"/>
      <c r="ASJ41" s="2854"/>
      <c r="ASK41" s="2854"/>
      <c r="ASL41" s="2854"/>
      <c r="ASM41" s="2854"/>
      <c r="ASN41" s="2854"/>
      <c r="ASO41" s="2854"/>
      <c r="ASP41" s="2854"/>
      <c r="ASQ41" s="2854"/>
      <c r="ASR41" s="2854"/>
      <c r="ASS41" s="2854"/>
      <c r="AST41" s="2854"/>
      <c r="ASU41" s="2854"/>
      <c r="ASV41" s="2854"/>
      <c r="ASW41" s="2854"/>
      <c r="ASX41" s="2854"/>
      <c r="ASY41" s="2854"/>
      <c r="ASZ41" s="2854"/>
      <c r="ATA41" s="2854"/>
      <c r="ATB41" s="2854"/>
      <c r="ATC41" s="2854"/>
      <c r="ATD41" s="2854"/>
      <c r="ATE41" s="2854"/>
      <c r="ATF41" s="2854"/>
      <c r="ATG41" s="2854"/>
      <c r="ATH41" s="2854"/>
      <c r="ATI41" s="2854"/>
      <c r="ATJ41" s="2854"/>
      <c r="ATK41" s="2854"/>
      <c r="ATL41" s="2854"/>
      <c r="ATM41" s="2854"/>
      <c r="ATN41" s="2854"/>
      <c r="ATO41" s="2854"/>
      <c r="ATP41" s="2854"/>
      <c r="ATQ41" s="2854"/>
      <c r="ATR41" s="2854"/>
      <c r="ATS41" s="2854"/>
      <c r="ATT41" s="2854"/>
      <c r="ATU41" s="2854"/>
      <c r="ATV41" s="2854"/>
      <c r="ATW41" s="2854"/>
      <c r="ATX41" s="2854"/>
      <c r="ATY41" s="2854"/>
      <c r="ATZ41" s="2854"/>
      <c r="AUA41" s="2854"/>
      <c r="AUB41" s="2854"/>
      <c r="AUC41" s="2854"/>
      <c r="AUD41" s="2854"/>
      <c r="AUE41" s="2854"/>
      <c r="AUF41" s="2854"/>
      <c r="AUG41" s="2854"/>
      <c r="AUH41" s="2854"/>
      <c r="AUI41" s="2854"/>
      <c r="AUJ41" s="2854"/>
      <c r="AUK41" s="2854"/>
      <c r="AUL41" s="2854"/>
      <c r="AUM41" s="2854"/>
      <c r="AUN41" s="2854"/>
      <c r="AUO41" s="2854"/>
      <c r="AUP41" s="2854"/>
      <c r="AUQ41" s="2854"/>
      <c r="AUR41" s="2854"/>
      <c r="AUS41" s="2854"/>
      <c r="AUT41" s="2854"/>
      <c r="AUU41" s="2854"/>
      <c r="AUV41" s="2854"/>
      <c r="AUW41" s="2854"/>
      <c r="AUX41" s="2854"/>
      <c r="AUY41" s="2854"/>
      <c r="AUZ41" s="2854"/>
      <c r="AVA41" s="2854"/>
      <c r="AVB41" s="2854"/>
      <c r="AVC41" s="2854"/>
      <c r="AVD41" s="2854"/>
      <c r="AVE41" s="2854"/>
      <c r="AVF41" s="2854"/>
      <c r="AVG41" s="2854"/>
      <c r="AVH41" s="2854"/>
      <c r="AVI41" s="2854"/>
      <c r="AVJ41" s="2854"/>
      <c r="AVK41" s="2854"/>
      <c r="AVL41" s="2854"/>
      <c r="AVM41" s="2854"/>
      <c r="AVN41" s="2854"/>
      <c r="AVO41" s="2854"/>
      <c r="AVP41" s="2854"/>
      <c r="AVQ41" s="2854"/>
      <c r="AVR41" s="2854"/>
      <c r="AVS41" s="2854"/>
      <c r="AVT41" s="2854"/>
      <c r="AVU41" s="2854"/>
      <c r="AVV41" s="2854"/>
      <c r="AVW41" s="2854"/>
      <c r="AVX41" s="2854"/>
      <c r="AVY41" s="2854"/>
      <c r="AVZ41" s="2854"/>
      <c r="AWA41" s="2854"/>
      <c r="AWB41" s="2854"/>
      <c r="AWC41" s="2854"/>
      <c r="AWD41" s="2854"/>
      <c r="AWE41" s="2854"/>
      <c r="AWF41" s="2854"/>
      <c r="AWG41" s="2854"/>
      <c r="AWH41" s="2854"/>
      <c r="AWI41" s="2854"/>
      <c r="AWJ41" s="2854"/>
      <c r="AWK41" s="2854"/>
      <c r="AWL41" s="2854"/>
      <c r="AWM41" s="2854"/>
      <c r="AWN41" s="2854"/>
      <c r="AWO41" s="2854"/>
      <c r="AWP41" s="2854"/>
      <c r="AWQ41" s="2854"/>
      <c r="AWR41" s="2854"/>
      <c r="AWS41" s="2854"/>
      <c r="AWT41" s="2854"/>
      <c r="AWU41" s="2854"/>
      <c r="AWV41" s="2854"/>
      <c r="AWW41" s="2854"/>
      <c r="AWX41" s="2854"/>
      <c r="AWY41" s="2854"/>
      <c r="AWZ41" s="2854"/>
      <c r="AXA41" s="2854"/>
      <c r="AXB41" s="2854"/>
      <c r="AXC41" s="2854"/>
      <c r="AXD41" s="2854"/>
      <c r="AXE41" s="2854"/>
      <c r="AXF41" s="2854"/>
      <c r="AXG41" s="2854"/>
      <c r="AXH41" s="2854"/>
      <c r="AXI41" s="2854"/>
      <c r="AXJ41" s="2854"/>
      <c r="AXK41" s="2854"/>
      <c r="AXL41" s="2854"/>
      <c r="AXM41" s="2854"/>
      <c r="AXN41" s="2854"/>
      <c r="AXO41" s="2854"/>
      <c r="AXP41" s="2854"/>
      <c r="AXQ41" s="2854"/>
      <c r="AXR41" s="2854"/>
      <c r="AXS41" s="2854"/>
      <c r="AXT41" s="2854"/>
      <c r="AXU41" s="2854"/>
      <c r="AXV41" s="2854"/>
      <c r="AXW41" s="2854"/>
      <c r="AXX41" s="2854"/>
      <c r="AXY41" s="2854"/>
      <c r="AXZ41" s="2854"/>
      <c r="AYA41" s="2854"/>
      <c r="AYB41" s="2854"/>
      <c r="AYC41" s="2854"/>
      <c r="AYD41" s="2854"/>
      <c r="AYE41" s="2854"/>
      <c r="AYF41" s="2854"/>
      <c r="AYG41" s="2854"/>
      <c r="AYH41" s="2854"/>
      <c r="AYI41" s="2854"/>
      <c r="AYJ41" s="2854"/>
      <c r="AYK41" s="2854"/>
      <c r="AYL41" s="2854"/>
      <c r="AYM41" s="2854"/>
      <c r="AYN41" s="2854"/>
      <c r="AYO41" s="2854"/>
      <c r="AYP41" s="2854"/>
      <c r="AYQ41" s="2854"/>
      <c r="AYR41" s="2854"/>
      <c r="AYS41" s="2854"/>
      <c r="AYT41" s="2854"/>
      <c r="AYU41" s="2854"/>
      <c r="AYV41" s="2854"/>
      <c r="AYW41" s="2854"/>
      <c r="AYX41" s="2854"/>
      <c r="AYY41" s="2854"/>
      <c r="AYZ41" s="2854"/>
      <c r="AZA41" s="2854"/>
      <c r="AZB41" s="2854"/>
      <c r="AZC41" s="2854"/>
      <c r="AZD41" s="2854"/>
      <c r="AZE41" s="2854"/>
      <c r="AZF41" s="2854"/>
      <c r="AZG41" s="2854"/>
      <c r="AZH41" s="2854"/>
      <c r="AZI41" s="2854"/>
      <c r="AZJ41" s="2854"/>
      <c r="AZK41" s="2854"/>
      <c r="AZL41" s="2854"/>
      <c r="AZM41" s="2854"/>
      <c r="AZN41" s="2854"/>
      <c r="AZO41" s="2854"/>
      <c r="AZP41" s="2854"/>
      <c r="AZQ41" s="2854"/>
      <c r="AZR41" s="2854"/>
      <c r="AZS41" s="2854"/>
      <c r="AZT41" s="2854"/>
      <c r="AZU41" s="2854"/>
      <c r="AZV41" s="2854"/>
      <c r="AZW41" s="2854"/>
      <c r="AZX41" s="2854"/>
      <c r="AZY41" s="2854"/>
      <c r="AZZ41" s="2854"/>
      <c r="BAA41" s="2854"/>
      <c r="BAB41" s="2854"/>
      <c r="BAC41" s="2854"/>
      <c r="BAD41" s="2854"/>
      <c r="BAE41" s="2854"/>
      <c r="BAF41" s="2854"/>
      <c r="BAG41" s="2854"/>
      <c r="BAH41" s="2854"/>
      <c r="BAI41" s="2854"/>
      <c r="BAJ41" s="2854"/>
      <c r="BAK41" s="2854"/>
      <c r="BAL41" s="2854"/>
      <c r="BAM41" s="2854"/>
      <c r="BAN41" s="2854"/>
      <c r="BAO41" s="2854"/>
      <c r="BAP41" s="2854"/>
      <c r="BAQ41" s="2854"/>
      <c r="BAR41" s="2854"/>
      <c r="BAS41" s="2854"/>
      <c r="BAT41" s="2854"/>
      <c r="BAU41" s="2854"/>
      <c r="BAV41" s="2854"/>
      <c r="BAW41" s="2854"/>
      <c r="BAX41" s="2854"/>
      <c r="BAY41" s="2854"/>
      <c r="BAZ41" s="2854"/>
      <c r="BBA41" s="2854"/>
      <c r="BBB41" s="2854"/>
      <c r="BBC41" s="2854"/>
      <c r="BBD41" s="2854"/>
      <c r="BBE41" s="2854"/>
      <c r="BBF41" s="2854"/>
      <c r="BBG41" s="2854"/>
      <c r="BBH41" s="2854"/>
      <c r="BBI41" s="2854"/>
      <c r="BBJ41" s="2854"/>
      <c r="BBK41" s="2854"/>
      <c r="BBL41" s="2854"/>
      <c r="BBM41" s="2854"/>
      <c r="BBN41" s="2854"/>
      <c r="BBO41" s="2854"/>
      <c r="BBP41" s="2854"/>
      <c r="BBQ41" s="2854"/>
      <c r="BBR41" s="2854"/>
      <c r="BBS41" s="2854"/>
      <c r="BBT41" s="2854"/>
      <c r="BBU41" s="2854"/>
      <c r="BBV41" s="2854"/>
      <c r="BBW41" s="2854"/>
      <c r="BBX41" s="2854"/>
      <c r="BBY41" s="2854"/>
      <c r="BBZ41" s="2854"/>
      <c r="BCA41" s="2854"/>
      <c r="BCB41" s="2854"/>
      <c r="BCC41" s="2854"/>
      <c r="BCD41" s="2854"/>
      <c r="BCE41" s="2854"/>
      <c r="BCF41" s="2854"/>
      <c r="BCG41" s="2854"/>
      <c r="BCH41" s="2854"/>
      <c r="BCI41" s="2854"/>
      <c r="BCJ41" s="2854"/>
      <c r="BCK41" s="2854"/>
      <c r="BCL41" s="2854"/>
      <c r="BCM41" s="2854"/>
      <c r="BCN41" s="2854"/>
      <c r="BCO41" s="2854"/>
      <c r="BCP41" s="2854"/>
      <c r="BCQ41" s="2854"/>
      <c r="BCR41" s="2854"/>
      <c r="BCS41" s="2854"/>
      <c r="BCT41" s="2854"/>
      <c r="BCU41" s="2854"/>
      <c r="BCV41" s="2854"/>
      <c r="BCW41" s="2854"/>
      <c r="BCX41" s="2854"/>
      <c r="BCY41" s="2854"/>
      <c r="BCZ41" s="2854"/>
      <c r="BDA41" s="2854"/>
      <c r="BDB41" s="2854"/>
      <c r="BDC41" s="2854"/>
      <c r="BDD41" s="2854"/>
      <c r="BDE41" s="2854"/>
      <c r="BDF41" s="2854"/>
      <c r="BDG41" s="2854"/>
      <c r="BDH41" s="2854"/>
      <c r="BDI41" s="2854"/>
      <c r="BDJ41" s="2854"/>
      <c r="BDK41" s="2854"/>
      <c r="BDL41" s="2854"/>
      <c r="BDM41" s="2854"/>
      <c r="BDN41" s="2854"/>
      <c r="BDO41" s="2854"/>
      <c r="BDP41" s="2854"/>
      <c r="BDQ41" s="2854"/>
      <c r="BDR41" s="2854"/>
      <c r="BDS41" s="2854"/>
      <c r="BDT41" s="2854"/>
      <c r="BDU41" s="2854"/>
      <c r="BDV41" s="2854"/>
      <c r="BDW41" s="2854"/>
      <c r="BDX41" s="2854"/>
      <c r="BDY41" s="2854"/>
      <c r="BDZ41" s="2854"/>
      <c r="BEA41" s="2854"/>
      <c r="BEB41" s="2854"/>
      <c r="BEC41" s="2854"/>
      <c r="BED41" s="2854"/>
      <c r="BEE41" s="2854"/>
      <c r="BEF41" s="2854"/>
      <c r="BEG41" s="2854"/>
      <c r="BEH41" s="2854"/>
      <c r="BEI41" s="2854"/>
      <c r="BEJ41" s="2854"/>
      <c r="BEK41" s="2854"/>
      <c r="BEL41" s="2854"/>
      <c r="BEM41" s="2854"/>
      <c r="BEN41" s="2854"/>
      <c r="BEO41" s="2854"/>
      <c r="BEP41" s="2854"/>
      <c r="BEQ41" s="2854"/>
      <c r="BER41" s="2854"/>
      <c r="BES41" s="2854"/>
      <c r="BET41" s="2854"/>
      <c r="BEU41" s="2854"/>
      <c r="BEV41" s="2854"/>
      <c r="BEW41" s="2854"/>
      <c r="BEX41" s="2854"/>
      <c r="BEY41" s="2854"/>
      <c r="BEZ41" s="2854"/>
      <c r="BFA41" s="2854"/>
      <c r="BFB41" s="2854"/>
      <c r="BFC41" s="2854"/>
      <c r="BFD41" s="2854"/>
      <c r="BFE41" s="2854"/>
      <c r="BFF41" s="2854"/>
      <c r="BFG41" s="2854"/>
      <c r="BFH41" s="2854"/>
      <c r="BFI41" s="2854"/>
      <c r="BFJ41" s="2854"/>
      <c r="BFK41" s="2854"/>
      <c r="BFL41" s="2854"/>
      <c r="BFM41" s="2854"/>
      <c r="BFN41" s="2854"/>
      <c r="BFO41" s="2854"/>
      <c r="BFP41" s="2854"/>
      <c r="BFQ41" s="2854"/>
      <c r="BFR41" s="2854"/>
      <c r="BFS41" s="2854"/>
      <c r="BFT41" s="2854"/>
      <c r="BFU41" s="2854"/>
      <c r="BFV41" s="2854"/>
      <c r="BFW41" s="2854"/>
      <c r="BFX41" s="2854"/>
      <c r="BFY41" s="2854"/>
      <c r="BFZ41" s="2854"/>
      <c r="BGA41" s="2854"/>
      <c r="BGB41" s="2854"/>
      <c r="BGC41" s="2854"/>
      <c r="BGD41" s="2854"/>
      <c r="BGE41" s="2854"/>
      <c r="BGF41" s="2854"/>
      <c r="BGG41" s="2854"/>
      <c r="BGH41" s="2854"/>
      <c r="BGI41" s="2854"/>
      <c r="BGJ41" s="2854"/>
      <c r="BGK41" s="2854"/>
      <c r="BGL41" s="2854"/>
      <c r="BGM41" s="2854"/>
      <c r="BGN41" s="2854"/>
      <c r="BGO41" s="2854"/>
      <c r="BGP41" s="2854"/>
      <c r="BGQ41" s="2854"/>
      <c r="BGR41" s="2854"/>
      <c r="BGS41" s="2854"/>
      <c r="BGT41" s="2854"/>
      <c r="BGU41" s="2854"/>
      <c r="BGV41" s="2854"/>
      <c r="BGW41" s="2854"/>
      <c r="BGX41" s="2854"/>
      <c r="BGY41" s="2854"/>
      <c r="BGZ41" s="2854"/>
      <c r="BHA41" s="2854"/>
      <c r="BHB41" s="2854"/>
      <c r="BHC41" s="2854"/>
      <c r="BHD41" s="2854"/>
      <c r="BHE41" s="2854"/>
      <c r="BHF41" s="2854"/>
      <c r="BHG41" s="2854"/>
      <c r="BHH41" s="2854"/>
      <c r="BHI41" s="2854"/>
      <c r="BHJ41" s="2854"/>
      <c r="BHK41" s="2854"/>
      <c r="BHL41" s="2854"/>
      <c r="BHM41" s="2854"/>
      <c r="BHN41" s="2854"/>
      <c r="BHO41" s="2854"/>
      <c r="BHP41" s="2854"/>
      <c r="BHQ41" s="2854"/>
      <c r="BHR41" s="2854"/>
      <c r="BHS41" s="2854"/>
      <c r="BHT41" s="2854"/>
      <c r="BHU41" s="2854"/>
      <c r="BHV41" s="2854"/>
      <c r="BHW41" s="2854"/>
      <c r="BHX41" s="2854"/>
      <c r="BHY41" s="2854"/>
      <c r="BHZ41" s="2854"/>
      <c r="BIA41" s="2854"/>
      <c r="BIB41" s="2854"/>
      <c r="BIC41" s="2854"/>
      <c r="BID41" s="2854"/>
      <c r="BIE41" s="2854"/>
      <c r="BIF41" s="2854"/>
      <c r="BIG41" s="2854"/>
      <c r="BIH41" s="2854"/>
      <c r="BII41" s="2854"/>
      <c r="BIJ41" s="2854"/>
      <c r="BIK41" s="2854"/>
      <c r="BIL41" s="2854"/>
      <c r="BIM41" s="2854"/>
      <c r="BIN41" s="2854"/>
      <c r="BIO41" s="2854"/>
      <c r="BIP41" s="2854"/>
      <c r="BIQ41" s="2854"/>
      <c r="BIR41" s="2854"/>
      <c r="BIS41" s="2854"/>
      <c r="BIT41" s="2854"/>
      <c r="BIU41" s="2854"/>
      <c r="BIV41" s="2854"/>
      <c r="BIW41" s="2854"/>
      <c r="BIX41" s="2854"/>
      <c r="BIY41" s="2854"/>
      <c r="BIZ41" s="2854"/>
      <c r="BJA41" s="2854"/>
      <c r="BJB41" s="2854"/>
      <c r="BJC41" s="2854"/>
      <c r="BJD41" s="2854"/>
      <c r="BJE41" s="2854"/>
      <c r="BJF41" s="2854"/>
      <c r="BJG41" s="2854"/>
      <c r="BJH41" s="2854"/>
      <c r="BJI41" s="2854"/>
      <c r="BJJ41" s="2854"/>
      <c r="BJK41" s="2854"/>
      <c r="BJL41" s="2854"/>
      <c r="BJM41" s="2854"/>
      <c r="BJN41" s="2854"/>
      <c r="BJO41" s="2854"/>
      <c r="BJP41" s="2854"/>
      <c r="BJQ41" s="2854"/>
      <c r="BJR41" s="2854"/>
      <c r="BJS41" s="2854"/>
      <c r="BJT41" s="2854"/>
      <c r="BJU41" s="2854"/>
      <c r="BJV41" s="2854"/>
      <c r="BJW41" s="2854"/>
      <c r="BJX41" s="2854"/>
      <c r="BJY41" s="2854"/>
      <c r="BJZ41" s="2854"/>
      <c r="BKA41" s="2854"/>
      <c r="BKB41" s="2854"/>
      <c r="BKC41" s="2854"/>
      <c r="BKD41" s="2854"/>
      <c r="BKE41" s="2854"/>
      <c r="BKF41" s="2854"/>
      <c r="BKG41" s="2854"/>
      <c r="BKH41" s="2854"/>
      <c r="BKI41" s="2854"/>
      <c r="BKJ41" s="2854"/>
      <c r="BKK41" s="2854"/>
      <c r="BKL41" s="2854"/>
      <c r="BKM41" s="2854"/>
      <c r="BKN41" s="2854"/>
      <c r="BKO41" s="2854"/>
      <c r="BKP41" s="2854"/>
      <c r="BKQ41" s="2854"/>
      <c r="BKR41" s="2854"/>
      <c r="BKS41" s="2854"/>
      <c r="BKT41" s="2854"/>
      <c r="BKU41" s="2854"/>
      <c r="BKV41" s="2854"/>
      <c r="BKW41" s="2854"/>
      <c r="BKX41" s="2854"/>
      <c r="BKY41" s="2854"/>
      <c r="BKZ41" s="2854"/>
      <c r="BLA41" s="2854"/>
      <c r="BLB41" s="2854"/>
      <c r="BLC41" s="2854"/>
      <c r="BLD41" s="2854"/>
      <c r="BLE41" s="2854"/>
      <c r="BLF41" s="2854"/>
      <c r="BLG41" s="2854"/>
      <c r="BLH41" s="2854"/>
      <c r="BLI41" s="2854"/>
      <c r="BLJ41" s="2854"/>
      <c r="BLK41" s="2854"/>
      <c r="BLL41" s="2854"/>
      <c r="BLM41" s="2854"/>
      <c r="BLN41" s="2854"/>
      <c r="BLO41" s="2854"/>
      <c r="BLP41" s="2854"/>
      <c r="BLQ41" s="2854"/>
      <c r="BLR41" s="2854"/>
      <c r="BLS41" s="2854"/>
      <c r="BLT41" s="2854"/>
      <c r="BLU41" s="2854"/>
      <c r="BLV41" s="2854"/>
      <c r="BLW41" s="2854"/>
      <c r="BLX41" s="2854"/>
      <c r="BLY41" s="2854"/>
      <c r="BLZ41" s="2854"/>
      <c r="BMA41" s="2854"/>
      <c r="BMB41" s="2854"/>
      <c r="BMC41" s="2854"/>
      <c r="BMD41" s="2854"/>
      <c r="BME41" s="2854"/>
      <c r="BMF41" s="2854"/>
      <c r="BMG41" s="2854"/>
      <c r="BMH41" s="2854"/>
      <c r="BMI41" s="2854"/>
      <c r="BMJ41" s="2854"/>
      <c r="BMK41" s="2854"/>
      <c r="BML41" s="2854"/>
      <c r="BMM41" s="2854"/>
      <c r="BMN41" s="2854"/>
      <c r="BMO41" s="2854"/>
      <c r="BMP41" s="2854"/>
      <c r="BMQ41" s="2854"/>
      <c r="BMR41" s="2854"/>
      <c r="BMS41" s="2854"/>
      <c r="BMT41" s="2854"/>
      <c r="BMU41" s="2854"/>
      <c r="BMV41" s="2854"/>
      <c r="BMW41" s="2854"/>
      <c r="BMX41" s="2854"/>
      <c r="BMY41" s="2854"/>
      <c r="BMZ41" s="2854"/>
      <c r="BNA41" s="2854"/>
      <c r="BNB41" s="2854"/>
      <c r="BNC41" s="2854"/>
      <c r="BND41" s="2854"/>
      <c r="BNE41" s="2854"/>
      <c r="BNF41" s="2854"/>
      <c r="BNG41" s="2854"/>
      <c r="BNH41" s="2854"/>
      <c r="BNI41" s="2854"/>
      <c r="BNJ41" s="2854"/>
      <c r="BNK41" s="2854"/>
      <c r="BNL41" s="2854"/>
      <c r="BNM41" s="2854"/>
      <c r="BNN41" s="2854"/>
      <c r="BNO41" s="2854"/>
      <c r="BNP41" s="2854"/>
      <c r="BNQ41" s="2854"/>
      <c r="BNR41" s="2854"/>
      <c r="BNS41" s="2854"/>
      <c r="BNT41" s="2854"/>
      <c r="BNU41" s="2854"/>
      <c r="BNV41" s="2854"/>
      <c r="BNW41" s="2854"/>
      <c r="BNX41" s="2854"/>
      <c r="BNY41" s="2854"/>
      <c r="BNZ41" s="2854"/>
      <c r="BOA41" s="2854"/>
      <c r="BOB41" s="2854"/>
      <c r="BOC41" s="2854"/>
      <c r="BOD41" s="2854"/>
      <c r="BOE41" s="2854"/>
      <c r="BOF41" s="2854"/>
      <c r="BOG41" s="2854"/>
      <c r="BOH41" s="2854"/>
      <c r="BOI41" s="2854"/>
      <c r="BOJ41" s="2854"/>
      <c r="BOK41" s="2854"/>
      <c r="BOL41" s="2854"/>
      <c r="BOM41" s="2854"/>
      <c r="BON41" s="2854"/>
      <c r="BOO41" s="2854"/>
      <c r="BOP41" s="2854"/>
      <c r="BOQ41" s="2854"/>
      <c r="BOR41" s="2854"/>
      <c r="BOS41" s="2854"/>
      <c r="BOT41" s="2854"/>
      <c r="BOU41" s="2854"/>
      <c r="BOV41" s="2854"/>
      <c r="BOW41" s="2854"/>
      <c r="BOX41" s="2854"/>
      <c r="BOY41" s="2854"/>
      <c r="BOZ41" s="2854"/>
      <c r="BPA41" s="2854"/>
      <c r="BPB41" s="2854"/>
      <c r="BPC41" s="2854"/>
      <c r="BPD41" s="2854"/>
      <c r="BPE41" s="2854"/>
      <c r="BPF41" s="2854"/>
      <c r="BPG41" s="2854"/>
      <c r="BPH41" s="2854"/>
      <c r="BPI41" s="2854"/>
      <c r="BPJ41" s="2854"/>
      <c r="BPK41" s="2854"/>
      <c r="BPL41" s="2854"/>
      <c r="BPM41" s="2854"/>
      <c r="BPN41" s="2854"/>
      <c r="BPO41" s="2854"/>
      <c r="BPP41" s="2854"/>
      <c r="BPQ41" s="2854"/>
      <c r="BPR41" s="2854"/>
      <c r="BPS41" s="2854"/>
      <c r="BPT41" s="2854"/>
      <c r="BPU41" s="2854"/>
      <c r="BPV41" s="2854"/>
      <c r="BPW41" s="2854"/>
      <c r="BPX41" s="2854"/>
      <c r="BPY41" s="2854"/>
      <c r="BPZ41" s="2854"/>
      <c r="BQA41" s="2854"/>
      <c r="BQB41" s="2854"/>
      <c r="BQC41" s="2854"/>
      <c r="BQD41" s="2854"/>
      <c r="BQE41" s="2854"/>
      <c r="BQF41" s="2854"/>
      <c r="BQG41" s="2854"/>
      <c r="BQH41" s="2854"/>
      <c r="BQI41" s="2854"/>
      <c r="BQJ41" s="2854"/>
      <c r="BQK41" s="2854"/>
      <c r="BQL41" s="2854"/>
      <c r="BQM41" s="2854"/>
      <c r="BQN41" s="2854"/>
      <c r="BQO41" s="2854"/>
      <c r="BQP41" s="2854"/>
      <c r="BQQ41" s="2854"/>
      <c r="BQR41" s="2854"/>
      <c r="BQS41" s="2854"/>
      <c r="BQT41" s="2854"/>
      <c r="BQU41" s="2854"/>
      <c r="BQV41" s="2854"/>
      <c r="BQW41" s="2854"/>
      <c r="BQX41" s="2854"/>
      <c r="BQY41" s="2854"/>
      <c r="BQZ41" s="2854"/>
      <c r="BRA41" s="2854"/>
      <c r="BRB41" s="2854"/>
      <c r="BRC41" s="2854"/>
      <c r="BRD41" s="2854"/>
      <c r="BRE41" s="2854"/>
      <c r="BRF41" s="2854"/>
      <c r="BRG41" s="2854"/>
      <c r="BRH41" s="2854"/>
      <c r="BRI41" s="2854"/>
      <c r="BRJ41" s="2854"/>
      <c r="BRK41" s="2854"/>
      <c r="BRL41" s="2854"/>
      <c r="BRM41" s="2854"/>
      <c r="BRN41" s="2854"/>
      <c r="BRO41" s="2854"/>
      <c r="BRP41" s="2854"/>
      <c r="BRQ41" s="2854"/>
      <c r="BRR41" s="2854"/>
      <c r="BRS41" s="2854"/>
      <c r="BRT41" s="2854"/>
      <c r="BRU41" s="2854"/>
      <c r="BRV41" s="2854"/>
      <c r="BRW41" s="2854"/>
      <c r="BRX41" s="2854"/>
      <c r="BRY41" s="2854"/>
      <c r="BRZ41" s="2854"/>
      <c r="BSA41" s="2854"/>
      <c r="BSB41" s="2854"/>
      <c r="BSC41" s="2854"/>
      <c r="BSD41" s="2854"/>
      <c r="BSE41" s="2854"/>
      <c r="BSF41" s="2854"/>
      <c r="BSG41" s="2854"/>
      <c r="BSH41" s="2854"/>
      <c r="BSI41" s="2854"/>
      <c r="BSJ41" s="2854"/>
      <c r="BSK41" s="2854"/>
      <c r="BSL41" s="2854"/>
      <c r="BSM41" s="2854"/>
      <c r="BSN41" s="2854"/>
      <c r="BSO41" s="2854"/>
      <c r="BSP41" s="2854"/>
      <c r="BSQ41" s="2854"/>
      <c r="BSR41" s="2854"/>
      <c r="BSS41" s="2854"/>
      <c r="BST41" s="2854"/>
      <c r="BSU41" s="2854"/>
      <c r="BSV41" s="2854"/>
      <c r="BSW41" s="2854"/>
      <c r="BSX41" s="2854"/>
      <c r="BSY41" s="2854"/>
      <c r="BSZ41" s="2854"/>
      <c r="BTA41" s="2854"/>
      <c r="BTB41" s="2854"/>
      <c r="BTC41" s="2854"/>
      <c r="BTD41" s="2854"/>
      <c r="BTE41" s="2854"/>
      <c r="BTF41" s="2854"/>
      <c r="BTG41" s="2854"/>
      <c r="BTH41" s="2854"/>
      <c r="BTI41" s="2854"/>
      <c r="BTJ41" s="2854"/>
      <c r="BTK41" s="2854"/>
      <c r="BTL41" s="2854"/>
      <c r="BTM41" s="2854"/>
      <c r="BTN41" s="2854"/>
      <c r="BTO41" s="2854"/>
      <c r="BTP41" s="2854"/>
      <c r="BTQ41" s="2854"/>
      <c r="BTR41" s="2854"/>
      <c r="BTS41" s="2854"/>
      <c r="BTT41" s="2854"/>
      <c r="BTU41" s="2854"/>
      <c r="BTV41" s="2854"/>
      <c r="BTW41" s="2854"/>
      <c r="BTX41" s="2854"/>
      <c r="BTY41" s="2854"/>
      <c r="BTZ41" s="2854"/>
      <c r="BUA41" s="2854"/>
      <c r="BUB41" s="2854"/>
      <c r="BUC41" s="2854"/>
      <c r="BUD41" s="2854"/>
      <c r="BUE41" s="2854"/>
      <c r="BUF41" s="2854"/>
      <c r="BUG41" s="2854"/>
      <c r="BUH41" s="2854"/>
      <c r="BUI41" s="2854"/>
      <c r="BUJ41" s="2854"/>
      <c r="BUK41" s="2854"/>
      <c r="BUL41" s="2854"/>
      <c r="BUM41" s="2854"/>
      <c r="BUN41" s="2854"/>
      <c r="BUO41" s="2854"/>
      <c r="BUP41" s="2854"/>
      <c r="BUQ41" s="2854"/>
      <c r="BUR41" s="2854"/>
      <c r="BUS41" s="2854"/>
      <c r="BUT41" s="2854"/>
      <c r="BUU41" s="2854"/>
      <c r="BUV41" s="2854"/>
      <c r="BUW41" s="2854"/>
      <c r="BUX41" s="2854"/>
      <c r="BUY41" s="2854"/>
      <c r="BUZ41" s="2854"/>
      <c r="BVA41" s="2854"/>
      <c r="BVB41" s="2854"/>
      <c r="BVC41" s="2854"/>
      <c r="BVD41" s="2854"/>
      <c r="BVE41" s="2854"/>
      <c r="BVF41" s="2854"/>
      <c r="BVG41" s="2854"/>
      <c r="BVH41" s="2854"/>
      <c r="BVI41" s="2854"/>
      <c r="BVJ41" s="2854"/>
      <c r="BVK41" s="2854"/>
      <c r="BVL41" s="2854"/>
      <c r="BVM41" s="2854"/>
      <c r="BVN41" s="2854"/>
      <c r="BVO41" s="2854"/>
      <c r="BVP41" s="2854"/>
      <c r="BVQ41" s="2854"/>
      <c r="BVR41" s="2854"/>
      <c r="BVS41" s="2854"/>
      <c r="BVT41" s="2854"/>
      <c r="BVU41" s="2854"/>
      <c r="BVV41" s="2854"/>
      <c r="BVW41" s="2854"/>
      <c r="BVX41" s="2854"/>
      <c r="BVY41" s="2854"/>
      <c r="BVZ41" s="2854"/>
      <c r="BWA41" s="2854"/>
      <c r="BWB41" s="2854"/>
      <c r="BWC41" s="2854"/>
      <c r="BWD41" s="2854"/>
      <c r="BWE41" s="2854"/>
      <c r="BWF41" s="2854"/>
      <c r="BWG41" s="2854"/>
      <c r="BWH41" s="2854"/>
      <c r="BWI41" s="2854"/>
      <c r="BWJ41" s="2854"/>
      <c r="BWK41" s="2854"/>
      <c r="BWL41" s="2854"/>
      <c r="BWM41" s="2854"/>
      <c r="BWN41" s="2854"/>
      <c r="BWO41" s="2854"/>
      <c r="BWP41" s="2854"/>
      <c r="BWQ41" s="2854"/>
      <c r="BWR41" s="2854"/>
      <c r="BWS41" s="2854"/>
      <c r="BWT41" s="2854"/>
      <c r="BWU41" s="2854"/>
      <c r="BWV41" s="2854"/>
      <c r="BWW41" s="2854"/>
      <c r="BWX41" s="2854"/>
      <c r="BWY41" s="2854"/>
      <c r="BWZ41" s="2854"/>
      <c r="BXA41" s="2854"/>
      <c r="BXB41" s="2854"/>
      <c r="BXC41" s="2854"/>
      <c r="BXD41" s="2854"/>
      <c r="BXE41" s="2854"/>
      <c r="BXF41" s="2854"/>
      <c r="BXG41" s="2854"/>
      <c r="BXH41" s="2854"/>
      <c r="BXI41" s="2854"/>
      <c r="BXJ41" s="2854"/>
      <c r="BXK41" s="2854"/>
      <c r="BXL41" s="2854"/>
      <c r="BXM41" s="2854"/>
      <c r="BXN41" s="2854"/>
      <c r="BXO41" s="2854"/>
      <c r="BXP41" s="2854"/>
      <c r="BXQ41" s="2854"/>
      <c r="BXR41" s="2854"/>
      <c r="BXS41" s="2854"/>
      <c r="BXT41" s="2854"/>
      <c r="BXU41" s="2854"/>
      <c r="BXV41" s="2854"/>
      <c r="BXW41" s="2854"/>
      <c r="BXX41" s="2854"/>
      <c r="BXY41" s="2854"/>
      <c r="BXZ41" s="2854"/>
      <c r="BYA41" s="2854"/>
      <c r="BYB41" s="2854"/>
      <c r="BYC41" s="2854"/>
      <c r="BYD41" s="2854"/>
      <c r="BYE41" s="2854"/>
      <c r="BYF41" s="2854"/>
      <c r="BYG41" s="2854"/>
      <c r="BYH41" s="2854"/>
      <c r="BYI41" s="2854"/>
      <c r="BYJ41" s="2854"/>
      <c r="BYK41" s="2854"/>
      <c r="BYL41" s="2854"/>
      <c r="BYM41" s="2854"/>
      <c r="BYN41" s="2854"/>
      <c r="BYO41" s="2854"/>
      <c r="BYP41" s="2854"/>
      <c r="BYQ41" s="2854"/>
      <c r="BYR41" s="2854"/>
      <c r="BYS41" s="2854"/>
      <c r="BYT41" s="2854"/>
      <c r="BYU41" s="2854"/>
      <c r="BYV41" s="2854"/>
      <c r="BYW41" s="2854"/>
      <c r="BYX41" s="2854"/>
      <c r="BYY41" s="2854"/>
      <c r="BYZ41" s="2854"/>
      <c r="BZA41" s="2854"/>
      <c r="BZB41" s="2854"/>
      <c r="BZC41" s="2854"/>
      <c r="BZD41" s="2854"/>
      <c r="BZE41" s="2854"/>
      <c r="BZF41" s="2854"/>
      <c r="BZG41" s="2854"/>
      <c r="BZH41" s="2854"/>
      <c r="BZI41" s="2854"/>
      <c r="BZJ41" s="2854"/>
      <c r="BZK41" s="2854"/>
      <c r="BZL41" s="2854"/>
      <c r="BZM41" s="2854"/>
      <c r="BZN41" s="2854"/>
      <c r="BZO41" s="2854"/>
      <c r="BZP41" s="2854"/>
      <c r="BZQ41" s="2854"/>
      <c r="BZR41" s="2854"/>
      <c r="BZS41" s="2854"/>
      <c r="BZT41" s="2854"/>
      <c r="BZU41" s="2854"/>
      <c r="BZV41" s="2854"/>
      <c r="BZW41" s="2854"/>
      <c r="BZX41" s="2854"/>
      <c r="BZY41" s="2854"/>
      <c r="BZZ41" s="2854"/>
      <c r="CAA41" s="2854"/>
      <c r="CAB41" s="2854"/>
      <c r="CAC41" s="2854"/>
      <c r="CAD41" s="2854"/>
      <c r="CAE41" s="2854"/>
      <c r="CAF41" s="2854"/>
      <c r="CAG41" s="2854"/>
      <c r="CAH41" s="2854"/>
      <c r="CAI41" s="2854"/>
      <c r="CAJ41" s="2854"/>
      <c r="CAK41" s="2854"/>
      <c r="CAL41" s="2854"/>
      <c r="CAM41" s="2854"/>
      <c r="CAN41" s="2854"/>
      <c r="CAO41" s="2854"/>
      <c r="CAP41" s="2854"/>
      <c r="CAQ41" s="2854"/>
      <c r="CAR41" s="2854"/>
      <c r="CAS41" s="2854"/>
      <c r="CAT41" s="2854"/>
      <c r="CAU41" s="2854"/>
      <c r="CAV41" s="2854"/>
      <c r="CAW41" s="2854"/>
      <c r="CAX41" s="2854"/>
      <c r="CAY41" s="2854"/>
      <c r="CAZ41" s="2854"/>
      <c r="CBA41" s="2854"/>
      <c r="CBB41" s="2854"/>
      <c r="CBC41" s="2854"/>
      <c r="CBD41" s="2854"/>
      <c r="CBE41" s="2854"/>
      <c r="CBF41" s="2854"/>
      <c r="CBG41" s="2854"/>
      <c r="CBH41" s="2854"/>
      <c r="CBI41" s="2854"/>
      <c r="CBJ41" s="2854"/>
      <c r="CBK41" s="2854"/>
      <c r="CBL41" s="2854"/>
      <c r="CBM41" s="2854"/>
      <c r="CBN41" s="2854"/>
      <c r="CBO41" s="2854"/>
      <c r="CBP41" s="2854"/>
      <c r="CBQ41" s="2854"/>
      <c r="CBR41" s="2854"/>
      <c r="CBS41" s="2854"/>
      <c r="CBT41" s="2854"/>
      <c r="CBU41" s="2854"/>
      <c r="CBV41" s="2854"/>
      <c r="CBW41" s="2854"/>
      <c r="CBX41" s="2854"/>
      <c r="CBY41" s="2854"/>
      <c r="CBZ41" s="2854"/>
      <c r="CCA41" s="2854"/>
      <c r="CCB41" s="2854"/>
      <c r="CCC41" s="2854"/>
      <c r="CCD41" s="2854"/>
      <c r="CCE41" s="2854"/>
      <c r="CCF41" s="2854"/>
      <c r="CCG41" s="2854"/>
      <c r="CCH41" s="2854"/>
      <c r="CCI41" s="2854"/>
      <c r="CCJ41" s="2854"/>
      <c r="CCK41" s="2854"/>
      <c r="CCL41" s="2854"/>
      <c r="CCM41" s="2854"/>
      <c r="CCN41" s="2854"/>
      <c r="CCO41" s="2854"/>
      <c r="CCP41" s="2854"/>
      <c r="CCQ41" s="2854"/>
      <c r="CCR41" s="2854"/>
      <c r="CCS41" s="2854"/>
      <c r="CCT41" s="2854"/>
      <c r="CCU41" s="2854"/>
      <c r="CCV41" s="2854"/>
      <c r="CCW41" s="2854"/>
      <c r="CCX41" s="2854"/>
      <c r="CCY41" s="2854"/>
      <c r="CCZ41" s="2854"/>
      <c r="CDA41" s="2854"/>
      <c r="CDB41" s="2854"/>
      <c r="CDC41" s="2854"/>
      <c r="CDD41" s="2854"/>
      <c r="CDE41" s="2854"/>
      <c r="CDF41" s="2854"/>
      <c r="CDG41" s="2854"/>
      <c r="CDH41" s="2854"/>
      <c r="CDI41" s="2854"/>
      <c r="CDJ41" s="2854"/>
      <c r="CDK41" s="2854"/>
      <c r="CDL41" s="2854"/>
      <c r="CDM41" s="2854"/>
      <c r="CDN41" s="2854"/>
      <c r="CDO41" s="2854"/>
      <c r="CDP41" s="2854"/>
      <c r="CDQ41" s="2854"/>
      <c r="CDR41" s="2854"/>
      <c r="CDS41" s="2854"/>
      <c r="CDT41" s="2854"/>
      <c r="CDU41" s="2854"/>
      <c r="CDV41" s="2854"/>
      <c r="CDW41" s="2854"/>
      <c r="CDX41" s="2854"/>
      <c r="CDY41" s="2854"/>
      <c r="CDZ41" s="2854"/>
      <c r="CEA41" s="2854"/>
      <c r="CEB41" s="2854"/>
      <c r="CEC41" s="2854"/>
      <c r="CED41" s="2854"/>
      <c r="CEE41" s="2854"/>
      <c r="CEF41" s="2854"/>
      <c r="CEG41" s="2854"/>
      <c r="CEH41" s="2854"/>
      <c r="CEI41" s="2854"/>
      <c r="CEJ41" s="2854"/>
      <c r="CEK41" s="2854"/>
      <c r="CEL41" s="2854"/>
      <c r="CEM41" s="2854"/>
      <c r="CEN41" s="2854"/>
      <c r="CEO41" s="2854"/>
      <c r="CEP41" s="2854"/>
      <c r="CEQ41" s="2854"/>
      <c r="CER41" s="2854"/>
      <c r="CES41" s="2854"/>
      <c r="CET41" s="2854"/>
      <c r="CEU41" s="2854"/>
      <c r="CEV41" s="2854"/>
      <c r="CEW41" s="2854"/>
      <c r="CEX41" s="2854"/>
      <c r="CEY41" s="2854"/>
      <c r="CEZ41" s="2854"/>
      <c r="CFA41" s="2854"/>
      <c r="CFB41" s="2854"/>
      <c r="CFC41" s="2854"/>
      <c r="CFD41" s="2854"/>
      <c r="CFE41" s="2854"/>
      <c r="CFF41" s="2854"/>
      <c r="CFG41" s="2854"/>
      <c r="CFH41" s="2854"/>
      <c r="CFI41" s="2854"/>
      <c r="CFJ41" s="2854"/>
      <c r="CFK41" s="2854"/>
      <c r="CFL41" s="2854"/>
      <c r="CFM41" s="2854"/>
      <c r="CFN41" s="2854"/>
      <c r="CFO41" s="2854"/>
      <c r="CFP41" s="2854"/>
      <c r="CFQ41" s="2854"/>
      <c r="CFR41" s="2854"/>
      <c r="CFS41" s="2854"/>
      <c r="CFT41" s="2854"/>
      <c r="CFU41" s="2854"/>
      <c r="CFV41" s="2854"/>
      <c r="CFW41" s="2854"/>
      <c r="CFX41" s="2854"/>
      <c r="CFY41" s="2854"/>
      <c r="CFZ41" s="2854"/>
      <c r="CGA41" s="2854"/>
      <c r="CGB41" s="2854"/>
      <c r="CGC41" s="2854"/>
      <c r="CGD41" s="2854"/>
      <c r="CGE41" s="2854"/>
      <c r="CGF41" s="2854"/>
      <c r="CGG41" s="2854"/>
      <c r="CGH41" s="2854"/>
      <c r="CGI41" s="2854"/>
      <c r="CGJ41" s="2854"/>
      <c r="CGK41" s="2854"/>
      <c r="CGL41" s="2854"/>
      <c r="CGM41" s="2854"/>
      <c r="CGN41" s="2854"/>
      <c r="CGO41" s="2854"/>
      <c r="CGP41" s="2854"/>
      <c r="CGQ41" s="2854"/>
      <c r="CGR41" s="2854"/>
      <c r="CGS41" s="2854"/>
      <c r="CGT41" s="2854"/>
      <c r="CGU41" s="2854"/>
      <c r="CGV41" s="2854"/>
      <c r="CGW41" s="2854"/>
      <c r="CGX41" s="2854"/>
      <c r="CGY41" s="2854"/>
      <c r="CGZ41" s="2854"/>
      <c r="CHA41" s="2854"/>
      <c r="CHB41" s="2854"/>
      <c r="CHC41" s="2854"/>
      <c r="CHD41" s="2854"/>
      <c r="CHE41" s="2854"/>
      <c r="CHF41" s="2854"/>
      <c r="CHG41" s="2854"/>
      <c r="CHH41" s="2854"/>
      <c r="CHI41" s="2854"/>
      <c r="CHJ41" s="2854"/>
      <c r="CHK41" s="2854"/>
      <c r="CHL41" s="2854"/>
      <c r="CHM41" s="2854"/>
      <c r="CHN41" s="2854"/>
      <c r="CHO41" s="2854"/>
      <c r="CHP41" s="2854"/>
      <c r="CHQ41" s="2854"/>
      <c r="CHR41" s="2854"/>
      <c r="CHS41" s="2854"/>
      <c r="CHT41" s="2854"/>
      <c r="CHU41" s="2854"/>
      <c r="CHV41" s="2854"/>
      <c r="CHW41" s="2854"/>
      <c r="CHX41" s="2854"/>
      <c r="CHY41" s="2854"/>
      <c r="CHZ41" s="2854"/>
      <c r="CIA41" s="2854"/>
      <c r="CIB41" s="2854"/>
      <c r="CIC41" s="2854"/>
      <c r="CID41" s="2854"/>
      <c r="CIE41" s="2854"/>
      <c r="CIF41" s="2854"/>
      <c r="CIG41" s="2854"/>
      <c r="CIH41" s="2854"/>
      <c r="CII41" s="2854"/>
      <c r="CIJ41" s="2854"/>
      <c r="CIK41" s="2854"/>
      <c r="CIL41" s="2854"/>
      <c r="CIM41" s="2854"/>
      <c r="CIN41" s="2854"/>
      <c r="CIO41" s="2854"/>
      <c r="CIP41" s="2854"/>
      <c r="CIQ41" s="2854"/>
      <c r="CIR41" s="2854"/>
      <c r="CIS41" s="2854"/>
      <c r="CIT41" s="2854"/>
      <c r="CIU41" s="2854"/>
      <c r="CIV41" s="2854"/>
      <c r="CIW41" s="2854"/>
      <c r="CIX41" s="2854"/>
      <c r="CIY41" s="2854"/>
      <c r="CIZ41" s="2854"/>
      <c r="CJA41" s="2854"/>
      <c r="CJB41" s="2854"/>
      <c r="CJC41" s="2854"/>
      <c r="CJD41" s="2854"/>
      <c r="CJE41" s="2854"/>
      <c r="CJF41" s="2854"/>
      <c r="CJG41" s="2854"/>
      <c r="CJH41" s="2854"/>
      <c r="CJI41" s="2854"/>
      <c r="CJJ41" s="2854"/>
      <c r="CJK41" s="2854"/>
      <c r="CJL41" s="2854"/>
      <c r="CJM41" s="2854"/>
      <c r="CJN41" s="2854"/>
      <c r="CJO41" s="2854"/>
      <c r="CJP41" s="2854"/>
      <c r="CJQ41" s="2854"/>
      <c r="CJR41" s="2854"/>
      <c r="CJS41" s="2854"/>
      <c r="CJT41" s="2854"/>
      <c r="CJU41" s="2854"/>
      <c r="CJV41" s="2854"/>
      <c r="CJW41" s="2854"/>
      <c r="CJX41" s="2854"/>
      <c r="CJY41" s="2854"/>
      <c r="CJZ41" s="2854"/>
      <c r="CKA41" s="2854"/>
      <c r="CKB41" s="2854"/>
      <c r="CKC41" s="2854"/>
      <c r="CKD41" s="2854"/>
      <c r="CKE41" s="2854"/>
      <c r="CKF41" s="2854"/>
      <c r="CKG41" s="2854"/>
      <c r="CKH41" s="2854"/>
      <c r="CKI41" s="2854"/>
      <c r="CKJ41" s="2854"/>
      <c r="CKK41" s="2854"/>
      <c r="CKL41" s="2854"/>
      <c r="CKM41" s="2854"/>
      <c r="CKN41" s="2854"/>
      <c r="CKO41" s="2854"/>
      <c r="CKP41" s="2854"/>
      <c r="CKQ41" s="2854"/>
      <c r="CKR41" s="2854"/>
      <c r="CKS41" s="2854"/>
      <c r="CKT41" s="2854"/>
      <c r="CKU41" s="2854"/>
      <c r="CKV41" s="2854"/>
      <c r="CKW41" s="2854"/>
      <c r="CKX41" s="2854"/>
      <c r="CKY41" s="2854"/>
      <c r="CKZ41" s="2854"/>
      <c r="CLA41" s="2854"/>
      <c r="CLB41" s="2854"/>
      <c r="CLC41" s="2854"/>
      <c r="CLD41" s="2854"/>
      <c r="CLE41" s="2854"/>
      <c r="CLF41" s="2854"/>
      <c r="CLG41" s="2854"/>
      <c r="CLH41" s="2854"/>
      <c r="CLI41" s="2854"/>
      <c r="CLJ41" s="2854"/>
      <c r="CLK41" s="2854"/>
      <c r="CLL41" s="2854"/>
      <c r="CLM41" s="2854"/>
      <c r="CLN41" s="2854"/>
      <c r="CLO41" s="2854"/>
      <c r="CLP41" s="2854"/>
      <c r="CLQ41" s="2854"/>
      <c r="CLR41" s="2854"/>
      <c r="CLS41" s="2854"/>
      <c r="CLT41" s="2854"/>
      <c r="CLU41" s="2854"/>
      <c r="CLV41" s="2854"/>
      <c r="CLW41" s="2854"/>
    </row>
    <row r="42" spans="1:2363" ht="15" customHeight="1" x14ac:dyDescent="0.25">
      <c r="A42" s="3877"/>
      <c r="B42" s="3878"/>
      <c r="C42" s="3002"/>
      <c r="D42" s="3003" t="s">
        <v>680</v>
      </c>
      <c r="E42" s="3374"/>
      <c r="F42" s="2603"/>
      <c r="G42" s="1904"/>
      <c r="H42" s="1801"/>
      <c r="I42" s="1801"/>
      <c r="J42" s="2249"/>
      <c r="K42" s="1801"/>
      <c r="L42" s="1799"/>
      <c r="M42" s="1799"/>
      <c r="N42" s="1799">
        <v>0</v>
      </c>
      <c r="O42" s="2281">
        <f t="shared" si="84"/>
        <v>0</v>
      </c>
      <c r="P42" s="2295" t="s">
        <v>662</v>
      </c>
      <c r="Q42" s="1799"/>
      <c r="R42" s="2010"/>
      <c r="S42" s="2010"/>
      <c r="T42" s="2884"/>
      <c r="U42" s="2295"/>
      <c r="V42" s="2365">
        <f>+V39+V40+V41</f>
        <v>0</v>
      </c>
      <c r="W42" s="1808"/>
      <c r="X42" s="2929"/>
      <c r="Y42" s="3011"/>
      <c r="Z42" s="2341"/>
      <c r="AA42" s="1894">
        <v>0</v>
      </c>
      <c r="AB42" s="1894">
        <v>0</v>
      </c>
      <c r="AC42" s="1854">
        <f t="shared" si="58"/>
        <v>0</v>
      </c>
      <c r="AD42" s="1897">
        <v>0</v>
      </c>
      <c r="AE42" s="1897"/>
      <c r="AF42" s="1893">
        <v>0</v>
      </c>
      <c r="AG42" s="2866"/>
      <c r="AH42" s="1993">
        <f t="shared" ref="AH42:AH49" si="85">AD42+AF42</f>
        <v>0</v>
      </c>
      <c r="AI42" s="1851">
        <v>0</v>
      </c>
      <c r="AJ42" s="1894">
        <f t="shared" si="63"/>
        <v>0</v>
      </c>
      <c r="AK42" s="2451">
        <f t="shared" si="74"/>
        <v>0</v>
      </c>
      <c r="AL42" s="2515">
        <v>0</v>
      </c>
      <c r="AM42" s="2515">
        <v>0</v>
      </c>
      <c r="AN42" s="2695">
        <f t="shared" si="64"/>
        <v>0</v>
      </c>
      <c r="AO42" s="2670">
        <v>0</v>
      </c>
      <c r="AP42" s="2164">
        <v>0</v>
      </c>
      <c r="AQ42" s="2164">
        <v>0</v>
      </c>
      <c r="AR42" s="2164"/>
      <c r="AS42" s="2157">
        <f t="shared" si="65"/>
        <v>0</v>
      </c>
      <c r="AT42" s="1836">
        <v>0</v>
      </c>
      <c r="AU42" s="2168">
        <v>0</v>
      </c>
      <c r="AV42" s="2168">
        <v>0</v>
      </c>
      <c r="AW42" s="2159">
        <f t="shared" ref="AW42:AW48" si="86">AU42+AV42</f>
        <v>0</v>
      </c>
      <c r="AX42" s="2515">
        <v>0</v>
      </c>
      <c r="AY42" s="2515">
        <v>0</v>
      </c>
      <c r="AZ42" s="2695">
        <f t="shared" ref="AZ42:AZ45" si="87">AX42+AY42</f>
        <v>0</v>
      </c>
      <c r="BA42" s="3278">
        <v>0</v>
      </c>
      <c r="BB42" s="3068">
        <v>0</v>
      </c>
      <c r="BC42" s="3068">
        <f>+BC39+BC40</f>
        <v>0</v>
      </c>
      <c r="BD42" s="3068"/>
      <c r="BE42" s="3087">
        <f>+AZ42+BA42+BC42+BD42</f>
        <v>0</v>
      </c>
      <c r="BF42" s="2121"/>
      <c r="BG42" s="2168">
        <v>0</v>
      </c>
      <c r="BH42" s="2168">
        <v>0</v>
      </c>
      <c r="BI42" s="2159">
        <f t="shared" ref="BI42:BI49" si="88">BG42+BH42</f>
        <v>0</v>
      </c>
      <c r="BJ42" s="1892">
        <f>BM42-BR42</f>
        <v>0</v>
      </c>
      <c r="BK42" s="1851">
        <f>BJ42</f>
        <v>0</v>
      </c>
      <c r="BL42" s="1884">
        <f t="shared" si="67"/>
        <v>0</v>
      </c>
      <c r="BM42" s="2611">
        <f t="shared" si="76"/>
        <v>0</v>
      </c>
      <c r="BN42" s="1893">
        <f t="shared" si="68"/>
        <v>0</v>
      </c>
      <c r="BO42" s="1893">
        <f t="shared" si="69"/>
        <v>0</v>
      </c>
      <c r="BP42" s="1893">
        <f t="shared" si="77"/>
        <v>0</v>
      </c>
      <c r="BQ42" s="2866">
        <f t="shared" si="78"/>
        <v>0</v>
      </c>
      <c r="BR42" s="1839">
        <f t="shared" si="79"/>
        <v>0</v>
      </c>
      <c r="BS42" s="1848">
        <f t="shared" ref="BS42:BS49" si="89">AJ42+AV42</f>
        <v>0</v>
      </c>
      <c r="BT42" s="2454">
        <f t="shared" si="80"/>
        <v>0</v>
      </c>
      <c r="BU42" s="3147"/>
      <c r="BV42" s="3058"/>
      <c r="BW42" s="3058"/>
      <c r="BX42" s="3058"/>
      <c r="BY42" s="3147"/>
      <c r="BZ42" s="3147"/>
      <c r="CA42" s="3147"/>
      <c r="CB42" s="3147"/>
      <c r="CC42" s="3147"/>
      <c r="CD42" s="3147"/>
      <c r="CE42" s="3147"/>
      <c r="CF42" s="3147"/>
      <c r="CG42" s="3147"/>
      <c r="CH42" s="1163"/>
      <c r="CI42" s="1144"/>
      <c r="CJ42" s="1144"/>
      <c r="CK42" s="1144"/>
      <c r="CL42" s="1144"/>
      <c r="CM42" s="1144"/>
      <c r="CN42" s="1144"/>
      <c r="CO42" s="1144"/>
      <c r="CP42" s="1144"/>
      <c r="CQ42" s="1144"/>
      <c r="CR42" s="1144"/>
      <c r="CS42" s="1144"/>
      <c r="CT42" s="1144"/>
      <c r="CU42" s="1144"/>
      <c r="CV42" s="1144"/>
      <c r="CW42" s="2854"/>
      <c r="CX42" s="2854"/>
      <c r="CY42" s="2854"/>
      <c r="CZ42" s="2854"/>
      <c r="DA42" s="2854"/>
      <c r="DB42" s="2854"/>
      <c r="DC42" s="2854"/>
      <c r="DD42" s="2854"/>
      <c r="DE42" s="2854"/>
      <c r="DF42" s="2854"/>
      <c r="DG42" s="2854"/>
      <c r="DH42" s="2854"/>
      <c r="DI42" s="2854"/>
      <c r="DJ42" s="2854"/>
      <c r="DK42" s="2854"/>
      <c r="DL42" s="2854"/>
      <c r="DM42" s="2854"/>
      <c r="DN42" s="2854"/>
      <c r="DO42" s="2854"/>
      <c r="DP42" s="2854"/>
      <c r="DQ42" s="2854"/>
      <c r="DR42" s="2854"/>
      <c r="DS42" s="2854"/>
      <c r="DT42" s="2854"/>
      <c r="DU42" s="2854"/>
      <c r="DV42" s="2854"/>
      <c r="DW42" s="2854"/>
      <c r="DX42" s="2854"/>
      <c r="DY42" s="2854"/>
      <c r="DZ42" s="2854"/>
      <c r="EA42" s="2854"/>
      <c r="EB42" s="2854"/>
      <c r="EC42" s="2854"/>
      <c r="ED42" s="2854"/>
      <c r="EE42" s="2854"/>
      <c r="EF42" s="2854"/>
      <c r="EG42" s="2854"/>
      <c r="EH42" s="2854"/>
      <c r="EI42" s="2854"/>
      <c r="EJ42" s="2854"/>
      <c r="EK42" s="2854"/>
      <c r="EL42" s="2854"/>
      <c r="EM42" s="2854"/>
      <c r="EN42" s="2854"/>
      <c r="EO42" s="2854"/>
      <c r="EP42" s="2854"/>
      <c r="EQ42" s="2854"/>
      <c r="ER42" s="2854"/>
      <c r="ES42" s="2854"/>
      <c r="ET42" s="2854"/>
      <c r="EU42" s="2854"/>
      <c r="EV42" s="2854"/>
      <c r="EW42" s="2854"/>
      <c r="EX42" s="2854"/>
      <c r="EY42" s="2854"/>
      <c r="EZ42" s="2854"/>
      <c r="FA42" s="2854"/>
      <c r="FB42" s="2854"/>
      <c r="FC42" s="2854"/>
      <c r="FD42" s="2854"/>
      <c r="FE42" s="2854"/>
      <c r="FF42" s="2854"/>
      <c r="FG42" s="2854"/>
      <c r="FH42" s="2854"/>
      <c r="FI42" s="2854"/>
      <c r="FJ42" s="2854"/>
      <c r="FK42" s="2854"/>
      <c r="FL42" s="2854"/>
      <c r="FM42" s="2854"/>
      <c r="FN42" s="2854"/>
      <c r="FO42" s="2854"/>
      <c r="FP42" s="2854"/>
      <c r="FQ42" s="2854"/>
      <c r="FR42" s="2854"/>
      <c r="FS42" s="2854"/>
      <c r="FT42" s="2854"/>
      <c r="FU42" s="2854"/>
      <c r="FV42" s="2854"/>
      <c r="FW42" s="2854"/>
      <c r="FX42" s="2854"/>
      <c r="FY42" s="2854"/>
      <c r="FZ42" s="2854"/>
      <c r="GA42" s="2854"/>
      <c r="GB42" s="2854"/>
      <c r="GC42" s="2854"/>
      <c r="GD42" s="2854"/>
      <c r="GE42" s="2854"/>
      <c r="GF42" s="2854"/>
      <c r="GG42" s="2854"/>
      <c r="GH42" s="2854"/>
      <c r="GI42" s="2854"/>
      <c r="GJ42" s="2854"/>
      <c r="GK42" s="2854"/>
      <c r="GL42" s="2854"/>
      <c r="GM42" s="2854"/>
      <c r="GN42" s="2854"/>
      <c r="GO42" s="2854"/>
      <c r="GP42" s="2854"/>
      <c r="GQ42" s="2854"/>
      <c r="GR42" s="2854"/>
      <c r="GS42" s="2854"/>
      <c r="GT42" s="2854"/>
      <c r="GU42" s="2854"/>
      <c r="GV42" s="2854"/>
      <c r="GW42" s="2854"/>
      <c r="GX42" s="2854"/>
      <c r="GY42" s="2854"/>
      <c r="GZ42" s="2854"/>
      <c r="HA42" s="2854"/>
      <c r="HB42" s="2854"/>
      <c r="HC42" s="2854"/>
      <c r="HD42" s="2854"/>
      <c r="HE42" s="2854"/>
      <c r="HF42" s="2854"/>
      <c r="HG42" s="2854"/>
      <c r="HH42" s="2854"/>
      <c r="HI42" s="2854"/>
      <c r="HJ42" s="2854"/>
      <c r="HK42" s="2854"/>
      <c r="HL42" s="2854"/>
      <c r="HM42" s="2854"/>
      <c r="HN42" s="2854"/>
      <c r="HO42" s="2854"/>
      <c r="HP42" s="2854"/>
      <c r="HQ42" s="2854"/>
      <c r="HR42" s="2854"/>
      <c r="HS42" s="2854"/>
      <c r="HT42" s="2854"/>
      <c r="HU42" s="2854"/>
      <c r="HV42" s="2854"/>
      <c r="HW42" s="2854"/>
      <c r="HX42" s="2854"/>
      <c r="HY42" s="2854"/>
      <c r="HZ42" s="2854"/>
      <c r="IA42" s="2854"/>
      <c r="IB42" s="2854"/>
      <c r="IC42" s="2854"/>
      <c r="ID42" s="2854"/>
      <c r="IE42" s="2854"/>
      <c r="IF42" s="2854"/>
      <c r="IG42" s="2854"/>
      <c r="IH42" s="2854"/>
      <c r="II42" s="2854"/>
      <c r="IJ42" s="2854"/>
      <c r="IK42" s="2854"/>
      <c r="IL42" s="2854"/>
      <c r="IM42" s="2854"/>
      <c r="IN42" s="2854"/>
      <c r="IO42" s="2854"/>
      <c r="IP42" s="2854"/>
      <c r="IQ42" s="2854"/>
      <c r="IR42" s="2854"/>
      <c r="IS42" s="2854"/>
      <c r="IT42" s="2854"/>
      <c r="IU42" s="2854"/>
      <c r="IV42" s="2854"/>
      <c r="IW42" s="2854"/>
      <c r="IX42" s="2854"/>
      <c r="IY42" s="2854"/>
      <c r="IZ42" s="2854"/>
      <c r="JA42" s="2854"/>
      <c r="JB42" s="2854"/>
      <c r="JC42" s="2854"/>
      <c r="JD42" s="2854"/>
      <c r="JE42" s="2854"/>
      <c r="JF42" s="2854"/>
      <c r="JG42" s="2854"/>
      <c r="JH42" s="2854"/>
      <c r="JI42" s="2854"/>
      <c r="JJ42" s="2854"/>
      <c r="JK42" s="2854"/>
      <c r="JL42" s="2854"/>
      <c r="JM42" s="2854"/>
      <c r="JN42" s="2854"/>
      <c r="JO42" s="2854"/>
      <c r="JP42" s="2854"/>
      <c r="JQ42" s="2854"/>
      <c r="JR42" s="2854"/>
      <c r="JS42" s="2854"/>
      <c r="JT42" s="2854"/>
      <c r="JU42" s="2854"/>
      <c r="JV42" s="2854"/>
      <c r="JW42" s="2854"/>
      <c r="JX42" s="2854"/>
      <c r="JY42" s="2854"/>
      <c r="JZ42" s="2854"/>
      <c r="KA42" s="2854"/>
      <c r="KB42" s="2854"/>
      <c r="KC42" s="2854"/>
      <c r="KD42" s="2854"/>
      <c r="KE42" s="2854"/>
      <c r="KF42" s="2854"/>
      <c r="KG42" s="2854"/>
      <c r="KH42" s="2854"/>
      <c r="KI42" s="2854"/>
      <c r="KJ42" s="2854"/>
      <c r="KK42" s="2854"/>
      <c r="KL42" s="2854"/>
      <c r="KM42" s="2854"/>
      <c r="KN42" s="2854"/>
      <c r="KO42" s="2854"/>
      <c r="KP42" s="2854"/>
      <c r="KQ42" s="2854"/>
      <c r="KR42" s="2854"/>
      <c r="KS42" s="2854"/>
      <c r="KT42" s="2854"/>
      <c r="KU42" s="2854"/>
      <c r="KV42" s="2854"/>
      <c r="KW42" s="2854"/>
      <c r="KX42" s="2854"/>
      <c r="KY42" s="2854"/>
      <c r="KZ42" s="2854"/>
      <c r="LA42" s="2854"/>
      <c r="LB42" s="2854"/>
      <c r="LC42" s="2854"/>
      <c r="LD42" s="2854"/>
      <c r="LE42" s="2854"/>
      <c r="LF42" s="2854"/>
      <c r="LG42" s="2854"/>
      <c r="LH42" s="2854"/>
      <c r="LI42" s="2854"/>
      <c r="LJ42" s="2854"/>
      <c r="LK42" s="2854"/>
      <c r="LL42" s="2854"/>
      <c r="LM42" s="2854"/>
      <c r="LN42" s="2854"/>
      <c r="LO42" s="2854"/>
      <c r="LP42" s="2854"/>
      <c r="LQ42" s="2854"/>
      <c r="LR42" s="2854"/>
      <c r="LS42" s="2854"/>
      <c r="LT42" s="2854"/>
      <c r="LU42" s="2854"/>
      <c r="LV42" s="2854"/>
      <c r="LW42" s="2854"/>
      <c r="LX42" s="2854"/>
      <c r="LY42" s="2854"/>
      <c r="LZ42" s="2854"/>
      <c r="MA42" s="2854"/>
      <c r="MB42" s="2854"/>
      <c r="MC42" s="2854"/>
      <c r="MD42" s="2854"/>
      <c r="ME42" s="2854"/>
      <c r="MF42" s="2854"/>
      <c r="MG42" s="2854"/>
      <c r="MH42" s="2854"/>
      <c r="MI42" s="2854"/>
      <c r="MJ42" s="2854"/>
      <c r="MK42" s="2854"/>
      <c r="ML42" s="2854"/>
      <c r="MM42" s="2854"/>
      <c r="MN42" s="2854"/>
      <c r="MO42" s="2854"/>
      <c r="MP42" s="2854"/>
      <c r="MQ42" s="2854"/>
      <c r="MR42" s="2854"/>
      <c r="MS42" s="2854"/>
      <c r="MT42" s="2854"/>
      <c r="MU42" s="2854"/>
      <c r="MV42" s="2854"/>
      <c r="MW42" s="2854"/>
      <c r="MX42" s="2854"/>
      <c r="MY42" s="2854"/>
      <c r="MZ42" s="2854"/>
      <c r="NA42" s="2854"/>
      <c r="NB42" s="2854"/>
      <c r="NC42" s="2854"/>
      <c r="ND42" s="2854"/>
      <c r="NE42" s="2854"/>
      <c r="NF42" s="2854"/>
      <c r="NG42" s="2854"/>
      <c r="NH42" s="2854"/>
      <c r="NI42" s="2854"/>
      <c r="NJ42" s="2854"/>
      <c r="NK42" s="2854"/>
      <c r="NL42" s="2854"/>
      <c r="NM42" s="2854"/>
      <c r="NN42" s="2854"/>
      <c r="NO42" s="2854"/>
      <c r="NP42" s="2854"/>
      <c r="NQ42" s="2854"/>
      <c r="NR42" s="2854"/>
      <c r="NS42" s="2854"/>
      <c r="NT42" s="2854"/>
      <c r="NU42" s="2854"/>
      <c r="NV42" s="2854"/>
      <c r="NW42" s="2854"/>
      <c r="NX42" s="2854"/>
      <c r="NY42" s="2854"/>
      <c r="NZ42" s="2854"/>
      <c r="OA42" s="2854"/>
      <c r="OB42" s="2854"/>
      <c r="OC42" s="2854"/>
      <c r="OD42" s="2854"/>
      <c r="OE42" s="2854"/>
      <c r="OF42" s="2854"/>
      <c r="OG42" s="2854"/>
      <c r="OH42" s="2854"/>
      <c r="OI42" s="2854"/>
      <c r="OJ42" s="2854"/>
      <c r="OK42" s="2854"/>
      <c r="OL42" s="2854"/>
      <c r="OM42" s="2854"/>
      <c r="ON42" s="2854"/>
      <c r="OO42" s="2854"/>
      <c r="OP42" s="2854"/>
      <c r="OQ42" s="2854"/>
      <c r="OR42" s="2854"/>
      <c r="OS42" s="2854"/>
      <c r="OT42" s="2854"/>
      <c r="OU42" s="2854"/>
      <c r="OV42" s="2854"/>
      <c r="OW42" s="2854"/>
      <c r="OX42" s="2854"/>
      <c r="OY42" s="2854"/>
      <c r="OZ42" s="2854"/>
      <c r="PA42" s="2854"/>
      <c r="PB42" s="2854"/>
      <c r="PC42" s="2854"/>
      <c r="PD42" s="2854"/>
      <c r="PE42" s="2854"/>
      <c r="PF42" s="2854"/>
      <c r="PG42" s="2854"/>
      <c r="PH42" s="2854"/>
      <c r="PI42" s="2854"/>
      <c r="PJ42" s="2854"/>
      <c r="PK42" s="2854"/>
      <c r="PL42" s="2854"/>
      <c r="PM42" s="2854"/>
      <c r="PN42" s="2854"/>
      <c r="PO42" s="2854"/>
      <c r="PP42" s="2854"/>
      <c r="PQ42" s="2854"/>
      <c r="PR42" s="2854"/>
      <c r="PS42" s="2854"/>
      <c r="PT42" s="2854"/>
      <c r="PU42" s="2854"/>
      <c r="PV42" s="2854"/>
      <c r="PW42" s="2854"/>
      <c r="PX42" s="2854"/>
      <c r="PY42" s="2854"/>
      <c r="PZ42" s="2854"/>
      <c r="QA42" s="2854"/>
      <c r="QB42" s="2854"/>
      <c r="QC42" s="2854"/>
      <c r="QD42" s="2854"/>
      <c r="QE42" s="2854"/>
      <c r="QF42" s="2854"/>
      <c r="QG42" s="2854"/>
      <c r="QH42" s="2854"/>
      <c r="QI42" s="2854"/>
      <c r="QJ42" s="2854"/>
      <c r="QK42" s="2854"/>
      <c r="QL42" s="2854"/>
      <c r="QM42" s="2854"/>
      <c r="QN42" s="2854"/>
      <c r="QO42" s="2854"/>
      <c r="QP42" s="2854"/>
      <c r="QQ42" s="2854"/>
      <c r="QR42" s="2854"/>
      <c r="QS42" s="2854"/>
      <c r="QT42" s="2854"/>
      <c r="QU42" s="2854"/>
      <c r="QV42" s="2854"/>
      <c r="QW42" s="2854"/>
      <c r="QX42" s="2854"/>
      <c r="QY42" s="2854"/>
      <c r="QZ42" s="2854"/>
      <c r="RA42" s="2854"/>
      <c r="RB42" s="2854"/>
      <c r="RC42" s="2854"/>
      <c r="RD42" s="2854"/>
      <c r="RE42" s="2854"/>
      <c r="RF42" s="2854"/>
      <c r="RG42" s="2854"/>
      <c r="RH42" s="2854"/>
      <c r="RI42" s="2854"/>
      <c r="RJ42" s="2854"/>
      <c r="RK42" s="2854"/>
      <c r="RL42" s="2854"/>
      <c r="RM42" s="2854"/>
      <c r="RN42" s="2854"/>
      <c r="RO42" s="2854"/>
      <c r="RP42" s="2854"/>
      <c r="RQ42" s="2854"/>
      <c r="RR42" s="2854"/>
      <c r="RS42" s="2854"/>
      <c r="RT42" s="2854"/>
      <c r="RU42" s="2854"/>
      <c r="RV42" s="2854"/>
      <c r="RW42" s="2854"/>
      <c r="RX42" s="2854"/>
      <c r="RY42" s="2854"/>
      <c r="RZ42" s="2854"/>
      <c r="SA42" s="2854"/>
      <c r="SB42" s="2854"/>
      <c r="SC42" s="2854"/>
      <c r="SD42" s="2854"/>
      <c r="SE42" s="2854"/>
      <c r="SF42" s="2854"/>
      <c r="SG42" s="2854"/>
      <c r="SH42" s="2854"/>
      <c r="SI42" s="2854"/>
      <c r="SJ42" s="2854"/>
      <c r="SK42" s="2854"/>
      <c r="SL42" s="2854"/>
      <c r="SM42" s="2854"/>
      <c r="SN42" s="2854"/>
      <c r="SO42" s="2854"/>
      <c r="SP42" s="2854"/>
      <c r="SQ42" s="2854"/>
      <c r="SR42" s="2854"/>
      <c r="SS42" s="2854"/>
      <c r="ST42" s="2854"/>
      <c r="SU42" s="2854"/>
      <c r="SV42" s="2854"/>
      <c r="SW42" s="2854"/>
      <c r="SX42" s="2854"/>
      <c r="SY42" s="2854"/>
      <c r="SZ42" s="2854"/>
      <c r="TA42" s="2854"/>
      <c r="TB42" s="2854"/>
      <c r="TC42" s="2854"/>
      <c r="TD42" s="2854"/>
      <c r="TE42" s="2854"/>
      <c r="TF42" s="2854"/>
      <c r="TG42" s="2854"/>
      <c r="TH42" s="2854"/>
      <c r="TI42" s="2854"/>
      <c r="TJ42" s="2854"/>
      <c r="TK42" s="2854"/>
      <c r="TL42" s="2854"/>
      <c r="TM42" s="2854"/>
      <c r="TN42" s="2854"/>
      <c r="TO42" s="2854"/>
      <c r="TP42" s="2854"/>
      <c r="TQ42" s="2854"/>
      <c r="TR42" s="2854"/>
      <c r="TS42" s="2854"/>
      <c r="TT42" s="2854"/>
      <c r="TU42" s="3783"/>
      <c r="TV42" s="3783"/>
      <c r="TW42" s="3783"/>
      <c r="TX42" s="3783"/>
      <c r="TY42" s="3783"/>
      <c r="TZ42" s="3783"/>
      <c r="UA42" s="3783"/>
      <c r="UB42" s="3783"/>
      <c r="UC42" s="3783"/>
      <c r="UD42" s="3783"/>
      <c r="UE42" s="3783"/>
      <c r="UF42" s="3783"/>
      <c r="UG42" s="3783"/>
      <c r="UH42" s="3783"/>
      <c r="UI42" s="3783"/>
      <c r="UJ42" s="3783"/>
      <c r="UK42" s="3783"/>
      <c r="UL42" s="3783"/>
      <c r="UM42" s="3783"/>
      <c r="UN42" s="3783"/>
      <c r="UO42" s="3783"/>
      <c r="UP42" s="2854"/>
      <c r="UQ42" s="2854"/>
      <c r="UR42" s="2854"/>
      <c r="US42" s="2854"/>
      <c r="UT42" s="2854"/>
      <c r="UU42" s="2854"/>
      <c r="UV42" s="2854"/>
      <c r="UW42" s="2854"/>
      <c r="UX42" s="2854"/>
      <c r="UY42" s="2854"/>
      <c r="UZ42" s="2854"/>
      <c r="VA42" s="2854"/>
      <c r="VB42" s="2854"/>
      <c r="VC42" s="2854"/>
      <c r="VD42" s="2854"/>
      <c r="VE42" s="2854"/>
      <c r="VF42" s="2854"/>
      <c r="VG42" s="2854"/>
      <c r="VH42" s="2854"/>
      <c r="VI42" s="2854"/>
      <c r="VJ42" s="2854"/>
      <c r="VK42" s="2854"/>
      <c r="VL42" s="2854"/>
      <c r="VM42" s="2854"/>
      <c r="VN42" s="2854"/>
      <c r="VO42" s="2854"/>
      <c r="VP42" s="2854"/>
      <c r="VQ42" s="2854"/>
      <c r="VR42" s="2854"/>
      <c r="VS42" s="2854"/>
      <c r="VT42" s="2854"/>
      <c r="VU42" s="2854"/>
      <c r="VV42" s="2854"/>
      <c r="VW42" s="2854"/>
      <c r="VX42" s="2854"/>
      <c r="VY42" s="2854"/>
      <c r="VZ42" s="2854"/>
      <c r="WA42" s="2854"/>
      <c r="WB42" s="2854"/>
      <c r="WC42" s="2854"/>
      <c r="WD42" s="2854"/>
      <c r="WE42" s="2854"/>
      <c r="WF42" s="2854"/>
      <c r="WG42" s="2854"/>
      <c r="WH42" s="2854"/>
      <c r="WI42" s="2854"/>
      <c r="WJ42" s="2854"/>
      <c r="WK42" s="2854"/>
      <c r="WL42" s="2854"/>
      <c r="WM42" s="2854"/>
      <c r="WN42" s="2854"/>
      <c r="WO42" s="2854"/>
      <c r="WP42" s="2854"/>
      <c r="WQ42" s="2854"/>
      <c r="WR42" s="2854"/>
      <c r="WS42" s="2854"/>
      <c r="WT42" s="2854"/>
      <c r="WU42" s="2854"/>
      <c r="WV42" s="2854"/>
      <c r="WW42" s="2854"/>
      <c r="WX42" s="2854"/>
      <c r="WY42" s="2854"/>
      <c r="WZ42" s="2854"/>
      <c r="XA42" s="2854"/>
      <c r="XB42" s="2854"/>
      <c r="XC42" s="2854"/>
      <c r="XD42" s="2854"/>
      <c r="XE42" s="2854"/>
      <c r="XF42" s="2854"/>
      <c r="XG42" s="2854"/>
      <c r="XH42" s="2854"/>
      <c r="XI42" s="2854"/>
      <c r="XJ42" s="2854"/>
      <c r="XK42" s="2854"/>
      <c r="XL42" s="2854"/>
      <c r="XM42" s="2854"/>
      <c r="XN42" s="2854"/>
      <c r="XO42" s="2854"/>
      <c r="XP42" s="2854"/>
      <c r="XQ42" s="2854"/>
      <c r="XR42" s="2854"/>
      <c r="XS42" s="2854"/>
      <c r="XT42" s="2854"/>
      <c r="XU42" s="2854"/>
      <c r="XV42" s="2854"/>
      <c r="XW42" s="2854"/>
      <c r="XX42" s="2854"/>
      <c r="XY42" s="2854"/>
      <c r="XZ42" s="2854"/>
      <c r="YA42" s="2854"/>
      <c r="YB42" s="2854"/>
      <c r="YC42" s="2854"/>
      <c r="YD42" s="2854"/>
      <c r="YE42" s="2854"/>
      <c r="YF42" s="2854"/>
      <c r="YG42" s="2854"/>
      <c r="YH42" s="2854"/>
      <c r="YI42" s="2854"/>
      <c r="YJ42" s="2854"/>
      <c r="YK42" s="2854"/>
      <c r="YL42" s="2854"/>
      <c r="YM42" s="2854"/>
      <c r="YN42" s="2854"/>
      <c r="YO42" s="2854"/>
      <c r="YP42" s="2854"/>
      <c r="YQ42" s="2854"/>
      <c r="YR42" s="2854"/>
      <c r="YS42" s="2854"/>
      <c r="YT42" s="2854"/>
      <c r="YU42" s="2854"/>
      <c r="YV42" s="2854"/>
      <c r="YW42" s="2854"/>
      <c r="YX42" s="2854"/>
      <c r="YY42" s="2854"/>
      <c r="YZ42" s="2854"/>
      <c r="ZA42" s="2854"/>
      <c r="ZB42" s="2854"/>
      <c r="ZC42" s="2854"/>
      <c r="ZD42" s="2854"/>
      <c r="ZE42" s="2854"/>
      <c r="ZF42" s="2854"/>
      <c r="ZG42" s="2854"/>
      <c r="ZH42" s="2854"/>
      <c r="ZI42" s="2854"/>
      <c r="ZJ42" s="2854"/>
      <c r="ZK42" s="2854"/>
      <c r="ZL42" s="2854"/>
      <c r="ZM42" s="2854"/>
      <c r="ZN42" s="2854"/>
      <c r="ZO42" s="2854"/>
      <c r="ZP42" s="2854"/>
      <c r="ZQ42" s="2854"/>
      <c r="ZR42" s="2854"/>
      <c r="ZS42" s="2854"/>
      <c r="ZT42" s="2854"/>
      <c r="ZU42" s="2854"/>
      <c r="ZV42" s="2854"/>
      <c r="ZW42" s="2854"/>
      <c r="ZX42" s="2854"/>
      <c r="ZY42" s="2854"/>
      <c r="ZZ42" s="2854"/>
      <c r="AAA42" s="2854"/>
      <c r="AAB42" s="2854"/>
      <c r="AAC42" s="2854"/>
      <c r="AAD42" s="2854"/>
      <c r="AAE42" s="2854"/>
      <c r="AAF42" s="2854"/>
      <c r="AAG42" s="2854"/>
      <c r="AAH42" s="2854"/>
      <c r="AAI42" s="2854"/>
      <c r="AAJ42" s="2854"/>
      <c r="AAK42" s="2854"/>
      <c r="AAL42" s="2854"/>
      <c r="AAM42" s="2854"/>
      <c r="AAN42" s="2854"/>
      <c r="AAO42" s="2854"/>
      <c r="AAP42" s="2854"/>
      <c r="AAQ42" s="2854"/>
      <c r="AAR42" s="2854"/>
      <c r="AAS42" s="2854"/>
      <c r="AAT42" s="2854"/>
      <c r="AAU42" s="2854"/>
      <c r="AAV42" s="2854"/>
      <c r="AAW42" s="2854"/>
      <c r="AAX42" s="2854"/>
      <c r="AAY42" s="2854"/>
      <c r="AAZ42" s="2854"/>
      <c r="ABA42" s="2854"/>
      <c r="ABB42" s="2854"/>
      <c r="ABC42" s="2854"/>
      <c r="ABD42" s="2854"/>
      <c r="ABE42" s="2854"/>
      <c r="ABF42" s="2854"/>
      <c r="ABG42" s="2854"/>
      <c r="ABH42" s="2854"/>
      <c r="ABI42" s="2854"/>
      <c r="ABJ42" s="2854"/>
      <c r="ABK42" s="2854"/>
      <c r="ABL42" s="2854"/>
      <c r="ABM42" s="2854"/>
      <c r="ABN42" s="2854"/>
      <c r="ABO42" s="2854"/>
      <c r="ABP42" s="2854"/>
      <c r="ABQ42" s="2854"/>
      <c r="ABR42" s="2854"/>
      <c r="ABS42" s="2854"/>
      <c r="ABT42" s="2854"/>
      <c r="ABU42" s="2854"/>
      <c r="ABV42" s="2854"/>
      <c r="ABW42" s="2854"/>
      <c r="ABX42" s="2854"/>
      <c r="ABY42" s="2854"/>
      <c r="ABZ42" s="2854"/>
      <c r="ACA42" s="2854"/>
      <c r="ACB42" s="2854"/>
      <c r="ACC42" s="2854"/>
      <c r="ACD42" s="2854"/>
      <c r="ACE42" s="2854"/>
      <c r="ACF42" s="2854"/>
      <c r="ACG42" s="2854"/>
      <c r="ACH42" s="2854"/>
      <c r="ACI42" s="2854"/>
      <c r="ACJ42" s="2854"/>
      <c r="ACK42" s="2854"/>
      <c r="ACL42" s="2854"/>
      <c r="ACM42" s="2854"/>
      <c r="ACN42" s="2854"/>
      <c r="ACO42" s="2854"/>
      <c r="ACP42" s="2854"/>
      <c r="ACQ42" s="2854"/>
      <c r="ACR42" s="2854"/>
      <c r="ACS42" s="2854"/>
      <c r="ACT42" s="2854"/>
      <c r="ACU42" s="2854"/>
      <c r="ACV42" s="2854"/>
      <c r="ACW42" s="2854"/>
      <c r="ACX42" s="2854"/>
      <c r="ACY42" s="2854"/>
      <c r="ACZ42" s="2854"/>
      <c r="ADA42" s="2854"/>
      <c r="ADB42" s="2854"/>
      <c r="ADC42" s="2854"/>
      <c r="ADD42" s="2854"/>
      <c r="ADE42" s="2854"/>
      <c r="ADF42" s="2854"/>
      <c r="ADG42" s="2854"/>
      <c r="ADH42" s="2854"/>
      <c r="ADI42" s="2854"/>
      <c r="ADJ42" s="2854"/>
      <c r="ADK42" s="2854"/>
      <c r="ADL42" s="2854"/>
      <c r="ADM42" s="2854"/>
      <c r="ADN42" s="2854"/>
      <c r="ADO42" s="2854"/>
      <c r="ADP42" s="2854"/>
      <c r="ADQ42" s="2854"/>
      <c r="ADR42" s="2854"/>
      <c r="ADS42" s="2854"/>
      <c r="ADT42" s="2854"/>
      <c r="ADU42" s="2854"/>
      <c r="ADV42" s="2854"/>
      <c r="ADW42" s="2854"/>
      <c r="ADX42" s="2854"/>
      <c r="ADY42" s="2854"/>
      <c r="ADZ42" s="2854"/>
      <c r="AEA42" s="2854"/>
      <c r="AEB42" s="2854"/>
      <c r="AEC42" s="2854"/>
      <c r="AED42" s="2854"/>
      <c r="AEE42" s="2854"/>
      <c r="AEF42" s="2854"/>
      <c r="AEG42" s="2854"/>
      <c r="AEH42" s="2854"/>
      <c r="AEI42" s="2854"/>
      <c r="AEJ42" s="2854"/>
      <c r="AEK42" s="2854"/>
      <c r="AEL42" s="2854"/>
      <c r="AEM42" s="2854"/>
      <c r="AEN42" s="2854"/>
      <c r="AEO42" s="2854"/>
      <c r="AEP42" s="2854"/>
      <c r="AEQ42" s="2854"/>
      <c r="AER42" s="2854"/>
      <c r="AES42" s="2854"/>
      <c r="AET42" s="2854"/>
      <c r="AEU42" s="2854"/>
      <c r="AEV42" s="2854"/>
      <c r="AEW42" s="2854"/>
      <c r="AEX42" s="2854"/>
      <c r="AEY42" s="2854"/>
      <c r="AEZ42" s="2854"/>
      <c r="AFA42" s="2854"/>
      <c r="AFB42" s="2854"/>
      <c r="AFC42" s="2854"/>
      <c r="AFD42" s="2854"/>
      <c r="AFE42" s="2854"/>
      <c r="AFF42" s="2854"/>
      <c r="AFG42" s="2854"/>
      <c r="AFH42" s="2854"/>
      <c r="AFI42" s="2854"/>
      <c r="AFJ42" s="2854"/>
      <c r="AFK42" s="2854"/>
      <c r="AFL42" s="2854"/>
      <c r="AFM42" s="2854"/>
      <c r="AFN42" s="2854"/>
      <c r="AFO42" s="2854"/>
      <c r="AFP42" s="2854"/>
      <c r="AFQ42" s="2854"/>
      <c r="AFR42" s="2854"/>
      <c r="AFS42" s="2854"/>
      <c r="AFT42" s="2854"/>
      <c r="AFU42" s="2854"/>
      <c r="AFV42" s="2854"/>
      <c r="AFW42" s="2854"/>
      <c r="AFX42" s="2854"/>
      <c r="AFY42" s="2854"/>
      <c r="AFZ42" s="2854"/>
      <c r="AGA42" s="2854"/>
      <c r="AGB42" s="2854"/>
      <c r="AGC42" s="2854"/>
      <c r="AGD42" s="2854"/>
      <c r="AGE42" s="2854"/>
      <c r="AGF42" s="2854"/>
      <c r="AGG42" s="2854"/>
      <c r="AGH42" s="2854"/>
      <c r="AGI42" s="2854"/>
      <c r="AGJ42" s="2854"/>
      <c r="AGK42" s="2854"/>
      <c r="AGL42" s="2854"/>
      <c r="AGM42" s="2854"/>
      <c r="AGN42" s="2854"/>
      <c r="AGO42" s="2854"/>
      <c r="AGP42" s="2854"/>
      <c r="AGQ42" s="2854"/>
      <c r="AGR42" s="2854"/>
      <c r="AGS42" s="2854"/>
      <c r="AGT42" s="2854"/>
      <c r="AGU42" s="2854"/>
      <c r="AGV42" s="2854"/>
      <c r="AGW42" s="2854"/>
      <c r="AGX42" s="2854"/>
      <c r="AGY42" s="2854"/>
      <c r="AGZ42" s="2854"/>
      <c r="AHA42" s="2854"/>
      <c r="AHB42" s="2854"/>
      <c r="AHC42" s="2854"/>
      <c r="AHD42" s="2854"/>
      <c r="AHE42" s="2854"/>
      <c r="AHF42" s="2854"/>
      <c r="AHG42" s="2854"/>
      <c r="AHH42" s="2854"/>
      <c r="AHI42" s="2854"/>
      <c r="AHJ42" s="2854"/>
      <c r="AHK42" s="2854"/>
      <c r="AHL42" s="2854"/>
      <c r="AHM42" s="2854"/>
      <c r="AHN42" s="2854"/>
      <c r="AHO42" s="2854"/>
      <c r="AHP42" s="2854"/>
      <c r="AHQ42" s="2854"/>
      <c r="AHR42" s="2854"/>
      <c r="AHS42" s="2854"/>
      <c r="AHT42" s="2854"/>
      <c r="AHU42" s="2854"/>
      <c r="AHV42" s="2854"/>
      <c r="AHW42" s="2854"/>
      <c r="AHX42" s="2854"/>
      <c r="AHY42" s="2854"/>
      <c r="AHZ42" s="2854"/>
      <c r="AIA42" s="2854"/>
      <c r="AIB42" s="2854"/>
      <c r="AIC42" s="2854"/>
      <c r="AID42" s="2854"/>
      <c r="AIE42" s="2854"/>
      <c r="AIF42" s="2854"/>
      <c r="AIG42" s="2854"/>
      <c r="AIH42" s="2854"/>
      <c r="AII42" s="2854"/>
      <c r="AIJ42" s="2854"/>
      <c r="AIK42" s="2854"/>
      <c r="AIL42" s="2854"/>
      <c r="AIM42" s="2854"/>
      <c r="AIN42" s="2854"/>
      <c r="AIO42" s="2854"/>
      <c r="AIP42" s="2854"/>
      <c r="AIQ42" s="2854"/>
      <c r="AIR42" s="2854"/>
      <c r="AIS42" s="2854"/>
      <c r="AIT42" s="2854"/>
      <c r="AIU42" s="2854"/>
      <c r="AIV42" s="2854"/>
      <c r="AIW42" s="2854"/>
      <c r="AIX42" s="2854"/>
      <c r="AIY42" s="2854"/>
      <c r="AIZ42" s="2854"/>
      <c r="AJA42" s="2854"/>
      <c r="AJB42" s="2854"/>
      <c r="AJC42" s="2854"/>
      <c r="AJD42" s="2854"/>
      <c r="AJE42" s="2854"/>
      <c r="AJF42" s="2854"/>
      <c r="AJG42" s="2854"/>
      <c r="AJH42" s="2854"/>
      <c r="AJI42" s="2854"/>
      <c r="AJJ42" s="2854"/>
      <c r="AJK42" s="2854"/>
      <c r="AJL42" s="2854"/>
      <c r="AJM42" s="2854"/>
      <c r="AJN42" s="2854"/>
      <c r="AJO42" s="2854"/>
      <c r="AJP42" s="2854"/>
      <c r="AJQ42" s="2854"/>
      <c r="AJR42" s="2854"/>
      <c r="AJS42" s="2854"/>
      <c r="AJT42" s="2854"/>
      <c r="AJU42" s="2854"/>
      <c r="AJV42" s="2854"/>
      <c r="AJW42" s="2854"/>
      <c r="AJX42" s="2854"/>
      <c r="AJY42" s="2854"/>
      <c r="AJZ42" s="2854"/>
      <c r="AKA42" s="2854"/>
      <c r="AKB42" s="2854"/>
      <c r="AKC42" s="2854"/>
      <c r="AKD42" s="2854"/>
      <c r="AKE42" s="2854"/>
      <c r="AKF42" s="2854"/>
      <c r="AKG42" s="2854"/>
      <c r="AKH42" s="2854"/>
      <c r="AKI42" s="2854"/>
      <c r="AKJ42" s="2854"/>
      <c r="AKK42" s="2854"/>
      <c r="AKL42" s="2854"/>
      <c r="AKM42" s="2854"/>
      <c r="AKN42" s="2854"/>
      <c r="AKO42" s="2854"/>
      <c r="AKP42" s="2854"/>
      <c r="AKQ42" s="2854"/>
      <c r="AKR42" s="2854"/>
      <c r="AKS42" s="2854"/>
      <c r="AKT42" s="2854"/>
      <c r="AKU42" s="2854"/>
      <c r="AKV42" s="2854"/>
      <c r="AKW42" s="2854"/>
      <c r="AKX42" s="2854"/>
      <c r="AKY42" s="2854"/>
      <c r="AKZ42" s="2854"/>
      <c r="ALA42" s="2854"/>
      <c r="ALB42" s="2854"/>
      <c r="ALC42" s="2854"/>
      <c r="ALD42" s="2854"/>
      <c r="ALE42" s="2854"/>
      <c r="ALF42" s="2854"/>
      <c r="ALG42" s="2854"/>
      <c r="ALH42" s="2854"/>
      <c r="ALI42" s="2854"/>
      <c r="ALJ42" s="2854"/>
      <c r="ALK42" s="2854"/>
      <c r="ALL42" s="2854"/>
      <c r="ALM42" s="2854"/>
      <c r="ALN42" s="2854"/>
      <c r="ALO42" s="2854"/>
      <c r="ALP42" s="2854"/>
      <c r="ALQ42" s="2854"/>
      <c r="ALR42" s="2854"/>
      <c r="ALS42" s="2854"/>
      <c r="ALT42" s="2854"/>
      <c r="ALU42" s="2854"/>
      <c r="ALV42" s="2854"/>
      <c r="ALW42" s="2854"/>
      <c r="ALX42" s="2854"/>
      <c r="ALY42" s="2854"/>
      <c r="ALZ42" s="2854"/>
      <c r="AMA42" s="2854"/>
      <c r="AMB42" s="2854"/>
      <c r="AMC42" s="2854"/>
      <c r="AMD42" s="2854"/>
      <c r="AME42" s="2854"/>
      <c r="AMF42" s="2854"/>
      <c r="AMG42" s="2854"/>
      <c r="AMH42" s="2854"/>
      <c r="AMI42" s="2854"/>
      <c r="AMJ42" s="2854"/>
      <c r="AMK42" s="2854"/>
      <c r="AML42" s="2854"/>
      <c r="AMM42" s="2854"/>
      <c r="AMN42" s="2854"/>
      <c r="AMO42" s="2854"/>
      <c r="AMP42" s="2854"/>
      <c r="AMQ42" s="2854"/>
      <c r="AMR42" s="2854"/>
      <c r="AMS42" s="2854"/>
      <c r="AMT42" s="2854"/>
      <c r="AMU42" s="2854"/>
      <c r="AMV42" s="2854"/>
      <c r="AMW42" s="2854"/>
      <c r="AMX42" s="2854"/>
      <c r="AMY42" s="2854"/>
      <c r="AMZ42" s="2854"/>
      <c r="ANA42" s="2854"/>
      <c r="ANB42" s="2854"/>
      <c r="ANC42" s="2854"/>
      <c r="AND42" s="2854"/>
      <c r="ANE42" s="2854"/>
      <c r="ANF42" s="2854"/>
      <c r="ANG42" s="2854"/>
      <c r="ANH42" s="2854"/>
      <c r="ANI42" s="2854"/>
      <c r="ANJ42" s="2854"/>
      <c r="ANK42" s="2854"/>
      <c r="ANL42" s="2854"/>
      <c r="ANM42" s="2854"/>
      <c r="ANN42" s="2854"/>
      <c r="ANO42" s="2854"/>
      <c r="ANP42" s="2854"/>
      <c r="ANQ42" s="2854"/>
      <c r="ANR42" s="2854"/>
      <c r="ANS42" s="2854"/>
      <c r="ANT42" s="2854"/>
      <c r="ANU42" s="2854"/>
      <c r="ANV42" s="2854"/>
      <c r="ANW42" s="2854"/>
      <c r="ANX42" s="2854"/>
      <c r="ANY42" s="2854"/>
      <c r="ANZ42" s="2854"/>
      <c r="AOA42" s="2854"/>
      <c r="AOB42" s="2854"/>
      <c r="AOC42" s="2854"/>
      <c r="AOD42" s="2854"/>
      <c r="AOE42" s="2854"/>
      <c r="AOF42" s="2854"/>
      <c r="AOG42" s="2854"/>
      <c r="AOH42" s="2854"/>
      <c r="AOI42" s="2854"/>
      <c r="AOJ42" s="2854"/>
      <c r="AOK42" s="2854"/>
      <c r="AOL42" s="2854"/>
      <c r="AOM42" s="2854"/>
      <c r="AON42" s="2854"/>
      <c r="AOO42" s="2854"/>
      <c r="AOP42" s="2854"/>
      <c r="AOQ42" s="2854"/>
      <c r="AOR42" s="2854"/>
      <c r="AOS42" s="2854"/>
      <c r="AOT42" s="2854"/>
      <c r="AOU42" s="2854"/>
      <c r="AOV42" s="2854"/>
      <c r="AOW42" s="2854"/>
      <c r="AOX42" s="2854"/>
      <c r="AOY42" s="2854"/>
      <c r="AOZ42" s="2854"/>
      <c r="APA42" s="2854"/>
      <c r="APB42" s="2854"/>
      <c r="APC42" s="2854"/>
      <c r="APD42" s="2854"/>
      <c r="APE42" s="2854"/>
      <c r="APF42" s="2854"/>
      <c r="APG42" s="2854"/>
      <c r="APH42" s="2854"/>
      <c r="API42" s="2854"/>
      <c r="APJ42" s="2854"/>
      <c r="APK42" s="2854"/>
      <c r="APL42" s="2854"/>
      <c r="APM42" s="2854"/>
      <c r="APN42" s="2854"/>
      <c r="APO42" s="2854"/>
      <c r="APP42" s="2854"/>
      <c r="APQ42" s="2854"/>
      <c r="APR42" s="2854"/>
      <c r="APS42" s="2854"/>
      <c r="APT42" s="2854"/>
      <c r="APU42" s="2854"/>
      <c r="APV42" s="2854"/>
      <c r="APW42" s="2854"/>
      <c r="APX42" s="2854"/>
      <c r="APY42" s="2854"/>
      <c r="APZ42" s="2854"/>
      <c r="AQA42" s="2854"/>
      <c r="AQB42" s="2854"/>
      <c r="AQC42" s="2854"/>
      <c r="AQD42" s="2854"/>
      <c r="AQE42" s="2854"/>
      <c r="AQF42" s="2854"/>
      <c r="AQG42" s="2854"/>
      <c r="AQH42" s="2854"/>
      <c r="AQI42" s="2854"/>
      <c r="AQJ42" s="2854"/>
      <c r="AQK42" s="2854"/>
      <c r="AQL42" s="2854"/>
      <c r="AQM42" s="2854"/>
      <c r="AQN42" s="2854"/>
      <c r="AQO42" s="2854"/>
      <c r="AQP42" s="2854"/>
      <c r="AQQ42" s="2854"/>
      <c r="AQR42" s="2854"/>
      <c r="AQS42" s="2854"/>
      <c r="AQT42" s="2854"/>
      <c r="AQU42" s="2854"/>
      <c r="AQV42" s="2854"/>
      <c r="AQW42" s="2854"/>
      <c r="AQX42" s="2854"/>
      <c r="AQY42" s="2854"/>
      <c r="AQZ42" s="2854"/>
      <c r="ARA42" s="2854"/>
      <c r="ARB42" s="2854"/>
      <c r="ARC42" s="2854"/>
      <c r="ARD42" s="2854"/>
      <c r="ARE42" s="2854"/>
      <c r="ARF42" s="2854"/>
      <c r="ARG42" s="2854"/>
      <c r="ARH42" s="2854"/>
      <c r="ARI42" s="2854"/>
      <c r="ARJ42" s="2854"/>
      <c r="ARK42" s="2854"/>
      <c r="ARL42" s="2854"/>
      <c r="ARM42" s="2854"/>
      <c r="ARN42" s="2854"/>
      <c r="ARO42" s="2854"/>
      <c r="ARP42" s="2854"/>
      <c r="ARQ42" s="2854"/>
      <c r="ARR42" s="2854"/>
      <c r="ARS42" s="2854"/>
      <c r="ART42" s="2854"/>
      <c r="ARU42" s="2854"/>
      <c r="ARV42" s="2854"/>
      <c r="ARW42" s="2854"/>
      <c r="ARX42" s="2854"/>
      <c r="ARY42" s="2854"/>
      <c r="ARZ42" s="2854"/>
      <c r="ASA42" s="2854"/>
      <c r="ASB42" s="2854"/>
      <c r="ASC42" s="2854"/>
      <c r="ASD42" s="2854"/>
      <c r="ASE42" s="2854"/>
      <c r="ASF42" s="2854"/>
      <c r="ASG42" s="2854"/>
      <c r="ASH42" s="2854"/>
      <c r="ASI42" s="2854"/>
      <c r="ASJ42" s="2854"/>
      <c r="ASK42" s="2854"/>
      <c r="ASL42" s="2854"/>
      <c r="ASM42" s="2854"/>
      <c r="ASN42" s="2854"/>
      <c r="ASO42" s="2854"/>
      <c r="ASP42" s="2854"/>
      <c r="ASQ42" s="2854"/>
      <c r="ASR42" s="2854"/>
      <c r="ASS42" s="2854"/>
      <c r="AST42" s="2854"/>
      <c r="ASU42" s="2854"/>
      <c r="ASV42" s="2854"/>
      <c r="ASW42" s="2854"/>
      <c r="ASX42" s="2854"/>
      <c r="ASY42" s="2854"/>
      <c r="ASZ42" s="2854"/>
      <c r="ATA42" s="2854"/>
      <c r="ATB42" s="2854"/>
      <c r="ATC42" s="2854"/>
      <c r="ATD42" s="2854"/>
      <c r="ATE42" s="2854"/>
      <c r="ATF42" s="2854"/>
      <c r="ATG42" s="2854"/>
      <c r="ATH42" s="2854"/>
      <c r="ATI42" s="2854"/>
      <c r="ATJ42" s="2854"/>
      <c r="ATK42" s="2854"/>
      <c r="ATL42" s="2854"/>
      <c r="ATM42" s="2854"/>
      <c r="ATN42" s="2854"/>
      <c r="ATO42" s="2854"/>
      <c r="ATP42" s="2854"/>
      <c r="ATQ42" s="2854"/>
      <c r="ATR42" s="2854"/>
      <c r="ATS42" s="2854"/>
      <c r="ATT42" s="2854"/>
      <c r="ATU42" s="2854"/>
      <c r="ATV42" s="2854"/>
      <c r="ATW42" s="2854"/>
      <c r="ATX42" s="2854"/>
      <c r="ATY42" s="2854"/>
      <c r="ATZ42" s="2854"/>
      <c r="AUA42" s="2854"/>
      <c r="AUB42" s="2854"/>
      <c r="AUC42" s="2854"/>
      <c r="AUD42" s="2854"/>
      <c r="AUE42" s="2854"/>
      <c r="AUF42" s="2854"/>
      <c r="AUG42" s="2854"/>
      <c r="AUH42" s="2854"/>
      <c r="AUI42" s="2854"/>
      <c r="AUJ42" s="2854"/>
      <c r="AUK42" s="2854"/>
      <c r="AUL42" s="2854"/>
      <c r="AUM42" s="2854"/>
      <c r="AUN42" s="2854"/>
      <c r="AUO42" s="2854"/>
      <c r="AUP42" s="2854"/>
      <c r="AUQ42" s="2854"/>
      <c r="AUR42" s="2854"/>
      <c r="AUS42" s="2854"/>
      <c r="AUT42" s="2854"/>
      <c r="AUU42" s="2854"/>
      <c r="AUV42" s="2854"/>
      <c r="AUW42" s="2854"/>
      <c r="AUX42" s="2854"/>
      <c r="AUY42" s="2854"/>
      <c r="AUZ42" s="2854"/>
      <c r="AVA42" s="2854"/>
      <c r="AVB42" s="2854"/>
      <c r="AVC42" s="2854"/>
      <c r="AVD42" s="2854"/>
      <c r="AVE42" s="2854"/>
      <c r="AVF42" s="2854"/>
      <c r="AVG42" s="2854"/>
      <c r="AVH42" s="2854"/>
      <c r="AVI42" s="2854"/>
      <c r="AVJ42" s="2854"/>
      <c r="AVK42" s="2854"/>
      <c r="AVL42" s="2854"/>
      <c r="AVM42" s="2854"/>
      <c r="AVN42" s="2854"/>
      <c r="AVO42" s="2854"/>
      <c r="AVP42" s="2854"/>
      <c r="AVQ42" s="2854"/>
      <c r="AVR42" s="2854"/>
      <c r="AVS42" s="2854"/>
      <c r="AVT42" s="2854"/>
      <c r="AVU42" s="2854"/>
      <c r="AVV42" s="2854"/>
      <c r="AVW42" s="2854"/>
      <c r="AVX42" s="2854"/>
      <c r="AVY42" s="2854"/>
      <c r="AVZ42" s="2854"/>
      <c r="AWA42" s="2854"/>
      <c r="AWB42" s="2854"/>
      <c r="AWC42" s="2854"/>
      <c r="AWD42" s="2854"/>
      <c r="AWE42" s="2854"/>
      <c r="AWF42" s="2854"/>
      <c r="AWG42" s="2854"/>
      <c r="AWH42" s="2854"/>
      <c r="AWI42" s="2854"/>
      <c r="AWJ42" s="2854"/>
      <c r="AWK42" s="2854"/>
      <c r="AWL42" s="2854"/>
      <c r="AWM42" s="2854"/>
      <c r="AWN42" s="2854"/>
      <c r="AWO42" s="2854"/>
      <c r="AWP42" s="2854"/>
      <c r="AWQ42" s="2854"/>
      <c r="AWR42" s="2854"/>
      <c r="AWS42" s="2854"/>
      <c r="AWT42" s="2854"/>
      <c r="AWU42" s="2854"/>
      <c r="AWV42" s="2854"/>
      <c r="AWW42" s="2854"/>
      <c r="AWX42" s="2854"/>
      <c r="AWY42" s="2854"/>
      <c r="AWZ42" s="2854"/>
      <c r="AXA42" s="2854"/>
      <c r="AXB42" s="2854"/>
      <c r="AXC42" s="2854"/>
      <c r="AXD42" s="2854"/>
      <c r="AXE42" s="2854"/>
      <c r="AXF42" s="2854"/>
      <c r="AXG42" s="2854"/>
      <c r="AXH42" s="2854"/>
      <c r="AXI42" s="2854"/>
      <c r="AXJ42" s="2854"/>
      <c r="AXK42" s="2854"/>
      <c r="AXL42" s="2854"/>
      <c r="AXM42" s="2854"/>
      <c r="AXN42" s="2854"/>
      <c r="AXO42" s="2854"/>
      <c r="AXP42" s="2854"/>
      <c r="AXQ42" s="2854"/>
      <c r="AXR42" s="2854"/>
      <c r="AXS42" s="2854"/>
      <c r="AXT42" s="2854"/>
      <c r="AXU42" s="2854"/>
      <c r="AXV42" s="2854"/>
      <c r="AXW42" s="2854"/>
      <c r="AXX42" s="2854"/>
      <c r="AXY42" s="2854"/>
      <c r="AXZ42" s="2854"/>
      <c r="AYA42" s="2854"/>
      <c r="AYB42" s="2854"/>
      <c r="AYC42" s="2854"/>
      <c r="AYD42" s="2854"/>
      <c r="AYE42" s="2854"/>
      <c r="AYF42" s="2854"/>
      <c r="AYG42" s="2854"/>
      <c r="AYH42" s="2854"/>
      <c r="AYI42" s="2854"/>
      <c r="AYJ42" s="2854"/>
      <c r="AYK42" s="2854"/>
      <c r="AYL42" s="2854"/>
      <c r="AYM42" s="2854"/>
      <c r="AYN42" s="2854"/>
      <c r="AYO42" s="2854"/>
      <c r="AYP42" s="2854"/>
      <c r="AYQ42" s="2854"/>
      <c r="AYR42" s="2854"/>
      <c r="AYS42" s="2854"/>
      <c r="AYT42" s="2854"/>
      <c r="AYU42" s="2854"/>
      <c r="AYV42" s="2854"/>
      <c r="AYW42" s="2854"/>
      <c r="AYX42" s="2854"/>
      <c r="AYY42" s="2854"/>
      <c r="AYZ42" s="2854"/>
      <c r="AZA42" s="2854"/>
      <c r="AZB42" s="2854"/>
      <c r="AZC42" s="2854"/>
      <c r="AZD42" s="2854"/>
      <c r="AZE42" s="2854"/>
      <c r="AZF42" s="2854"/>
      <c r="AZG42" s="2854"/>
      <c r="AZH42" s="2854"/>
      <c r="AZI42" s="2854"/>
      <c r="AZJ42" s="2854"/>
      <c r="AZK42" s="2854"/>
      <c r="AZL42" s="2854"/>
      <c r="AZM42" s="2854"/>
      <c r="AZN42" s="2854"/>
      <c r="AZO42" s="2854"/>
      <c r="AZP42" s="2854"/>
      <c r="AZQ42" s="2854"/>
      <c r="AZR42" s="2854"/>
      <c r="AZS42" s="2854"/>
      <c r="AZT42" s="2854"/>
      <c r="AZU42" s="2854"/>
      <c r="AZV42" s="2854"/>
      <c r="AZW42" s="2854"/>
      <c r="AZX42" s="2854"/>
      <c r="AZY42" s="2854"/>
      <c r="AZZ42" s="2854"/>
      <c r="BAA42" s="2854"/>
      <c r="BAB42" s="2854"/>
      <c r="BAC42" s="2854"/>
      <c r="BAD42" s="2854"/>
      <c r="BAE42" s="2854"/>
      <c r="BAF42" s="2854"/>
      <c r="BAG42" s="2854"/>
      <c r="BAH42" s="2854"/>
      <c r="BAI42" s="2854"/>
      <c r="BAJ42" s="2854"/>
      <c r="BAK42" s="2854"/>
      <c r="BAL42" s="2854"/>
      <c r="BAM42" s="2854"/>
      <c r="BAN42" s="2854"/>
      <c r="BAO42" s="2854"/>
      <c r="BAP42" s="2854"/>
      <c r="BAQ42" s="2854"/>
      <c r="BAR42" s="2854"/>
      <c r="BAS42" s="2854"/>
      <c r="BAT42" s="2854"/>
      <c r="BAU42" s="2854"/>
      <c r="BAV42" s="2854"/>
      <c r="BAW42" s="2854"/>
      <c r="BAX42" s="2854"/>
      <c r="BAY42" s="2854"/>
      <c r="BAZ42" s="2854"/>
      <c r="BBA42" s="2854"/>
      <c r="BBB42" s="2854"/>
      <c r="BBC42" s="2854"/>
      <c r="BBD42" s="2854"/>
      <c r="BBE42" s="2854"/>
      <c r="BBF42" s="2854"/>
      <c r="BBG42" s="2854"/>
      <c r="BBH42" s="2854"/>
      <c r="BBI42" s="2854"/>
      <c r="BBJ42" s="2854"/>
      <c r="BBK42" s="2854"/>
      <c r="BBL42" s="2854"/>
      <c r="BBM42" s="2854"/>
      <c r="BBN42" s="2854"/>
      <c r="BBO42" s="2854"/>
      <c r="BBP42" s="2854"/>
      <c r="BBQ42" s="2854"/>
      <c r="BBR42" s="2854"/>
      <c r="BBS42" s="2854"/>
      <c r="BBT42" s="2854"/>
      <c r="BBU42" s="2854"/>
      <c r="BBV42" s="2854"/>
      <c r="BBW42" s="2854"/>
      <c r="BBX42" s="2854"/>
      <c r="BBY42" s="2854"/>
      <c r="BBZ42" s="2854"/>
      <c r="BCA42" s="2854"/>
      <c r="BCB42" s="2854"/>
      <c r="BCC42" s="2854"/>
      <c r="BCD42" s="2854"/>
      <c r="BCE42" s="2854"/>
      <c r="BCF42" s="2854"/>
      <c r="BCG42" s="2854"/>
      <c r="BCH42" s="2854"/>
      <c r="BCI42" s="2854"/>
      <c r="BCJ42" s="2854"/>
      <c r="BCK42" s="2854"/>
      <c r="BCL42" s="2854"/>
      <c r="BCM42" s="2854"/>
      <c r="BCN42" s="2854"/>
      <c r="BCO42" s="2854"/>
      <c r="BCP42" s="2854"/>
      <c r="BCQ42" s="2854"/>
      <c r="BCR42" s="2854"/>
      <c r="BCS42" s="2854"/>
      <c r="BCT42" s="2854"/>
      <c r="BCU42" s="2854"/>
      <c r="BCV42" s="2854"/>
      <c r="BCW42" s="2854"/>
      <c r="BCX42" s="2854"/>
      <c r="BCY42" s="2854"/>
      <c r="BCZ42" s="2854"/>
      <c r="BDA42" s="2854"/>
      <c r="BDB42" s="2854"/>
      <c r="BDC42" s="2854"/>
      <c r="BDD42" s="2854"/>
      <c r="BDE42" s="2854"/>
      <c r="BDF42" s="2854"/>
      <c r="BDG42" s="2854"/>
      <c r="BDH42" s="2854"/>
      <c r="BDI42" s="2854"/>
      <c r="BDJ42" s="2854"/>
      <c r="BDK42" s="2854"/>
      <c r="BDL42" s="2854"/>
      <c r="BDM42" s="2854"/>
      <c r="BDN42" s="2854"/>
      <c r="BDO42" s="2854"/>
      <c r="BDP42" s="2854"/>
      <c r="BDQ42" s="2854"/>
      <c r="BDR42" s="2854"/>
      <c r="BDS42" s="2854"/>
      <c r="BDT42" s="2854"/>
      <c r="BDU42" s="2854"/>
      <c r="BDV42" s="2854"/>
      <c r="BDW42" s="2854"/>
      <c r="BDX42" s="2854"/>
      <c r="BDY42" s="2854"/>
      <c r="BDZ42" s="2854"/>
      <c r="BEA42" s="2854"/>
      <c r="BEB42" s="2854"/>
      <c r="BEC42" s="2854"/>
      <c r="BED42" s="2854"/>
      <c r="BEE42" s="2854"/>
      <c r="BEF42" s="2854"/>
      <c r="BEG42" s="2854"/>
      <c r="BEH42" s="2854"/>
      <c r="BEI42" s="2854"/>
      <c r="BEJ42" s="2854"/>
      <c r="BEK42" s="2854"/>
      <c r="BEL42" s="2854"/>
      <c r="BEM42" s="2854"/>
      <c r="BEN42" s="2854"/>
      <c r="BEO42" s="2854"/>
      <c r="BEP42" s="2854"/>
      <c r="BEQ42" s="2854"/>
      <c r="BER42" s="2854"/>
      <c r="BES42" s="2854"/>
      <c r="BET42" s="2854"/>
      <c r="BEU42" s="2854"/>
      <c r="BEV42" s="2854"/>
      <c r="BEW42" s="2854"/>
      <c r="BEX42" s="2854"/>
      <c r="BEY42" s="2854"/>
      <c r="BEZ42" s="2854"/>
      <c r="BFA42" s="2854"/>
      <c r="BFB42" s="2854"/>
      <c r="BFC42" s="2854"/>
      <c r="BFD42" s="2854"/>
      <c r="BFE42" s="2854"/>
      <c r="BFF42" s="2854"/>
      <c r="BFG42" s="2854"/>
      <c r="BFH42" s="2854"/>
      <c r="BFI42" s="2854"/>
      <c r="BFJ42" s="2854"/>
      <c r="BFK42" s="2854"/>
      <c r="BFL42" s="2854"/>
      <c r="BFM42" s="2854"/>
      <c r="BFN42" s="2854"/>
      <c r="BFO42" s="2854"/>
      <c r="BFP42" s="2854"/>
      <c r="BFQ42" s="2854"/>
      <c r="BFR42" s="2854"/>
      <c r="BFS42" s="2854"/>
      <c r="BFT42" s="2854"/>
      <c r="BFU42" s="2854"/>
      <c r="BFV42" s="2854"/>
      <c r="BFW42" s="2854"/>
      <c r="BFX42" s="2854"/>
      <c r="BFY42" s="2854"/>
      <c r="BFZ42" s="2854"/>
      <c r="BGA42" s="2854"/>
      <c r="BGB42" s="2854"/>
      <c r="BGC42" s="2854"/>
      <c r="BGD42" s="2854"/>
      <c r="BGE42" s="2854"/>
      <c r="BGF42" s="2854"/>
      <c r="BGG42" s="2854"/>
      <c r="BGH42" s="2854"/>
      <c r="BGI42" s="2854"/>
      <c r="BGJ42" s="2854"/>
      <c r="BGK42" s="2854"/>
      <c r="BGL42" s="2854"/>
      <c r="BGM42" s="2854"/>
      <c r="BGN42" s="2854"/>
      <c r="BGO42" s="2854"/>
      <c r="BGP42" s="2854"/>
      <c r="BGQ42" s="2854"/>
      <c r="BGR42" s="2854"/>
      <c r="BGS42" s="2854"/>
      <c r="BGT42" s="2854"/>
      <c r="BGU42" s="2854"/>
      <c r="BGV42" s="2854"/>
      <c r="BGW42" s="2854"/>
      <c r="BGX42" s="2854"/>
      <c r="BGY42" s="2854"/>
      <c r="BGZ42" s="2854"/>
      <c r="BHA42" s="2854"/>
      <c r="BHB42" s="2854"/>
      <c r="BHC42" s="2854"/>
      <c r="BHD42" s="2854"/>
      <c r="BHE42" s="2854"/>
      <c r="BHF42" s="2854"/>
      <c r="BHG42" s="2854"/>
      <c r="BHH42" s="2854"/>
      <c r="BHI42" s="2854"/>
      <c r="BHJ42" s="2854"/>
      <c r="BHK42" s="2854"/>
      <c r="BHL42" s="2854"/>
      <c r="BHM42" s="2854"/>
      <c r="BHN42" s="2854"/>
      <c r="BHO42" s="2854"/>
      <c r="BHP42" s="2854"/>
      <c r="BHQ42" s="2854"/>
      <c r="BHR42" s="2854"/>
      <c r="BHS42" s="2854"/>
      <c r="BHT42" s="2854"/>
      <c r="BHU42" s="2854"/>
      <c r="BHV42" s="2854"/>
      <c r="BHW42" s="2854"/>
      <c r="BHX42" s="2854"/>
      <c r="BHY42" s="2854"/>
      <c r="BHZ42" s="2854"/>
      <c r="BIA42" s="2854"/>
      <c r="BIB42" s="2854"/>
      <c r="BIC42" s="2854"/>
      <c r="BID42" s="2854"/>
      <c r="BIE42" s="2854"/>
      <c r="BIF42" s="2854"/>
      <c r="BIG42" s="2854"/>
      <c r="BIH42" s="2854"/>
      <c r="BII42" s="2854"/>
      <c r="BIJ42" s="2854"/>
      <c r="BIK42" s="2854"/>
      <c r="BIL42" s="2854"/>
      <c r="BIM42" s="2854"/>
      <c r="BIN42" s="2854"/>
      <c r="BIO42" s="2854"/>
      <c r="BIP42" s="2854"/>
      <c r="BIQ42" s="2854"/>
      <c r="BIR42" s="2854"/>
      <c r="BIS42" s="2854"/>
      <c r="BIT42" s="2854"/>
      <c r="BIU42" s="2854"/>
      <c r="BIV42" s="2854"/>
      <c r="BIW42" s="2854"/>
      <c r="BIX42" s="2854"/>
      <c r="BIY42" s="2854"/>
      <c r="BIZ42" s="2854"/>
      <c r="BJA42" s="2854"/>
      <c r="BJB42" s="2854"/>
      <c r="BJC42" s="2854"/>
      <c r="BJD42" s="2854"/>
      <c r="BJE42" s="2854"/>
      <c r="BJF42" s="2854"/>
      <c r="BJG42" s="2854"/>
      <c r="BJH42" s="2854"/>
      <c r="BJI42" s="2854"/>
      <c r="BJJ42" s="2854"/>
      <c r="BJK42" s="2854"/>
      <c r="BJL42" s="2854"/>
      <c r="BJM42" s="2854"/>
      <c r="BJN42" s="2854"/>
      <c r="BJO42" s="2854"/>
      <c r="BJP42" s="2854"/>
      <c r="BJQ42" s="2854"/>
      <c r="BJR42" s="2854"/>
      <c r="BJS42" s="2854"/>
      <c r="BJT42" s="2854"/>
      <c r="BJU42" s="2854"/>
      <c r="BJV42" s="2854"/>
      <c r="BJW42" s="2854"/>
      <c r="BJX42" s="2854"/>
      <c r="BJY42" s="2854"/>
      <c r="BJZ42" s="2854"/>
      <c r="BKA42" s="2854"/>
      <c r="BKB42" s="2854"/>
      <c r="BKC42" s="2854"/>
      <c r="BKD42" s="2854"/>
      <c r="BKE42" s="2854"/>
      <c r="BKF42" s="2854"/>
      <c r="BKG42" s="2854"/>
      <c r="BKH42" s="2854"/>
      <c r="BKI42" s="2854"/>
      <c r="BKJ42" s="2854"/>
      <c r="BKK42" s="2854"/>
      <c r="BKL42" s="2854"/>
      <c r="BKM42" s="2854"/>
      <c r="BKN42" s="2854"/>
      <c r="BKO42" s="2854"/>
      <c r="BKP42" s="2854"/>
      <c r="BKQ42" s="2854"/>
      <c r="BKR42" s="2854"/>
      <c r="BKS42" s="2854"/>
      <c r="BKT42" s="2854"/>
      <c r="BKU42" s="2854"/>
      <c r="BKV42" s="2854"/>
      <c r="BKW42" s="2854"/>
      <c r="BKX42" s="2854"/>
      <c r="BKY42" s="2854"/>
      <c r="BKZ42" s="2854"/>
      <c r="BLA42" s="2854"/>
      <c r="BLB42" s="2854"/>
      <c r="BLC42" s="2854"/>
      <c r="BLD42" s="2854"/>
      <c r="BLE42" s="2854"/>
      <c r="BLF42" s="2854"/>
      <c r="BLG42" s="2854"/>
      <c r="BLH42" s="2854"/>
      <c r="BLI42" s="2854"/>
      <c r="BLJ42" s="2854"/>
      <c r="BLK42" s="2854"/>
      <c r="BLL42" s="2854"/>
      <c r="BLM42" s="2854"/>
      <c r="BLN42" s="2854"/>
      <c r="BLO42" s="2854"/>
      <c r="BLP42" s="2854"/>
      <c r="BLQ42" s="2854"/>
      <c r="BLR42" s="2854"/>
      <c r="BLS42" s="2854"/>
      <c r="BLT42" s="2854"/>
      <c r="BLU42" s="2854"/>
      <c r="BLV42" s="2854"/>
      <c r="BLW42" s="2854"/>
      <c r="BLX42" s="2854"/>
      <c r="BLY42" s="2854"/>
      <c r="BLZ42" s="2854"/>
      <c r="BMA42" s="2854"/>
      <c r="BMB42" s="2854"/>
      <c r="BMC42" s="2854"/>
      <c r="BMD42" s="2854"/>
      <c r="BME42" s="2854"/>
      <c r="BMF42" s="2854"/>
      <c r="BMG42" s="2854"/>
      <c r="BMH42" s="2854"/>
      <c r="BMI42" s="2854"/>
      <c r="BMJ42" s="2854"/>
      <c r="BMK42" s="2854"/>
      <c r="BML42" s="2854"/>
      <c r="BMM42" s="2854"/>
      <c r="BMN42" s="2854"/>
      <c r="BMO42" s="2854"/>
      <c r="BMP42" s="2854"/>
      <c r="BMQ42" s="2854"/>
      <c r="BMR42" s="2854"/>
      <c r="BMS42" s="2854"/>
      <c r="BMT42" s="2854"/>
      <c r="BMU42" s="2854"/>
      <c r="BMV42" s="2854"/>
      <c r="BMW42" s="2854"/>
      <c r="BMX42" s="2854"/>
      <c r="BMY42" s="2854"/>
      <c r="BMZ42" s="2854"/>
      <c r="BNA42" s="2854"/>
      <c r="BNB42" s="2854"/>
      <c r="BNC42" s="2854"/>
      <c r="BND42" s="2854"/>
      <c r="BNE42" s="2854"/>
      <c r="BNF42" s="2854"/>
      <c r="BNG42" s="2854"/>
      <c r="BNH42" s="2854"/>
      <c r="BNI42" s="2854"/>
      <c r="BNJ42" s="2854"/>
      <c r="BNK42" s="2854"/>
      <c r="BNL42" s="2854"/>
      <c r="BNM42" s="2854"/>
      <c r="BNN42" s="2854"/>
      <c r="BNO42" s="2854"/>
      <c r="BNP42" s="2854"/>
      <c r="BNQ42" s="2854"/>
      <c r="BNR42" s="2854"/>
      <c r="BNS42" s="2854"/>
      <c r="BNT42" s="2854"/>
      <c r="BNU42" s="2854"/>
      <c r="BNV42" s="2854"/>
      <c r="BNW42" s="2854"/>
      <c r="BNX42" s="2854"/>
      <c r="BNY42" s="2854"/>
      <c r="BNZ42" s="2854"/>
      <c r="BOA42" s="2854"/>
      <c r="BOB42" s="2854"/>
      <c r="BOC42" s="2854"/>
      <c r="BOD42" s="2854"/>
      <c r="BOE42" s="2854"/>
      <c r="BOF42" s="2854"/>
      <c r="BOG42" s="2854"/>
      <c r="BOH42" s="2854"/>
      <c r="BOI42" s="2854"/>
      <c r="BOJ42" s="2854"/>
      <c r="BOK42" s="2854"/>
      <c r="BOL42" s="2854"/>
      <c r="BOM42" s="2854"/>
      <c r="BON42" s="2854"/>
      <c r="BOO42" s="2854"/>
      <c r="BOP42" s="2854"/>
      <c r="BOQ42" s="2854"/>
      <c r="BOR42" s="2854"/>
      <c r="BOS42" s="2854"/>
      <c r="BOT42" s="2854"/>
      <c r="BOU42" s="2854"/>
      <c r="BOV42" s="2854"/>
      <c r="BOW42" s="2854"/>
      <c r="BOX42" s="2854"/>
      <c r="BOY42" s="2854"/>
      <c r="BOZ42" s="2854"/>
      <c r="BPA42" s="2854"/>
      <c r="BPB42" s="2854"/>
      <c r="BPC42" s="2854"/>
      <c r="BPD42" s="2854"/>
      <c r="BPE42" s="2854"/>
      <c r="BPF42" s="2854"/>
      <c r="BPG42" s="2854"/>
      <c r="BPH42" s="2854"/>
      <c r="BPI42" s="2854"/>
      <c r="BPJ42" s="2854"/>
      <c r="BPK42" s="2854"/>
      <c r="BPL42" s="2854"/>
      <c r="BPM42" s="2854"/>
      <c r="BPN42" s="2854"/>
      <c r="BPO42" s="2854"/>
      <c r="BPP42" s="2854"/>
      <c r="BPQ42" s="2854"/>
      <c r="BPR42" s="2854"/>
      <c r="BPS42" s="2854"/>
      <c r="BPT42" s="2854"/>
      <c r="BPU42" s="2854"/>
      <c r="BPV42" s="2854"/>
      <c r="BPW42" s="2854"/>
      <c r="BPX42" s="2854"/>
      <c r="BPY42" s="2854"/>
      <c r="BPZ42" s="2854"/>
      <c r="BQA42" s="2854"/>
      <c r="BQB42" s="2854"/>
      <c r="BQC42" s="2854"/>
      <c r="BQD42" s="2854"/>
      <c r="BQE42" s="2854"/>
      <c r="BQF42" s="2854"/>
      <c r="BQG42" s="2854"/>
      <c r="BQH42" s="2854"/>
      <c r="BQI42" s="2854"/>
      <c r="BQJ42" s="2854"/>
      <c r="BQK42" s="2854"/>
      <c r="BQL42" s="2854"/>
      <c r="BQM42" s="2854"/>
      <c r="BQN42" s="2854"/>
      <c r="BQO42" s="2854"/>
      <c r="BQP42" s="2854"/>
      <c r="BQQ42" s="2854"/>
      <c r="BQR42" s="2854"/>
      <c r="BQS42" s="2854"/>
      <c r="BQT42" s="2854"/>
      <c r="BQU42" s="2854"/>
      <c r="BQV42" s="2854"/>
      <c r="BQW42" s="2854"/>
      <c r="BQX42" s="2854"/>
      <c r="BQY42" s="2854"/>
      <c r="BQZ42" s="2854"/>
      <c r="BRA42" s="2854"/>
      <c r="BRB42" s="2854"/>
      <c r="BRC42" s="2854"/>
      <c r="BRD42" s="2854"/>
      <c r="BRE42" s="2854"/>
      <c r="BRF42" s="2854"/>
      <c r="BRG42" s="2854"/>
      <c r="BRH42" s="2854"/>
      <c r="BRI42" s="2854"/>
      <c r="BRJ42" s="2854"/>
      <c r="BRK42" s="2854"/>
      <c r="BRL42" s="2854"/>
      <c r="BRM42" s="2854"/>
      <c r="BRN42" s="2854"/>
      <c r="BRO42" s="2854"/>
      <c r="BRP42" s="2854"/>
      <c r="BRQ42" s="2854"/>
      <c r="BRR42" s="2854"/>
      <c r="BRS42" s="2854"/>
      <c r="BRT42" s="2854"/>
      <c r="BRU42" s="2854"/>
      <c r="BRV42" s="2854"/>
      <c r="BRW42" s="2854"/>
      <c r="BRX42" s="2854"/>
      <c r="BRY42" s="2854"/>
      <c r="BRZ42" s="2854"/>
      <c r="BSA42" s="2854"/>
      <c r="BSB42" s="2854"/>
      <c r="BSC42" s="2854"/>
      <c r="BSD42" s="2854"/>
      <c r="BSE42" s="2854"/>
      <c r="BSF42" s="2854"/>
      <c r="BSG42" s="2854"/>
      <c r="BSH42" s="2854"/>
      <c r="BSI42" s="2854"/>
      <c r="BSJ42" s="2854"/>
      <c r="BSK42" s="2854"/>
      <c r="BSL42" s="2854"/>
      <c r="BSM42" s="2854"/>
      <c r="BSN42" s="2854"/>
      <c r="BSO42" s="2854"/>
      <c r="BSP42" s="2854"/>
      <c r="BSQ42" s="2854"/>
      <c r="BSR42" s="2854"/>
      <c r="BSS42" s="2854"/>
      <c r="BST42" s="2854"/>
      <c r="BSU42" s="2854"/>
      <c r="BSV42" s="2854"/>
      <c r="BSW42" s="2854"/>
      <c r="BSX42" s="2854"/>
      <c r="BSY42" s="2854"/>
      <c r="BSZ42" s="2854"/>
      <c r="BTA42" s="2854"/>
      <c r="BTB42" s="2854"/>
      <c r="BTC42" s="2854"/>
      <c r="BTD42" s="2854"/>
      <c r="BTE42" s="2854"/>
      <c r="BTF42" s="2854"/>
      <c r="BTG42" s="2854"/>
      <c r="BTH42" s="2854"/>
      <c r="BTI42" s="2854"/>
      <c r="BTJ42" s="2854"/>
      <c r="BTK42" s="2854"/>
      <c r="BTL42" s="2854"/>
      <c r="BTM42" s="2854"/>
      <c r="BTN42" s="2854"/>
      <c r="BTO42" s="2854"/>
      <c r="BTP42" s="2854"/>
      <c r="BTQ42" s="2854"/>
      <c r="BTR42" s="2854"/>
      <c r="BTS42" s="2854"/>
      <c r="BTT42" s="2854"/>
      <c r="BTU42" s="2854"/>
      <c r="BTV42" s="2854"/>
      <c r="BTW42" s="2854"/>
      <c r="BTX42" s="2854"/>
      <c r="BTY42" s="2854"/>
      <c r="BTZ42" s="2854"/>
      <c r="BUA42" s="2854"/>
      <c r="BUB42" s="2854"/>
      <c r="BUC42" s="2854"/>
      <c r="BUD42" s="2854"/>
      <c r="BUE42" s="2854"/>
      <c r="BUF42" s="2854"/>
      <c r="BUG42" s="2854"/>
      <c r="BUH42" s="2854"/>
      <c r="BUI42" s="2854"/>
      <c r="BUJ42" s="2854"/>
      <c r="BUK42" s="2854"/>
      <c r="BUL42" s="2854"/>
      <c r="BUM42" s="2854"/>
      <c r="BUN42" s="2854"/>
      <c r="BUO42" s="2854"/>
      <c r="BUP42" s="2854"/>
      <c r="BUQ42" s="2854"/>
      <c r="BUR42" s="2854"/>
      <c r="BUS42" s="2854"/>
      <c r="BUT42" s="2854"/>
      <c r="BUU42" s="2854"/>
      <c r="BUV42" s="2854"/>
      <c r="BUW42" s="2854"/>
      <c r="BUX42" s="2854"/>
      <c r="BUY42" s="2854"/>
      <c r="BUZ42" s="2854"/>
      <c r="BVA42" s="2854"/>
      <c r="BVB42" s="2854"/>
      <c r="BVC42" s="2854"/>
      <c r="BVD42" s="2854"/>
      <c r="BVE42" s="2854"/>
      <c r="BVF42" s="2854"/>
      <c r="BVG42" s="2854"/>
      <c r="BVH42" s="2854"/>
      <c r="BVI42" s="2854"/>
      <c r="BVJ42" s="2854"/>
      <c r="BVK42" s="2854"/>
      <c r="BVL42" s="2854"/>
      <c r="BVM42" s="2854"/>
      <c r="BVN42" s="2854"/>
      <c r="BVO42" s="2854"/>
      <c r="BVP42" s="2854"/>
      <c r="BVQ42" s="2854"/>
      <c r="BVR42" s="2854"/>
      <c r="BVS42" s="2854"/>
      <c r="BVT42" s="2854"/>
      <c r="BVU42" s="2854"/>
      <c r="BVV42" s="2854"/>
      <c r="BVW42" s="2854"/>
      <c r="BVX42" s="2854"/>
      <c r="BVY42" s="2854"/>
      <c r="BVZ42" s="2854"/>
      <c r="BWA42" s="2854"/>
      <c r="BWB42" s="2854"/>
      <c r="BWC42" s="2854"/>
      <c r="BWD42" s="2854"/>
      <c r="BWE42" s="2854"/>
      <c r="BWF42" s="2854"/>
      <c r="BWG42" s="2854"/>
      <c r="BWH42" s="2854"/>
      <c r="BWI42" s="2854"/>
      <c r="BWJ42" s="2854"/>
      <c r="BWK42" s="2854"/>
      <c r="BWL42" s="2854"/>
      <c r="BWM42" s="2854"/>
      <c r="BWN42" s="2854"/>
      <c r="BWO42" s="2854"/>
      <c r="BWP42" s="2854"/>
      <c r="BWQ42" s="2854"/>
      <c r="BWR42" s="2854"/>
      <c r="BWS42" s="2854"/>
      <c r="BWT42" s="2854"/>
      <c r="BWU42" s="2854"/>
      <c r="BWV42" s="2854"/>
      <c r="BWW42" s="2854"/>
      <c r="BWX42" s="2854"/>
      <c r="BWY42" s="2854"/>
      <c r="BWZ42" s="2854"/>
      <c r="BXA42" s="2854"/>
      <c r="BXB42" s="2854"/>
      <c r="BXC42" s="2854"/>
      <c r="BXD42" s="2854"/>
      <c r="BXE42" s="2854"/>
      <c r="BXF42" s="2854"/>
      <c r="BXG42" s="2854"/>
      <c r="BXH42" s="2854"/>
      <c r="BXI42" s="2854"/>
      <c r="BXJ42" s="2854"/>
      <c r="BXK42" s="2854"/>
      <c r="BXL42" s="2854"/>
      <c r="BXM42" s="2854"/>
      <c r="BXN42" s="2854"/>
      <c r="BXO42" s="2854"/>
      <c r="BXP42" s="2854"/>
      <c r="BXQ42" s="2854"/>
      <c r="BXR42" s="2854"/>
      <c r="BXS42" s="2854"/>
      <c r="BXT42" s="2854"/>
      <c r="BXU42" s="2854"/>
      <c r="BXV42" s="2854"/>
      <c r="BXW42" s="2854"/>
      <c r="BXX42" s="2854"/>
      <c r="BXY42" s="2854"/>
      <c r="BXZ42" s="2854"/>
      <c r="BYA42" s="2854"/>
      <c r="BYB42" s="2854"/>
      <c r="BYC42" s="2854"/>
      <c r="BYD42" s="2854"/>
      <c r="BYE42" s="2854"/>
      <c r="BYF42" s="2854"/>
      <c r="BYG42" s="2854"/>
      <c r="BYH42" s="2854"/>
      <c r="BYI42" s="2854"/>
      <c r="BYJ42" s="2854"/>
      <c r="BYK42" s="2854"/>
      <c r="BYL42" s="2854"/>
      <c r="BYM42" s="2854"/>
      <c r="BYN42" s="2854"/>
      <c r="BYO42" s="2854"/>
      <c r="BYP42" s="2854"/>
      <c r="BYQ42" s="2854"/>
      <c r="BYR42" s="2854"/>
      <c r="BYS42" s="2854"/>
      <c r="BYT42" s="2854"/>
      <c r="BYU42" s="2854"/>
      <c r="BYV42" s="2854"/>
      <c r="BYW42" s="2854"/>
      <c r="BYX42" s="2854"/>
      <c r="BYY42" s="2854"/>
      <c r="BYZ42" s="2854"/>
      <c r="BZA42" s="2854"/>
      <c r="BZB42" s="2854"/>
      <c r="BZC42" s="2854"/>
      <c r="BZD42" s="2854"/>
      <c r="BZE42" s="2854"/>
      <c r="BZF42" s="2854"/>
      <c r="BZG42" s="2854"/>
      <c r="BZH42" s="2854"/>
      <c r="BZI42" s="2854"/>
      <c r="BZJ42" s="2854"/>
      <c r="BZK42" s="2854"/>
      <c r="BZL42" s="2854"/>
      <c r="BZM42" s="2854"/>
      <c r="BZN42" s="2854"/>
      <c r="BZO42" s="2854"/>
      <c r="BZP42" s="2854"/>
      <c r="BZQ42" s="2854"/>
      <c r="BZR42" s="2854"/>
      <c r="BZS42" s="2854"/>
      <c r="BZT42" s="2854"/>
      <c r="BZU42" s="2854"/>
      <c r="BZV42" s="2854"/>
      <c r="BZW42" s="2854"/>
      <c r="BZX42" s="2854"/>
      <c r="BZY42" s="2854"/>
      <c r="BZZ42" s="2854"/>
      <c r="CAA42" s="2854"/>
      <c r="CAB42" s="2854"/>
      <c r="CAC42" s="2854"/>
      <c r="CAD42" s="2854"/>
      <c r="CAE42" s="2854"/>
      <c r="CAF42" s="2854"/>
      <c r="CAG42" s="2854"/>
      <c r="CAH42" s="2854"/>
      <c r="CAI42" s="2854"/>
      <c r="CAJ42" s="2854"/>
      <c r="CAK42" s="2854"/>
      <c r="CAL42" s="2854"/>
      <c r="CAM42" s="2854"/>
      <c r="CAN42" s="2854"/>
      <c r="CAO42" s="2854"/>
      <c r="CAP42" s="2854"/>
      <c r="CAQ42" s="2854"/>
      <c r="CAR42" s="2854"/>
      <c r="CAS42" s="2854"/>
      <c r="CAT42" s="2854"/>
      <c r="CAU42" s="2854"/>
      <c r="CAV42" s="2854"/>
      <c r="CAW42" s="2854"/>
      <c r="CAX42" s="2854"/>
      <c r="CAY42" s="2854"/>
      <c r="CAZ42" s="2854"/>
      <c r="CBA42" s="2854"/>
      <c r="CBB42" s="2854"/>
      <c r="CBC42" s="2854"/>
      <c r="CBD42" s="2854"/>
      <c r="CBE42" s="2854"/>
      <c r="CBF42" s="2854"/>
      <c r="CBG42" s="2854"/>
      <c r="CBH42" s="2854"/>
      <c r="CBI42" s="2854"/>
      <c r="CBJ42" s="2854"/>
      <c r="CBK42" s="2854"/>
      <c r="CBL42" s="2854"/>
      <c r="CBM42" s="2854"/>
      <c r="CBN42" s="2854"/>
      <c r="CBO42" s="2854"/>
      <c r="CBP42" s="2854"/>
      <c r="CBQ42" s="2854"/>
      <c r="CBR42" s="2854"/>
      <c r="CBS42" s="2854"/>
      <c r="CBT42" s="2854"/>
      <c r="CBU42" s="2854"/>
      <c r="CBV42" s="2854"/>
      <c r="CBW42" s="2854"/>
      <c r="CBX42" s="2854"/>
      <c r="CBY42" s="2854"/>
      <c r="CBZ42" s="2854"/>
      <c r="CCA42" s="2854"/>
      <c r="CCB42" s="2854"/>
      <c r="CCC42" s="2854"/>
      <c r="CCD42" s="2854"/>
      <c r="CCE42" s="2854"/>
      <c r="CCF42" s="2854"/>
      <c r="CCG42" s="2854"/>
      <c r="CCH42" s="2854"/>
      <c r="CCI42" s="2854"/>
      <c r="CCJ42" s="2854"/>
      <c r="CCK42" s="2854"/>
      <c r="CCL42" s="2854"/>
      <c r="CCM42" s="2854"/>
      <c r="CCN42" s="2854"/>
      <c r="CCO42" s="2854"/>
      <c r="CCP42" s="2854"/>
      <c r="CCQ42" s="2854"/>
      <c r="CCR42" s="2854"/>
      <c r="CCS42" s="2854"/>
      <c r="CCT42" s="2854"/>
      <c r="CCU42" s="2854"/>
      <c r="CCV42" s="2854"/>
      <c r="CCW42" s="2854"/>
      <c r="CCX42" s="2854"/>
      <c r="CCY42" s="2854"/>
      <c r="CCZ42" s="2854"/>
      <c r="CDA42" s="2854"/>
      <c r="CDB42" s="2854"/>
      <c r="CDC42" s="2854"/>
      <c r="CDD42" s="2854"/>
      <c r="CDE42" s="2854"/>
      <c r="CDF42" s="2854"/>
      <c r="CDG42" s="2854"/>
      <c r="CDH42" s="2854"/>
      <c r="CDI42" s="2854"/>
      <c r="CDJ42" s="2854"/>
      <c r="CDK42" s="2854"/>
      <c r="CDL42" s="2854"/>
      <c r="CDM42" s="2854"/>
      <c r="CDN42" s="2854"/>
      <c r="CDO42" s="2854"/>
      <c r="CDP42" s="2854"/>
      <c r="CDQ42" s="2854"/>
      <c r="CDR42" s="2854"/>
      <c r="CDS42" s="2854"/>
      <c r="CDT42" s="2854"/>
      <c r="CDU42" s="2854"/>
      <c r="CDV42" s="2854"/>
      <c r="CDW42" s="2854"/>
      <c r="CDX42" s="2854"/>
      <c r="CDY42" s="2854"/>
      <c r="CDZ42" s="2854"/>
      <c r="CEA42" s="2854"/>
      <c r="CEB42" s="2854"/>
      <c r="CEC42" s="2854"/>
      <c r="CED42" s="2854"/>
      <c r="CEE42" s="2854"/>
      <c r="CEF42" s="2854"/>
      <c r="CEG42" s="2854"/>
      <c r="CEH42" s="2854"/>
      <c r="CEI42" s="2854"/>
      <c r="CEJ42" s="2854"/>
      <c r="CEK42" s="2854"/>
      <c r="CEL42" s="2854"/>
      <c r="CEM42" s="2854"/>
      <c r="CEN42" s="2854"/>
      <c r="CEO42" s="2854"/>
      <c r="CEP42" s="2854"/>
      <c r="CEQ42" s="2854"/>
      <c r="CER42" s="2854"/>
      <c r="CES42" s="2854"/>
      <c r="CET42" s="2854"/>
      <c r="CEU42" s="2854"/>
      <c r="CEV42" s="2854"/>
      <c r="CEW42" s="2854"/>
      <c r="CEX42" s="2854"/>
      <c r="CEY42" s="2854"/>
      <c r="CEZ42" s="2854"/>
      <c r="CFA42" s="2854"/>
      <c r="CFB42" s="2854"/>
      <c r="CFC42" s="2854"/>
      <c r="CFD42" s="2854"/>
      <c r="CFE42" s="2854"/>
      <c r="CFF42" s="2854"/>
      <c r="CFG42" s="2854"/>
      <c r="CFH42" s="2854"/>
      <c r="CFI42" s="2854"/>
      <c r="CFJ42" s="2854"/>
      <c r="CFK42" s="2854"/>
      <c r="CFL42" s="2854"/>
      <c r="CFM42" s="2854"/>
      <c r="CFN42" s="2854"/>
      <c r="CFO42" s="2854"/>
      <c r="CFP42" s="2854"/>
      <c r="CFQ42" s="2854"/>
      <c r="CFR42" s="2854"/>
      <c r="CFS42" s="2854"/>
      <c r="CFT42" s="2854"/>
      <c r="CFU42" s="2854"/>
      <c r="CFV42" s="2854"/>
      <c r="CFW42" s="2854"/>
      <c r="CFX42" s="2854"/>
      <c r="CFY42" s="2854"/>
      <c r="CFZ42" s="2854"/>
      <c r="CGA42" s="2854"/>
      <c r="CGB42" s="2854"/>
      <c r="CGC42" s="2854"/>
      <c r="CGD42" s="2854"/>
      <c r="CGE42" s="2854"/>
      <c r="CGF42" s="2854"/>
      <c r="CGG42" s="2854"/>
      <c r="CGH42" s="2854"/>
      <c r="CGI42" s="2854"/>
      <c r="CGJ42" s="2854"/>
      <c r="CGK42" s="2854"/>
      <c r="CGL42" s="2854"/>
      <c r="CGM42" s="2854"/>
      <c r="CGN42" s="2854"/>
      <c r="CGO42" s="2854"/>
      <c r="CGP42" s="2854"/>
      <c r="CGQ42" s="2854"/>
      <c r="CGR42" s="2854"/>
      <c r="CGS42" s="2854"/>
      <c r="CGT42" s="2854"/>
      <c r="CGU42" s="2854"/>
      <c r="CGV42" s="2854"/>
      <c r="CGW42" s="2854"/>
      <c r="CGX42" s="2854"/>
      <c r="CGY42" s="2854"/>
      <c r="CGZ42" s="2854"/>
      <c r="CHA42" s="2854"/>
      <c r="CHB42" s="2854"/>
      <c r="CHC42" s="2854"/>
      <c r="CHD42" s="2854"/>
      <c r="CHE42" s="2854"/>
      <c r="CHF42" s="2854"/>
      <c r="CHG42" s="2854"/>
      <c r="CHH42" s="2854"/>
      <c r="CHI42" s="2854"/>
      <c r="CHJ42" s="2854"/>
      <c r="CHK42" s="2854"/>
      <c r="CHL42" s="2854"/>
      <c r="CHM42" s="2854"/>
      <c r="CHN42" s="2854"/>
      <c r="CHO42" s="2854"/>
      <c r="CHP42" s="2854"/>
      <c r="CHQ42" s="2854"/>
      <c r="CHR42" s="2854"/>
      <c r="CHS42" s="2854"/>
      <c r="CHT42" s="2854"/>
      <c r="CHU42" s="2854"/>
      <c r="CHV42" s="2854"/>
      <c r="CHW42" s="2854"/>
      <c r="CHX42" s="2854"/>
      <c r="CHY42" s="2854"/>
      <c r="CHZ42" s="2854"/>
      <c r="CIA42" s="2854"/>
      <c r="CIB42" s="2854"/>
      <c r="CIC42" s="2854"/>
      <c r="CID42" s="2854"/>
      <c r="CIE42" s="2854"/>
      <c r="CIF42" s="2854"/>
      <c r="CIG42" s="2854"/>
      <c r="CIH42" s="2854"/>
      <c r="CII42" s="2854"/>
      <c r="CIJ42" s="2854"/>
      <c r="CIK42" s="2854"/>
      <c r="CIL42" s="2854"/>
      <c r="CIM42" s="2854"/>
      <c r="CIN42" s="2854"/>
      <c r="CIO42" s="2854"/>
      <c r="CIP42" s="2854"/>
      <c r="CIQ42" s="2854"/>
      <c r="CIR42" s="2854"/>
      <c r="CIS42" s="2854"/>
      <c r="CIT42" s="2854"/>
      <c r="CIU42" s="2854"/>
      <c r="CIV42" s="2854"/>
      <c r="CIW42" s="2854"/>
      <c r="CIX42" s="2854"/>
      <c r="CIY42" s="2854"/>
      <c r="CIZ42" s="2854"/>
      <c r="CJA42" s="2854"/>
      <c r="CJB42" s="2854"/>
      <c r="CJC42" s="2854"/>
      <c r="CJD42" s="2854"/>
      <c r="CJE42" s="2854"/>
      <c r="CJF42" s="2854"/>
      <c r="CJG42" s="2854"/>
      <c r="CJH42" s="2854"/>
      <c r="CJI42" s="2854"/>
      <c r="CJJ42" s="2854"/>
      <c r="CJK42" s="2854"/>
      <c r="CJL42" s="2854"/>
      <c r="CJM42" s="2854"/>
      <c r="CJN42" s="2854"/>
      <c r="CJO42" s="2854"/>
      <c r="CJP42" s="2854"/>
      <c r="CJQ42" s="2854"/>
      <c r="CJR42" s="2854"/>
      <c r="CJS42" s="2854"/>
      <c r="CJT42" s="2854"/>
      <c r="CJU42" s="2854"/>
      <c r="CJV42" s="2854"/>
      <c r="CJW42" s="2854"/>
      <c r="CJX42" s="2854"/>
      <c r="CJY42" s="2854"/>
      <c r="CJZ42" s="2854"/>
      <c r="CKA42" s="2854"/>
      <c r="CKB42" s="2854"/>
      <c r="CKC42" s="2854"/>
      <c r="CKD42" s="2854"/>
      <c r="CKE42" s="2854"/>
      <c r="CKF42" s="2854"/>
      <c r="CKG42" s="2854"/>
      <c r="CKH42" s="2854"/>
      <c r="CKI42" s="2854"/>
      <c r="CKJ42" s="2854"/>
      <c r="CKK42" s="2854"/>
      <c r="CKL42" s="2854"/>
      <c r="CKM42" s="2854"/>
      <c r="CKN42" s="2854"/>
      <c r="CKO42" s="2854"/>
      <c r="CKP42" s="2854"/>
      <c r="CKQ42" s="2854"/>
      <c r="CKR42" s="2854"/>
      <c r="CKS42" s="2854"/>
      <c r="CKT42" s="2854"/>
      <c r="CKU42" s="2854"/>
      <c r="CKV42" s="2854"/>
      <c r="CKW42" s="2854"/>
      <c r="CKX42" s="2854"/>
      <c r="CKY42" s="2854"/>
      <c r="CKZ42" s="2854"/>
      <c r="CLA42" s="2854"/>
      <c r="CLB42" s="2854"/>
      <c r="CLC42" s="2854"/>
      <c r="CLD42" s="2854"/>
      <c r="CLE42" s="2854"/>
      <c r="CLF42" s="2854"/>
      <c r="CLG42" s="2854"/>
      <c r="CLH42" s="2854"/>
      <c r="CLI42" s="2854"/>
      <c r="CLJ42" s="2854"/>
      <c r="CLK42" s="2854"/>
      <c r="CLL42" s="2854"/>
      <c r="CLM42" s="2854"/>
      <c r="CLN42" s="2854"/>
      <c r="CLO42" s="2854"/>
      <c r="CLP42" s="2854"/>
      <c r="CLQ42" s="2854"/>
      <c r="CLR42" s="2854"/>
      <c r="CLS42" s="2854"/>
      <c r="CLT42" s="2854"/>
      <c r="CLU42" s="2854"/>
      <c r="CLV42" s="2854"/>
      <c r="CLW42" s="2854"/>
    </row>
    <row r="43" spans="1:2363" ht="15" customHeight="1" x14ac:dyDescent="0.25">
      <c r="A43" s="3877"/>
      <c r="B43" s="3878"/>
      <c r="C43" s="2629">
        <v>6</v>
      </c>
      <c r="D43" s="3309" t="s">
        <v>664</v>
      </c>
      <c r="E43" s="3358">
        <v>30</v>
      </c>
      <c r="F43" s="3203">
        <v>1880</v>
      </c>
      <c r="G43" s="2613">
        <f>+F43/E43</f>
        <v>62.666666666666664</v>
      </c>
      <c r="H43" s="2250"/>
      <c r="I43" s="3203"/>
      <c r="J43" s="2249"/>
      <c r="K43" s="2250"/>
      <c r="L43" s="2249"/>
      <c r="M43" s="2249"/>
      <c r="N43" s="1799">
        <f>F43+I43+L43</f>
        <v>1880</v>
      </c>
      <c r="O43" s="2281">
        <f t="shared" si="84"/>
        <v>1880</v>
      </c>
      <c r="P43" s="2301"/>
      <c r="Q43" s="2602">
        <v>187500</v>
      </c>
      <c r="R43" s="2720">
        <v>3311458.75</v>
      </c>
      <c r="S43" s="2720">
        <v>12500</v>
      </c>
      <c r="T43" s="2885">
        <v>5000</v>
      </c>
      <c r="U43" s="2295">
        <v>439061.25</v>
      </c>
      <c r="V43" s="2296">
        <f>+P43+Q43+R43+S43+T43+U43</f>
        <v>3955520</v>
      </c>
      <c r="W43" s="1919"/>
      <c r="X43" s="2930"/>
      <c r="Y43" s="3009">
        <v>0.25</v>
      </c>
      <c r="Z43" s="2342">
        <f>(O43*328.75)</f>
        <v>618050</v>
      </c>
      <c r="AA43" s="1894">
        <v>418452.93</v>
      </c>
      <c r="AB43" s="1894">
        <v>418452.93</v>
      </c>
      <c r="AC43" s="1966">
        <f t="shared" si="58"/>
        <v>0</v>
      </c>
      <c r="AD43" s="1897">
        <v>418452.93</v>
      </c>
      <c r="AE43" s="1897">
        <f>8773539.45-92034.54</f>
        <v>8681504.9100000001</v>
      </c>
      <c r="AF43" s="1893">
        <v>0</v>
      </c>
      <c r="AG43" s="2866"/>
      <c r="AH43" s="2371">
        <f>AD43+AF43+AE43+AG43</f>
        <v>9099957.8399999999</v>
      </c>
      <c r="AI43" s="1839">
        <v>0</v>
      </c>
      <c r="AJ43" s="1894">
        <v>0</v>
      </c>
      <c r="AK43" s="2456">
        <f t="shared" si="74"/>
        <v>0</v>
      </c>
      <c r="AL43" s="2169">
        <v>70000</v>
      </c>
      <c r="AM43" s="2169">
        <v>70000</v>
      </c>
      <c r="AN43" s="2692">
        <f>+AL43-AM43</f>
        <v>0</v>
      </c>
      <c r="AO43" s="2181">
        <v>70000</v>
      </c>
      <c r="AP43" s="2166">
        <v>0</v>
      </c>
      <c r="AQ43" s="2166">
        <v>0</v>
      </c>
      <c r="AR43" s="2166"/>
      <c r="AS43" s="2157">
        <f t="shared" si="65"/>
        <v>70000</v>
      </c>
      <c r="AT43" s="2504">
        <v>2063950.52</v>
      </c>
      <c r="AU43" s="2158">
        <v>0</v>
      </c>
      <c r="AV43" s="2173">
        <v>0</v>
      </c>
      <c r="AW43" s="2159">
        <f t="shared" si="86"/>
        <v>0</v>
      </c>
      <c r="AX43" s="2169">
        <v>70000</v>
      </c>
      <c r="AY43" s="2169">
        <v>70000</v>
      </c>
      <c r="AZ43" s="2692">
        <f>AX43-AY43</f>
        <v>0</v>
      </c>
      <c r="BA43" s="3296">
        <v>70000</v>
      </c>
      <c r="BB43" s="3086">
        <v>322186.25</v>
      </c>
      <c r="BC43" s="3086">
        <v>0</v>
      </c>
      <c r="BD43" s="3086"/>
      <c r="BE43" s="3087">
        <f>+BA43+BB43+BC43+BD43+AZ43</f>
        <v>392186.25</v>
      </c>
      <c r="BF43" s="2504">
        <v>0</v>
      </c>
      <c r="BG43" s="2158">
        <v>0</v>
      </c>
      <c r="BH43" s="2173">
        <v>322186.25</v>
      </c>
      <c r="BI43" s="2159">
        <f>BG43+BH43</f>
        <v>322186.25</v>
      </c>
      <c r="BJ43" s="2048">
        <v>548050</v>
      </c>
      <c r="BK43" s="1851">
        <v>548050</v>
      </c>
      <c r="BL43" s="1884">
        <f t="shared" si="67"/>
        <v>0</v>
      </c>
      <c r="BM43" s="1850">
        <v>2048050</v>
      </c>
      <c r="BN43" s="2101">
        <v>81250</v>
      </c>
      <c r="BO43" s="1893">
        <v>0</v>
      </c>
      <c r="BP43" s="1893">
        <v>0</v>
      </c>
      <c r="BQ43" s="2866">
        <f>BM43+BN43</f>
        <v>2129300</v>
      </c>
      <c r="BR43" s="3045">
        <v>2487326.52</v>
      </c>
      <c r="BS43" s="1848">
        <v>81250</v>
      </c>
      <c r="BT43" s="2454">
        <f t="shared" si="80"/>
        <v>2568576.52</v>
      </c>
      <c r="BU43" s="3147"/>
      <c r="BV43" s="3058"/>
      <c r="BW43" s="3058"/>
      <c r="BX43" s="3058"/>
      <c r="BY43" s="3147"/>
      <c r="BZ43" s="3147"/>
      <c r="CA43" s="3147"/>
      <c r="CB43" s="3147"/>
      <c r="CC43" s="3147"/>
      <c r="CD43" s="3147"/>
      <c r="CE43" s="3147"/>
      <c r="CF43" s="3147"/>
      <c r="CG43" s="3147"/>
      <c r="CH43" s="1163"/>
      <c r="CI43" s="1144"/>
      <c r="CJ43" s="1144"/>
      <c r="CK43" s="1144"/>
      <c r="CL43" s="1144"/>
      <c r="CM43" s="1144"/>
      <c r="CN43" s="1144"/>
      <c r="CO43" s="1144"/>
      <c r="CP43" s="1144"/>
      <c r="CQ43" s="1144"/>
      <c r="CR43" s="1144"/>
      <c r="CS43" s="1144"/>
      <c r="CT43" s="1144"/>
      <c r="CU43" s="1144"/>
      <c r="CV43" s="1144"/>
      <c r="CW43" s="2854"/>
      <c r="CX43" s="2854"/>
      <c r="CY43" s="2854"/>
      <c r="CZ43" s="2854"/>
      <c r="DA43" s="2854"/>
      <c r="DB43" s="2854"/>
      <c r="DC43" s="2854"/>
      <c r="DD43" s="2854"/>
      <c r="DE43" s="2854"/>
      <c r="DF43" s="2854"/>
      <c r="DG43" s="2854"/>
      <c r="DH43" s="2854"/>
      <c r="DI43" s="2854"/>
      <c r="DJ43" s="2854"/>
      <c r="DK43" s="2854"/>
      <c r="DL43" s="2854"/>
      <c r="DM43" s="2854"/>
      <c r="DN43" s="2854"/>
      <c r="DO43" s="2854"/>
      <c r="DP43" s="2854"/>
      <c r="DQ43" s="2854"/>
      <c r="DR43" s="2854"/>
      <c r="DS43" s="2854"/>
      <c r="DT43" s="2854"/>
      <c r="DU43" s="2854"/>
      <c r="DV43" s="2854"/>
      <c r="DW43" s="2854"/>
      <c r="DX43" s="2854"/>
      <c r="DY43" s="2854"/>
      <c r="DZ43" s="2854"/>
      <c r="EA43" s="2854"/>
      <c r="EB43" s="2854"/>
      <c r="EC43" s="2854"/>
      <c r="ED43" s="2854"/>
      <c r="EE43" s="2854"/>
      <c r="EF43" s="2854"/>
      <c r="EG43" s="2854"/>
      <c r="EH43" s="2854"/>
      <c r="EI43" s="2854"/>
      <c r="EJ43" s="2854"/>
      <c r="EK43" s="2854"/>
      <c r="EL43" s="2854"/>
      <c r="EM43" s="2854"/>
      <c r="EN43" s="2854"/>
      <c r="EO43" s="2854"/>
      <c r="EP43" s="2854"/>
      <c r="EQ43" s="2854"/>
      <c r="ER43" s="2854"/>
      <c r="ES43" s="2854"/>
      <c r="ET43" s="2854"/>
      <c r="EU43" s="2854"/>
      <c r="EV43" s="2854"/>
      <c r="EW43" s="2854"/>
      <c r="EX43" s="2854"/>
      <c r="EY43" s="2854"/>
      <c r="EZ43" s="2854"/>
      <c r="FA43" s="2854"/>
      <c r="FB43" s="2854"/>
      <c r="FC43" s="2854"/>
      <c r="FD43" s="2854"/>
      <c r="FE43" s="2854"/>
      <c r="FF43" s="2854"/>
      <c r="FG43" s="2854"/>
      <c r="FH43" s="2854"/>
      <c r="FI43" s="2854"/>
      <c r="FJ43" s="2854"/>
      <c r="FK43" s="2854"/>
      <c r="FL43" s="2854"/>
      <c r="FM43" s="2854"/>
      <c r="FN43" s="2854"/>
      <c r="FO43" s="2854"/>
      <c r="FP43" s="2854"/>
      <c r="FQ43" s="2854"/>
      <c r="FR43" s="2854"/>
      <c r="FS43" s="2854"/>
      <c r="FT43" s="2854"/>
      <c r="FU43" s="2854"/>
      <c r="FV43" s="2854"/>
      <c r="FW43" s="2854"/>
      <c r="FX43" s="2854"/>
      <c r="FY43" s="2854"/>
      <c r="FZ43" s="2854"/>
      <c r="GA43" s="2854"/>
      <c r="GB43" s="2854"/>
      <c r="GC43" s="2854"/>
      <c r="GD43" s="2854"/>
      <c r="GE43" s="2854"/>
      <c r="GF43" s="2854"/>
      <c r="GG43" s="2854"/>
      <c r="GH43" s="2854"/>
      <c r="GI43" s="2854"/>
      <c r="GJ43" s="2854"/>
      <c r="GK43" s="2854"/>
      <c r="GL43" s="2854"/>
      <c r="GM43" s="2854"/>
      <c r="GN43" s="2854"/>
      <c r="GO43" s="2854"/>
      <c r="GP43" s="2854"/>
      <c r="GQ43" s="2854"/>
      <c r="GR43" s="2854"/>
      <c r="GS43" s="2854"/>
      <c r="GT43" s="2854"/>
      <c r="GU43" s="2854"/>
      <c r="GV43" s="2854"/>
      <c r="GW43" s="2854"/>
      <c r="GX43" s="2854"/>
      <c r="GY43" s="2854"/>
      <c r="GZ43" s="2854"/>
      <c r="HA43" s="2854"/>
      <c r="HB43" s="2854"/>
      <c r="HC43" s="2854"/>
      <c r="HD43" s="2854"/>
      <c r="HE43" s="2854"/>
      <c r="HF43" s="2854"/>
      <c r="HG43" s="2854"/>
      <c r="HH43" s="2854"/>
      <c r="HI43" s="2854"/>
      <c r="HJ43" s="2854"/>
      <c r="HK43" s="2854"/>
      <c r="HL43" s="2854"/>
      <c r="HM43" s="2854"/>
      <c r="HN43" s="2854"/>
      <c r="HO43" s="2854"/>
      <c r="HP43" s="2854"/>
      <c r="HQ43" s="2854"/>
      <c r="HR43" s="2854"/>
      <c r="HS43" s="2854"/>
      <c r="HT43" s="2854"/>
      <c r="HU43" s="2854"/>
      <c r="HV43" s="2854"/>
      <c r="HW43" s="2854"/>
      <c r="HX43" s="2854"/>
      <c r="HY43" s="2854"/>
      <c r="HZ43" s="2854"/>
      <c r="IA43" s="2854"/>
      <c r="IB43" s="2854"/>
      <c r="IC43" s="2854"/>
      <c r="ID43" s="2854"/>
      <c r="IE43" s="2854"/>
      <c r="IF43" s="2854"/>
      <c r="IG43" s="2854"/>
      <c r="IH43" s="2854"/>
      <c r="II43" s="2854"/>
      <c r="IJ43" s="2854"/>
      <c r="IK43" s="2854"/>
      <c r="IL43" s="2854"/>
      <c r="IM43" s="2854"/>
      <c r="IN43" s="2854"/>
      <c r="IO43" s="2854"/>
      <c r="IP43" s="2854"/>
      <c r="IQ43" s="2854"/>
      <c r="IR43" s="2854"/>
      <c r="IS43" s="2854"/>
      <c r="IT43" s="2854"/>
      <c r="IU43" s="2854"/>
      <c r="IV43" s="2854"/>
      <c r="IW43" s="2854"/>
      <c r="IX43" s="2854"/>
      <c r="IY43" s="2854"/>
      <c r="IZ43" s="2854"/>
      <c r="JA43" s="2854"/>
      <c r="JB43" s="2854"/>
      <c r="JC43" s="2854"/>
      <c r="JD43" s="2854"/>
      <c r="JE43" s="2854"/>
      <c r="JF43" s="2854"/>
      <c r="JG43" s="2854"/>
      <c r="JH43" s="2854"/>
      <c r="JI43" s="2854"/>
      <c r="JJ43" s="2854"/>
      <c r="JK43" s="2854"/>
      <c r="JL43" s="2854"/>
      <c r="JM43" s="2854"/>
      <c r="JN43" s="2854"/>
      <c r="JO43" s="2854"/>
      <c r="JP43" s="2854"/>
      <c r="JQ43" s="2854"/>
      <c r="JR43" s="2854"/>
      <c r="JS43" s="2854"/>
      <c r="JT43" s="2854"/>
      <c r="JU43" s="2854"/>
      <c r="JV43" s="2854"/>
      <c r="JW43" s="2854"/>
      <c r="JX43" s="2854"/>
      <c r="JY43" s="2854"/>
      <c r="JZ43" s="2854"/>
      <c r="KA43" s="2854"/>
      <c r="KB43" s="2854"/>
      <c r="KC43" s="2854"/>
      <c r="KD43" s="2854"/>
      <c r="KE43" s="2854"/>
      <c r="KF43" s="2854"/>
      <c r="KG43" s="2854"/>
      <c r="KH43" s="2854"/>
      <c r="KI43" s="2854"/>
      <c r="KJ43" s="2854"/>
      <c r="KK43" s="2854"/>
      <c r="KL43" s="2854"/>
      <c r="KM43" s="2854"/>
      <c r="KN43" s="2854"/>
      <c r="KO43" s="2854"/>
      <c r="KP43" s="2854"/>
      <c r="KQ43" s="2854"/>
      <c r="KR43" s="2854"/>
      <c r="KS43" s="2854"/>
      <c r="KT43" s="2854"/>
      <c r="KU43" s="2854"/>
      <c r="KV43" s="2854"/>
      <c r="KW43" s="2854"/>
      <c r="KX43" s="2854"/>
      <c r="KY43" s="2854"/>
      <c r="KZ43" s="2854"/>
      <c r="LA43" s="2854"/>
      <c r="LB43" s="2854"/>
      <c r="LC43" s="2854"/>
      <c r="LD43" s="2854"/>
      <c r="LE43" s="2854"/>
      <c r="LF43" s="2854"/>
      <c r="LG43" s="2854"/>
      <c r="LH43" s="2854"/>
      <c r="LI43" s="2854"/>
      <c r="LJ43" s="2854"/>
      <c r="LK43" s="2854"/>
      <c r="LL43" s="2854"/>
      <c r="LM43" s="2854"/>
      <c r="LN43" s="2854"/>
      <c r="LO43" s="2854"/>
      <c r="LP43" s="2854"/>
      <c r="LQ43" s="2854"/>
      <c r="LR43" s="2854"/>
      <c r="LS43" s="2854"/>
      <c r="LT43" s="2854"/>
      <c r="LU43" s="2854"/>
      <c r="LV43" s="2854"/>
      <c r="LW43" s="2854"/>
      <c r="LX43" s="2854"/>
      <c r="LY43" s="2854"/>
      <c r="LZ43" s="2854"/>
      <c r="MA43" s="2854"/>
      <c r="MB43" s="2854"/>
      <c r="MC43" s="2854"/>
      <c r="MD43" s="2854"/>
      <c r="ME43" s="2854"/>
      <c r="MF43" s="2854"/>
      <c r="MG43" s="2854"/>
      <c r="MH43" s="2854"/>
      <c r="MI43" s="2854"/>
      <c r="MJ43" s="2854"/>
      <c r="MK43" s="2854"/>
      <c r="ML43" s="2854"/>
      <c r="MM43" s="2854"/>
      <c r="MN43" s="2854"/>
      <c r="MO43" s="2854"/>
      <c r="MP43" s="2854"/>
      <c r="MQ43" s="2854"/>
      <c r="MR43" s="2854"/>
      <c r="MS43" s="2854"/>
      <c r="MT43" s="2854"/>
      <c r="MU43" s="2854"/>
      <c r="MV43" s="2854"/>
      <c r="MW43" s="2854"/>
      <c r="MX43" s="2854"/>
      <c r="MY43" s="2854"/>
      <c r="MZ43" s="2854"/>
      <c r="NA43" s="2854"/>
      <c r="NB43" s="2854"/>
      <c r="NC43" s="2854"/>
      <c r="ND43" s="2854"/>
      <c r="NE43" s="2854"/>
      <c r="NF43" s="2854"/>
      <c r="NG43" s="2854"/>
      <c r="NH43" s="2854"/>
      <c r="NI43" s="2854"/>
      <c r="NJ43" s="2854"/>
      <c r="NK43" s="2854"/>
      <c r="NL43" s="2854"/>
      <c r="NM43" s="2854"/>
      <c r="NN43" s="2854"/>
      <c r="NO43" s="2854"/>
      <c r="NP43" s="2854"/>
      <c r="NQ43" s="2854"/>
      <c r="NR43" s="2854"/>
      <c r="NS43" s="2854"/>
      <c r="NT43" s="2854"/>
      <c r="NU43" s="2854"/>
      <c r="NV43" s="2854"/>
      <c r="NW43" s="2854"/>
      <c r="NX43" s="2854"/>
      <c r="NY43" s="2854"/>
      <c r="NZ43" s="2854"/>
      <c r="OA43" s="2854"/>
      <c r="OB43" s="2854"/>
      <c r="OC43" s="2854"/>
      <c r="OD43" s="2854"/>
      <c r="OE43" s="2854"/>
      <c r="OF43" s="2854"/>
      <c r="OG43" s="2854"/>
      <c r="OH43" s="2854"/>
      <c r="OI43" s="2854"/>
      <c r="OJ43" s="2854"/>
      <c r="OK43" s="2854"/>
      <c r="OL43" s="2854"/>
      <c r="OM43" s="2854"/>
      <c r="ON43" s="2854"/>
      <c r="OO43" s="2854"/>
      <c r="OP43" s="2854"/>
      <c r="OQ43" s="2854"/>
      <c r="OR43" s="2854"/>
      <c r="OS43" s="2854"/>
      <c r="OT43" s="2854"/>
      <c r="OU43" s="2854"/>
      <c r="OV43" s="2854"/>
      <c r="OW43" s="2854"/>
      <c r="OX43" s="2854"/>
      <c r="OY43" s="2854"/>
      <c r="OZ43" s="2854"/>
      <c r="PA43" s="2854"/>
      <c r="PB43" s="2854"/>
      <c r="PC43" s="2854"/>
      <c r="PD43" s="2854"/>
      <c r="PE43" s="2854"/>
      <c r="PF43" s="2854"/>
      <c r="PG43" s="2854"/>
      <c r="PH43" s="2854"/>
      <c r="PI43" s="2854"/>
      <c r="PJ43" s="2854"/>
      <c r="PK43" s="2854"/>
      <c r="PL43" s="2854"/>
      <c r="PM43" s="2854"/>
      <c r="PN43" s="2854"/>
      <c r="PO43" s="2854"/>
      <c r="PP43" s="2854"/>
      <c r="PQ43" s="2854"/>
      <c r="PR43" s="2854"/>
      <c r="PS43" s="2854"/>
      <c r="PT43" s="2854"/>
      <c r="PU43" s="2854"/>
      <c r="PV43" s="2854"/>
      <c r="PW43" s="2854"/>
      <c r="PX43" s="2854"/>
      <c r="PY43" s="2854"/>
      <c r="PZ43" s="2854"/>
      <c r="QA43" s="2854"/>
      <c r="QB43" s="2854"/>
      <c r="QC43" s="2854"/>
      <c r="QD43" s="2854"/>
      <c r="QE43" s="2854"/>
      <c r="QF43" s="2854"/>
      <c r="QG43" s="2854"/>
      <c r="QH43" s="2854"/>
      <c r="QI43" s="2854"/>
      <c r="QJ43" s="2854"/>
      <c r="QK43" s="2854"/>
      <c r="QL43" s="2854"/>
      <c r="QM43" s="2854"/>
      <c r="QN43" s="2854"/>
      <c r="QO43" s="2854"/>
      <c r="QP43" s="2854"/>
      <c r="QQ43" s="2854"/>
      <c r="QR43" s="2854"/>
      <c r="QS43" s="2854"/>
      <c r="QT43" s="2854"/>
      <c r="QU43" s="2854"/>
      <c r="QV43" s="2854"/>
      <c r="QW43" s="2854"/>
      <c r="QX43" s="2854"/>
      <c r="QY43" s="2854"/>
      <c r="QZ43" s="2854"/>
      <c r="RA43" s="2854"/>
      <c r="RB43" s="2854"/>
      <c r="RC43" s="2854"/>
      <c r="RD43" s="2854"/>
      <c r="RE43" s="2854"/>
      <c r="RF43" s="2854"/>
      <c r="RG43" s="2854"/>
      <c r="RH43" s="2854"/>
      <c r="RI43" s="2854"/>
      <c r="RJ43" s="2854"/>
      <c r="RK43" s="2854"/>
      <c r="RL43" s="2854"/>
      <c r="RM43" s="2854"/>
      <c r="RN43" s="2854"/>
      <c r="RO43" s="2854"/>
      <c r="RP43" s="2854"/>
      <c r="RQ43" s="2854"/>
      <c r="RR43" s="2854"/>
      <c r="RS43" s="2854"/>
      <c r="RT43" s="2854"/>
      <c r="RU43" s="2854"/>
      <c r="RV43" s="2854"/>
      <c r="RW43" s="2854"/>
      <c r="RX43" s="2854"/>
      <c r="RY43" s="2854"/>
      <c r="RZ43" s="2854"/>
      <c r="SA43" s="2854"/>
      <c r="SB43" s="2854"/>
      <c r="SC43" s="2854"/>
      <c r="SD43" s="2854"/>
      <c r="SE43" s="2854"/>
      <c r="SF43" s="2854"/>
      <c r="SG43" s="2854"/>
      <c r="SH43" s="2854"/>
      <c r="SI43" s="2854"/>
      <c r="SJ43" s="2854"/>
      <c r="SK43" s="2854"/>
      <c r="SL43" s="2854"/>
      <c r="SM43" s="2854"/>
      <c r="SN43" s="2854"/>
      <c r="SO43" s="2854"/>
      <c r="SP43" s="2854"/>
      <c r="SQ43" s="2854"/>
      <c r="SR43" s="2854"/>
      <c r="SS43" s="2854"/>
      <c r="ST43" s="2854"/>
      <c r="SU43" s="2854"/>
      <c r="SV43" s="2854"/>
      <c r="SW43" s="2854"/>
      <c r="SX43" s="2854"/>
      <c r="SY43" s="2854"/>
      <c r="SZ43" s="2854"/>
      <c r="TA43" s="2854"/>
      <c r="TB43" s="2854"/>
      <c r="TC43" s="2854"/>
      <c r="TD43" s="2854"/>
      <c r="TE43" s="2854"/>
      <c r="TF43" s="2854"/>
      <c r="TG43" s="2854"/>
      <c r="TH43" s="2854"/>
      <c r="TI43" s="2854"/>
      <c r="TJ43" s="2854"/>
      <c r="TK43" s="2854"/>
      <c r="TL43" s="2854"/>
      <c r="TM43" s="2854"/>
      <c r="TN43" s="2854"/>
      <c r="TO43" s="2854"/>
      <c r="TP43" s="2854"/>
      <c r="TQ43" s="2854"/>
      <c r="TR43" s="2854"/>
      <c r="TS43" s="2854"/>
      <c r="TT43" s="2854"/>
      <c r="TU43" s="3783"/>
      <c r="TV43" s="3783"/>
      <c r="TW43" s="3783"/>
      <c r="TX43" s="3783"/>
      <c r="TY43" s="3783"/>
      <c r="TZ43" s="3783"/>
      <c r="UA43" s="3783"/>
      <c r="UB43" s="3783"/>
      <c r="UC43" s="3783"/>
      <c r="UD43" s="3783"/>
      <c r="UE43" s="3783"/>
      <c r="UF43" s="3783"/>
      <c r="UG43" s="3783"/>
      <c r="UH43" s="3783"/>
      <c r="UI43" s="3783"/>
      <c r="UJ43" s="3783"/>
      <c r="UK43" s="3783"/>
      <c r="UL43" s="3783"/>
      <c r="UM43" s="3783"/>
      <c r="UN43" s="3783"/>
      <c r="UO43" s="3783"/>
      <c r="UP43" s="2854"/>
      <c r="UQ43" s="2854"/>
      <c r="UR43" s="2854"/>
      <c r="US43" s="2854"/>
      <c r="UT43" s="2854"/>
      <c r="UU43" s="2854"/>
      <c r="UV43" s="2854"/>
      <c r="UW43" s="2854"/>
      <c r="UX43" s="2854"/>
      <c r="UY43" s="2854"/>
      <c r="UZ43" s="2854"/>
      <c r="VA43" s="2854"/>
      <c r="VB43" s="2854"/>
      <c r="VC43" s="2854"/>
      <c r="VD43" s="2854"/>
      <c r="VE43" s="2854"/>
      <c r="VF43" s="2854"/>
      <c r="VG43" s="2854"/>
      <c r="VH43" s="2854"/>
      <c r="VI43" s="2854"/>
      <c r="VJ43" s="2854"/>
      <c r="VK43" s="2854"/>
      <c r="VL43" s="2854"/>
      <c r="VM43" s="2854"/>
      <c r="VN43" s="2854"/>
      <c r="VO43" s="2854"/>
      <c r="VP43" s="2854"/>
      <c r="VQ43" s="2854"/>
      <c r="VR43" s="2854"/>
      <c r="VS43" s="2854"/>
      <c r="VT43" s="2854"/>
      <c r="VU43" s="2854"/>
      <c r="VV43" s="2854"/>
      <c r="VW43" s="2854"/>
      <c r="VX43" s="2854"/>
      <c r="VY43" s="2854"/>
      <c r="VZ43" s="2854"/>
      <c r="WA43" s="2854"/>
      <c r="WB43" s="2854"/>
      <c r="WC43" s="2854"/>
      <c r="WD43" s="2854"/>
      <c r="WE43" s="2854"/>
      <c r="WF43" s="2854"/>
      <c r="WG43" s="2854"/>
      <c r="WH43" s="2854"/>
      <c r="WI43" s="2854"/>
      <c r="WJ43" s="2854"/>
      <c r="WK43" s="2854"/>
      <c r="WL43" s="2854"/>
      <c r="WM43" s="2854"/>
      <c r="WN43" s="2854"/>
      <c r="WO43" s="2854"/>
      <c r="WP43" s="2854"/>
      <c r="WQ43" s="2854"/>
      <c r="WR43" s="2854"/>
      <c r="WS43" s="2854"/>
      <c r="WT43" s="2854"/>
      <c r="WU43" s="2854"/>
      <c r="WV43" s="2854"/>
      <c r="WW43" s="2854"/>
      <c r="WX43" s="2854"/>
      <c r="WY43" s="2854"/>
      <c r="WZ43" s="2854"/>
      <c r="XA43" s="2854"/>
      <c r="XB43" s="2854"/>
      <c r="XC43" s="2854"/>
      <c r="XD43" s="2854"/>
      <c r="XE43" s="2854"/>
      <c r="XF43" s="2854"/>
      <c r="XG43" s="2854"/>
      <c r="XH43" s="2854"/>
      <c r="XI43" s="2854"/>
      <c r="XJ43" s="2854"/>
      <c r="XK43" s="2854"/>
      <c r="XL43" s="2854"/>
      <c r="XM43" s="2854"/>
      <c r="XN43" s="2854"/>
      <c r="XO43" s="2854"/>
      <c r="XP43" s="2854"/>
      <c r="XQ43" s="2854"/>
      <c r="XR43" s="2854"/>
      <c r="XS43" s="2854"/>
      <c r="XT43" s="2854"/>
      <c r="XU43" s="2854"/>
      <c r="XV43" s="2854"/>
      <c r="XW43" s="2854"/>
      <c r="XX43" s="2854"/>
      <c r="XY43" s="2854"/>
      <c r="XZ43" s="2854"/>
      <c r="YA43" s="2854"/>
      <c r="YB43" s="2854"/>
      <c r="YC43" s="2854"/>
      <c r="YD43" s="2854"/>
      <c r="YE43" s="2854"/>
      <c r="YF43" s="2854"/>
      <c r="YG43" s="2854"/>
      <c r="YH43" s="2854"/>
      <c r="YI43" s="2854"/>
      <c r="YJ43" s="2854"/>
      <c r="YK43" s="2854"/>
      <c r="YL43" s="2854"/>
      <c r="YM43" s="2854"/>
      <c r="YN43" s="2854"/>
      <c r="YO43" s="2854"/>
      <c r="YP43" s="2854"/>
      <c r="YQ43" s="2854"/>
      <c r="YR43" s="2854"/>
      <c r="YS43" s="2854"/>
      <c r="YT43" s="2854"/>
      <c r="YU43" s="2854"/>
      <c r="YV43" s="2854"/>
      <c r="YW43" s="2854"/>
      <c r="YX43" s="2854"/>
      <c r="YY43" s="2854"/>
      <c r="YZ43" s="2854"/>
      <c r="ZA43" s="2854"/>
      <c r="ZB43" s="2854"/>
      <c r="ZC43" s="2854"/>
      <c r="ZD43" s="2854"/>
      <c r="ZE43" s="2854"/>
      <c r="ZF43" s="2854"/>
      <c r="ZG43" s="2854"/>
      <c r="ZH43" s="2854"/>
      <c r="ZI43" s="2854"/>
      <c r="ZJ43" s="2854"/>
      <c r="ZK43" s="2854"/>
      <c r="ZL43" s="2854"/>
      <c r="ZM43" s="2854"/>
      <c r="ZN43" s="2854"/>
      <c r="ZO43" s="2854"/>
      <c r="ZP43" s="2854"/>
      <c r="ZQ43" s="2854"/>
      <c r="ZR43" s="2854"/>
      <c r="ZS43" s="2854"/>
      <c r="ZT43" s="2854"/>
      <c r="ZU43" s="2854"/>
      <c r="ZV43" s="2854"/>
      <c r="ZW43" s="2854"/>
      <c r="ZX43" s="2854"/>
      <c r="ZY43" s="2854"/>
      <c r="ZZ43" s="2854"/>
      <c r="AAA43" s="2854"/>
      <c r="AAB43" s="2854"/>
      <c r="AAC43" s="2854"/>
      <c r="AAD43" s="2854"/>
      <c r="AAE43" s="2854"/>
      <c r="AAF43" s="2854"/>
      <c r="AAG43" s="2854"/>
      <c r="AAH43" s="2854"/>
      <c r="AAI43" s="2854"/>
      <c r="AAJ43" s="2854"/>
      <c r="AAK43" s="2854"/>
      <c r="AAL43" s="2854"/>
      <c r="AAM43" s="2854"/>
      <c r="AAN43" s="2854"/>
      <c r="AAO43" s="2854"/>
      <c r="AAP43" s="2854"/>
      <c r="AAQ43" s="2854"/>
      <c r="AAR43" s="2854"/>
      <c r="AAS43" s="2854"/>
      <c r="AAT43" s="2854"/>
      <c r="AAU43" s="2854"/>
      <c r="AAV43" s="2854"/>
      <c r="AAW43" s="2854"/>
      <c r="AAX43" s="2854"/>
      <c r="AAY43" s="2854"/>
      <c r="AAZ43" s="2854"/>
      <c r="ABA43" s="2854"/>
      <c r="ABB43" s="2854"/>
      <c r="ABC43" s="2854"/>
      <c r="ABD43" s="2854"/>
      <c r="ABE43" s="2854"/>
      <c r="ABF43" s="2854"/>
      <c r="ABG43" s="2854"/>
      <c r="ABH43" s="2854"/>
      <c r="ABI43" s="2854"/>
      <c r="ABJ43" s="2854"/>
      <c r="ABK43" s="2854"/>
      <c r="ABL43" s="2854"/>
      <c r="ABM43" s="2854"/>
      <c r="ABN43" s="2854"/>
      <c r="ABO43" s="2854"/>
      <c r="ABP43" s="2854"/>
      <c r="ABQ43" s="2854"/>
      <c r="ABR43" s="2854"/>
      <c r="ABS43" s="2854"/>
      <c r="ABT43" s="2854"/>
      <c r="ABU43" s="2854"/>
      <c r="ABV43" s="2854"/>
      <c r="ABW43" s="2854"/>
      <c r="ABX43" s="2854"/>
      <c r="ABY43" s="2854"/>
      <c r="ABZ43" s="2854"/>
      <c r="ACA43" s="2854"/>
      <c r="ACB43" s="2854"/>
      <c r="ACC43" s="2854"/>
      <c r="ACD43" s="2854"/>
      <c r="ACE43" s="2854"/>
      <c r="ACF43" s="2854"/>
      <c r="ACG43" s="2854"/>
      <c r="ACH43" s="2854"/>
      <c r="ACI43" s="2854"/>
      <c r="ACJ43" s="2854"/>
      <c r="ACK43" s="2854"/>
      <c r="ACL43" s="2854"/>
      <c r="ACM43" s="2854"/>
      <c r="ACN43" s="2854"/>
      <c r="ACO43" s="2854"/>
      <c r="ACP43" s="2854"/>
      <c r="ACQ43" s="2854"/>
      <c r="ACR43" s="2854"/>
      <c r="ACS43" s="2854"/>
      <c r="ACT43" s="2854"/>
      <c r="ACU43" s="2854"/>
      <c r="ACV43" s="2854"/>
      <c r="ACW43" s="2854"/>
      <c r="ACX43" s="2854"/>
      <c r="ACY43" s="2854"/>
      <c r="ACZ43" s="2854"/>
      <c r="ADA43" s="2854"/>
      <c r="ADB43" s="2854"/>
      <c r="ADC43" s="2854"/>
      <c r="ADD43" s="2854"/>
      <c r="ADE43" s="2854"/>
      <c r="ADF43" s="2854"/>
      <c r="ADG43" s="2854"/>
      <c r="ADH43" s="2854"/>
      <c r="ADI43" s="2854"/>
      <c r="ADJ43" s="2854"/>
      <c r="ADK43" s="2854"/>
      <c r="ADL43" s="2854"/>
      <c r="ADM43" s="2854"/>
      <c r="ADN43" s="2854"/>
      <c r="ADO43" s="2854"/>
      <c r="ADP43" s="2854"/>
      <c r="ADQ43" s="2854"/>
      <c r="ADR43" s="2854"/>
      <c r="ADS43" s="2854"/>
      <c r="ADT43" s="2854"/>
      <c r="ADU43" s="2854"/>
      <c r="ADV43" s="2854"/>
      <c r="ADW43" s="2854"/>
      <c r="ADX43" s="2854"/>
      <c r="ADY43" s="2854"/>
      <c r="ADZ43" s="2854"/>
      <c r="AEA43" s="2854"/>
      <c r="AEB43" s="2854"/>
      <c r="AEC43" s="2854"/>
      <c r="AED43" s="2854"/>
      <c r="AEE43" s="2854"/>
      <c r="AEF43" s="2854"/>
      <c r="AEG43" s="2854"/>
      <c r="AEH43" s="2854"/>
      <c r="AEI43" s="2854"/>
      <c r="AEJ43" s="2854"/>
      <c r="AEK43" s="2854"/>
      <c r="AEL43" s="2854"/>
      <c r="AEM43" s="2854"/>
      <c r="AEN43" s="2854"/>
      <c r="AEO43" s="2854"/>
      <c r="AEP43" s="2854"/>
      <c r="AEQ43" s="2854"/>
      <c r="AER43" s="2854"/>
      <c r="AES43" s="2854"/>
      <c r="AET43" s="2854"/>
      <c r="AEU43" s="2854"/>
      <c r="AEV43" s="2854"/>
      <c r="AEW43" s="2854"/>
      <c r="AEX43" s="2854"/>
      <c r="AEY43" s="2854"/>
      <c r="AEZ43" s="2854"/>
      <c r="AFA43" s="2854"/>
      <c r="AFB43" s="2854"/>
      <c r="AFC43" s="2854"/>
      <c r="AFD43" s="2854"/>
      <c r="AFE43" s="2854"/>
      <c r="AFF43" s="2854"/>
      <c r="AFG43" s="2854"/>
      <c r="AFH43" s="2854"/>
      <c r="AFI43" s="2854"/>
      <c r="AFJ43" s="2854"/>
      <c r="AFK43" s="2854"/>
      <c r="AFL43" s="2854"/>
      <c r="AFM43" s="2854"/>
      <c r="AFN43" s="2854"/>
      <c r="AFO43" s="2854"/>
      <c r="AFP43" s="2854"/>
      <c r="AFQ43" s="2854"/>
      <c r="AFR43" s="2854"/>
      <c r="AFS43" s="2854"/>
      <c r="AFT43" s="2854"/>
      <c r="AFU43" s="2854"/>
      <c r="AFV43" s="2854"/>
      <c r="AFW43" s="2854"/>
      <c r="AFX43" s="2854"/>
      <c r="AFY43" s="2854"/>
      <c r="AFZ43" s="2854"/>
      <c r="AGA43" s="2854"/>
      <c r="AGB43" s="2854"/>
      <c r="AGC43" s="2854"/>
      <c r="AGD43" s="2854"/>
      <c r="AGE43" s="2854"/>
      <c r="AGF43" s="2854"/>
      <c r="AGG43" s="2854"/>
      <c r="AGH43" s="2854"/>
      <c r="AGI43" s="2854"/>
      <c r="AGJ43" s="2854"/>
      <c r="AGK43" s="2854"/>
      <c r="AGL43" s="2854"/>
      <c r="AGM43" s="2854"/>
      <c r="AGN43" s="2854"/>
      <c r="AGO43" s="2854"/>
      <c r="AGP43" s="2854"/>
      <c r="AGQ43" s="2854"/>
      <c r="AGR43" s="2854"/>
      <c r="AGS43" s="2854"/>
      <c r="AGT43" s="2854"/>
      <c r="AGU43" s="2854"/>
      <c r="AGV43" s="2854"/>
      <c r="AGW43" s="2854"/>
      <c r="AGX43" s="2854"/>
      <c r="AGY43" s="2854"/>
      <c r="AGZ43" s="2854"/>
      <c r="AHA43" s="2854"/>
      <c r="AHB43" s="2854"/>
      <c r="AHC43" s="2854"/>
      <c r="AHD43" s="2854"/>
      <c r="AHE43" s="2854"/>
      <c r="AHF43" s="2854"/>
      <c r="AHG43" s="2854"/>
      <c r="AHH43" s="2854"/>
      <c r="AHI43" s="2854"/>
      <c r="AHJ43" s="2854"/>
      <c r="AHK43" s="2854"/>
      <c r="AHL43" s="2854"/>
      <c r="AHM43" s="2854"/>
      <c r="AHN43" s="2854"/>
      <c r="AHO43" s="2854"/>
      <c r="AHP43" s="2854"/>
      <c r="AHQ43" s="2854"/>
      <c r="AHR43" s="2854"/>
      <c r="AHS43" s="2854"/>
      <c r="AHT43" s="2854"/>
      <c r="AHU43" s="2854"/>
      <c r="AHV43" s="2854"/>
      <c r="AHW43" s="2854"/>
      <c r="AHX43" s="2854"/>
      <c r="AHY43" s="2854"/>
      <c r="AHZ43" s="2854"/>
      <c r="AIA43" s="2854"/>
      <c r="AIB43" s="2854"/>
      <c r="AIC43" s="2854"/>
      <c r="AID43" s="2854"/>
      <c r="AIE43" s="2854"/>
      <c r="AIF43" s="2854"/>
      <c r="AIG43" s="2854"/>
      <c r="AIH43" s="2854"/>
      <c r="AII43" s="2854"/>
      <c r="AIJ43" s="2854"/>
      <c r="AIK43" s="2854"/>
      <c r="AIL43" s="2854"/>
      <c r="AIM43" s="2854"/>
      <c r="AIN43" s="2854"/>
      <c r="AIO43" s="2854"/>
      <c r="AIP43" s="2854"/>
      <c r="AIQ43" s="2854"/>
      <c r="AIR43" s="2854"/>
      <c r="AIS43" s="2854"/>
      <c r="AIT43" s="2854"/>
      <c r="AIU43" s="2854"/>
      <c r="AIV43" s="2854"/>
      <c r="AIW43" s="2854"/>
      <c r="AIX43" s="2854"/>
      <c r="AIY43" s="2854"/>
      <c r="AIZ43" s="2854"/>
      <c r="AJA43" s="2854"/>
      <c r="AJB43" s="2854"/>
      <c r="AJC43" s="2854"/>
      <c r="AJD43" s="2854"/>
      <c r="AJE43" s="2854"/>
      <c r="AJF43" s="2854"/>
      <c r="AJG43" s="2854"/>
      <c r="AJH43" s="2854"/>
      <c r="AJI43" s="2854"/>
      <c r="AJJ43" s="2854"/>
      <c r="AJK43" s="2854"/>
      <c r="AJL43" s="2854"/>
      <c r="AJM43" s="2854"/>
      <c r="AJN43" s="2854"/>
      <c r="AJO43" s="2854"/>
      <c r="AJP43" s="2854"/>
      <c r="AJQ43" s="2854"/>
      <c r="AJR43" s="2854"/>
      <c r="AJS43" s="2854"/>
      <c r="AJT43" s="2854"/>
      <c r="AJU43" s="2854"/>
      <c r="AJV43" s="2854"/>
      <c r="AJW43" s="2854"/>
      <c r="AJX43" s="2854"/>
      <c r="AJY43" s="2854"/>
      <c r="AJZ43" s="2854"/>
      <c r="AKA43" s="2854"/>
      <c r="AKB43" s="2854"/>
      <c r="AKC43" s="2854"/>
      <c r="AKD43" s="2854"/>
      <c r="AKE43" s="2854"/>
      <c r="AKF43" s="2854"/>
      <c r="AKG43" s="2854"/>
      <c r="AKH43" s="2854"/>
      <c r="AKI43" s="2854"/>
      <c r="AKJ43" s="2854"/>
      <c r="AKK43" s="2854"/>
      <c r="AKL43" s="2854"/>
      <c r="AKM43" s="2854"/>
      <c r="AKN43" s="2854"/>
      <c r="AKO43" s="2854"/>
      <c r="AKP43" s="2854"/>
      <c r="AKQ43" s="2854"/>
      <c r="AKR43" s="2854"/>
      <c r="AKS43" s="2854"/>
      <c r="AKT43" s="2854"/>
      <c r="AKU43" s="2854"/>
      <c r="AKV43" s="2854"/>
      <c r="AKW43" s="2854"/>
      <c r="AKX43" s="2854"/>
      <c r="AKY43" s="2854"/>
      <c r="AKZ43" s="2854"/>
      <c r="ALA43" s="2854"/>
      <c r="ALB43" s="2854"/>
      <c r="ALC43" s="2854"/>
      <c r="ALD43" s="2854"/>
      <c r="ALE43" s="2854"/>
      <c r="ALF43" s="2854"/>
      <c r="ALG43" s="2854"/>
      <c r="ALH43" s="2854"/>
      <c r="ALI43" s="2854"/>
      <c r="ALJ43" s="2854"/>
      <c r="ALK43" s="2854"/>
      <c r="ALL43" s="2854"/>
      <c r="ALM43" s="2854"/>
      <c r="ALN43" s="2854"/>
      <c r="ALO43" s="2854"/>
      <c r="ALP43" s="2854"/>
      <c r="ALQ43" s="2854"/>
      <c r="ALR43" s="2854"/>
      <c r="ALS43" s="2854"/>
      <c r="ALT43" s="2854"/>
      <c r="ALU43" s="2854"/>
      <c r="ALV43" s="2854"/>
      <c r="ALW43" s="2854"/>
      <c r="ALX43" s="2854"/>
      <c r="ALY43" s="2854"/>
      <c r="ALZ43" s="2854"/>
      <c r="AMA43" s="2854"/>
      <c r="AMB43" s="2854"/>
      <c r="AMC43" s="2854"/>
      <c r="AMD43" s="2854"/>
      <c r="AME43" s="2854"/>
      <c r="AMF43" s="2854"/>
      <c r="AMG43" s="2854"/>
      <c r="AMH43" s="2854"/>
      <c r="AMI43" s="2854"/>
      <c r="AMJ43" s="2854"/>
      <c r="AMK43" s="2854"/>
      <c r="AML43" s="2854"/>
      <c r="AMM43" s="2854"/>
      <c r="AMN43" s="2854"/>
      <c r="AMO43" s="2854"/>
      <c r="AMP43" s="2854"/>
      <c r="AMQ43" s="2854"/>
      <c r="AMR43" s="2854"/>
      <c r="AMS43" s="2854"/>
      <c r="AMT43" s="2854"/>
      <c r="AMU43" s="2854"/>
      <c r="AMV43" s="2854"/>
      <c r="AMW43" s="2854"/>
      <c r="AMX43" s="2854"/>
      <c r="AMY43" s="2854"/>
      <c r="AMZ43" s="2854"/>
      <c r="ANA43" s="2854"/>
      <c r="ANB43" s="2854"/>
      <c r="ANC43" s="2854"/>
      <c r="AND43" s="2854"/>
      <c r="ANE43" s="2854"/>
      <c r="ANF43" s="2854"/>
      <c r="ANG43" s="2854"/>
      <c r="ANH43" s="2854"/>
      <c r="ANI43" s="2854"/>
      <c r="ANJ43" s="2854"/>
      <c r="ANK43" s="2854"/>
      <c r="ANL43" s="2854"/>
      <c r="ANM43" s="2854"/>
      <c r="ANN43" s="2854"/>
      <c r="ANO43" s="2854"/>
      <c r="ANP43" s="2854"/>
      <c r="ANQ43" s="2854"/>
      <c r="ANR43" s="2854"/>
      <c r="ANS43" s="2854"/>
      <c r="ANT43" s="2854"/>
      <c r="ANU43" s="2854"/>
      <c r="ANV43" s="2854"/>
      <c r="ANW43" s="2854"/>
      <c r="ANX43" s="2854"/>
      <c r="ANY43" s="2854"/>
      <c r="ANZ43" s="2854"/>
      <c r="AOA43" s="2854"/>
      <c r="AOB43" s="2854"/>
      <c r="AOC43" s="2854"/>
      <c r="AOD43" s="2854"/>
      <c r="AOE43" s="2854"/>
      <c r="AOF43" s="2854"/>
      <c r="AOG43" s="2854"/>
      <c r="AOH43" s="2854"/>
      <c r="AOI43" s="2854"/>
      <c r="AOJ43" s="2854"/>
      <c r="AOK43" s="2854"/>
      <c r="AOL43" s="2854"/>
      <c r="AOM43" s="2854"/>
      <c r="AON43" s="2854"/>
      <c r="AOO43" s="2854"/>
      <c r="AOP43" s="2854"/>
      <c r="AOQ43" s="2854"/>
      <c r="AOR43" s="2854"/>
      <c r="AOS43" s="2854"/>
      <c r="AOT43" s="2854"/>
      <c r="AOU43" s="2854"/>
      <c r="AOV43" s="2854"/>
      <c r="AOW43" s="2854"/>
      <c r="AOX43" s="2854"/>
      <c r="AOY43" s="2854"/>
      <c r="AOZ43" s="2854"/>
      <c r="APA43" s="2854"/>
      <c r="APB43" s="2854"/>
      <c r="APC43" s="2854"/>
      <c r="APD43" s="2854"/>
      <c r="APE43" s="2854"/>
      <c r="APF43" s="2854"/>
      <c r="APG43" s="2854"/>
      <c r="APH43" s="2854"/>
      <c r="API43" s="2854"/>
      <c r="APJ43" s="2854"/>
      <c r="APK43" s="2854"/>
      <c r="APL43" s="2854"/>
      <c r="APM43" s="2854"/>
      <c r="APN43" s="2854"/>
      <c r="APO43" s="2854"/>
      <c r="APP43" s="2854"/>
      <c r="APQ43" s="2854"/>
      <c r="APR43" s="2854"/>
      <c r="APS43" s="2854"/>
      <c r="APT43" s="2854"/>
      <c r="APU43" s="2854"/>
      <c r="APV43" s="2854"/>
      <c r="APW43" s="2854"/>
      <c r="APX43" s="2854"/>
      <c r="APY43" s="2854"/>
      <c r="APZ43" s="2854"/>
      <c r="AQA43" s="2854"/>
      <c r="AQB43" s="2854"/>
      <c r="AQC43" s="2854"/>
      <c r="AQD43" s="2854"/>
      <c r="AQE43" s="2854"/>
      <c r="AQF43" s="2854"/>
      <c r="AQG43" s="2854"/>
      <c r="AQH43" s="2854"/>
      <c r="AQI43" s="2854"/>
      <c r="AQJ43" s="2854"/>
      <c r="AQK43" s="2854"/>
      <c r="AQL43" s="2854"/>
      <c r="AQM43" s="2854"/>
      <c r="AQN43" s="2854"/>
      <c r="AQO43" s="2854"/>
      <c r="AQP43" s="2854"/>
      <c r="AQQ43" s="2854"/>
      <c r="AQR43" s="2854"/>
      <c r="AQS43" s="2854"/>
      <c r="AQT43" s="2854"/>
      <c r="AQU43" s="2854"/>
      <c r="AQV43" s="2854"/>
      <c r="AQW43" s="2854"/>
      <c r="AQX43" s="2854"/>
      <c r="AQY43" s="2854"/>
      <c r="AQZ43" s="2854"/>
      <c r="ARA43" s="2854"/>
      <c r="ARB43" s="2854"/>
      <c r="ARC43" s="2854"/>
      <c r="ARD43" s="2854"/>
      <c r="ARE43" s="2854"/>
      <c r="ARF43" s="2854"/>
      <c r="ARG43" s="2854"/>
      <c r="ARH43" s="2854"/>
      <c r="ARI43" s="2854"/>
      <c r="ARJ43" s="2854"/>
      <c r="ARK43" s="2854"/>
      <c r="ARL43" s="2854"/>
      <c r="ARM43" s="2854"/>
      <c r="ARN43" s="2854"/>
      <c r="ARO43" s="2854"/>
      <c r="ARP43" s="2854"/>
      <c r="ARQ43" s="2854"/>
      <c r="ARR43" s="2854"/>
      <c r="ARS43" s="2854"/>
      <c r="ART43" s="2854"/>
      <c r="ARU43" s="2854"/>
      <c r="ARV43" s="2854"/>
      <c r="ARW43" s="2854"/>
      <c r="ARX43" s="2854"/>
      <c r="ARY43" s="2854"/>
      <c r="ARZ43" s="2854"/>
      <c r="ASA43" s="2854"/>
      <c r="ASB43" s="2854"/>
      <c r="ASC43" s="2854"/>
      <c r="ASD43" s="2854"/>
      <c r="ASE43" s="2854"/>
      <c r="ASF43" s="2854"/>
      <c r="ASG43" s="2854"/>
      <c r="ASH43" s="2854"/>
      <c r="ASI43" s="2854"/>
      <c r="ASJ43" s="2854"/>
      <c r="ASK43" s="2854"/>
      <c r="ASL43" s="2854"/>
      <c r="ASM43" s="2854"/>
      <c r="ASN43" s="2854"/>
      <c r="ASO43" s="2854"/>
      <c r="ASP43" s="2854"/>
      <c r="ASQ43" s="2854"/>
      <c r="ASR43" s="2854"/>
      <c r="ASS43" s="2854"/>
      <c r="AST43" s="2854"/>
      <c r="ASU43" s="2854"/>
      <c r="ASV43" s="2854"/>
      <c r="ASW43" s="2854"/>
      <c r="ASX43" s="2854"/>
      <c r="ASY43" s="2854"/>
      <c r="ASZ43" s="2854"/>
      <c r="ATA43" s="2854"/>
      <c r="ATB43" s="2854"/>
      <c r="ATC43" s="2854"/>
      <c r="ATD43" s="2854"/>
      <c r="ATE43" s="2854"/>
      <c r="ATF43" s="2854"/>
      <c r="ATG43" s="2854"/>
      <c r="ATH43" s="2854"/>
      <c r="ATI43" s="2854"/>
      <c r="ATJ43" s="2854"/>
      <c r="ATK43" s="2854"/>
      <c r="ATL43" s="2854"/>
      <c r="ATM43" s="2854"/>
      <c r="ATN43" s="2854"/>
      <c r="ATO43" s="2854"/>
      <c r="ATP43" s="2854"/>
      <c r="ATQ43" s="2854"/>
      <c r="ATR43" s="2854"/>
      <c r="ATS43" s="2854"/>
      <c r="ATT43" s="2854"/>
      <c r="ATU43" s="2854"/>
      <c r="ATV43" s="2854"/>
      <c r="ATW43" s="2854"/>
      <c r="ATX43" s="2854"/>
      <c r="ATY43" s="2854"/>
      <c r="ATZ43" s="2854"/>
      <c r="AUA43" s="2854"/>
      <c r="AUB43" s="2854"/>
      <c r="AUC43" s="2854"/>
      <c r="AUD43" s="2854"/>
      <c r="AUE43" s="2854"/>
      <c r="AUF43" s="2854"/>
      <c r="AUG43" s="2854"/>
      <c r="AUH43" s="2854"/>
      <c r="AUI43" s="2854"/>
      <c r="AUJ43" s="2854"/>
      <c r="AUK43" s="2854"/>
      <c r="AUL43" s="2854"/>
      <c r="AUM43" s="2854"/>
      <c r="AUN43" s="2854"/>
      <c r="AUO43" s="2854"/>
      <c r="AUP43" s="2854"/>
      <c r="AUQ43" s="2854"/>
      <c r="AUR43" s="2854"/>
      <c r="AUS43" s="2854"/>
      <c r="AUT43" s="2854"/>
      <c r="AUU43" s="2854"/>
      <c r="AUV43" s="2854"/>
      <c r="AUW43" s="2854"/>
      <c r="AUX43" s="2854"/>
      <c r="AUY43" s="2854"/>
      <c r="AUZ43" s="2854"/>
      <c r="AVA43" s="2854"/>
      <c r="AVB43" s="2854"/>
      <c r="AVC43" s="2854"/>
      <c r="AVD43" s="2854"/>
      <c r="AVE43" s="2854"/>
      <c r="AVF43" s="2854"/>
      <c r="AVG43" s="2854"/>
      <c r="AVH43" s="2854"/>
      <c r="AVI43" s="2854"/>
      <c r="AVJ43" s="2854"/>
      <c r="AVK43" s="2854"/>
      <c r="AVL43" s="2854"/>
      <c r="AVM43" s="2854"/>
      <c r="AVN43" s="2854"/>
      <c r="AVO43" s="2854"/>
      <c r="AVP43" s="2854"/>
      <c r="AVQ43" s="2854"/>
      <c r="AVR43" s="2854"/>
      <c r="AVS43" s="2854"/>
      <c r="AVT43" s="2854"/>
      <c r="AVU43" s="2854"/>
      <c r="AVV43" s="2854"/>
      <c r="AVW43" s="2854"/>
      <c r="AVX43" s="2854"/>
      <c r="AVY43" s="2854"/>
      <c r="AVZ43" s="2854"/>
      <c r="AWA43" s="2854"/>
      <c r="AWB43" s="2854"/>
      <c r="AWC43" s="2854"/>
      <c r="AWD43" s="2854"/>
      <c r="AWE43" s="2854"/>
      <c r="AWF43" s="2854"/>
      <c r="AWG43" s="2854"/>
      <c r="AWH43" s="2854"/>
      <c r="AWI43" s="2854"/>
      <c r="AWJ43" s="2854"/>
      <c r="AWK43" s="2854"/>
      <c r="AWL43" s="2854"/>
      <c r="AWM43" s="2854"/>
      <c r="AWN43" s="2854"/>
      <c r="AWO43" s="2854"/>
      <c r="AWP43" s="2854"/>
      <c r="AWQ43" s="2854"/>
      <c r="AWR43" s="2854"/>
      <c r="AWS43" s="2854"/>
      <c r="AWT43" s="2854"/>
      <c r="AWU43" s="2854"/>
      <c r="AWV43" s="2854"/>
      <c r="AWW43" s="2854"/>
      <c r="AWX43" s="2854"/>
      <c r="AWY43" s="2854"/>
      <c r="AWZ43" s="2854"/>
      <c r="AXA43" s="2854"/>
      <c r="AXB43" s="2854"/>
      <c r="AXC43" s="2854"/>
      <c r="AXD43" s="2854"/>
      <c r="AXE43" s="2854"/>
      <c r="AXF43" s="2854"/>
      <c r="AXG43" s="2854"/>
      <c r="AXH43" s="2854"/>
      <c r="AXI43" s="2854"/>
      <c r="AXJ43" s="2854"/>
      <c r="AXK43" s="2854"/>
      <c r="AXL43" s="2854"/>
      <c r="AXM43" s="2854"/>
      <c r="AXN43" s="2854"/>
      <c r="AXO43" s="2854"/>
      <c r="AXP43" s="2854"/>
      <c r="AXQ43" s="2854"/>
      <c r="AXR43" s="2854"/>
      <c r="AXS43" s="2854"/>
      <c r="AXT43" s="2854"/>
      <c r="AXU43" s="2854"/>
      <c r="AXV43" s="2854"/>
      <c r="AXW43" s="2854"/>
      <c r="AXX43" s="2854"/>
      <c r="AXY43" s="2854"/>
      <c r="AXZ43" s="2854"/>
      <c r="AYA43" s="2854"/>
      <c r="AYB43" s="2854"/>
      <c r="AYC43" s="2854"/>
      <c r="AYD43" s="2854"/>
      <c r="AYE43" s="2854"/>
      <c r="AYF43" s="2854"/>
      <c r="AYG43" s="2854"/>
      <c r="AYH43" s="2854"/>
      <c r="AYI43" s="2854"/>
      <c r="AYJ43" s="2854"/>
      <c r="AYK43" s="2854"/>
      <c r="AYL43" s="2854"/>
      <c r="AYM43" s="2854"/>
      <c r="AYN43" s="2854"/>
      <c r="AYO43" s="2854"/>
      <c r="AYP43" s="2854"/>
      <c r="AYQ43" s="2854"/>
      <c r="AYR43" s="2854"/>
      <c r="AYS43" s="2854"/>
      <c r="AYT43" s="2854"/>
      <c r="AYU43" s="2854"/>
      <c r="AYV43" s="2854"/>
      <c r="AYW43" s="2854"/>
      <c r="AYX43" s="2854"/>
      <c r="AYY43" s="2854"/>
      <c r="AYZ43" s="2854"/>
      <c r="AZA43" s="2854"/>
      <c r="AZB43" s="2854"/>
      <c r="AZC43" s="2854"/>
      <c r="AZD43" s="2854"/>
      <c r="AZE43" s="2854"/>
      <c r="AZF43" s="2854"/>
      <c r="AZG43" s="2854"/>
      <c r="AZH43" s="2854"/>
      <c r="AZI43" s="2854"/>
      <c r="AZJ43" s="2854"/>
      <c r="AZK43" s="2854"/>
      <c r="AZL43" s="2854"/>
      <c r="AZM43" s="2854"/>
      <c r="AZN43" s="2854"/>
      <c r="AZO43" s="2854"/>
      <c r="AZP43" s="2854"/>
      <c r="AZQ43" s="2854"/>
      <c r="AZR43" s="2854"/>
      <c r="AZS43" s="2854"/>
      <c r="AZT43" s="2854"/>
      <c r="AZU43" s="2854"/>
      <c r="AZV43" s="2854"/>
      <c r="AZW43" s="2854"/>
      <c r="AZX43" s="2854"/>
      <c r="AZY43" s="2854"/>
      <c r="AZZ43" s="2854"/>
      <c r="BAA43" s="2854"/>
      <c r="BAB43" s="2854"/>
      <c r="BAC43" s="2854"/>
      <c r="BAD43" s="2854"/>
      <c r="BAE43" s="2854"/>
      <c r="BAF43" s="2854"/>
      <c r="BAG43" s="2854"/>
      <c r="BAH43" s="2854"/>
      <c r="BAI43" s="2854"/>
      <c r="BAJ43" s="2854"/>
      <c r="BAK43" s="2854"/>
      <c r="BAL43" s="2854"/>
      <c r="BAM43" s="2854"/>
      <c r="BAN43" s="2854"/>
      <c r="BAO43" s="2854"/>
      <c r="BAP43" s="2854"/>
      <c r="BAQ43" s="2854"/>
      <c r="BAR43" s="2854"/>
      <c r="BAS43" s="2854"/>
      <c r="BAT43" s="2854"/>
      <c r="BAU43" s="2854"/>
      <c r="BAV43" s="2854"/>
      <c r="BAW43" s="2854"/>
      <c r="BAX43" s="2854"/>
      <c r="BAY43" s="2854"/>
      <c r="BAZ43" s="2854"/>
      <c r="BBA43" s="2854"/>
      <c r="BBB43" s="2854"/>
      <c r="BBC43" s="2854"/>
      <c r="BBD43" s="2854"/>
      <c r="BBE43" s="2854"/>
      <c r="BBF43" s="2854"/>
      <c r="BBG43" s="2854"/>
      <c r="BBH43" s="2854"/>
      <c r="BBI43" s="2854"/>
      <c r="BBJ43" s="2854"/>
      <c r="BBK43" s="2854"/>
      <c r="BBL43" s="2854"/>
      <c r="BBM43" s="2854"/>
      <c r="BBN43" s="2854"/>
      <c r="BBO43" s="2854"/>
      <c r="BBP43" s="2854"/>
      <c r="BBQ43" s="2854"/>
      <c r="BBR43" s="2854"/>
      <c r="BBS43" s="2854"/>
      <c r="BBT43" s="2854"/>
      <c r="BBU43" s="2854"/>
      <c r="BBV43" s="2854"/>
      <c r="BBW43" s="2854"/>
      <c r="BBX43" s="2854"/>
      <c r="BBY43" s="2854"/>
      <c r="BBZ43" s="2854"/>
      <c r="BCA43" s="2854"/>
      <c r="BCB43" s="2854"/>
      <c r="BCC43" s="2854"/>
      <c r="BCD43" s="2854"/>
      <c r="BCE43" s="2854"/>
      <c r="BCF43" s="2854"/>
      <c r="BCG43" s="2854"/>
      <c r="BCH43" s="2854"/>
      <c r="BCI43" s="2854"/>
      <c r="BCJ43" s="2854"/>
      <c r="BCK43" s="2854"/>
      <c r="BCL43" s="2854"/>
      <c r="BCM43" s="2854"/>
      <c r="BCN43" s="2854"/>
      <c r="BCO43" s="2854"/>
      <c r="BCP43" s="2854"/>
      <c r="BCQ43" s="2854"/>
      <c r="BCR43" s="2854"/>
      <c r="BCS43" s="2854"/>
      <c r="BCT43" s="2854"/>
      <c r="BCU43" s="2854"/>
      <c r="BCV43" s="2854"/>
      <c r="BCW43" s="2854"/>
      <c r="BCX43" s="2854"/>
      <c r="BCY43" s="2854"/>
      <c r="BCZ43" s="2854"/>
      <c r="BDA43" s="2854"/>
      <c r="BDB43" s="2854"/>
      <c r="BDC43" s="2854"/>
      <c r="BDD43" s="2854"/>
      <c r="BDE43" s="2854"/>
      <c r="BDF43" s="2854"/>
      <c r="BDG43" s="2854"/>
      <c r="BDH43" s="2854"/>
      <c r="BDI43" s="2854"/>
      <c r="BDJ43" s="2854"/>
      <c r="BDK43" s="2854"/>
      <c r="BDL43" s="2854"/>
      <c r="BDM43" s="2854"/>
      <c r="BDN43" s="2854"/>
      <c r="BDO43" s="2854"/>
      <c r="BDP43" s="2854"/>
      <c r="BDQ43" s="2854"/>
      <c r="BDR43" s="2854"/>
      <c r="BDS43" s="2854"/>
      <c r="BDT43" s="2854"/>
      <c r="BDU43" s="2854"/>
      <c r="BDV43" s="2854"/>
      <c r="BDW43" s="2854"/>
      <c r="BDX43" s="2854"/>
      <c r="BDY43" s="2854"/>
      <c r="BDZ43" s="2854"/>
      <c r="BEA43" s="2854"/>
      <c r="BEB43" s="2854"/>
      <c r="BEC43" s="2854"/>
      <c r="BED43" s="2854"/>
      <c r="BEE43" s="2854"/>
      <c r="BEF43" s="2854"/>
      <c r="BEG43" s="2854"/>
      <c r="BEH43" s="2854"/>
      <c r="BEI43" s="2854"/>
      <c r="BEJ43" s="2854"/>
      <c r="BEK43" s="2854"/>
      <c r="BEL43" s="2854"/>
      <c r="BEM43" s="2854"/>
      <c r="BEN43" s="2854"/>
      <c r="BEO43" s="2854"/>
      <c r="BEP43" s="2854"/>
      <c r="BEQ43" s="2854"/>
      <c r="BER43" s="2854"/>
      <c r="BES43" s="2854"/>
      <c r="BET43" s="2854"/>
      <c r="BEU43" s="2854"/>
      <c r="BEV43" s="2854"/>
      <c r="BEW43" s="2854"/>
      <c r="BEX43" s="2854"/>
      <c r="BEY43" s="2854"/>
      <c r="BEZ43" s="2854"/>
      <c r="BFA43" s="2854"/>
      <c r="BFB43" s="2854"/>
      <c r="BFC43" s="2854"/>
      <c r="BFD43" s="2854"/>
      <c r="BFE43" s="2854"/>
      <c r="BFF43" s="2854"/>
      <c r="BFG43" s="2854"/>
      <c r="BFH43" s="2854"/>
      <c r="BFI43" s="2854"/>
      <c r="BFJ43" s="2854"/>
      <c r="BFK43" s="2854"/>
      <c r="BFL43" s="2854"/>
      <c r="BFM43" s="2854"/>
      <c r="BFN43" s="2854"/>
      <c r="BFO43" s="2854"/>
      <c r="BFP43" s="2854"/>
      <c r="BFQ43" s="2854"/>
      <c r="BFR43" s="2854"/>
      <c r="BFS43" s="2854"/>
      <c r="BFT43" s="2854"/>
      <c r="BFU43" s="2854"/>
      <c r="BFV43" s="2854"/>
      <c r="BFW43" s="2854"/>
      <c r="BFX43" s="2854"/>
      <c r="BFY43" s="2854"/>
      <c r="BFZ43" s="2854"/>
      <c r="BGA43" s="2854"/>
      <c r="BGB43" s="2854"/>
      <c r="BGC43" s="2854"/>
      <c r="BGD43" s="2854"/>
      <c r="BGE43" s="2854"/>
      <c r="BGF43" s="2854"/>
      <c r="BGG43" s="2854"/>
      <c r="BGH43" s="2854"/>
      <c r="BGI43" s="2854"/>
      <c r="BGJ43" s="2854"/>
      <c r="BGK43" s="2854"/>
      <c r="BGL43" s="2854"/>
      <c r="BGM43" s="2854"/>
      <c r="BGN43" s="2854"/>
      <c r="BGO43" s="2854"/>
      <c r="BGP43" s="2854"/>
      <c r="BGQ43" s="2854"/>
      <c r="BGR43" s="2854"/>
      <c r="BGS43" s="2854"/>
      <c r="BGT43" s="2854"/>
      <c r="BGU43" s="2854"/>
      <c r="BGV43" s="2854"/>
      <c r="BGW43" s="2854"/>
      <c r="BGX43" s="2854"/>
      <c r="BGY43" s="2854"/>
      <c r="BGZ43" s="2854"/>
      <c r="BHA43" s="2854"/>
      <c r="BHB43" s="2854"/>
      <c r="BHC43" s="2854"/>
      <c r="BHD43" s="2854"/>
      <c r="BHE43" s="2854"/>
      <c r="BHF43" s="2854"/>
      <c r="BHG43" s="2854"/>
      <c r="BHH43" s="2854"/>
      <c r="BHI43" s="2854"/>
      <c r="BHJ43" s="2854"/>
      <c r="BHK43" s="2854"/>
      <c r="BHL43" s="2854"/>
      <c r="BHM43" s="2854"/>
      <c r="BHN43" s="2854"/>
      <c r="BHO43" s="2854"/>
      <c r="BHP43" s="2854"/>
      <c r="BHQ43" s="2854"/>
      <c r="BHR43" s="2854"/>
      <c r="BHS43" s="2854"/>
      <c r="BHT43" s="2854"/>
      <c r="BHU43" s="2854"/>
      <c r="BHV43" s="2854"/>
      <c r="BHW43" s="2854"/>
      <c r="BHX43" s="2854"/>
      <c r="BHY43" s="2854"/>
      <c r="BHZ43" s="2854"/>
      <c r="BIA43" s="2854"/>
      <c r="BIB43" s="2854"/>
      <c r="BIC43" s="2854"/>
      <c r="BID43" s="2854"/>
      <c r="BIE43" s="2854"/>
      <c r="BIF43" s="2854"/>
      <c r="BIG43" s="2854"/>
      <c r="BIH43" s="2854"/>
      <c r="BII43" s="2854"/>
      <c r="BIJ43" s="2854"/>
      <c r="BIK43" s="2854"/>
      <c r="BIL43" s="2854"/>
      <c r="BIM43" s="2854"/>
      <c r="BIN43" s="2854"/>
      <c r="BIO43" s="2854"/>
      <c r="BIP43" s="2854"/>
      <c r="BIQ43" s="2854"/>
      <c r="BIR43" s="2854"/>
      <c r="BIS43" s="2854"/>
      <c r="BIT43" s="2854"/>
      <c r="BIU43" s="2854"/>
      <c r="BIV43" s="2854"/>
      <c r="BIW43" s="2854"/>
      <c r="BIX43" s="2854"/>
      <c r="BIY43" s="2854"/>
      <c r="BIZ43" s="2854"/>
      <c r="BJA43" s="2854"/>
      <c r="BJB43" s="2854"/>
      <c r="BJC43" s="2854"/>
      <c r="BJD43" s="2854"/>
      <c r="BJE43" s="2854"/>
      <c r="BJF43" s="2854"/>
      <c r="BJG43" s="2854"/>
      <c r="BJH43" s="2854"/>
      <c r="BJI43" s="2854"/>
      <c r="BJJ43" s="2854"/>
      <c r="BJK43" s="2854"/>
      <c r="BJL43" s="2854"/>
      <c r="BJM43" s="2854"/>
      <c r="BJN43" s="2854"/>
      <c r="BJO43" s="2854"/>
      <c r="BJP43" s="2854"/>
      <c r="BJQ43" s="2854"/>
      <c r="BJR43" s="2854"/>
      <c r="BJS43" s="2854"/>
      <c r="BJT43" s="2854"/>
      <c r="BJU43" s="2854"/>
      <c r="BJV43" s="2854"/>
      <c r="BJW43" s="2854"/>
      <c r="BJX43" s="2854"/>
      <c r="BJY43" s="2854"/>
      <c r="BJZ43" s="2854"/>
      <c r="BKA43" s="2854"/>
      <c r="BKB43" s="2854"/>
      <c r="BKC43" s="2854"/>
      <c r="BKD43" s="2854"/>
      <c r="BKE43" s="2854"/>
      <c r="BKF43" s="2854"/>
      <c r="BKG43" s="2854"/>
      <c r="BKH43" s="2854"/>
      <c r="BKI43" s="2854"/>
      <c r="BKJ43" s="2854"/>
      <c r="BKK43" s="2854"/>
      <c r="BKL43" s="2854"/>
      <c r="BKM43" s="2854"/>
      <c r="BKN43" s="2854"/>
      <c r="BKO43" s="2854"/>
      <c r="BKP43" s="2854"/>
      <c r="BKQ43" s="2854"/>
      <c r="BKR43" s="2854"/>
      <c r="BKS43" s="2854"/>
      <c r="BKT43" s="2854"/>
      <c r="BKU43" s="2854"/>
      <c r="BKV43" s="2854"/>
      <c r="BKW43" s="2854"/>
      <c r="BKX43" s="2854"/>
      <c r="BKY43" s="2854"/>
      <c r="BKZ43" s="2854"/>
      <c r="BLA43" s="2854"/>
      <c r="BLB43" s="2854"/>
      <c r="BLC43" s="2854"/>
      <c r="BLD43" s="2854"/>
      <c r="BLE43" s="2854"/>
      <c r="BLF43" s="2854"/>
      <c r="BLG43" s="2854"/>
      <c r="BLH43" s="2854"/>
      <c r="BLI43" s="2854"/>
      <c r="BLJ43" s="2854"/>
      <c r="BLK43" s="2854"/>
      <c r="BLL43" s="2854"/>
      <c r="BLM43" s="2854"/>
      <c r="BLN43" s="2854"/>
      <c r="BLO43" s="2854"/>
      <c r="BLP43" s="2854"/>
      <c r="BLQ43" s="2854"/>
      <c r="BLR43" s="2854"/>
      <c r="BLS43" s="2854"/>
      <c r="BLT43" s="2854"/>
      <c r="BLU43" s="2854"/>
      <c r="BLV43" s="2854"/>
      <c r="BLW43" s="2854"/>
      <c r="BLX43" s="2854"/>
      <c r="BLY43" s="2854"/>
      <c r="BLZ43" s="2854"/>
      <c r="BMA43" s="2854"/>
      <c r="BMB43" s="2854"/>
      <c r="BMC43" s="2854"/>
      <c r="BMD43" s="2854"/>
      <c r="BME43" s="2854"/>
      <c r="BMF43" s="2854"/>
      <c r="BMG43" s="2854"/>
      <c r="BMH43" s="2854"/>
      <c r="BMI43" s="2854"/>
      <c r="BMJ43" s="2854"/>
      <c r="BMK43" s="2854"/>
      <c r="BML43" s="2854"/>
      <c r="BMM43" s="2854"/>
      <c r="BMN43" s="2854"/>
      <c r="BMO43" s="2854"/>
      <c r="BMP43" s="2854"/>
      <c r="BMQ43" s="2854"/>
      <c r="BMR43" s="2854"/>
      <c r="BMS43" s="2854"/>
      <c r="BMT43" s="2854"/>
      <c r="BMU43" s="2854"/>
      <c r="BMV43" s="2854"/>
      <c r="BMW43" s="2854"/>
      <c r="BMX43" s="2854"/>
      <c r="BMY43" s="2854"/>
      <c r="BMZ43" s="2854"/>
      <c r="BNA43" s="2854"/>
      <c r="BNB43" s="2854"/>
      <c r="BNC43" s="2854"/>
      <c r="BND43" s="2854"/>
      <c r="BNE43" s="2854"/>
      <c r="BNF43" s="2854"/>
      <c r="BNG43" s="2854"/>
      <c r="BNH43" s="2854"/>
      <c r="BNI43" s="2854"/>
      <c r="BNJ43" s="2854"/>
      <c r="BNK43" s="2854"/>
      <c r="BNL43" s="2854"/>
      <c r="BNM43" s="2854"/>
      <c r="BNN43" s="2854"/>
      <c r="BNO43" s="2854"/>
      <c r="BNP43" s="2854"/>
      <c r="BNQ43" s="2854"/>
      <c r="BNR43" s="2854"/>
      <c r="BNS43" s="2854"/>
      <c r="BNT43" s="2854"/>
      <c r="BNU43" s="2854"/>
      <c r="BNV43" s="2854"/>
      <c r="BNW43" s="2854"/>
      <c r="BNX43" s="2854"/>
      <c r="BNY43" s="2854"/>
      <c r="BNZ43" s="2854"/>
      <c r="BOA43" s="2854"/>
      <c r="BOB43" s="2854"/>
      <c r="BOC43" s="2854"/>
      <c r="BOD43" s="2854"/>
      <c r="BOE43" s="2854"/>
      <c r="BOF43" s="2854"/>
      <c r="BOG43" s="2854"/>
      <c r="BOH43" s="2854"/>
      <c r="BOI43" s="2854"/>
      <c r="BOJ43" s="2854"/>
      <c r="BOK43" s="2854"/>
      <c r="BOL43" s="2854"/>
      <c r="BOM43" s="2854"/>
      <c r="BON43" s="2854"/>
      <c r="BOO43" s="2854"/>
      <c r="BOP43" s="2854"/>
      <c r="BOQ43" s="2854"/>
      <c r="BOR43" s="2854"/>
      <c r="BOS43" s="2854"/>
      <c r="BOT43" s="2854"/>
      <c r="BOU43" s="2854"/>
      <c r="BOV43" s="2854"/>
      <c r="BOW43" s="2854"/>
      <c r="BOX43" s="2854"/>
      <c r="BOY43" s="2854"/>
      <c r="BOZ43" s="2854"/>
      <c r="BPA43" s="2854"/>
      <c r="BPB43" s="2854"/>
      <c r="BPC43" s="2854"/>
      <c r="BPD43" s="2854"/>
      <c r="BPE43" s="2854"/>
      <c r="BPF43" s="2854"/>
      <c r="BPG43" s="2854"/>
      <c r="BPH43" s="2854"/>
      <c r="BPI43" s="2854"/>
      <c r="BPJ43" s="2854"/>
      <c r="BPK43" s="2854"/>
      <c r="BPL43" s="2854"/>
      <c r="BPM43" s="2854"/>
      <c r="BPN43" s="2854"/>
      <c r="BPO43" s="2854"/>
      <c r="BPP43" s="2854"/>
      <c r="BPQ43" s="2854"/>
      <c r="BPR43" s="2854"/>
      <c r="BPS43" s="2854"/>
      <c r="BPT43" s="2854"/>
      <c r="BPU43" s="2854"/>
      <c r="BPV43" s="2854"/>
      <c r="BPW43" s="2854"/>
      <c r="BPX43" s="2854"/>
      <c r="BPY43" s="2854"/>
      <c r="BPZ43" s="2854"/>
      <c r="BQA43" s="2854"/>
      <c r="BQB43" s="2854"/>
      <c r="BQC43" s="2854"/>
      <c r="BQD43" s="2854"/>
      <c r="BQE43" s="2854"/>
      <c r="BQF43" s="2854"/>
      <c r="BQG43" s="2854"/>
      <c r="BQH43" s="2854"/>
      <c r="BQI43" s="2854"/>
      <c r="BQJ43" s="2854"/>
      <c r="BQK43" s="2854"/>
      <c r="BQL43" s="2854"/>
      <c r="BQM43" s="2854"/>
      <c r="BQN43" s="2854"/>
      <c r="BQO43" s="2854"/>
      <c r="BQP43" s="2854"/>
      <c r="BQQ43" s="2854"/>
      <c r="BQR43" s="2854"/>
      <c r="BQS43" s="2854"/>
      <c r="BQT43" s="2854"/>
      <c r="BQU43" s="2854"/>
      <c r="BQV43" s="2854"/>
      <c r="BQW43" s="2854"/>
      <c r="BQX43" s="2854"/>
      <c r="BQY43" s="2854"/>
      <c r="BQZ43" s="2854"/>
      <c r="BRA43" s="2854"/>
      <c r="BRB43" s="2854"/>
      <c r="BRC43" s="2854"/>
      <c r="BRD43" s="2854"/>
      <c r="BRE43" s="2854"/>
      <c r="BRF43" s="2854"/>
      <c r="BRG43" s="2854"/>
      <c r="BRH43" s="2854"/>
      <c r="BRI43" s="2854"/>
      <c r="BRJ43" s="2854"/>
      <c r="BRK43" s="2854"/>
      <c r="BRL43" s="2854"/>
      <c r="BRM43" s="2854"/>
      <c r="BRN43" s="2854"/>
      <c r="BRO43" s="2854"/>
      <c r="BRP43" s="2854"/>
      <c r="BRQ43" s="2854"/>
      <c r="BRR43" s="2854"/>
      <c r="BRS43" s="2854"/>
      <c r="BRT43" s="2854"/>
      <c r="BRU43" s="2854"/>
      <c r="BRV43" s="2854"/>
      <c r="BRW43" s="2854"/>
      <c r="BRX43" s="2854"/>
      <c r="BRY43" s="2854"/>
      <c r="BRZ43" s="2854"/>
      <c r="BSA43" s="2854"/>
      <c r="BSB43" s="2854"/>
      <c r="BSC43" s="2854"/>
      <c r="BSD43" s="2854"/>
      <c r="BSE43" s="2854"/>
      <c r="BSF43" s="2854"/>
      <c r="BSG43" s="2854"/>
      <c r="BSH43" s="2854"/>
      <c r="BSI43" s="2854"/>
      <c r="BSJ43" s="2854"/>
      <c r="BSK43" s="2854"/>
      <c r="BSL43" s="2854"/>
      <c r="BSM43" s="2854"/>
      <c r="BSN43" s="2854"/>
      <c r="BSO43" s="2854"/>
      <c r="BSP43" s="2854"/>
      <c r="BSQ43" s="2854"/>
      <c r="BSR43" s="2854"/>
      <c r="BSS43" s="2854"/>
      <c r="BST43" s="2854"/>
      <c r="BSU43" s="2854"/>
      <c r="BSV43" s="2854"/>
      <c r="BSW43" s="2854"/>
      <c r="BSX43" s="2854"/>
      <c r="BSY43" s="2854"/>
      <c r="BSZ43" s="2854"/>
      <c r="BTA43" s="2854"/>
      <c r="BTB43" s="2854"/>
      <c r="BTC43" s="2854"/>
      <c r="BTD43" s="2854"/>
      <c r="BTE43" s="2854"/>
      <c r="BTF43" s="2854"/>
      <c r="BTG43" s="2854"/>
      <c r="BTH43" s="2854"/>
      <c r="BTI43" s="2854"/>
      <c r="BTJ43" s="2854"/>
      <c r="BTK43" s="2854"/>
      <c r="BTL43" s="2854"/>
      <c r="BTM43" s="2854"/>
      <c r="BTN43" s="2854"/>
      <c r="BTO43" s="2854"/>
      <c r="BTP43" s="2854"/>
      <c r="BTQ43" s="2854"/>
      <c r="BTR43" s="2854"/>
      <c r="BTS43" s="2854"/>
      <c r="BTT43" s="2854"/>
      <c r="BTU43" s="2854"/>
      <c r="BTV43" s="2854"/>
      <c r="BTW43" s="2854"/>
      <c r="BTX43" s="2854"/>
      <c r="BTY43" s="2854"/>
      <c r="BTZ43" s="2854"/>
      <c r="BUA43" s="2854"/>
      <c r="BUB43" s="2854"/>
      <c r="BUC43" s="2854"/>
      <c r="BUD43" s="2854"/>
      <c r="BUE43" s="2854"/>
      <c r="BUF43" s="2854"/>
      <c r="BUG43" s="2854"/>
      <c r="BUH43" s="2854"/>
      <c r="BUI43" s="2854"/>
      <c r="BUJ43" s="2854"/>
      <c r="BUK43" s="2854"/>
      <c r="BUL43" s="2854"/>
      <c r="BUM43" s="2854"/>
      <c r="BUN43" s="2854"/>
      <c r="BUO43" s="2854"/>
      <c r="BUP43" s="2854"/>
      <c r="BUQ43" s="2854"/>
      <c r="BUR43" s="2854"/>
      <c r="BUS43" s="2854"/>
      <c r="BUT43" s="2854"/>
      <c r="BUU43" s="2854"/>
      <c r="BUV43" s="2854"/>
      <c r="BUW43" s="2854"/>
      <c r="BUX43" s="2854"/>
      <c r="BUY43" s="2854"/>
      <c r="BUZ43" s="2854"/>
      <c r="BVA43" s="2854"/>
      <c r="BVB43" s="2854"/>
      <c r="BVC43" s="2854"/>
      <c r="BVD43" s="2854"/>
      <c r="BVE43" s="2854"/>
      <c r="BVF43" s="2854"/>
      <c r="BVG43" s="2854"/>
      <c r="BVH43" s="2854"/>
      <c r="BVI43" s="2854"/>
      <c r="BVJ43" s="2854"/>
      <c r="BVK43" s="2854"/>
      <c r="BVL43" s="2854"/>
      <c r="BVM43" s="2854"/>
      <c r="BVN43" s="2854"/>
      <c r="BVO43" s="2854"/>
      <c r="BVP43" s="2854"/>
      <c r="BVQ43" s="2854"/>
      <c r="BVR43" s="2854"/>
      <c r="BVS43" s="2854"/>
      <c r="BVT43" s="2854"/>
      <c r="BVU43" s="2854"/>
      <c r="BVV43" s="2854"/>
      <c r="BVW43" s="2854"/>
      <c r="BVX43" s="2854"/>
      <c r="BVY43" s="2854"/>
      <c r="BVZ43" s="2854"/>
      <c r="BWA43" s="2854"/>
      <c r="BWB43" s="2854"/>
      <c r="BWC43" s="2854"/>
      <c r="BWD43" s="2854"/>
      <c r="BWE43" s="2854"/>
      <c r="BWF43" s="2854"/>
      <c r="BWG43" s="2854"/>
      <c r="BWH43" s="2854"/>
      <c r="BWI43" s="2854"/>
      <c r="BWJ43" s="2854"/>
      <c r="BWK43" s="2854"/>
      <c r="BWL43" s="2854"/>
      <c r="BWM43" s="2854"/>
      <c r="BWN43" s="2854"/>
      <c r="BWO43" s="2854"/>
      <c r="BWP43" s="2854"/>
      <c r="BWQ43" s="2854"/>
      <c r="BWR43" s="2854"/>
      <c r="BWS43" s="2854"/>
      <c r="BWT43" s="2854"/>
      <c r="BWU43" s="2854"/>
      <c r="BWV43" s="2854"/>
      <c r="BWW43" s="2854"/>
      <c r="BWX43" s="2854"/>
      <c r="BWY43" s="2854"/>
      <c r="BWZ43" s="2854"/>
      <c r="BXA43" s="2854"/>
      <c r="BXB43" s="2854"/>
      <c r="BXC43" s="2854"/>
      <c r="BXD43" s="2854"/>
      <c r="BXE43" s="2854"/>
      <c r="BXF43" s="2854"/>
      <c r="BXG43" s="2854"/>
      <c r="BXH43" s="2854"/>
      <c r="BXI43" s="2854"/>
      <c r="BXJ43" s="2854"/>
      <c r="BXK43" s="2854"/>
      <c r="BXL43" s="2854"/>
      <c r="BXM43" s="2854"/>
      <c r="BXN43" s="2854"/>
      <c r="BXO43" s="2854"/>
      <c r="BXP43" s="2854"/>
      <c r="BXQ43" s="2854"/>
      <c r="BXR43" s="2854"/>
      <c r="BXS43" s="2854"/>
      <c r="BXT43" s="2854"/>
      <c r="BXU43" s="2854"/>
      <c r="BXV43" s="2854"/>
      <c r="BXW43" s="2854"/>
      <c r="BXX43" s="2854"/>
      <c r="BXY43" s="2854"/>
      <c r="BXZ43" s="2854"/>
      <c r="BYA43" s="2854"/>
      <c r="BYB43" s="2854"/>
      <c r="BYC43" s="2854"/>
      <c r="BYD43" s="2854"/>
      <c r="BYE43" s="2854"/>
      <c r="BYF43" s="2854"/>
      <c r="BYG43" s="2854"/>
      <c r="BYH43" s="2854"/>
      <c r="BYI43" s="2854"/>
      <c r="BYJ43" s="2854"/>
      <c r="BYK43" s="2854"/>
      <c r="BYL43" s="2854"/>
      <c r="BYM43" s="2854"/>
      <c r="BYN43" s="2854"/>
      <c r="BYO43" s="2854"/>
      <c r="BYP43" s="2854"/>
      <c r="BYQ43" s="2854"/>
      <c r="BYR43" s="2854"/>
      <c r="BYS43" s="2854"/>
      <c r="BYT43" s="2854"/>
      <c r="BYU43" s="2854"/>
      <c r="BYV43" s="2854"/>
      <c r="BYW43" s="2854"/>
      <c r="BYX43" s="2854"/>
      <c r="BYY43" s="2854"/>
      <c r="BYZ43" s="2854"/>
      <c r="BZA43" s="2854"/>
      <c r="BZB43" s="2854"/>
      <c r="BZC43" s="2854"/>
      <c r="BZD43" s="2854"/>
      <c r="BZE43" s="2854"/>
      <c r="BZF43" s="2854"/>
      <c r="BZG43" s="2854"/>
      <c r="BZH43" s="2854"/>
      <c r="BZI43" s="2854"/>
      <c r="BZJ43" s="2854"/>
      <c r="BZK43" s="2854"/>
      <c r="BZL43" s="2854"/>
      <c r="BZM43" s="2854"/>
      <c r="BZN43" s="2854"/>
      <c r="BZO43" s="2854"/>
      <c r="BZP43" s="2854"/>
      <c r="BZQ43" s="2854"/>
      <c r="BZR43" s="2854"/>
      <c r="BZS43" s="2854"/>
      <c r="BZT43" s="2854"/>
      <c r="BZU43" s="2854"/>
      <c r="BZV43" s="2854"/>
      <c r="BZW43" s="2854"/>
      <c r="BZX43" s="2854"/>
      <c r="BZY43" s="2854"/>
      <c r="BZZ43" s="2854"/>
      <c r="CAA43" s="2854"/>
      <c r="CAB43" s="2854"/>
      <c r="CAC43" s="2854"/>
      <c r="CAD43" s="2854"/>
      <c r="CAE43" s="2854"/>
      <c r="CAF43" s="2854"/>
      <c r="CAG43" s="2854"/>
      <c r="CAH43" s="2854"/>
      <c r="CAI43" s="2854"/>
      <c r="CAJ43" s="2854"/>
      <c r="CAK43" s="2854"/>
      <c r="CAL43" s="2854"/>
      <c r="CAM43" s="2854"/>
      <c r="CAN43" s="2854"/>
      <c r="CAO43" s="2854"/>
      <c r="CAP43" s="2854"/>
      <c r="CAQ43" s="2854"/>
      <c r="CAR43" s="2854"/>
      <c r="CAS43" s="2854"/>
      <c r="CAT43" s="2854"/>
      <c r="CAU43" s="2854"/>
      <c r="CAV43" s="2854"/>
      <c r="CAW43" s="2854"/>
      <c r="CAX43" s="2854"/>
      <c r="CAY43" s="2854"/>
      <c r="CAZ43" s="2854"/>
      <c r="CBA43" s="2854"/>
      <c r="CBB43" s="2854"/>
      <c r="CBC43" s="2854"/>
      <c r="CBD43" s="2854"/>
      <c r="CBE43" s="2854"/>
      <c r="CBF43" s="2854"/>
      <c r="CBG43" s="2854"/>
      <c r="CBH43" s="2854"/>
      <c r="CBI43" s="2854"/>
      <c r="CBJ43" s="2854"/>
      <c r="CBK43" s="2854"/>
      <c r="CBL43" s="2854"/>
      <c r="CBM43" s="2854"/>
      <c r="CBN43" s="2854"/>
      <c r="CBO43" s="2854"/>
      <c r="CBP43" s="2854"/>
      <c r="CBQ43" s="2854"/>
      <c r="CBR43" s="2854"/>
      <c r="CBS43" s="2854"/>
      <c r="CBT43" s="2854"/>
      <c r="CBU43" s="2854"/>
      <c r="CBV43" s="2854"/>
      <c r="CBW43" s="2854"/>
      <c r="CBX43" s="2854"/>
      <c r="CBY43" s="2854"/>
      <c r="CBZ43" s="2854"/>
      <c r="CCA43" s="2854"/>
      <c r="CCB43" s="2854"/>
      <c r="CCC43" s="2854"/>
      <c r="CCD43" s="2854"/>
      <c r="CCE43" s="2854"/>
      <c r="CCF43" s="2854"/>
      <c r="CCG43" s="2854"/>
      <c r="CCH43" s="2854"/>
      <c r="CCI43" s="2854"/>
      <c r="CCJ43" s="2854"/>
      <c r="CCK43" s="2854"/>
      <c r="CCL43" s="2854"/>
      <c r="CCM43" s="2854"/>
      <c r="CCN43" s="2854"/>
      <c r="CCO43" s="2854"/>
      <c r="CCP43" s="2854"/>
      <c r="CCQ43" s="2854"/>
      <c r="CCR43" s="2854"/>
      <c r="CCS43" s="2854"/>
      <c r="CCT43" s="2854"/>
      <c r="CCU43" s="2854"/>
      <c r="CCV43" s="2854"/>
      <c r="CCW43" s="2854"/>
      <c r="CCX43" s="2854"/>
      <c r="CCY43" s="2854"/>
      <c r="CCZ43" s="2854"/>
      <c r="CDA43" s="2854"/>
      <c r="CDB43" s="2854"/>
      <c r="CDC43" s="2854"/>
      <c r="CDD43" s="2854"/>
      <c r="CDE43" s="2854"/>
      <c r="CDF43" s="2854"/>
      <c r="CDG43" s="2854"/>
      <c r="CDH43" s="2854"/>
      <c r="CDI43" s="2854"/>
      <c r="CDJ43" s="2854"/>
      <c r="CDK43" s="2854"/>
      <c r="CDL43" s="2854"/>
      <c r="CDM43" s="2854"/>
      <c r="CDN43" s="2854"/>
      <c r="CDO43" s="2854"/>
      <c r="CDP43" s="2854"/>
      <c r="CDQ43" s="2854"/>
      <c r="CDR43" s="2854"/>
      <c r="CDS43" s="2854"/>
      <c r="CDT43" s="2854"/>
      <c r="CDU43" s="2854"/>
      <c r="CDV43" s="2854"/>
      <c r="CDW43" s="2854"/>
      <c r="CDX43" s="2854"/>
      <c r="CDY43" s="2854"/>
      <c r="CDZ43" s="2854"/>
      <c r="CEA43" s="2854"/>
      <c r="CEB43" s="2854"/>
      <c r="CEC43" s="2854"/>
      <c r="CED43" s="2854"/>
      <c r="CEE43" s="2854"/>
      <c r="CEF43" s="2854"/>
      <c r="CEG43" s="2854"/>
      <c r="CEH43" s="2854"/>
      <c r="CEI43" s="2854"/>
      <c r="CEJ43" s="2854"/>
      <c r="CEK43" s="2854"/>
      <c r="CEL43" s="2854"/>
      <c r="CEM43" s="2854"/>
      <c r="CEN43" s="2854"/>
      <c r="CEO43" s="2854"/>
      <c r="CEP43" s="2854"/>
      <c r="CEQ43" s="2854"/>
      <c r="CER43" s="2854"/>
      <c r="CES43" s="2854"/>
      <c r="CET43" s="2854"/>
      <c r="CEU43" s="2854"/>
      <c r="CEV43" s="2854"/>
      <c r="CEW43" s="2854"/>
      <c r="CEX43" s="2854"/>
      <c r="CEY43" s="2854"/>
      <c r="CEZ43" s="2854"/>
      <c r="CFA43" s="2854"/>
      <c r="CFB43" s="2854"/>
      <c r="CFC43" s="2854"/>
      <c r="CFD43" s="2854"/>
      <c r="CFE43" s="2854"/>
      <c r="CFF43" s="2854"/>
      <c r="CFG43" s="2854"/>
      <c r="CFH43" s="2854"/>
      <c r="CFI43" s="2854"/>
      <c r="CFJ43" s="2854"/>
      <c r="CFK43" s="2854"/>
      <c r="CFL43" s="2854"/>
      <c r="CFM43" s="2854"/>
      <c r="CFN43" s="2854"/>
      <c r="CFO43" s="2854"/>
      <c r="CFP43" s="2854"/>
      <c r="CFQ43" s="2854"/>
      <c r="CFR43" s="2854"/>
      <c r="CFS43" s="2854"/>
      <c r="CFT43" s="2854"/>
      <c r="CFU43" s="2854"/>
      <c r="CFV43" s="2854"/>
      <c r="CFW43" s="2854"/>
      <c r="CFX43" s="2854"/>
      <c r="CFY43" s="2854"/>
      <c r="CFZ43" s="2854"/>
      <c r="CGA43" s="2854"/>
      <c r="CGB43" s="2854"/>
      <c r="CGC43" s="2854"/>
      <c r="CGD43" s="2854"/>
      <c r="CGE43" s="2854"/>
      <c r="CGF43" s="2854"/>
      <c r="CGG43" s="2854"/>
      <c r="CGH43" s="2854"/>
      <c r="CGI43" s="2854"/>
      <c r="CGJ43" s="2854"/>
      <c r="CGK43" s="2854"/>
      <c r="CGL43" s="2854"/>
      <c r="CGM43" s="2854"/>
      <c r="CGN43" s="2854"/>
      <c r="CGO43" s="2854"/>
      <c r="CGP43" s="2854"/>
      <c r="CGQ43" s="2854"/>
      <c r="CGR43" s="2854"/>
      <c r="CGS43" s="2854"/>
      <c r="CGT43" s="2854"/>
      <c r="CGU43" s="2854"/>
      <c r="CGV43" s="2854"/>
      <c r="CGW43" s="2854"/>
      <c r="CGX43" s="2854"/>
      <c r="CGY43" s="2854"/>
      <c r="CGZ43" s="2854"/>
      <c r="CHA43" s="2854"/>
      <c r="CHB43" s="2854"/>
      <c r="CHC43" s="2854"/>
      <c r="CHD43" s="2854"/>
      <c r="CHE43" s="2854"/>
      <c r="CHF43" s="2854"/>
      <c r="CHG43" s="2854"/>
      <c r="CHH43" s="2854"/>
      <c r="CHI43" s="2854"/>
      <c r="CHJ43" s="2854"/>
      <c r="CHK43" s="2854"/>
      <c r="CHL43" s="2854"/>
      <c r="CHM43" s="2854"/>
      <c r="CHN43" s="2854"/>
      <c r="CHO43" s="2854"/>
      <c r="CHP43" s="2854"/>
      <c r="CHQ43" s="2854"/>
      <c r="CHR43" s="2854"/>
      <c r="CHS43" s="2854"/>
      <c r="CHT43" s="2854"/>
      <c r="CHU43" s="2854"/>
      <c r="CHV43" s="2854"/>
      <c r="CHW43" s="2854"/>
      <c r="CHX43" s="2854"/>
      <c r="CHY43" s="2854"/>
      <c r="CHZ43" s="2854"/>
      <c r="CIA43" s="2854"/>
      <c r="CIB43" s="2854"/>
      <c r="CIC43" s="2854"/>
      <c r="CID43" s="2854"/>
      <c r="CIE43" s="2854"/>
      <c r="CIF43" s="2854"/>
      <c r="CIG43" s="2854"/>
      <c r="CIH43" s="2854"/>
      <c r="CII43" s="2854"/>
      <c r="CIJ43" s="2854"/>
      <c r="CIK43" s="2854"/>
      <c r="CIL43" s="2854"/>
      <c r="CIM43" s="2854"/>
      <c r="CIN43" s="2854"/>
      <c r="CIO43" s="2854"/>
      <c r="CIP43" s="2854"/>
      <c r="CIQ43" s="2854"/>
      <c r="CIR43" s="2854"/>
      <c r="CIS43" s="2854"/>
      <c r="CIT43" s="2854"/>
      <c r="CIU43" s="2854"/>
      <c r="CIV43" s="2854"/>
      <c r="CIW43" s="2854"/>
      <c r="CIX43" s="2854"/>
      <c r="CIY43" s="2854"/>
      <c r="CIZ43" s="2854"/>
      <c r="CJA43" s="2854"/>
      <c r="CJB43" s="2854"/>
      <c r="CJC43" s="2854"/>
      <c r="CJD43" s="2854"/>
      <c r="CJE43" s="2854"/>
      <c r="CJF43" s="2854"/>
      <c r="CJG43" s="2854"/>
      <c r="CJH43" s="2854"/>
      <c r="CJI43" s="2854"/>
      <c r="CJJ43" s="2854"/>
      <c r="CJK43" s="2854"/>
      <c r="CJL43" s="2854"/>
      <c r="CJM43" s="2854"/>
      <c r="CJN43" s="2854"/>
      <c r="CJO43" s="2854"/>
      <c r="CJP43" s="2854"/>
      <c r="CJQ43" s="2854"/>
      <c r="CJR43" s="2854"/>
      <c r="CJS43" s="2854"/>
      <c r="CJT43" s="2854"/>
      <c r="CJU43" s="2854"/>
      <c r="CJV43" s="2854"/>
      <c r="CJW43" s="2854"/>
      <c r="CJX43" s="2854"/>
      <c r="CJY43" s="2854"/>
      <c r="CJZ43" s="2854"/>
      <c r="CKA43" s="2854"/>
      <c r="CKB43" s="2854"/>
      <c r="CKC43" s="2854"/>
      <c r="CKD43" s="2854"/>
      <c r="CKE43" s="2854"/>
      <c r="CKF43" s="2854"/>
      <c r="CKG43" s="2854"/>
      <c r="CKH43" s="2854"/>
      <c r="CKI43" s="2854"/>
      <c r="CKJ43" s="2854"/>
      <c r="CKK43" s="2854"/>
      <c r="CKL43" s="2854"/>
      <c r="CKM43" s="2854"/>
      <c r="CKN43" s="2854"/>
      <c r="CKO43" s="2854"/>
      <c r="CKP43" s="2854"/>
      <c r="CKQ43" s="2854"/>
      <c r="CKR43" s="2854"/>
      <c r="CKS43" s="2854"/>
      <c r="CKT43" s="2854"/>
      <c r="CKU43" s="2854"/>
      <c r="CKV43" s="2854"/>
      <c r="CKW43" s="2854"/>
      <c r="CKX43" s="2854"/>
      <c r="CKY43" s="2854"/>
      <c r="CKZ43" s="2854"/>
      <c r="CLA43" s="2854"/>
      <c r="CLB43" s="2854"/>
      <c r="CLC43" s="2854"/>
      <c r="CLD43" s="2854"/>
      <c r="CLE43" s="2854"/>
      <c r="CLF43" s="2854"/>
      <c r="CLG43" s="2854"/>
      <c r="CLH43" s="2854"/>
      <c r="CLI43" s="2854"/>
      <c r="CLJ43" s="2854"/>
      <c r="CLK43" s="2854"/>
      <c r="CLL43" s="2854"/>
      <c r="CLM43" s="2854"/>
      <c r="CLN43" s="2854"/>
      <c r="CLO43" s="2854"/>
      <c r="CLP43" s="2854"/>
      <c r="CLQ43" s="2854"/>
      <c r="CLR43" s="2854"/>
      <c r="CLS43" s="2854"/>
      <c r="CLT43" s="2854"/>
      <c r="CLU43" s="2854"/>
      <c r="CLV43" s="2854"/>
      <c r="CLW43" s="2854"/>
    </row>
    <row r="44" spans="1:2363" ht="15" customHeight="1" x14ac:dyDescent="0.25">
      <c r="A44" s="3877"/>
      <c r="B44" s="3878"/>
      <c r="C44" s="3001">
        <v>7</v>
      </c>
      <c r="D44" s="2209"/>
      <c r="E44" s="3375"/>
      <c r="F44" s="1799"/>
      <c r="G44" s="2613"/>
      <c r="H44" s="1801"/>
      <c r="I44" s="1799"/>
      <c r="J44" s="2249"/>
      <c r="K44" s="3201"/>
      <c r="L44" s="1815"/>
      <c r="M44" s="1799"/>
      <c r="N44" s="1799">
        <v>0</v>
      </c>
      <c r="O44" s="2281">
        <v>0</v>
      </c>
      <c r="P44" s="2295"/>
      <c r="Q44" s="1799"/>
      <c r="R44" s="2721"/>
      <c r="S44" s="2721"/>
      <c r="T44" s="2886"/>
      <c r="U44" s="2295"/>
      <c r="V44" s="2364">
        <v>0</v>
      </c>
      <c r="W44" s="2494"/>
      <c r="X44" s="2931"/>
      <c r="Y44" s="3008"/>
      <c r="Z44" s="2342"/>
      <c r="AA44" s="1894">
        <v>452610.8</v>
      </c>
      <c r="AB44" s="1894">
        <v>452610.8</v>
      </c>
      <c r="AC44" s="1859">
        <f t="shared" si="58"/>
        <v>0</v>
      </c>
      <c r="AD44" s="1850">
        <v>0</v>
      </c>
      <c r="AE44" s="1897"/>
      <c r="AF44" s="1893">
        <v>0</v>
      </c>
      <c r="AG44" s="2869"/>
      <c r="AH44" s="2062">
        <f t="shared" si="85"/>
        <v>0</v>
      </c>
      <c r="AI44" s="1929">
        <v>0</v>
      </c>
      <c r="AJ44" s="2096">
        <f t="shared" si="63"/>
        <v>0</v>
      </c>
      <c r="AK44" s="2455">
        <f t="shared" si="74"/>
        <v>0</v>
      </c>
      <c r="AL44" s="2516">
        <v>0</v>
      </c>
      <c r="AM44" s="2516">
        <v>0</v>
      </c>
      <c r="AN44" s="2697">
        <f>AL44-AM44</f>
        <v>0</v>
      </c>
      <c r="AO44" s="2181">
        <v>0</v>
      </c>
      <c r="AP44" s="2166">
        <v>0</v>
      </c>
      <c r="AQ44" s="2166">
        <v>0</v>
      </c>
      <c r="AR44" s="2166"/>
      <c r="AS44" s="2157">
        <f t="shared" si="65"/>
        <v>0</v>
      </c>
      <c r="AT44" s="2504">
        <v>0</v>
      </c>
      <c r="AU44" s="2158">
        <v>0</v>
      </c>
      <c r="AV44" s="2168">
        <v>0</v>
      </c>
      <c r="AW44" s="2159">
        <f t="shared" si="86"/>
        <v>0</v>
      </c>
      <c r="AX44" s="2516">
        <v>0</v>
      </c>
      <c r="AY44" s="2516">
        <v>0</v>
      </c>
      <c r="AZ44" s="2692">
        <f>AX44-AY44</f>
        <v>0</v>
      </c>
      <c r="BA44" s="3296">
        <v>0</v>
      </c>
      <c r="BB44" s="3086">
        <v>0</v>
      </c>
      <c r="BC44" s="3086">
        <v>0</v>
      </c>
      <c r="BD44" s="3086"/>
      <c r="BE44" s="3087">
        <f t="shared" ref="BE44:BE49" si="90">+BA44+BB44+BC44+BD44+AZ44</f>
        <v>0</v>
      </c>
      <c r="BF44" s="2504"/>
      <c r="BG44" s="2158">
        <v>0</v>
      </c>
      <c r="BH44" s="2168">
        <v>0</v>
      </c>
      <c r="BI44" s="2159">
        <f t="shared" si="88"/>
        <v>0</v>
      </c>
      <c r="BJ44" s="2048">
        <v>0</v>
      </c>
      <c r="BK44" s="1851">
        <v>0</v>
      </c>
      <c r="BL44" s="1884">
        <f t="shared" si="67"/>
        <v>0</v>
      </c>
      <c r="BM44" s="1850">
        <f>AD44+AO44</f>
        <v>0</v>
      </c>
      <c r="BN44" s="2101">
        <f>+AP44+AE44</f>
        <v>0</v>
      </c>
      <c r="BO44" s="1893">
        <v>0</v>
      </c>
      <c r="BP44" s="1893">
        <v>0</v>
      </c>
      <c r="BQ44" s="2866">
        <f t="shared" si="78"/>
        <v>0</v>
      </c>
      <c r="BR44" s="3045">
        <f>+AU44+AI44</f>
        <v>0</v>
      </c>
      <c r="BS44" s="1848">
        <f t="shared" si="89"/>
        <v>0</v>
      </c>
      <c r="BT44" s="2454">
        <f t="shared" si="80"/>
        <v>0</v>
      </c>
      <c r="BU44" s="3147"/>
      <c r="BV44" s="3058"/>
      <c r="BW44" s="3058"/>
      <c r="BX44" s="3058"/>
      <c r="BY44" s="3147"/>
      <c r="BZ44" s="3147"/>
      <c r="CA44" s="3147"/>
      <c r="CB44" s="3147"/>
      <c r="CC44" s="3147"/>
      <c r="CD44" s="3147"/>
      <c r="CE44" s="3147"/>
      <c r="CF44" s="3147"/>
      <c r="CG44" s="3147"/>
      <c r="CH44" s="1163"/>
      <c r="CI44" s="1144"/>
      <c r="CJ44" s="1144"/>
      <c r="CK44" s="1144"/>
      <c r="CL44" s="1144"/>
      <c r="CM44" s="1144"/>
      <c r="CN44" s="1144"/>
      <c r="CO44" s="1144"/>
      <c r="CP44" s="1144"/>
      <c r="CQ44" s="1144"/>
      <c r="CR44" s="1144"/>
      <c r="CS44" s="1144"/>
      <c r="CT44" s="1144"/>
      <c r="CU44" s="1144"/>
      <c r="CV44" s="1144"/>
      <c r="CW44" s="2854"/>
      <c r="CX44" s="2854"/>
      <c r="CY44" s="2854"/>
      <c r="CZ44" s="2854"/>
      <c r="DA44" s="2854"/>
      <c r="DB44" s="2854"/>
      <c r="DC44" s="2854"/>
      <c r="DD44" s="2854"/>
      <c r="DE44" s="2854"/>
      <c r="DF44" s="2854"/>
      <c r="DG44" s="2854"/>
      <c r="DH44" s="2854"/>
      <c r="DI44" s="2854"/>
      <c r="DJ44" s="2854"/>
      <c r="DK44" s="2854"/>
      <c r="DL44" s="2854"/>
      <c r="DM44" s="2854"/>
      <c r="DN44" s="2854"/>
      <c r="DO44" s="2854"/>
      <c r="DP44" s="2854"/>
      <c r="DQ44" s="2854"/>
      <c r="DR44" s="2854"/>
      <c r="DS44" s="2854"/>
      <c r="DT44" s="2854"/>
      <c r="DU44" s="2854"/>
      <c r="DV44" s="2854"/>
      <c r="DW44" s="2854"/>
      <c r="DX44" s="2854"/>
      <c r="DY44" s="2854"/>
      <c r="DZ44" s="2854"/>
      <c r="EA44" s="2854"/>
      <c r="EB44" s="2854"/>
      <c r="EC44" s="2854"/>
      <c r="ED44" s="2854"/>
      <c r="EE44" s="2854"/>
      <c r="EF44" s="2854"/>
      <c r="EG44" s="2854"/>
      <c r="EH44" s="2854"/>
      <c r="EI44" s="2854"/>
      <c r="EJ44" s="2854"/>
      <c r="EK44" s="2854"/>
      <c r="EL44" s="2854"/>
      <c r="EM44" s="2854"/>
      <c r="EN44" s="2854"/>
      <c r="EO44" s="2854"/>
      <c r="EP44" s="2854"/>
      <c r="EQ44" s="2854"/>
      <c r="ER44" s="2854"/>
      <c r="ES44" s="2854"/>
      <c r="ET44" s="2854"/>
      <c r="EU44" s="2854"/>
      <c r="EV44" s="2854"/>
      <c r="EW44" s="2854"/>
      <c r="EX44" s="2854"/>
      <c r="EY44" s="2854"/>
      <c r="EZ44" s="2854"/>
      <c r="FA44" s="2854"/>
      <c r="FB44" s="2854"/>
      <c r="FC44" s="2854"/>
      <c r="FD44" s="2854"/>
      <c r="FE44" s="2854"/>
      <c r="FF44" s="2854"/>
      <c r="FG44" s="2854"/>
      <c r="FH44" s="2854"/>
      <c r="FI44" s="2854"/>
      <c r="FJ44" s="2854"/>
      <c r="FK44" s="2854"/>
      <c r="FL44" s="2854"/>
      <c r="FM44" s="2854"/>
      <c r="FN44" s="2854"/>
      <c r="FO44" s="2854"/>
      <c r="FP44" s="2854"/>
      <c r="FQ44" s="2854"/>
      <c r="FR44" s="2854"/>
      <c r="FS44" s="2854"/>
      <c r="FT44" s="2854"/>
      <c r="FU44" s="2854"/>
      <c r="FV44" s="2854"/>
      <c r="FW44" s="2854"/>
      <c r="FX44" s="2854"/>
      <c r="FY44" s="2854"/>
      <c r="FZ44" s="2854"/>
      <c r="GA44" s="2854"/>
      <c r="GB44" s="2854"/>
      <c r="GC44" s="2854"/>
      <c r="GD44" s="2854"/>
      <c r="GE44" s="2854"/>
      <c r="GF44" s="2854"/>
      <c r="GG44" s="2854"/>
      <c r="GH44" s="2854"/>
      <c r="GI44" s="2854"/>
      <c r="GJ44" s="2854"/>
      <c r="GK44" s="2854"/>
      <c r="GL44" s="2854"/>
      <c r="GM44" s="2854"/>
      <c r="GN44" s="2854"/>
      <c r="GO44" s="2854"/>
      <c r="GP44" s="2854"/>
      <c r="GQ44" s="2854"/>
      <c r="GR44" s="2854"/>
      <c r="GS44" s="2854"/>
      <c r="GT44" s="2854"/>
      <c r="GU44" s="2854"/>
      <c r="GV44" s="2854"/>
      <c r="GW44" s="2854"/>
      <c r="GX44" s="2854"/>
      <c r="GY44" s="2854"/>
      <c r="GZ44" s="2854"/>
      <c r="HA44" s="2854"/>
      <c r="HB44" s="2854"/>
      <c r="HC44" s="2854"/>
      <c r="HD44" s="2854"/>
      <c r="HE44" s="2854"/>
      <c r="HF44" s="2854"/>
      <c r="HG44" s="2854"/>
      <c r="HH44" s="2854"/>
      <c r="HI44" s="2854"/>
      <c r="HJ44" s="2854"/>
      <c r="HK44" s="2854"/>
      <c r="HL44" s="2854"/>
      <c r="HM44" s="2854"/>
      <c r="HN44" s="2854"/>
      <c r="HO44" s="2854"/>
      <c r="HP44" s="2854"/>
      <c r="HQ44" s="2854"/>
      <c r="HR44" s="2854"/>
      <c r="HS44" s="2854"/>
      <c r="HT44" s="2854"/>
      <c r="HU44" s="2854"/>
      <c r="HV44" s="2854"/>
      <c r="HW44" s="2854"/>
      <c r="HX44" s="2854"/>
      <c r="HY44" s="2854"/>
      <c r="HZ44" s="2854"/>
      <c r="IA44" s="2854"/>
      <c r="IB44" s="2854"/>
      <c r="IC44" s="2854"/>
      <c r="ID44" s="2854"/>
      <c r="IE44" s="2854"/>
      <c r="IF44" s="2854"/>
      <c r="IG44" s="2854"/>
      <c r="IH44" s="2854"/>
      <c r="II44" s="2854"/>
      <c r="IJ44" s="2854"/>
      <c r="IK44" s="2854"/>
      <c r="IL44" s="2854"/>
      <c r="IM44" s="2854"/>
      <c r="IN44" s="2854"/>
      <c r="IO44" s="2854"/>
      <c r="IP44" s="2854"/>
      <c r="IQ44" s="2854"/>
      <c r="IR44" s="2854"/>
      <c r="IS44" s="2854"/>
      <c r="IT44" s="2854"/>
      <c r="IU44" s="2854"/>
      <c r="IV44" s="2854"/>
      <c r="IW44" s="2854"/>
      <c r="IX44" s="2854"/>
      <c r="IY44" s="2854"/>
      <c r="IZ44" s="2854"/>
      <c r="JA44" s="2854"/>
      <c r="JB44" s="2854"/>
      <c r="JC44" s="2854"/>
      <c r="JD44" s="2854"/>
      <c r="JE44" s="2854"/>
      <c r="JF44" s="2854"/>
      <c r="JG44" s="2854"/>
      <c r="JH44" s="2854"/>
      <c r="JI44" s="2854"/>
      <c r="JJ44" s="2854"/>
      <c r="JK44" s="2854"/>
      <c r="JL44" s="2854"/>
      <c r="JM44" s="2854"/>
      <c r="JN44" s="2854"/>
      <c r="JO44" s="2854"/>
      <c r="JP44" s="2854"/>
      <c r="JQ44" s="2854"/>
      <c r="JR44" s="2854"/>
      <c r="JS44" s="2854"/>
      <c r="JT44" s="2854"/>
      <c r="JU44" s="2854"/>
      <c r="JV44" s="2854"/>
      <c r="JW44" s="2854"/>
      <c r="JX44" s="2854"/>
      <c r="JY44" s="2854"/>
      <c r="JZ44" s="2854"/>
      <c r="KA44" s="2854"/>
      <c r="KB44" s="2854"/>
      <c r="KC44" s="2854"/>
      <c r="KD44" s="2854"/>
      <c r="KE44" s="2854"/>
      <c r="KF44" s="2854"/>
      <c r="KG44" s="2854"/>
      <c r="KH44" s="2854"/>
      <c r="KI44" s="2854"/>
      <c r="KJ44" s="2854"/>
      <c r="KK44" s="2854"/>
      <c r="KL44" s="2854"/>
      <c r="KM44" s="2854"/>
      <c r="KN44" s="2854"/>
      <c r="KO44" s="2854"/>
      <c r="KP44" s="2854"/>
      <c r="KQ44" s="2854"/>
      <c r="KR44" s="2854"/>
      <c r="KS44" s="2854"/>
      <c r="KT44" s="2854"/>
      <c r="KU44" s="2854"/>
      <c r="KV44" s="2854"/>
      <c r="KW44" s="2854"/>
      <c r="KX44" s="2854"/>
      <c r="KY44" s="2854"/>
      <c r="KZ44" s="2854"/>
      <c r="LA44" s="2854"/>
      <c r="LB44" s="2854"/>
      <c r="LC44" s="2854"/>
      <c r="LD44" s="2854"/>
      <c r="LE44" s="2854"/>
      <c r="LF44" s="2854"/>
      <c r="LG44" s="2854"/>
      <c r="LH44" s="2854"/>
      <c r="LI44" s="2854"/>
      <c r="LJ44" s="2854"/>
      <c r="LK44" s="2854"/>
      <c r="LL44" s="2854"/>
      <c r="LM44" s="2854"/>
      <c r="LN44" s="2854"/>
      <c r="LO44" s="2854"/>
      <c r="LP44" s="2854"/>
      <c r="LQ44" s="2854"/>
      <c r="LR44" s="2854"/>
      <c r="LS44" s="2854"/>
      <c r="LT44" s="2854"/>
      <c r="LU44" s="2854"/>
      <c r="LV44" s="2854"/>
      <c r="LW44" s="2854"/>
      <c r="LX44" s="2854"/>
      <c r="LY44" s="2854"/>
      <c r="LZ44" s="2854"/>
      <c r="MA44" s="2854"/>
      <c r="MB44" s="2854"/>
      <c r="MC44" s="2854"/>
      <c r="MD44" s="2854"/>
      <c r="ME44" s="2854"/>
      <c r="MF44" s="2854"/>
      <c r="MG44" s="2854"/>
      <c r="MH44" s="2854"/>
      <c r="MI44" s="2854"/>
      <c r="MJ44" s="2854"/>
      <c r="MK44" s="2854"/>
      <c r="ML44" s="2854"/>
      <c r="MM44" s="2854"/>
      <c r="MN44" s="2854"/>
      <c r="MO44" s="2854"/>
      <c r="MP44" s="2854"/>
      <c r="MQ44" s="2854"/>
      <c r="MR44" s="2854"/>
      <c r="MS44" s="2854"/>
      <c r="MT44" s="2854"/>
      <c r="MU44" s="2854"/>
      <c r="MV44" s="2854"/>
      <c r="MW44" s="2854"/>
      <c r="MX44" s="2854"/>
      <c r="MY44" s="2854"/>
      <c r="MZ44" s="2854"/>
      <c r="NA44" s="2854"/>
      <c r="NB44" s="2854"/>
      <c r="NC44" s="2854"/>
      <c r="ND44" s="2854"/>
      <c r="NE44" s="2854"/>
      <c r="NF44" s="2854"/>
      <c r="NG44" s="2854"/>
      <c r="NH44" s="2854"/>
      <c r="NI44" s="2854"/>
      <c r="NJ44" s="2854"/>
      <c r="NK44" s="2854"/>
      <c r="NL44" s="2854"/>
      <c r="NM44" s="2854"/>
      <c r="NN44" s="2854"/>
      <c r="NO44" s="2854"/>
      <c r="NP44" s="2854"/>
      <c r="NQ44" s="2854"/>
      <c r="NR44" s="2854"/>
      <c r="NS44" s="2854"/>
      <c r="NT44" s="2854"/>
      <c r="NU44" s="2854"/>
      <c r="NV44" s="2854"/>
      <c r="NW44" s="2854"/>
      <c r="NX44" s="2854"/>
      <c r="NY44" s="2854"/>
      <c r="NZ44" s="2854"/>
      <c r="OA44" s="2854"/>
      <c r="OB44" s="2854"/>
      <c r="OC44" s="2854"/>
      <c r="OD44" s="2854"/>
      <c r="OE44" s="2854"/>
      <c r="OF44" s="2854"/>
      <c r="OG44" s="2854"/>
      <c r="OH44" s="2854"/>
      <c r="OI44" s="2854"/>
      <c r="OJ44" s="2854"/>
      <c r="OK44" s="2854"/>
      <c r="OL44" s="2854"/>
      <c r="OM44" s="2854"/>
      <c r="ON44" s="2854"/>
      <c r="OO44" s="2854"/>
      <c r="OP44" s="2854"/>
      <c r="OQ44" s="2854"/>
      <c r="OR44" s="2854"/>
      <c r="OS44" s="2854"/>
      <c r="OT44" s="2854"/>
      <c r="OU44" s="2854"/>
      <c r="OV44" s="2854"/>
      <c r="OW44" s="2854"/>
      <c r="OX44" s="2854"/>
      <c r="OY44" s="2854"/>
      <c r="OZ44" s="2854"/>
      <c r="PA44" s="2854"/>
      <c r="PB44" s="2854"/>
      <c r="PC44" s="2854"/>
      <c r="PD44" s="2854"/>
      <c r="PE44" s="2854"/>
      <c r="PF44" s="2854"/>
      <c r="PG44" s="2854"/>
      <c r="PH44" s="2854"/>
      <c r="PI44" s="2854"/>
      <c r="PJ44" s="2854"/>
      <c r="PK44" s="2854"/>
      <c r="PL44" s="2854"/>
      <c r="PM44" s="2854"/>
      <c r="PN44" s="2854"/>
      <c r="PO44" s="2854"/>
      <c r="PP44" s="2854"/>
      <c r="PQ44" s="2854"/>
      <c r="PR44" s="2854"/>
      <c r="PS44" s="2854"/>
      <c r="PT44" s="2854"/>
      <c r="PU44" s="2854"/>
      <c r="PV44" s="2854"/>
      <c r="PW44" s="2854"/>
      <c r="PX44" s="2854"/>
      <c r="PY44" s="2854"/>
      <c r="PZ44" s="2854"/>
      <c r="QA44" s="2854"/>
      <c r="QB44" s="2854"/>
      <c r="QC44" s="2854"/>
      <c r="QD44" s="2854"/>
      <c r="QE44" s="2854"/>
      <c r="QF44" s="2854"/>
      <c r="QG44" s="2854"/>
      <c r="QH44" s="2854"/>
      <c r="QI44" s="2854"/>
      <c r="QJ44" s="2854"/>
      <c r="QK44" s="2854"/>
      <c r="QL44" s="2854"/>
      <c r="QM44" s="2854"/>
      <c r="QN44" s="2854"/>
      <c r="QO44" s="2854"/>
      <c r="QP44" s="2854"/>
      <c r="QQ44" s="2854"/>
      <c r="QR44" s="2854"/>
      <c r="QS44" s="2854"/>
      <c r="QT44" s="2854"/>
      <c r="QU44" s="2854"/>
      <c r="QV44" s="2854"/>
      <c r="QW44" s="2854"/>
      <c r="QX44" s="2854"/>
      <c r="QY44" s="2854"/>
      <c r="QZ44" s="2854"/>
      <c r="RA44" s="2854"/>
      <c r="RB44" s="2854"/>
      <c r="RC44" s="2854"/>
      <c r="RD44" s="2854"/>
      <c r="RE44" s="2854"/>
      <c r="RF44" s="2854"/>
      <c r="RG44" s="2854"/>
      <c r="RH44" s="2854"/>
      <c r="RI44" s="2854"/>
      <c r="RJ44" s="2854"/>
      <c r="RK44" s="2854"/>
      <c r="RL44" s="2854"/>
      <c r="RM44" s="2854"/>
      <c r="RN44" s="2854"/>
      <c r="RO44" s="2854"/>
      <c r="RP44" s="2854"/>
      <c r="RQ44" s="2854"/>
      <c r="RR44" s="2854"/>
      <c r="RS44" s="2854"/>
      <c r="RT44" s="2854"/>
      <c r="RU44" s="2854"/>
      <c r="RV44" s="2854"/>
      <c r="RW44" s="2854"/>
      <c r="RX44" s="2854"/>
      <c r="RY44" s="2854"/>
      <c r="RZ44" s="2854"/>
      <c r="SA44" s="2854"/>
      <c r="SB44" s="2854"/>
      <c r="SC44" s="2854"/>
      <c r="SD44" s="2854"/>
      <c r="SE44" s="2854"/>
      <c r="SF44" s="2854"/>
      <c r="SG44" s="2854"/>
      <c r="SH44" s="2854"/>
      <c r="SI44" s="2854"/>
      <c r="SJ44" s="2854"/>
      <c r="SK44" s="2854"/>
      <c r="SL44" s="2854"/>
      <c r="SM44" s="2854"/>
      <c r="SN44" s="2854"/>
      <c r="SO44" s="2854"/>
      <c r="SP44" s="2854"/>
      <c r="SQ44" s="2854"/>
      <c r="SR44" s="2854"/>
      <c r="SS44" s="2854"/>
      <c r="ST44" s="2854"/>
      <c r="SU44" s="2854"/>
      <c r="SV44" s="2854"/>
      <c r="SW44" s="2854"/>
      <c r="SX44" s="2854"/>
      <c r="SY44" s="2854"/>
      <c r="SZ44" s="2854"/>
      <c r="TA44" s="2854"/>
      <c r="TB44" s="2854"/>
      <c r="TC44" s="2854"/>
      <c r="TD44" s="2854"/>
      <c r="TE44" s="2854"/>
      <c r="TF44" s="2854"/>
      <c r="TG44" s="2854"/>
      <c r="TH44" s="2854"/>
      <c r="TI44" s="2854"/>
      <c r="TJ44" s="2854"/>
      <c r="TK44" s="2854"/>
      <c r="TL44" s="2854"/>
      <c r="TM44" s="2854"/>
      <c r="TN44" s="2854"/>
      <c r="TO44" s="2854"/>
      <c r="TP44" s="2854"/>
      <c r="TQ44" s="2854"/>
      <c r="TR44" s="2854"/>
      <c r="TS44" s="2854"/>
      <c r="TT44" s="2854"/>
      <c r="TU44" s="3783"/>
      <c r="TV44" s="3783"/>
      <c r="TW44" s="3783"/>
      <c r="TX44" s="3783"/>
      <c r="TY44" s="3783"/>
      <c r="TZ44" s="3783"/>
      <c r="UA44" s="3783"/>
      <c r="UB44" s="3783"/>
      <c r="UC44" s="3783"/>
      <c r="UD44" s="3783"/>
      <c r="UE44" s="3783"/>
      <c r="UF44" s="3783"/>
      <c r="UG44" s="3783"/>
      <c r="UH44" s="3783"/>
      <c r="UI44" s="3783"/>
      <c r="UJ44" s="3783"/>
      <c r="UK44" s="3783"/>
      <c r="UL44" s="3783"/>
      <c r="UM44" s="3783"/>
      <c r="UN44" s="3783"/>
      <c r="UO44" s="3783"/>
      <c r="UP44" s="2854"/>
      <c r="UQ44" s="2854"/>
      <c r="UR44" s="2854"/>
      <c r="US44" s="2854"/>
      <c r="UT44" s="2854"/>
      <c r="UU44" s="2854"/>
      <c r="UV44" s="2854"/>
      <c r="UW44" s="2854"/>
      <c r="UX44" s="2854"/>
      <c r="UY44" s="2854"/>
      <c r="UZ44" s="2854"/>
      <c r="VA44" s="2854"/>
      <c r="VB44" s="2854"/>
      <c r="VC44" s="2854"/>
      <c r="VD44" s="2854"/>
      <c r="VE44" s="2854"/>
      <c r="VF44" s="2854"/>
      <c r="VG44" s="2854"/>
      <c r="VH44" s="2854"/>
      <c r="VI44" s="2854"/>
      <c r="VJ44" s="2854"/>
      <c r="VK44" s="2854"/>
      <c r="VL44" s="2854"/>
      <c r="VM44" s="2854"/>
      <c r="VN44" s="2854"/>
      <c r="VO44" s="2854"/>
      <c r="VP44" s="2854"/>
      <c r="VQ44" s="2854"/>
      <c r="VR44" s="2854"/>
      <c r="VS44" s="2854"/>
      <c r="VT44" s="2854"/>
      <c r="VU44" s="2854"/>
      <c r="VV44" s="2854"/>
      <c r="VW44" s="2854"/>
      <c r="VX44" s="2854"/>
      <c r="VY44" s="2854"/>
      <c r="VZ44" s="2854"/>
      <c r="WA44" s="2854"/>
      <c r="WB44" s="2854"/>
      <c r="WC44" s="2854"/>
      <c r="WD44" s="2854"/>
      <c r="WE44" s="2854"/>
      <c r="WF44" s="2854"/>
      <c r="WG44" s="2854"/>
      <c r="WH44" s="2854"/>
      <c r="WI44" s="2854"/>
      <c r="WJ44" s="2854"/>
      <c r="WK44" s="2854"/>
      <c r="WL44" s="2854"/>
      <c r="WM44" s="2854"/>
      <c r="WN44" s="2854"/>
      <c r="WO44" s="2854"/>
      <c r="WP44" s="2854"/>
      <c r="WQ44" s="2854"/>
      <c r="WR44" s="2854"/>
      <c r="WS44" s="2854"/>
      <c r="WT44" s="2854"/>
      <c r="WU44" s="2854"/>
      <c r="WV44" s="2854"/>
      <c r="WW44" s="2854"/>
      <c r="WX44" s="2854"/>
      <c r="WY44" s="2854"/>
      <c r="WZ44" s="2854"/>
      <c r="XA44" s="2854"/>
      <c r="XB44" s="2854"/>
      <c r="XC44" s="2854"/>
      <c r="XD44" s="2854"/>
      <c r="XE44" s="2854"/>
      <c r="XF44" s="2854"/>
      <c r="XG44" s="2854"/>
      <c r="XH44" s="2854"/>
      <c r="XI44" s="2854"/>
      <c r="XJ44" s="2854"/>
      <c r="XK44" s="2854"/>
      <c r="XL44" s="2854"/>
      <c r="XM44" s="2854"/>
      <c r="XN44" s="2854"/>
      <c r="XO44" s="2854"/>
      <c r="XP44" s="2854"/>
      <c r="XQ44" s="2854"/>
      <c r="XR44" s="2854"/>
      <c r="XS44" s="2854"/>
      <c r="XT44" s="2854"/>
      <c r="XU44" s="2854"/>
      <c r="XV44" s="2854"/>
      <c r="XW44" s="2854"/>
      <c r="XX44" s="2854"/>
      <c r="XY44" s="2854"/>
      <c r="XZ44" s="2854"/>
      <c r="YA44" s="2854"/>
      <c r="YB44" s="2854"/>
      <c r="YC44" s="2854"/>
      <c r="YD44" s="2854"/>
      <c r="YE44" s="2854"/>
      <c r="YF44" s="2854"/>
      <c r="YG44" s="2854"/>
      <c r="YH44" s="2854"/>
      <c r="YI44" s="2854"/>
      <c r="YJ44" s="2854"/>
      <c r="YK44" s="2854"/>
      <c r="YL44" s="2854"/>
      <c r="YM44" s="2854"/>
      <c r="YN44" s="2854"/>
      <c r="YO44" s="2854"/>
      <c r="YP44" s="2854"/>
      <c r="YQ44" s="2854"/>
      <c r="YR44" s="2854"/>
      <c r="YS44" s="2854"/>
      <c r="YT44" s="2854"/>
      <c r="YU44" s="2854"/>
      <c r="YV44" s="2854"/>
      <c r="YW44" s="2854"/>
      <c r="YX44" s="2854"/>
      <c r="YY44" s="2854"/>
      <c r="YZ44" s="2854"/>
      <c r="ZA44" s="2854"/>
      <c r="ZB44" s="2854"/>
      <c r="ZC44" s="2854"/>
      <c r="ZD44" s="2854"/>
      <c r="ZE44" s="2854"/>
      <c r="ZF44" s="2854"/>
      <c r="ZG44" s="2854"/>
      <c r="ZH44" s="2854"/>
      <c r="ZI44" s="2854"/>
      <c r="ZJ44" s="2854"/>
      <c r="ZK44" s="2854"/>
      <c r="ZL44" s="2854"/>
      <c r="ZM44" s="2854"/>
      <c r="ZN44" s="2854"/>
      <c r="ZO44" s="2854"/>
      <c r="ZP44" s="2854"/>
      <c r="ZQ44" s="2854"/>
      <c r="ZR44" s="2854"/>
      <c r="ZS44" s="2854"/>
      <c r="ZT44" s="2854"/>
      <c r="ZU44" s="2854"/>
      <c r="ZV44" s="2854"/>
      <c r="ZW44" s="2854"/>
      <c r="ZX44" s="2854"/>
      <c r="ZY44" s="2854"/>
      <c r="ZZ44" s="2854"/>
      <c r="AAA44" s="2854"/>
      <c r="AAB44" s="2854"/>
      <c r="AAC44" s="2854"/>
      <c r="AAD44" s="2854"/>
      <c r="AAE44" s="2854"/>
      <c r="AAF44" s="2854"/>
      <c r="AAG44" s="2854"/>
      <c r="AAH44" s="2854"/>
      <c r="AAI44" s="2854"/>
      <c r="AAJ44" s="2854"/>
      <c r="AAK44" s="2854"/>
      <c r="AAL44" s="2854"/>
      <c r="AAM44" s="2854"/>
      <c r="AAN44" s="2854"/>
      <c r="AAO44" s="2854"/>
      <c r="AAP44" s="2854"/>
      <c r="AAQ44" s="2854"/>
      <c r="AAR44" s="2854"/>
      <c r="AAS44" s="2854"/>
      <c r="AAT44" s="2854"/>
      <c r="AAU44" s="2854"/>
      <c r="AAV44" s="2854"/>
      <c r="AAW44" s="2854"/>
      <c r="AAX44" s="2854"/>
      <c r="AAY44" s="2854"/>
      <c r="AAZ44" s="2854"/>
      <c r="ABA44" s="2854"/>
      <c r="ABB44" s="2854"/>
      <c r="ABC44" s="2854"/>
      <c r="ABD44" s="2854"/>
      <c r="ABE44" s="2854"/>
      <c r="ABF44" s="2854"/>
      <c r="ABG44" s="2854"/>
      <c r="ABH44" s="2854"/>
      <c r="ABI44" s="2854"/>
      <c r="ABJ44" s="2854"/>
      <c r="ABK44" s="2854"/>
      <c r="ABL44" s="2854"/>
      <c r="ABM44" s="2854"/>
      <c r="ABN44" s="2854"/>
      <c r="ABO44" s="2854"/>
      <c r="ABP44" s="2854"/>
      <c r="ABQ44" s="2854"/>
      <c r="ABR44" s="2854"/>
      <c r="ABS44" s="2854"/>
      <c r="ABT44" s="2854"/>
      <c r="ABU44" s="2854"/>
      <c r="ABV44" s="2854"/>
      <c r="ABW44" s="2854"/>
      <c r="ABX44" s="2854"/>
      <c r="ABY44" s="2854"/>
      <c r="ABZ44" s="2854"/>
      <c r="ACA44" s="2854"/>
      <c r="ACB44" s="2854"/>
      <c r="ACC44" s="2854"/>
      <c r="ACD44" s="2854"/>
      <c r="ACE44" s="2854"/>
      <c r="ACF44" s="2854"/>
      <c r="ACG44" s="2854"/>
      <c r="ACH44" s="2854"/>
      <c r="ACI44" s="2854"/>
      <c r="ACJ44" s="2854"/>
      <c r="ACK44" s="2854"/>
      <c r="ACL44" s="2854"/>
      <c r="ACM44" s="2854"/>
      <c r="ACN44" s="2854"/>
      <c r="ACO44" s="2854"/>
      <c r="ACP44" s="2854"/>
      <c r="ACQ44" s="2854"/>
      <c r="ACR44" s="2854"/>
      <c r="ACS44" s="2854"/>
      <c r="ACT44" s="2854"/>
      <c r="ACU44" s="2854"/>
      <c r="ACV44" s="2854"/>
      <c r="ACW44" s="2854"/>
      <c r="ACX44" s="2854"/>
      <c r="ACY44" s="2854"/>
      <c r="ACZ44" s="2854"/>
      <c r="ADA44" s="2854"/>
      <c r="ADB44" s="2854"/>
      <c r="ADC44" s="2854"/>
      <c r="ADD44" s="2854"/>
      <c r="ADE44" s="2854"/>
      <c r="ADF44" s="2854"/>
      <c r="ADG44" s="2854"/>
      <c r="ADH44" s="2854"/>
      <c r="ADI44" s="2854"/>
      <c r="ADJ44" s="2854"/>
      <c r="ADK44" s="2854"/>
      <c r="ADL44" s="2854"/>
      <c r="ADM44" s="2854"/>
      <c r="ADN44" s="2854"/>
      <c r="ADO44" s="2854"/>
      <c r="ADP44" s="2854"/>
      <c r="ADQ44" s="2854"/>
      <c r="ADR44" s="2854"/>
      <c r="ADS44" s="2854"/>
      <c r="ADT44" s="2854"/>
      <c r="ADU44" s="2854"/>
      <c r="ADV44" s="2854"/>
      <c r="ADW44" s="2854"/>
      <c r="ADX44" s="2854"/>
      <c r="ADY44" s="2854"/>
      <c r="ADZ44" s="2854"/>
      <c r="AEA44" s="2854"/>
      <c r="AEB44" s="2854"/>
      <c r="AEC44" s="2854"/>
      <c r="AED44" s="2854"/>
      <c r="AEE44" s="2854"/>
      <c r="AEF44" s="2854"/>
      <c r="AEG44" s="2854"/>
      <c r="AEH44" s="2854"/>
      <c r="AEI44" s="2854"/>
      <c r="AEJ44" s="2854"/>
      <c r="AEK44" s="2854"/>
      <c r="AEL44" s="2854"/>
      <c r="AEM44" s="2854"/>
      <c r="AEN44" s="2854"/>
      <c r="AEO44" s="2854"/>
      <c r="AEP44" s="2854"/>
      <c r="AEQ44" s="2854"/>
      <c r="AER44" s="2854"/>
      <c r="AES44" s="2854"/>
      <c r="AET44" s="2854"/>
      <c r="AEU44" s="2854"/>
      <c r="AEV44" s="2854"/>
      <c r="AEW44" s="2854"/>
      <c r="AEX44" s="2854"/>
      <c r="AEY44" s="2854"/>
      <c r="AEZ44" s="2854"/>
      <c r="AFA44" s="2854"/>
      <c r="AFB44" s="2854"/>
      <c r="AFC44" s="2854"/>
      <c r="AFD44" s="2854"/>
      <c r="AFE44" s="2854"/>
      <c r="AFF44" s="2854"/>
      <c r="AFG44" s="2854"/>
      <c r="AFH44" s="2854"/>
      <c r="AFI44" s="2854"/>
      <c r="AFJ44" s="2854"/>
      <c r="AFK44" s="2854"/>
      <c r="AFL44" s="2854"/>
      <c r="AFM44" s="2854"/>
      <c r="AFN44" s="2854"/>
      <c r="AFO44" s="2854"/>
      <c r="AFP44" s="2854"/>
      <c r="AFQ44" s="2854"/>
      <c r="AFR44" s="2854"/>
      <c r="AFS44" s="2854"/>
      <c r="AFT44" s="2854"/>
      <c r="AFU44" s="2854"/>
      <c r="AFV44" s="2854"/>
      <c r="AFW44" s="2854"/>
      <c r="AFX44" s="2854"/>
      <c r="AFY44" s="2854"/>
      <c r="AFZ44" s="2854"/>
      <c r="AGA44" s="2854"/>
      <c r="AGB44" s="2854"/>
      <c r="AGC44" s="2854"/>
      <c r="AGD44" s="2854"/>
      <c r="AGE44" s="2854"/>
      <c r="AGF44" s="2854"/>
      <c r="AGG44" s="2854"/>
      <c r="AGH44" s="2854"/>
      <c r="AGI44" s="2854"/>
      <c r="AGJ44" s="2854"/>
      <c r="AGK44" s="2854"/>
      <c r="AGL44" s="2854"/>
      <c r="AGM44" s="2854"/>
      <c r="AGN44" s="2854"/>
      <c r="AGO44" s="2854"/>
      <c r="AGP44" s="2854"/>
      <c r="AGQ44" s="2854"/>
      <c r="AGR44" s="2854"/>
      <c r="AGS44" s="2854"/>
      <c r="AGT44" s="2854"/>
      <c r="AGU44" s="2854"/>
      <c r="AGV44" s="2854"/>
      <c r="AGW44" s="2854"/>
      <c r="AGX44" s="2854"/>
      <c r="AGY44" s="2854"/>
      <c r="AGZ44" s="2854"/>
      <c r="AHA44" s="2854"/>
      <c r="AHB44" s="2854"/>
      <c r="AHC44" s="2854"/>
      <c r="AHD44" s="2854"/>
      <c r="AHE44" s="2854"/>
      <c r="AHF44" s="2854"/>
      <c r="AHG44" s="2854"/>
      <c r="AHH44" s="2854"/>
      <c r="AHI44" s="2854"/>
      <c r="AHJ44" s="2854"/>
      <c r="AHK44" s="2854"/>
      <c r="AHL44" s="2854"/>
      <c r="AHM44" s="2854"/>
      <c r="AHN44" s="2854"/>
      <c r="AHO44" s="2854"/>
      <c r="AHP44" s="2854"/>
      <c r="AHQ44" s="2854"/>
      <c r="AHR44" s="2854"/>
      <c r="AHS44" s="2854"/>
      <c r="AHT44" s="2854"/>
      <c r="AHU44" s="2854"/>
      <c r="AHV44" s="2854"/>
      <c r="AHW44" s="2854"/>
      <c r="AHX44" s="2854"/>
      <c r="AHY44" s="2854"/>
      <c r="AHZ44" s="2854"/>
      <c r="AIA44" s="2854"/>
      <c r="AIB44" s="2854"/>
      <c r="AIC44" s="2854"/>
      <c r="AID44" s="2854"/>
      <c r="AIE44" s="2854"/>
      <c r="AIF44" s="2854"/>
      <c r="AIG44" s="2854"/>
      <c r="AIH44" s="2854"/>
      <c r="AII44" s="2854"/>
      <c r="AIJ44" s="2854"/>
      <c r="AIK44" s="2854"/>
      <c r="AIL44" s="2854"/>
      <c r="AIM44" s="2854"/>
      <c r="AIN44" s="2854"/>
      <c r="AIO44" s="2854"/>
      <c r="AIP44" s="2854"/>
      <c r="AIQ44" s="2854"/>
      <c r="AIR44" s="2854"/>
      <c r="AIS44" s="2854"/>
      <c r="AIT44" s="2854"/>
      <c r="AIU44" s="2854"/>
      <c r="AIV44" s="2854"/>
      <c r="AIW44" s="2854"/>
      <c r="AIX44" s="2854"/>
      <c r="AIY44" s="2854"/>
      <c r="AIZ44" s="2854"/>
      <c r="AJA44" s="2854"/>
      <c r="AJB44" s="2854"/>
      <c r="AJC44" s="2854"/>
      <c r="AJD44" s="2854"/>
      <c r="AJE44" s="2854"/>
      <c r="AJF44" s="2854"/>
      <c r="AJG44" s="2854"/>
      <c r="AJH44" s="2854"/>
      <c r="AJI44" s="2854"/>
      <c r="AJJ44" s="2854"/>
      <c r="AJK44" s="2854"/>
      <c r="AJL44" s="2854"/>
      <c r="AJM44" s="2854"/>
      <c r="AJN44" s="2854"/>
      <c r="AJO44" s="2854"/>
      <c r="AJP44" s="2854"/>
      <c r="AJQ44" s="2854"/>
      <c r="AJR44" s="2854"/>
      <c r="AJS44" s="2854"/>
      <c r="AJT44" s="2854"/>
      <c r="AJU44" s="2854"/>
      <c r="AJV44" s="2854"/>
      <c r="AJW44" s="2854"/>
      <c r="AJX44" s="2854"/>
      <c r="AJY44" s="2854"/>
      <c r="AJZ44" s="2854"/>
      <c r="AKA44" s="2854"/>
      <c r="AKB44" s="2854"/>
      <c r="AKC44" s="2854"/>
      <c r="AKD44" s="2854"/>
      <c r="AKE44" s="2854"/>
      <c r="AKF44" s="2854"/>
      <c r="AKG44" s="2854"/>
      <c r="AKH44" s="2854"/>
      <c r="AKI44" s="2854"/>
      <c r="AKJ44" s="2854"/>
      <c r="AKK44" s="2854"/>
      <c r="AKL44" s="2854"/>
      <c r="AKM44" s="2854"/>
      <c r="AKN44" s="2854"/>
      <c r="AKO44" s="2854"/>
      <c r="AKP44" s="2854"/>
      <c r="AKQ44" s="2854"/>
      <c r="AKR44" s="2854"/>
      <c r="AKS44" s="2854"/>
      <c r="AKT44" s="2854"/>
      <c r="AKU44" s="2854"/>
      <c r="AKV44" s="2854"/>
      <c r="AKW44" s="2854"/>
      <c r="AKX44" s="2854"/>
      <c r="AKY44" s="2854"/>
      <c r="AKZ44" s="2854"/>
      <c r="ALA44" s="2854"/>
      <c r="ALB44" s="2854"/>
      <c r="ALC44" s="2854"/>
      <c r="ALD44" s="2854"/>
      <c r="ALE44" s="2854"/>
      <c r="ALF44" s="2854"/>
      <c r="ALG44" s="2854"/>
      <c r="ALH44" s="2854"/>
      <c r="ALI44" s="2854"/>
      <c r="ALJ44" s="2854"/>
      <c r="ALK44" s="2854"/>
      <c r="ALL44" s="2854"/>
      <c r="ALM44" s="2854"/>
      <c r="ALN44" s="2854"/>
      <c r="ALO44" s="2854"/>
      <c r="ALP44" s="2854"/>
      <c r="ALQ44" s="2854"/>
      <c r="ALR44" s="2854"/>
      <c r="ALS44" s="2854"/>
      <c r="ALT44" s="2854"/>
      <c r="ALU44" s="2854"/>
      <c r="ALV44" s="2854"/>
      <c r="ALW44" s="2854"/>
      <c r="ALX44" s="2854"/>
      <c r="ALY44" s="2854"/>
      <c r="ALZ44" s="2854"/>
      <c r="AMA44" s="2854"/>
      <c r="AMB44" s="2854"/>
      <c r="AMC44" s="2854"/>
      <c r="AMD44" s="2854"/>
      <c r="AME44" s="2854"/>
      <c r="AMF44" s="2854"/>
      <c r="AMG44" s="2854"/>
      <c r="AMH44" s="2854"/>
      <c r="AMI44" s="2854"/>
      <c r="AMJ44" s="2854"/>
      <c r="AMK44" s="2854"/>
      <c r="AML44" s="2854"/>
      <c r="AMM44" s="2854"/>
      <c r="AMN44" s="2854"/>
      <c r="AMO44" s="2854"/>
      <c r="AMP44" s="2854"/>
      <c r="AMQ44" s="2854"/>
      <c r="AMR44" s="2854"/>
      <c r="AMS44" s="2854"/>
      <c r="AMT44" s="2854"/>
      <c r="AMU44" s="2854"/>
      <c r="AMV44" s="2854"/>
      <c r="AMW44" s="2854"/>
      <c r="AMX44" s="2854"/>
      <c r="AMY44" s="2854"/>
      <c r="AMZ44" s="2854"/>
      <c r="ANA44" s="2854"/>
      <c r="ANB44" s="2854"/>
      <c r="ANC44" s="2854"/>
      <c r="AND44" s="2854"/>
      <c r="ANE44" s="2854"/>
      <c r="ANF44" s="2854"/>
      <c r="ANG44" s="2854"/>
      <c r="ANH44" s="2854"/>
      <c r="ANI44" s="2854"/>
      <c r="ANJ44" s="2854"/>
      <c r="ANK44" s="2854"/>
      <c r="ANL44" s="2854"/>
      <c r="ANM44" s="2854"/>
      <c r="ANN44" s="2854"/>
      <c r="ANO44" s="2854"/>
      <c r="ANP44" s="2854"/>
      <c r="ANQ44" s="2854"/>
      <c r="ANR44" s="2854"/>
      <c r="ANS44" s="2854"/>
      <c r="ANT44" s="2854"/>
      <c r="ANU44" s="2854"/>
      <c r="ANV44" s="2854"/>
      <c r="ANW44" s="2854"/>
      <c r="ANX44" s="2854"/>
      <c r="ANY44" s="2854"/>
      <c r="ANZ44" s="2854"/>
      <c r="AOA44" s="2854"/>
      <c r="AOB44" s="2854"/>
      <c r="AOC44" s="2854"/>
      <c r="AOD44" s="2854"/>
      <c r="AOE44" s="2854"/>
      <c r="AOF44" s="2854"/>
      <c r="AOG44" s="2854"/>
      <c r="AOH44" s="2854"/>
      <c r="AOI44" s="2854"/>
      <c r="AOJ44" s="2854"/>
      <c r="AOK44" s="2854"/>
      <c r="AOL44" s="2854"/>
      <c r="AOM44" s="2854"/>
      <c r="AON44" s="2854"/>
      <c r="AOO44" s="2854"/>
      <c r="AOP44" s="2854"/>
      <c r="AOQ44" s="2854"/>
      <c r="AOR44" s="2854"/>
      <c r="AOS44" s="2854"/>
      <c r="AOT44" s="2854"/>
      <c r="AOU44" s="2854"/>
      <c r="AOV44" s="2854"/>
      <c r="AOW44" s="2854"/>
      <c r="AOX44" s="2854"/>
      <c r="AOY44" s="2854"/>
      <c r="AOZ44" s="2854"/>
      <c r="APA44" s="2854"/>
      <c r="APB44" s="2854"/>
      <c r="APC44" s="2854"/>
      <c r="APD44" s="2854"/>
      <c r="APE44" s="2854"/>
      <c r="APF44" s="2854"/>
      <c r="APG44" s="2854"/>
      <c r="APH44" s="2854"/>
      <c r="API44" s="2854"/>
      <c r="APJ44" s="2854"/>
      <c r="APK44" s="2854"/>
      <c r="APL44" s="2854"/>
      <c r="APM44" s="2854"/>
      <c r="APN44" s="2854"/>
      <c r="APO44" s="2854"/>
      <c r="APP44" s="2854"/>
      <c r="APQ44" s="2854"/>
      <c r="APR44" s="2854"/>
      <c r="APS44" s="2854"/>
      <c r="APT44" s="2854"/>
      <c r="APU44" s="2854"/>
      <c r="APV44" s="2854"/>
      <c r="APW44" s="2854"/>
      <c r="APX44" s="2854"/>
      <c r="APY44" s="2854"/>
      <c r="APZ44" s="2854"/>
      <c r="AQA44" s="2854"/>
      <c r="AQB44" s="2854"/>
      <c r="AQC44" s="2854"/>
      <c r="AQD44" s="2854"/>
      <c r="AQE44" s="2854"/>
      <c r="AQF44" s="2854"/>
      <c r="AQG44" s="2854"/>
      <c r="AQH44" s="2854"/>
      <c r="AQI44" s="2854"/>
      <c r="AQJ44" s="2854"/>
      <c r="AQK44" s="2854"/>
      <c r="AQL44" s="2854"/>
      <c r="AQM44" s="2854"/>
      <c r="AQN44" s="2854"/>
      <c r="AQO44" s="2854"/>
      <c r="AQP44" s="2854"/>
      <c r="AQQ44" s="2854"/>
      <c r="AQR44" s="2854"/>
      <c r="AQS44" s="2854"/>
      <c r="AQT44" s="2854"/>
      <c r="AQU44" s="2854"/>
      <c r="AQV44" s="2854"/>
      <c r="AQW44" s="2854"/>
      <c r="AQX44" s="2854"/>
      <c r="AQY44" s="2854"/>
      <c r="AQZ44" s="2854"/>
      <c r="ARA44" s="2854"/>
      <c r="ARB44" s="2854"/>
      <c r="ARC44" s="2854"/>
      <c r="ARD44" s="2854"/>
      <c r="ARE44" s="2854"/>
      <c r="ARF44" s="2854"/>
      <c r="ARG44" s="2854"/>
      <c r="ARH44" s="2854"/>
      <c r="ARI44" s="2854"/>
      <c r="ARJ44" s="2854"/>
      <c r="ARK44" s="2854"/>
      <c r="ARL44" s="2854"/>
      <c r="ARM44" s="2854"/>
      <c r="ARN44" s="2854"/>
      <c r="ARO44" s="2854"/>
      <c r="ARP44" s="2854"/>
      <c r="ARQ44" s="2854"/>
      <c r="ARR44" s="2854"/>
      <c r="ARS44" s="2854"/>
      <c r="ART44" s="2854"/>
      <c r="ARU44" s="2854"/>
      <c r="ARV44" s="2854"/>
      <c r="ARW44" s="2854"/>
      <c r="ARX44" s="2854"/>
      <c r="ARY44" s="2854"/>
      <c r="ARZ44" s="2854"/>
      <c r="ASA44" s="2854"/>
      <c r="ASB44" s="2854"/>
      <c r="ASC44" s="2854"/>
      <c r="ASD44" s="2854"/>
      <c r="ASE44" s="2854"/>
      <c r="ASF44" s="2854"/>
      <c r="ASG44" s="2854"/>
      <c r="ASH44" s="2854"/>
      <c r="ASI44" s="2854"/>
      <c r="ASJ44" s="2854"/>
      <c r="ASK44" s="2854"/>
      <c r="ASL44" s="2854"/>
      <c r="ASM44" s="2854"/>
      <c r="ASN44" s="2854"/>
      <c r="ASO44" s="2854"/>
      <c r="ASP44" s="2854"/>
      <c r="ASQ44" s="2854"/>
      <c r="ASR44" s="2854"/>
      <c r="ASS44" s="2854"/>
      <c r="AST44" s="2854"/>
      <c r="ASU44" s="2854"/>
      <c r="ASV44" s="2854"/>
      <c r="ASW44" s="2854"/>
      <c r="ASX44" s="2854"/>
      <c r="ASY44" s="2854"/>
      <c r="ASZ44" s="2854"/>
      <c r="ATA44" s="2854"/>
      <c r="ATB44" s="2854"/>
      <c r="ATC44" s="2854"/>
      <c r="ATD44" s="2854"/>
      <c r="ATE44" s="2854"/>
      <c r="ATF44" s="2854"/>
      <c r="ATG44" s="2854"/>
      <c r="ATH44" s="2854"/>
      <c r="ATI44" s="2854"/>
      <c r="ATJ44" s="2854"/>
      <c r="ATK44" s="2854"/>
      <c r="ATL44" s="2854"/>
      <c r="ATM44" s="2854"/>
      <c r="ATN44" s="2854"/>
      <c r="ATO44" s="2854"/>
      <c r="ATP44" s="2854"/>
      <c r="ATQ44" s="2854"/>
      <c r="ATR44" s="2854"/>
      <c r="ATS44" s="2854"/>
      <c r="ATT44" s="2854"/>
      <c r="ATU44" s="2854"/>
      <c r="ATV44" s="2854"/>
      <c r="ATW44" s="2854"/>
      <c r="ATX44" s="2854"/>
      <c r="ATY44" s="2854"/>
      <c r="ATZ44" s="2854"/>
      <c r="AUA44" s="2854"/>
      <c r="AUB44" s="2854"/>
      <c r="AUC44" s="2854"/>
      <c r="AUD44" s="2854"/>
      <c r="AUE44" s="2854"/>
      <c r="AUF44" s="2854"/>
      <c r="AUG44" s="2854"/>
      <c r="AUH44" s="2854"/>
      <c r="AUI44" s="2854"/>
      <c r="AUJ44" s="2854"/>
      <c r="AUK44" s="2854"/>
      <c r="AUL44" s="2854"/>
      <c r="AUM44" s="2854"/>
      <c r="AUN44" s="2854"/>
      <c r="AUO44" s="2854"/>
      <c r="AUP44" s="2854"/>
      <c r="AUQ44" s="2854"/>
      <c r="AUR44" s="2854"/>
      <c r="AUS44" s="2854"/>
      <c r="AUT44" s="2854"/>
      <c r="AUU44" s="2854"/>
      <c r="AUV44" s="2854"/>
      <c r="AUW44" s="2854"/>
      <c r="AUX44" s="2854"/>
      <c r="AUY44" s="2854"/>
      <c r="AUZ44" s="2854"/>
      <c r="AVA44" s="2854"/>
      <c r="AVB44" s="2854"/>
      <c r="AVC44" s="2854"/>
      <c r="AVD44" s="2854"/>
      <c r="AVE44" s="2854"/>
      <c r="AVF44" s="2854"/>
      <c r="AVG44" s="2854"/>
      <c r="AVH44" s="2854"/>
      <c r="AVI44" s="2854"/>
      <c r="AVJ44" s="2854"/>
      <c r="AVK44" s="2854"/>
      <c r="AVL44" s="2854"/>
      <c r="AVM44" s="2854"/>
      <c r="AVN44" s="2854"/>
      <c r="AVO44" s="2854"/>
      <c r="AVP44" s="2854"/>
      <c r="AVQ44" s="2854"/>
      <c r="AVR44" s="2854"/>
      <c r="AVS44" s="2854"/>
      <c r="AVT44" s="2854"/>
      <c r="AVU44" s="2854"/>
      <c r="AVV44" s="2854"/>
      <c r="AVW44" s="2854"/>
      <c r="AVX44" s="2854"/>
      <c r="AVY44" s="2854"/>
      <c r="AVZ44" s="2854"/>
      <c r="AWA44" s="2854"/>
      <c r="AWB44" s="2854"/>
      <c r="AWC44" s="2854"/>
      <c r="AWD44" s="2854"/>
      <c r="AWE44" s="2854"/>
      <c r="AWF44" s="2854"/>
      <c r="AWG44" s="2854"/>
      <c r="AWH44" s="2854"/>
      <c r="AWI44" s="2854"/>
      <c r="AWJ44" s="2854"/>
      <c r="AWK44" s="2854"/>
      <c r="AWL44" s="2854"/>
      <c r="AWM44" s="2854"/>
      <c r="AWN44" s="2854"/>
      <c r="AWO44" s="2854"/>
      <c r="AWP44" s="2854"/>
      <c r="AWQ44" s="2854"/>
      <c r="AWR44" s="2854"/>
      <c r="AWS44" s="2854"/>
      <c r="AWT44" s="2854"/>
      <c r="AWU44" s="2854"/>
      <c r="AWV44" s="2854"/>
      <c r="AWW44" s="2854"/>
      <c r="AWX44" s="2854"/>
      <c r="AWY44" s="2854"/>
      <c r="AWZ44" s="2854"/>
      <c r="AXA44" s="2854"/>
      <c r="AXB44" s="2854"/>
      <c r="AXC44" s="2854"/>
      <c r="AXD44" s="2854"/>
      <c r="AXE44" s="2854"/>
      <c r="AXF44" s="2854"/>
      <c r="AXG44" s="2854"/>
      <c r="AXH44" s="2854"/>
      <c r="AXI44" s="2854"/>
      <c r="AXJ44" s="2854"/>
      <c r="AXK44" s="2854"/>
      <c r="AXL44" s="2854"/>
      <c r="AXM44" s="2854"/>
      <c r="AXN44" s="2854"/>
      <c r="AXO44" s="2854"/>
      <c r="AXP44" s="2854"/>
      <c r="AXQ44" s="2854"/>
      <c r="AXR44" s="2854"/>
      <c r="AXS44" s="2854"/>
      <c r="AXT44" s="2854"/>
      <c r="AXU44" s="2854"/>
      <c r="AXV44" s="2854"/>
      <c r="AXW44" s="2854"/>
      <c r="AXX44" s="2854"/>
      <c r="AXY44" s="2854"/>
      <c r="AXZ44" s="2854"/>
      <c r="AYA44" s="2854"/>
      <c r="AYB44" s="2854"/>
      <c r="AYC44" s="2854"/>
      <c r="AYD44" s="2854"/>
      <c r="AYE44" s="2854"/>
      <c r="AYF44" s="2854"/>
      <c r="AYG44" s="2854"/>
      <c r="AYH44" s="2854"/>
      <c r="AYI44" s="2854"/>
      <c r="AYJ44" s="2854"/>
      <c r="AYK44" s="2854"/>
      <c r="AYL44" s="2854"/>
      <c r="AYM44" s="2854"/>
      <c r="AYN44" s="2854"/>
      <c r="AYO44" s="2854"/>
      <c r="AYP44" s="2854"/>
      <c r="AYQ44" s="2854"/>
      <c r="AYR44" s="2854"/>
      <c r="AYS44" s="2854"/>
      <c r="AYT44" s="2854"/>
      <c r="AYU44" s="2854"/>
      <c r="AYV44" s="2854"/>
      <c r="AYW44" s="2854"/>
      <c r="AYX44" s="2854"/>
      <c r="AYY44" s="2854"/>
      <c r="AYZ44" s="2854"/>
      <c r="AZA44" s="2854"/>
      <c r="AZB44" s="2854"/>
      <c r="AZC44" s="2854"/>
      <c r="AZD44" s="2854"/>
      <c r="AZE44" s="2854"/>
      <c r="AZF44" s="2854"/>
      <c r="AZG44" s="2854"/>
      <c r="AZH44" s="2854"/>
      <c r="AZI44" s="2854"/>
      <c r="AZJ44" s="2854"/>
      <c r="AZK44" s="2854"/>
      <c r="AZL44" s="2854"/>
      <c r="AZM44" s="2854"/>
      <c r="AZN44" s="2854"/>
      <c r="AZO44" s="2854"/>
      <c r="AZP44" s="2854"/>
      <c r="AZQ44" s="2854"/>
      <c r="AZR44" s="2854"/>
      <c r="AZS44" s="2854"/>
      <c r="AZT44" s="2854"/>
      <c r="AZU44" s="2854"/>
      <c r="AZV44" s="2854"/>
      <c r="AZW44" s="2854"/>
      <c r="AZX44" s="2854"/>
      <c r="AZY44" s="2854"/>
      <c r="AZZ44" s="2854"/>
      <c r="BAA44" s="2854"/>
      <c r="BAB44" s="2854"/>
      <c r="BAC44" s="2854"/>
      <c r="BAD44" s="2854"/>
      <c r="BAE44" s="2854"/>
      <c r="BAF44" s="2854"/>
      <c r="BAG44" s="2854"/>
      <c r="BAH44" s="2854"/>
      <c r="BAI44" s="2854"/>
      <c r="BAJ44" s="2854"/>
      <c r="BAK44" s="2854"/>
      <c r="BAL44" s="2854"/>
      <c r="BAM44" s="2854"/>
      <c r="BAN44" s="2854"/>
      <c r="BAO44" s="2854"/>
      <c r="BAP44" s="2854"/>
      <c r="BAQ44" s="2854"/>
      <c r="BAR44" s="2854"/>
      <c r="BAS44" s="2854"/>
      <c r="BAT44" s="2854"/>
      <c r="BAU44" s="2854"/>
      <c r="BAV44" s="2854"/>
      <c r="BAW44" s="2854"/>
      <c r="BAX44" s="2854"/>
      <c r="BAY44" s="2854"/>
      <c r="BAZ44" s="2854"/>
      <c r="BBA44" s="2854"/>
      <c r="BBB44" s="2854"/>
      <c r="BBC44" s="2854"/>
      <c r="BBD44" s="2854"/>
      <c r="BBE44" s="2854"/>
      <c r="BBF44" s="2854"/>
      <c r="BBG44" s="2854"/>
      <c r="BBH44" s="2854"/>
      <c r="BBI44" s="2854"/>
      <c r="BBJ44" s="2854"/>
      <c r="BBK44" s="2854"/>
      <c r="BBL44" s="2854"/>
      <c r="BBM44" s="2854"/>
      <c r="BBN44" s="2854"/>
      <c r="BBO44" s="2854"/>
      <c r="BBP44" s="2854"/>
      <c r="BBQ44" s="2854"/>
      <c r="BBR44" s="2854"/>
      <c r="BBS44" s="2854"/>
      <c r="BBT44" s="2854"/>
      <c r="BBU44" s="2854"/>
      <c r="BBV44" s="2854"/>
      <c r="BBW44" s="2854"/>
      <c r="BBX44" s="2854"/>
      <c r="BBY44" s="2854"/>
      <c r="BBZ44" s="2854"/>
      <c r="BCA44" s="2854"/>
      <c r="BCB44" s="2854"/>
      <c r="BCC44" s="2854"/>
      <c r="BCD44" s="2854"/>
      <c r="BCE44" s="2854"/>
      <c r="BCF44" s="2854"/>
      <c r="BCG44" s="2854"/>
      <c r="BCH44" s="2854"/>
      <c r="BCI44" s="2854"/>
      <c r="BCJ44" s="2854"/>
      <c r="BCK44" s="2854"/>
      <c r="BCL44" s="2854"/>
      <c r="BCM44" s="2854"/>
      <c r="BCN44" s="2854"/>
      <c r="BCO44" s="2854"/>
      <c r="BCP44" s="2854"/>
      <c r="BCQ44" s="2854"/>
      <c r="BCR44" s="2854"/>
      <c r="BCS44" s="2854"/>
      <c r="BCT44" s="2854"/>
      <c r="BCU44" s="2854"/>
      <c r="BCV44" s="2854"/>
      <c r="BCW44" s="2854"/>
      <c r="BCX44" s="2854"/>
      <c r="BCY44" s="2854"/>
      <c r="BCZ44" s="2854"/>
      <c r="BDA44" s="2854"/>
      <c r="BDB44" s="2854"/>
      <c r="BDC44" s="2854"/>
      <c r="BDD44" s="2854"/>
      <c r="BDE44" s="2854"/>
      <c r="BDF44" s="2854"/>
      <c r="BDG44" s="2854"/>
      <c r="BDH44" s="2854"/>
      <c r="BDI44" s="2854"/>
      <c r="BDJ44" s="2854"/>
      <c r="BDK44" s="2854"/>
      <c r="BDL44" s="2854"/>
      <c r="BDM44" s="2854"/>
      <c r="BDN44" s="2854"/>
      <c r="BDO44" s="2854"/>
      <c r="BDP44" s="2854"/>
      <c r="BDQ44" s="2854"/>
      <c r="BDR44" s="2854"/>
      <c r="BDS44" s="2854"/>
      <c r="BDT44" s="2854"/>
      <c r="BDU44" s="2854"/>
      <c r="BDV44" s="2854"/>
      <c r="BDW44" s="2854"/>
      <c r="BDX44" s="2854"/>
      <c r="BDY44" s="2854"/>
      <c r="BDZ44" s="2854"/>
      <c r="BEA44" s="2854"/>
      <c r="BEB44" s="2854"/>
      <c r="BEC44" s="2854"/>
      <c r="BED44" s="2854"/>
      <c r="BEE44" s="2854"/>
      <c r="BEF44" s="2854"/>
      <c r="BEG44" s="2854"/>
      <c r="BEH44" s="2854"/>
      <c r="BEI44" s="2854"/>
      <c r="BEJ44" s="2854"/>
      <c r="BEK44" s="2854"/>
      <c r="BEL44" s="2854"/>
      <c r="BEM44" s="2854"/>
      <c r="BEN44" s="2854"/>
      <c r="BEO44" s="2854"/>
      <c r="BEP44" s="2854"/>
      <c r="BEQ44" s="2854"/>
      <c r="BER44" s="2854"/>
      <c r="BES44" s="2854"/>
      <c r="BET44" s="2854"/>
      <c r="BEU44" s="2854"/>
      <c r="BEV44" s="2854"/>
      <c r="BEW44" s="2854"/>
      <c r="BEX44" s="2854"/>
      <c r="BEY44" s="2854"/>
      <c r="BEZ44" s="2854"/>
      <c r="BFA44" s="2854"/>
      <c r="BFB44" s="2854"/>
      <c r="BFC44" s="2854"/>
      <c r="BFD44" s="2854"/>
      <c r="BFE44" s="2854"/>
      <c r="BFF44" s="2854"/>
      <c r="BFG44" s="2854"/>
      <c r="BFH44" s="2854"/>
      <c r="BFI44" s="2854"/>
      <c r="BFJ44" s="2854"/>
      <c r="BFK44" s="2854"/>
      <c r="BFL44" s="2854"/>
      <c r="BFM44" s="2854"/>
      <c r="BFN44" s="2854"/>
      <c r="BFO44" s="2854"/>
      <c r="BFP44" s="2854"/>
      <c r="BFQ44" s="2854"/>
      <c r="BFR44" s="2854"/>
      <c r="BFS44" s="2854"/>
      <c r="BFT44" s="2854"/>
      <c r="BFU44" s="2854"/>
      <c r="BFV44" s="2854"/>
      <c r="BFW44" s="2854"/>
      <c r="BFX44" s="2854"/>
      <c r="BFY44" s="2854"/>
      <c r="BFZ44" s="2854"/>
      <c r="BGA44" s="2854"/>
      <c r="BGB44" s="2854"/>
      <c r="BGC44" s="2854"/>
      <c r="BGD44" s="2854"/>
      <c r="BGE44" s="2854"/>
      <c r="BGF44" s="2854"/>
      <c r="BGG44" s="2854"/>
      <c r="BGH44" s="2854"/>
      <c r="BGI44" s="2854"/>
      <c r="BGJ44" s="2854"/>
      <c r="BGK44" s="2854"/>
      <c r="BGL44" s="2854"/>
      <c r="BGM44" s="2854"/>
      <c r="BGN44" s="2854"/>
      <c r="BGO44" s="2854"/>
      <c r="BGP44" s="2854"/>
      <c r="BGQ44" s="2854"/>
      <c r="BGR44" s="2854"/>
      <c r="BGS44" s="2854"/>
      <c r="BGT44" s="2854"/>
      <c r="BGU44" s="2854"/>
      <c r="BGV44" s="2854"/>
      <c r="BGW44" s="2854"/>
      <c r="BGX44" s="2854"/>
      <c r="BGY44" s="2854"/>
      <c r="BGZ44" s="2854"/>
      <c r="BHA44" s="2854"/>
      <c r="BHB44" s="2854"/>
      <c r="BHC44" s="2854"/>
      <c r="BHD44" s="2854"/>
      <c r="BHE44" s="2854"/>
      <c r="BHF44" s="2854"/>
      <c r="BHG44" s="2854"/>
      <c r="BHH44" s="2854"/>
      <c r="BHI44" s="2854"/>
      <c r="BHJ44" s="2854"/>
      <c r="BHK44" s="2854"/>
      <c r="BHL44" s="2854"/>
      <c r="BHM44" s="2854"/>
      <c r="BHN44" s="2854"/>
      <c r="BHO44" s="2854"/>
      <c r="BHP44" s="2854"/>
      <c r="BHQ44" s="2854"/>
      <c r="BHR44" s="2854"/>
      <c r="BHS44" s="2854"/>
      <c r="BHT44" s="2854"/>
      <c r="BHU44" s="2854"/>
      <c r="BHV44" s="2854"/>
      <c r="BHW44" s="2854"/>
      <c r="BHX44" s="2854"/>
      <c r="BHY44" s="2854"/>
      <c r="BHZ44" s="2854"/>
      <c r="BIA44" s="2854"/>
      <c r="BIB44" s="2854"/>
      <c r="BIC44" s="2854"/>
      <c r="BID44" s="2854"/>
      <c r="BIE44" s="2854"/>
      <c r="BIF44" s="2854"/>
      <c r="BIG44" s="2854"/>
      <c r="BIH44" s="2854"/>
      <c r="BII44" s="2854"/>
      <c r="BIJ44" s="2854"/>
      <c r="BIK44" s="2854"/>
      <c r="BIL44" s="2854"/>
      <c r="BIM44" s="2854"/>
      <c r="BIN44" s="2854"/>
      <c r="BIO44" s="2854"/>
      <c r="BIP44" s="2854"/>
      <c r="BIQ44" s="2854"/>
      <c r="BIR44" s="2854"/>
      <c r="BIS44" s="2854"/>
      <c r="BIT44" s="2854"/>
      <c r="BIU44" s="2854"/>
      <c r="BIV44" s="2854"/>
      <c r="BIW44" s="2854"/>
      <c r="BIX44" s="2854"/>
      <c r="BIY44" s="2854"/>
      <c r="BIZ44" s="2854"/>
      <c r="BJA44" s="2854"/>
      <c r="BJB44" s="2854"/>
      <c r="BJC44" s="2854"/>
      <c r="BJD44" s="2854"/>
      <c r="BJE44" s="2854"/>
      <c r="BJF44" s="2854"/>
      <c r="BJG44" s="2854"/>
      <c r="BJH44" s="2854"/>
      <c r="BJI44" s="2854"/>
      <c r="BJJ44" s="2854"/>
      <c r="BJK44" s="2854"/>
      <c r="BJL44" s="2854"/>
      <c r="BJM44" s="2854"/>
      <c r="BJN44" s="2854"/>
      <c r="BJO44" s="2854"/>
      <c r="BJP44" s="2854"/>
      <c r="BJQ44" s="2854"/>
      <c r="BJR44" s="2854"/>
      <c r="BJS44" s="2854"/>
      <c r="BJT44" s="2854"/>
      <c r="BJU44" s="2854"/>
      <c r="BJV44" s="2854"/>
      <c r="BJW44" s="2854"/>
      <c r="BJX44" s="2854"/>
      <c r="BJY44" s="2854"/>
      <c r="BJZ44" s="2854"/>
      <c r="BKA44" s="2854"/>
      <c r="BKB44" s="2854"/>
      <c r="BKC44" s="2854"/>
      <c r="BKD44" s="2854"/>
      <c r="BKE44" s="2854"/>
      <c r="BKF44" s="2854"/>
      <c r="BKG44" s="2854"/>
      <c r="BKH44" s="2854"/>
      <c r="BKI44" s="2854"/>
      <c r="BKJ44" s="2854"/>
      <c r="BKK44" s="2854"/>
      <c r="BKL44" s="2854"/>
      <c r="BKM44" s="2854"/>
      <c r="BKN44" s="2854"/>
      <c r="BKO44" s="2854"/>
      <c r="BKP44" s="2854"/>
      <c r="BKQ44" s="2854"/>
      <c r="BKR44" s="2854"/>
      <c r="BKS44" s="2854"/>
      <c r="BKT44" s="2854"/>
      <c r="BKU44" s="2854"/>
      <c r="BKV44" s="2854"/>
      <c r="BKW44" s="2854"/>
      <c r="BKX44" s="2854"/>
      <c r="BKY44" s="2854"/>
      <c r="BKZ44" s="2854"/>
      <c r="BLA44" s="2854"/>
      <c r="BLB44" s="2854"/>
      <c r="BLC44" s="2854"/>
      <c r="BLD44" s="2854"/>
      <c r="BLE44" s="2854"/>
      <c r="BLF44" s="2854"/>
      <c r="BLG44" s="2854"/>
      <c r="BLH44" s="2854"/>
      <c r="BLI44" s="2854"/>
      <c r="BLJ44" s="2854"/>
      <c r="BLK44" s="2854"/>
      <c r="BLL44" s="2854"/>
      <c r="BLM44" s="2854"/>
      <c r="BLN44" s="2854"/>
      <c r="BLO44" s="2854"/>
      <c r="BLP44" s="2854"/>
      <c r="BLQ44" s="2854"/>
      <c r="BLR44" s="2854"/>
      <c r="BLS44" s="2854"/>
      <c r="BLT44" s="2854"/>
      <c r="BLU44" s="2854"/>
      <c r="BLV44" s="2854"/>
      <c r="BLW44" s="2854"/>
      <c r="BLX44" s="2854"/>
      <c r="BLY44" s="2854"/>
      <c r="BLZ44" s="2854"/>
      <c r="BMA44" s="2854"/>
      <c r="BMB44" s="2854"/>
      <c r="BMC44" s="2854"/>
      <c r="BMD44" s="2854"/>
      <c r="BME44" s="2854"/>
      <c r="BMF44" s="2854"/>
      <c r="BMG44" s="2854"/>
      <c r="BMH44" s="2854"/>
      <c r="BMI44" s="2854"/>
      <c r="BMJ44" s="2854"/>
      <c r="BMK44" s="2854"/>
      <c r="BML44" s="2854"/>
      <c r="BMM44" s="2854"/>
      <c r="BMN44" s="2854"/>
      <c r="BMO44" s="2854"/>
      <c r="BMP44" s="2854"/>
      <c r="BMQ44" s="2854"/>
      <c r="BMR44" s="2854"/>
      <c r="BMS44" s="2854"/>
      <c r="BMT44" s="2854"/>
      <c r="BMU44" s="2854"/>
      <c r="BMV44" s="2854"/>
      <c r="BMW44" s="2854"/>
      <c r="BMX44" s="2854"/>
      <c r="BMY44" s="2854"/>
      <c r="BMZ44" s="2854"/>
      <c r="BNA44" s="2854"/>
      <c r="BNB44" s="2854"/>
      <c r="BNC44" s="2854"/>
      <c r="BND44" s="2854"/>
      <c r="BNE44" s="2854"/>
      <c r="BNF44" s="2854"/>
      <c r="BNG44" s="2854"/>
      <c r="BNH44" s="2854"/>
      <c r="BNI44" s="2854"/>
      <c r="BNJ44" s="2854"/>
      <c r="BNK44" s="2854"/>
      <c r="BNL44" s="2854"/>
      <c r="BNM44" s="2854"/>
      <c r="BNN44" s="2854"/>
      <c r="BNO44" s="2854"/>
      <c r="BNP44" s="2854"/>
      <c r="BNQ44" s="2854"/>
      <c r="BNR44" s="2854"/>
      <c r="BNS44" s="2854"/>
      <c r="BNT44" s="2854"/>
      <c r="BNU44" s="2854"/>
      <c r="BNV44" s="2854"/>
      <c r="BNW44" s="2854"/>
      <c r="BNX44" s="2854"/>
      <c r="BNY44" s="2854"/>
      <c r="BNZ44" s="2854"/>
      <c r="BOA44" s="2854"/>
      <c r="BOB44" s="2854"/>
      <c r="BOC44" s="2854"/>
      <c r="BOD44" s="2854"/>
      <c r="BOE44" s="2854"/>
      <c r="BOF44" s="2854"/>
      <c r="BOG44" s="2854"/>
      <c r="BOH44" s="2854"/>
      <c r="BOI44" s="2854"/>
      <c r="BOJ44" s="2854"/>
      <c r="BOK44" s="2854"/>
      <c r="BOL44" s="2854"/>
      <c r="BOM44" s="2854"/>
      <c r="BON44" s="2854"/>
      <c r="BOO44" s="2854"/>
      <c r="BOP44" s="2854"/>
      <c r="BOQ44" s="2854"/>
      <c r="BOR44" s="2854"/>
      <c r="BOS44" s="2854"/>
      <c r="BOT44" s="2854"/>
      <c r="BOU44" s="2854"/>
      <c r="BOV44" s="2854"/>
      <c r="BOW44" s="2854"/>
      <c r="BOX44" s="2854"/>
      <c r="BOY44" s="2854"/>
      <c r="BOZ44" s="2854"/>
      <c r="BPA44" s="2854"/>
      <c r="BPB44" s="2854"/>
      <c r="BPC44" s="2854"/>
      <c r="BPD44" s="2854"/>
      <c r="BPE44" s="2854"/>
      <c r="BPF44" s="2854"/>
      <c r="BPG44" s="2854"/>
      <c r="BPH44" s="2854"/>
      <c r="BPI44" s="2854"/>
      <c r="BPJ44" s="2854"/>
      <c r="BPK44" s="2854"/>
      <c r="BPL44" s="2854"/>
      <c r="BPM44" s="2854"/>
      <c r="BPN44" s="2854"/>
      <c r="BPO44" s="2854"/>
      <c r="BPP44" s="2854"/>
      <c r="BPQ44" s="2854"/>
      <c r="BPR44" s="2854"/>
      <c r="BPS44" s="2854"/>
      <c r="BPT44" s="2854"/>
      <c r="BPU44" s="2854"/>
      <c r="BPV44" s="2854"/>
      <c r="BPW44" s="2854"/>
      <c r="BPX44" s="2854"/>
      <c r="BPY44" s="2854"/>
      <c r="BPZ44" s="2854"/>
      <c r="BQA44" s="2854"/>
      <c r="BQB44" s="2854"/>
      <c r="BQC44" s="2854"/>
      <c r="BQD44" s="2854"/>
      <c r="BQE44" s="2854"/>
      <c r="BQF44" s="2854"/>
      <c r="BQG44" s="2854"/>
      <c r="BQH44" s="2854"/>
      <c r="BQI44" s="2854"/>
      <c r="BQJ44" s="2854"/>
      <c r="BQK44" s="2854"/>
      <c r="BQL44" s="2854"/>
      <c r="BQM44" s="2854"/>
      <c r="BQN44" s="2854"/>
      <c r="BQO44" s="2854"/>
      <c r="BQP44" s="2854"/>
      <c r="BQQ44" s="2854"/>
      <c r="BQR44" s="2854"/>
      <c r="BQS44" s="2854"/>
      <c r="BQT44" s="2854"/>
      <c r="BQU44" s="2854"/>
      <c r="BQV44" s="2854"/>
      <c r="BQW44" s="2854"/>
      <c r="BQX44" s="2854"/>
      <c r="BQY44" s="2854"/>
      <c r="BQZ44" s="2854"/>
      <c r="BRA44" s="2854"/>
      <c r="BRB44" s="2854"/>
      <c r="BRC44" s="2854"/>
      <c r="BRD44" s="2854"/>
      <c r="BRE44" s="2854"/>
      <c r="BRF44" s="2854"/>
      <c r="BRG44" s="2854"/>
      <c r="BRH44" s="2854"/>
      <c r="BRI44" s="2854"/>
      <c r="BRJ44" s="2854"/>
      <c r="BRK44" s="2854"/>
      <c r="BRL44" s="2854"/>
      <c r="BRM44" s="2854"/>
      <c r="BRN44" s="2854"/>
      <c r="BRO44" s="2854"/>
      <c r="BRP44" s="2854"/>
      <c r="BRQ44" s="2854"/>
      <c r="BRR44" s="2854"/>
      <c r="BRS44" s="2854"/>
      <c r="BRT44" s="2854"/>
      <c r="BRU44" s="2854"/>
      <c r="BRV44" s="2854"/>
      <c r="BRW44" s="2854"/>
      <c r="BRX44" s="2854"/>
      <c r="BRY44" s="2854"/>
      <c r="BRZ44" s="2854"/>
      <c r="BSA44" s="2854"/>
      <c r="BSB44" s="2854"/>
      <c r="BSC44" s="2854"/>
      <c r="BSD44" s="2854"/>
      <c r="BSE44" s="2854"/>
      <c r="BSF44" s="2854"/>
      <c r="BSG44" s="2854"/>
      <c r="BSH44" s="2854"/>
      <c r="BSI44" s="2854"/>
      <c r="BSJ44" s="2854"/>
      <c r="BSK44" s="2854"/>
      <c r="BSL44" s="2854"/>
      <c r="BSM44" s="2854"/>
      <c r="BSN44" s="2854"/>
      <c r="BSO44" s="2854"/>
      <c r="BSP44" s="2854"/>
      <c r="BSQ44" s="2854"/>
      <c r="BSR44" s="2854"/>
      <c r="BSS44" s="2854"/>
      <c r="BST44" s="2854"/>
      <c r="BSU44" s="2854"/>
      <c r="BSV44" s="2854"/>
      <c r="BSW44" s="2854"/>
      <c r="BSX44" s="2854"/>
      <c r="BSY44" s="2854"/>
      <c r="BSZ44" s="2854"/>
      <c r="BTA44" s="2854"/>
      <c r="BTB44" s="2854"/>
      <c r="BTC44" s="2854"/>
      <c r="BTD44" s="2854"/>
      <c r="BTE44" s="2854"/>
      <c r="BTF44" s="2854"/>
      <c r="BTG44" s="2854"/>
      <c r="BTH44" s="2854"/>
      <c r="BTI44" s="2854"/>
      <c r="BTJ44" s="2854"/>
      <c r="BTK44" s="2854"/>
      <c r="BTL44" s="2854"/>
      <c r="BTM44" s="2854"/>
      <c r="BTN44" s="2854"/>
      <c r="BTO44" s="2854"/>
      <c r="BTP44" s="2854"/>
      <c r="BTQ44" s="2854"/>
      <c r="BTR44" s="2854"/>
      <c r="BTS44" s="2854"/>
      <c r="BTT44" s="2854"/>
      <c r="BTU44" s="2854"/>
      <c r="BTV44" s="2854"/>
      <c r="BTW44" s="2854"/>
      <c r="BTX44" s="2854"/>
      <c r="BTY44" s="2854"/>
      <c r="BTZ44" s="2854"/>
      <c r="BUA44" s="2854"/>
      <c r="BUB44" s="2854"/>
      <c r="BUC44" s="2854"/>
      <c r="BUD44" s="2854"/>
      <c r="BUE44" s="2854"/>
      <c r="BUF44" s="2854"/>
      <c r="BUG44" s="2854"/>
      <c r="BUH44" s="2854"/>
      <c r="BUI44" s="2854"/>
      <c r="BUJ44" s="2854"/>
      <c r="BUK44" s="2854"/>
      <c r="BUL44" s="2854"/>
      <c r="BUM44" s="2854"/>
      <c r="BUN44" s="2854"/>
      <c r="BUO44" s="2854"/>
      <c r="BUP44" s="2854"/>
      <c r="BUQ44" s="2854"/>
      <c r="BUR44" s="2854"/>
      <c r="BUS44" s="2854"/>
      <c r="BUT44" s="2854"/>
      <c r="BUU44" s="2854"/>
      <c r="BUV44" s="2854"/>
      <c r="BUW44" s="2854"/>
      <c r="BUX44" s="2854"/>
      <c r="BUY44" s="2854"/>
      <c r="BUZ44" s="2854"/>
      <c r="BVA44" s="2854"/>
      <c r="BVB44" s="2854"/>
      <c r="BVC44" s="2854"/>
      <c r="BVD44" s="2854"/>
      <c r="BVE44" s="2854"/>
      <c r="BVF44" s="2854"/>
      <c r="BVG44" s="2854"/>
      <c r="BVH44" s="2854"/>
      <c r="BVI44" s="2854"/>
      <c r="BVJ44" s="2854"/>
      <c r="BVK44" s="2854"/>
      <c r="BVL44" s="2854"/>
      <c r="BVM44" s="2854"/>
      <c r="BVN44" s="2854"/>
      <c r="BVO44" s="2854"/>
      <c r="BVP44" s="2854"/>
      <c r="BVQ44" s="2854"/>
      <c r="BVR44" s="2854"/>
      <c r="BVS44" s="2854"/>
      <c r="BVT44" s="2854"/>
      <c r="BVU44" s="2854"/>
      <c r="BVV44" s="2854"/>
      <c r="BVW44" s="2854"/>
      <c r="BVX44" s="2854"/>
      <c r="BVY44" s="2854"/>
      <c r="BVZ44" s="2854"/>
      <c r="BWA44" s="2854"/>
      <c r="BWB44" s="2854"/>
      <c r="BWC44" s="2854"/>
      <c r="BWD44" s="2854"/>
      <c r="BWE44" s="2854"/>
      <c r="BWF44" s="2854"/>
      <c r="BWG44" s="2854"/>
      <c r="BWH44" s="2854"/>
      <c r="BWI44" s="2854"/>
      <c r="BWJ44" s="2854"/>
      <c r="BWK44" s="2854"/>
      <c r="BWL44" s="2854"/>
      <c r="BWM44" s="2854"/>
      <c r="BWN44" s="2854"/>
      <c r="BWO44" s="2854"/>
      <c r="BWP44" s="2854"/>
      <c r="BWQ44" s="2854"/>
      <c r="BWR44" s="2854"/>
      <c r="BWS44" s="2854"/>
      <c r="BWT44" s="2854"/>
      <c r="BWU44" s="2854"/>
      <c r="BWV44" s="2854"/>
      <c r="BWW44" s="2854"/>
      <c r="BWX44" s="2854"/>
      <c r="BWY44" s="2854"/>
      <c r="BWZ44" s="2854"/>
      <c r="BXA44" s="2854"/>
      <c r="BXB44" s="2854"/>
      <c r="BXC44" s="2854"/>
      <c r="BXD44" s="2854"/>
      <c r="BXE44" s="2854"/>
      <c r="BXF44" s="2854"/>
      <c r="BXG44" s="2854"/>
      <c r="BXH44" s="2854"/>
      <c r="BXI44" s="2854"/>
      <c r="BXJ44" s="2854"/>
      <c r="BXK44" s="2854"/>
      <c r="BXL44" s="2854"/>
      <c r="BXM44" s="2854"/>
      <c r="BXN44" s="2854"/>
      <c r="BXO44" s="2854"/>
      <c r="BXP44" s="2854"/>
      <c r="BXQ44" s="2854"/>
      <c r="BXR44" s="2854"/>
      <c r="BXS44" s="2854"/>
      <c r="BXT44" s="2854"/>
      <c r="BXU44" s="2854"/>
      <c r="BXV44" s="2854"/>
      <c r="BXW44" s="2854"/>
      <c r="BXX44" s="2854"/>
      <c r="BXY44" s="2854"/>
      <c r="BXZ44" s="2854"/>
      <c r="BYA44" s="2854"/>
      <c r="BYB44" s="2854"/>
      <c r="BYC44" s="2854"/>
      <c r="BYD44" s="2854"/>
      <c r="BYE44" s="2854"/>
      <c r="BYF44" s="2854"/>
      <c r="BYG44" s="2854"/>
      <c r="BYH44" s="2854"/>
      <c r="BYI44" s="2854"/>
      <c r="BYJ44" s="2854"/>
      <c r="BYK44" s="2854"/>
      <c r="BYL44" s="2854"/>
      <c r="BYM44" s="2854"/>
      <c r="BYN44" s="2854"/>
      <c r="BYO44" s="2854"/>
      <c r="BYP44" s="2854"/>
      <c r="BYQ44" s="2854"/>
      <c r="BYR44" s="2854"/>
      <c r="BYS44" s="2854"/>
      <c r="BYT44" s="2854"/>
      <c r="BYU44" s="2854"/>
      <c r="BYV44" s="2854"/>
      <c r="BYW44" s="2854"/>
      <c r="BYX44" s="2854"/>
      <c r="BYY44" s="2854"/>
      <c r="BYZ44" s="2854"/>
      <c r="BZA44" s="2854"/>
      <c r="BZB44" s="2854"/>
      <c r="BZC44" s="2854"/>
      <c r="BZD44" s="2854"/>
      <c r="BZE44" s="2854"/>
      <c r="BZF44" s="2854"/>
      <c r="BZG44" s="2854"/>
      <c r="BZH44" s="2854"/>
      <c r="BZI44" s="2854"/>
      <c r="BZJ44" s="2854"/>
      <c r="BZK44" s="2854"/>
      <c r="BZL44" s="2854"/>
      <c r="BZM44" s="2854"/>
      <c r="BZN44" s="2854"/>
      <c r="BZO44" s="2854"/>
      <c r="BZP44" s="2854"/>
      <c r="BZQ44" s="2854"/>
      <c r="BZR44" s="2854"/>
      <c r="BZS44" s="2854"/>
      <c r="BZT44" s="2854"/>
      <c r="BZU44" s="2854"/>
      <c r="BZV44" s="2854"/>
      <c r="BZW44" s="2854"/>
      <c r="BZX44" s="2854"/>
      <c r="BZY44" s="2854"/>
      <c r="BZZ44" s="2854"/>
      <c r="CAA44" s="2854"/>
      <c r="CAB44" s="2854"/>
      <c r="CAC44" s="2854"/>
      <c r="CAD44" s="2854"/>
      <c r="CAE44" s="2854"/>
      <c r="CAF44" s="2854"/>
      <c r="CAG44" s="2854"/>
      <c r="CAH44" s="2854"/>
      <c r="CAI44" s="2854"/>
      <c r="CAJ44" s="2854"/>
      <c r="CAK44" s="2854"/>
      <c r="CAL44" s="2854"/>
      <c r="CAM44" s="2854"/>
      <c r="CAN44" s="2854"/>
      <c r="CAO44" s="2854"/>
      <c r="CAP44" s="2854"/>
      <c r="CAQ44" s="2854"/>
      <c r="CAR44" s="2854"/>
      <c r="CAS44" s="2854"/>
      <c r="CAT44" s="2854"/>
      <c r="CAU44" s="2854"/>
      <c r="CAV44" s="2854"/>
      <c r="CAW44" s="2854"/>
      <c r="CAX44" s="2854"/>
      <c r="CAY44" s="2854"/>
      <c r="CAZ44" s="2854"/>
      <c r="CBA44" s="2854"/>
      <c r="CBB44" s="2854"/>
      <c r="CBC44" s="2854"/>
      <c r="CBD44" s="2854"/>
      <c r="CBE44" s="2854"/>
      <c r="CBF44" s="2854"/>
      <c r="CBG44" s="2854"/>
      <c r="CBH44" s="2854"/>
      <c r="CBI44" s="2854"/>
      <c r="CBJ44" s="2854"/>
      <c r="CBK44" s="2854"/>
      <c r="CBL44" s="2854"/>
      <c r="CBM44" s="2854"/>
      <c r="CBN44" s="2854"/>
      <c r="CBO44" s="2854"/>
      <c r="CBP44" s="2854"/>
      <c r="CBQ44" s="2854"/>
      <c r="CBR44" s="2854"/>
      <c r="CBS44" s="2854"/>
      <c r="CBT44" s="2854"/>
      <c r="CBU44" s="2854"/>
      <c r="CBV44" s="2854"/>
      <c r="CBW44" s="2854"/>
      <c r="CBX44" s="2854"/>
      <c r="CBY44" s="2854"/>
      <c r="CBZ44" s="2854"/>
      <c r="CCA44" s="2854"/>
      <c r="CCB44" s="2854"/>
      <c r="CCC44" s="2854"/>
      <c r="CCD44" s="2854"/>
      <c r="CCE44" s="2854"/>
      <c r="CCF44" s="2854"/>
      <c r="CCG44" s="2854"/>
      <c r="CCH44" s="2854"/>
      <c r="CCI44" s="2854"/>
      <c r="CCJ44" s="2854"/>
      <c r="CCK44" s="2854"/>
      <c r="CCL44" s="2854"/>
      <c r="CCM44" s="2854"/>
      <c r="CCN44" s="2854"/>
      <c r="CCO44" s="2854"/>
      <c r="CCP44" s="2854"/>
      <c r="CCQ44" s="2854"/>
      <c r="CCR44" s="2854"/>
      <c r="CCS44" s="2854"/>
      <c r="CCT44" s="2854"/>
      <c r="CCU44" s="2854"/>
      <c r="CCV44" s="2854"/>
      <c r="CCW44" s="2854"/>
      <c r="CCX44" s="2854"/>
      <c r="CCY44" s="2854"/>
      <c r="CCZ44" s="2854"/>
      <c r="CDA44" s="2854"/>
      <c r="CDB44" s="2854"/>
      <c r="CDC44" s="2854"/>
      <c r="CDD44" s="2854"/>
      <c r="CDE44" s="2854"/>
      <c r="CDF44" s="2854"/>
      <c r="CDG44" s="2854"/>
      <c r="CDH44" s="2854"/>
      <c r="CDI44" s="2854"/>
      <c r="CDJ44" s="2854"/>
      <c r="CDK44" s="2854"/>
      <c r="CDL44" s="2854"/>
      <c r="CDM44" s="2854"/>
      <c r="CDN44" s="2854"/>
      <c r="CDO44" s="2854"/>
      <c r="CDP44" s="2854"/>
      <c r="CDQ44" s="2854"/>
      <c r="CDR44" s="2854"/>
      <c r="CDS44" s="2854"/>
      <c r="CDT44" s="2854"/>
      <c r="CDU44" s="2854"/>
      <c r="CDV44" s="2854"/>
      <c r="CDW44" s="2854"/>
      <c r="CDX44" s="2854"/>
      <c r="CDY44" s="2854"/>
      <c r="CDZ44" s="2854"/>
      <c r="CEA44" s="2854"/>
      <c r="CEB44" s="2854"/>
      <c r="CEC44" s="2854"/>
      <c r="CED44" s="2854"/>
      <c r="CEE44" s="2854"/>
      <c r="CEF44" s="2854"/>
      <c r="CEG44" s="2854"/>
      <c r="CEH44" s="2854"/>
      <c r="CEI44" s="2854"/>
      <c r="CEJ44" s="2854"/>
      <c r="CEK44" s="2854"/>
      <c r="CEL44" s="2854"/>
      <c r="CEM44" s="2854"/>
      <c r="CEN44" s="2854"/>
      <c r="CEO44" s="2854"/>
      <c r="CEP44" s="2854"/>
      <c r="CEQ44" s="2854"/>
      <c r="CER44" s="2854"/>
      <c r="CES44" s="2854"/>
      <c r="CET44" s="2854"/>
      <c r="CEU44" s="2854"/>
      <c r="CEV44" s="2854"/>
      <c r="CEW44" s="2854"/>
      <c r="CEX44" s="2854"/>
      <c r="CEY44" s="2854"/>
      <c r="CEZ44" s="2854"/>
      <c r="CFA44" s="2854"/>
      <c r="CFB44" s="2854"/>
      <c r="CFC44" s="2854"/>
      <c r="CFD44" s="2854"/>
      <c r="CFE44" s="2854"/>
      <c r="CFF44" s="2854"/>
      <c r="CFG44" s="2854"/>
      <c r="CFH44" s="2854"/>
      <c r="CFI44" s="2854"/>
      <c r="CFJ44" s="2854"/>
      <c r="CFK44" s="2854"/>
      <c r="CFL44" s="2854"/>
      <c r="CFM44" s="2854"/>
      <c r="CFN44" s="2854"/>
      <c r="CFO44" s="2854"/>
      <c r="CFP44" s="2854"/>
      <c r="CFQ44" s="2854"/>
      <c r="CFR44" s="2854"/>
      <c r="CFS44" s="2854"/>
      <c r="CFT44" s="2854"/>
      <c r="CFU44" s="2854"/>
      <c r="CFV44" s="2854"/>
      <c r="CFW44" s="2854"/>
      <c r="CFX44" s="2854"/>
      <c r="CFY44" s="2854"/>
      <c r="CFZ44" s="2854"/>
      <c r="CGA44" s="2854"/>
      <c r="CGB44" s="2854"/>
      <c r="CGC44" s="2854"/>
      <c r="CGD44" s="2854"/>
      <c r="CGE44" s="2854"/>
      <c r="CGF44" s="2854"/>
      <c r="CGG44" s="2854"/>
      <c r="CGH44" s="2854"/>
      <c r="CGI44" s="2854"/>
      <c r="CGJ44" s="2854"/>
      <c r="CGK44" s="2854"/>
      <c r="CGL44" s="2854"/>
      <c r="CGM44" s="2854"/>
      <c r="CGN44" s="2854"/>
      <c r="CGO44" s="2854"/>
      <c r="CGP44" s="2854"/>
      <c r="CGQ44" s="2854"/>
      <c r="CGR44" s="2854"/>
      <c r="CGS44" s="2854"/>
      <c r="CGT44" s="2854"/>
      <c r="CGU44" s="2854"/>
      <c r="CGV44" s="2854"/>
      <c r="CGW44" s="2854"/>
      <c r="CGX44" s="2854"/>
      <c r="CGY44" s="2854"/>
      <c r="CGZ44" s="2854"/>
      <c r="CHA44" s="2854"/>
      <c r="CHB44" s="2854"/>
      <c r="CHC44" s="2854"/>
      <c r="CHD44" s="2854"/>
      <c r="CHE44" s="2854"/>
      <c r="CHF44" s="2854"/>
      <c r="CHG44" s="2854"/>
      <c r="CHH44" s="2854"/>
      <c r="CHI44" s="2854"/>
      <c r="CHJ44" s="2854"/>
      <c r="CHK44" s="2854"/>
      <c r="CHL44" s="2854"/>
      <c r="CHM44" s="2854"/>
      <c r="CHN44" s="2854"/>
      <c r="CHO44" s="2854"/>
      <c r="CHP44" s="2854"/>
      <c r="CHQ44" s="2854"/>
      <c r="CHR44" s="2854"/>
      <c r="CHS44" s="2854"/>
      <c r="CHT44" s="2854"/>
      <c r="CHU44" s="2854"/>
      <c r="CHV44" s="2854"/>
      <c r="CHW44" s="2854"/>
      <c r="CHX44" s="2854"/>
      <c r="CHY44" s="2854"/>
      <c r="CHZ44" s="2854"/>
      <c r="CIA44" s="2854"/>
      <c r="CIB44" s="2854"/>
      <c r="CIC44" s="2854"/>
      <c r="CID44" s="2854"/>
      <c r="CIE44" s="2854"/>
      <c r="CIF44" s="2854"/>
      <c r="CIG44" s="2854"/>
      <c r="CIH44" s="2854"/>
      <c r="CII44" s="2854"/>
      <c r="CIJ44" s="2854"/>
      <c r="CIK44" s="2854"/>
      <c r="CIL44" s="2854"/>
      <c r="CIM44" s="2854"/>
      <c r="CIN44" s="2854"/>
      <c r="CIO44" s="2854"/>
      <c r="CIP44" s="2854"/>
      <c r="CIQ44" s="2854"/>
      <c r="CIR44" s="2854"/>
      <c r="CIS44" s="2854"/>
      <c r="CIT44" s="2854"/>
      <c r="CIU44" s="2854"/>
      <c r="CIV44" s="2854"/>
      <c r="CIW44" s="2854"/>
      <c r="CIX44" s="2854"/>
      <c r="CIY44" s="2854"/>
      <c r="CIZ44" s="2854"/>
      <c r="CJA44" s="2854"/>
      <c r="CJB44" s="2854"/>
      <c r="CJC44" s="2854"/>
      <c r="CJD44" s="2854"/>
      <c r="CJE44" s="2854"/>
      <c r="CJF44" s="2854"/>
      <c r="CJG44" s="2854"/>
      <c r="CJH44" s="2854"/>
      <c r="CJI44" s="2854"/>
      <c r="CJJ44" s="2854"/>
      <c r="CJK44" s="2854"/>
      <c r="CJL44" s="2854"/>
      <c r="CJM44" s="2854"/>
      <c r="CJN44" s="2854"/>
      <c r="CJO44" s="2854"/>
      <c r="CJP44" s="2854"/>
      <c r="CJQ44" s="2854"/>
      <c r="CJR44" s="2854"/>
      <c r="CJS44" s="2854"/>
      <c r="CJT44" s="2854"/>
      <c r="CJU44" s="2854"/>
      <c r="CJV44" s="2854"/>
      <c r="CJW44" s="2854"/>
      <c r="CJX44" s="2854"/>
      <c r="CJY44" s="2854"/>
      <c r="CJZ44" s="2854"/>
      <c r="CKA44" s="2854"/>
      <c r="CKB44" s="2854"/>
      <c r="CKC44" s="2854"/>
      <c r="CKD44" s="2854"/>
      <c r="CKE44" s="2854"/>
      <c r="CKF44" s="2854"/>
      <c r="CKG44" s="2854"/>
      <c r="CKH44" s="2854"/>
      <c r="CKI44" s="2854"/>
      <c r="CKJ44" s="2854"/>
      <c r="CKK44" s="2854"/>
      <c r="CKL44" s="2854"/>
      <c r="CKM44" s="2854"/>
      <c r="CKN44" s="2854"/>
      <c r="CKO44" s="2854"/>
      <c r="CKP44" s="2854"/>
      <c r="CKQ44" s="2854"/>
      <c r="CKR44" s="2854"/>
      <c r="CKS44" s="2854"/>
      <c r="CKT44" s="2854"/>
      <c r="CKU44" s="2854"/>
      <c r="CKV44" s="2854"/>
      <c r="CKW44" s="2854"/>
      <c r="CKX44" s="2854"/>
      <c r="CKY44" s="2854"/>
      <c r="CKZ44" s="2854"/>
      <c r="CLA44" s="2854"/>
      <c r="CLB44" s="2854"/>
      <c r="CLC44" s="2854"/>
      <c r="CLD44" s="2854"/>
      <c r="CLE44" s="2854"/>
      <c r="CLF44" s="2854"/>
      <c r="CLG44" s="2854"/>
      <c r="CLH44" s="2854"/>
      <c r="CLI44" s="2854"/>
      <c r="CLJ44" s="2854"/>
      <c r="CLK44" s="2854"/>
      <c r="CLL44" s="2854"/>
      <c r="CLM44" s="2854"/>
      <c r="CLN44" s="2854"/>
      <c r="CLO44" s="2854"/>
      <c r="CLP44" s="2854"/>
      <c r="CLQ44" s="2854"/>
      <c r="CLR44" s="2854"/>
      <c r="CLS44" s="2854"/>
      <c r="CLT44" s="2854"/>
      <c r="CLU44" s="2854"/>
      <c r="CLV44" s="2854"/>
      <c r="CLW44" s="2854"/>
    </row>
    <row r="45" spans="1:2363" ht="15" customHeight="1" x14ac:dyDescent="0.25">
      <c r="A45" s="3877"/>
      <c r="B45" s="3878"/>
      <c r="C45" s="3002"/>
      <c r="D45" s="3352" t="s">
        <v>681</v>
      </c>
      <c r="E45" s="3375"/>
      <c r="F45" s="1799"/>
      <c r="G45" s="2613"/>
      <c r="H45" s="1801"/>
      <c r="I45" s="1799"/>
      <c r="J45" s="2249"/>
      <c r="K45" s="1801"/>
      <c r="L45" s="1799"/>
      <c r="M45" s="1799"/>
      <c r="N45" s="1904">
        <v>0</v>
      </c>
      <c r="O45" s="2281">
        <v>0</v>
      </c>
      <c r="P45" s="2295"/>
      <c r="Q45" s="1799"/>
      <c r="R45" s="2721"/>
      <c r="S45" s="2721"/>
      <c r="T45" s="2886"/>
      <c r="U45" s="2295"/>
      <c r="V45" s="2364">
        <f>U45+R45+Q45+P45</f>
        <v>0</v>
      </c>
      <c r="W45" s="2300"/>
      <c r="X45" s="2932"/>
      <c r="Y45" s="3012"/>
      <c r="Z45" s="2342"/>
      <c r="AA45" s="1894">
        <v>0</v>
      </c>
      <c r="AB45" s="1894">
        <v>0</v>
      </c>
      <c r="AC45" s="3382">
        <f t="shared" si="58"/>
        <v>0</v>
      </c>
      <c r="AD45" s="1850">
        <v>0</v>
      </c>
      <c r="AE45" s="1897"/>
      <c r="AF45" s="1893">
        <v>0</v>
      </c>
      <c r="AG45" s="2869"/>
      <c r="AH45" s="2062">
        <f t="shared" si="85"/>
        <v>0</v>
      </c>
      <c r="AI45" s="1839">
        <v>0</v>
      </c>
      <c r="AJ45" s="1894">
        <f t="shared" si="63"/>
        <v>0</v>
      </c>
      <c r="AK45" s="2455">
        <f t="shared" si="74"/>
        <v>0</v>
      </c>
      <c r="AL45" s="2516">
        <v>0</v>
      </c>
      <c r="AM45" s="2516">
        <v>0</v>
      </c>
      <c r="AN45" s="2697">
        <f t="shared" si="64"/>
        <v>0</v>
      </c>
      <c r="AO45" s="2181">
        <v>0</v>
      </c>
      <c r="AP45" s="2166">
        <v>0</v>
      </c>
      <c r="AQ45" s="2166">
        <v>0</v>
      </c>
      <c r="AR45" s="2166"/>
      <c r="AS45" s="2157">
        <f t="shared" si="65"/>
        <v>0</v>
      </c>
      <c r="AT45" s="2504">
        <v>0</v>
      </c>
      <c r="AU45" s="2158">
        <v>0</v>
      </c>
      <c r="AV45" s="2173">
        <v>0</v>
      </c>
      <c r="AW45" s="2159">
        <f t="shared" si="86"/>
        <v>0</v>
      </c>
      <c r="AX45" s="2516">
        <v>0</v>
      </c>
      <c r="AY45" s="2516">
        <v>0</v>
      </c>
      <c r="AZ45" s="2697">
        <f t="shared" si="87"/>
        <v>0</v>
      </c>
      <c r="BA45" s="3091">
        <v>0</v>
      </c>
      <c r="BB45" s="3086">
        <v>0</v>
      </c>
      <c r="BC45" s="3086">
        <f>+BC43+BC44</f>
        <v>0</v>
      </c>
      <c r="BD45" s="3086"/>
      <c r="BE45" s="3087">
        <f t="shared" si="90"/>
        <v>0</v>
      </c>
      <c r="BF45" s="2122"/>
      <c r="BG45" s="2158">
        <v>0</v>
      </c>
      <c r="BH45" s="2173">
        <v>0</v>
      </c>
      <c r="BI45" s="2159">
        <f t="shared" si="88"/>
        <v>0</v>
      </c>
      <c r="BJ45" s="2048">
        <v>0</v>
      </c>
      <c r="BK45" s="1851">
        <v>0</v>
      </c>
      <c r="BL45" s="1884">
        <f t="shared" si="67"/>
        <v>0</v>
      </c>
      <c r="BM45" s="1850">
        <f t="shared" ref="BM45:BM49" si="91">AD45+AO45</f>
        <v>0</v>
      </c>
      <c r="BN45" s="1893">
        <f t="shared" si="68"/>
        <v>0</v>
      </c>
      <c r="BO45" s="1893">
        <f t="shared" si="69"/>
        <v>0</v>
      </c>
      <c r="BP45" s="1893">
        <f t="shared" si="77"/>
        <v>0</v>
      </c>
      <c r="BQ45" s="1893">
        <f t="shared" ref="BQ45" si="92">BM45+BN45</f>
        <v>0</v>
      </c>
      <c r="BR45" s="1889">
        <f t="shared" si="79"/>
        <v>0</v>
      </c>
      <c r="BS45" s="1848">
        <f t="shared" si="89"/>
        <v>0</v>
      </c>
      <c r="BT45" s="2454">
        <f t="shared" si="80"/>
        <v>0</v>
      </c>
      <c r="BU45" s="3147"/>
      <c r="BV45" s="3058"/>
      <c r="BW45" s="3058"/>
      <c r="BX45" s="3058"/>
      <c r="BY45" s="3147"/>
      <c r="BZ45" s="3147"/>
      <c r="CA45" s="3147"/>
      <c r="CB45" s="3147"/>
      <c r="CC45" s="3147"/>
      <c r="CD45" s="3147"/>
      <c r="CE45" s="3147"/>
      <c r="CF45" s="3147"/>
      <c r="CG45" s="3147"/>
      <c r="CH45" s="1163"/>
      <c r="CI45" s="1144"/>
      <c r="CJ45" s="1144"/>
      <c r="CK45" s="1144"/>
      <c r="CL45" s="1144"/>
      <c r="CM45" s="1144"/>
      <c r="CN45" s="1144"/>
      <c r="CO45" s="1144"/>
      <c r="CP45" s="1144"/>
      <c r="CQ45" s="1144"/>
      <c r="CR45" s="1144"/>
      <c r="CS45" s="1144"/>
      <c r="CT45" s="1144"/>
      <c r="CU45" s="1144"/>
      <c r="CV45" s="1144"/>
      <c r="CW45" s="2854"/>
      <c r="CX45" s="2854"/>
      <c r="CY45" s="2854"/>
      <c r="CZ45" s="2854"/>
      <c r="DA45" s="2854"/>
      <c r="DB45" s="2854"/>
      <c r="DC45" s="2854"/>
      <c r="DD45" s="2854"/>
      <c r="DE45" s="2854"/>
      <c r="DF45" s="2854"/>
      <c r="DG45" s="2854"/>
      <c r="DH45" s="2854"/>
      <c r="DI45" s="2854"/>
      <c r="DJ45" s="2854"/>
      <c r="DK45" s="2854"/>
      <c r="DL45" s="2854"/>
      <c r="DM45" s="2854"/>
      <c r="DN45" s="2854"/>
      <c r="DO45" s="2854"/>
      <c r="DP45" s="2854"/>
      <c r="DQ45" s="2854"/>
      <c r="DR45" s="2854"/>
      <c r="DS45" s="2854"/>
      <c r="DT45" s="2854"/>
      <c r="DU45" s="2854"/>
      <c r="DV45" s="2854"/>
      <c r="DW45" s="2854"/>
      <c r="DX45" s="2854"/>
      <c r="DY45" s="2854"/>
      <c r="DZ45" s="2854"/>
      <c r="EA45" s="2854"/>
      <c r="EB45" s="2854"/>
      <c r="EC45" s="2854"/>
      <c r="ED45" s="2854"/>
      <c r="EE45" s="2854"/>
      <c r="EF45" s="2854"/>
      <c r="EG45" s="2854"/>
      <c r="EH45" s="2854"/>
      <c r="EI45" s="2854"/>
      <c r="EJ45" s="2854"/>
      <c r="EK45" s="2854"/>
      <c r="EL45" s="2854"/>
      <c r="EM45" s="2854"/>
      <c r="EN45" s="2854"/>
      <c r="EO45" s="2854"/>
      <c r="EP45" s="2854"/>
      <c r="EQ45" s="2854"/>
      <c r="ER45" s="2854"/>
      <c r="ES45" s="2854"/>
      <c r="ET45" s="2854"/>
      <c r="EU45" s="2854"/>
      <c r="EV45" s="2854"/>
      <c r="EW45" s="2854"/>
      <c r="EX45" s="2854"/>
      <c r="EY45" s="2854"/>
      <c r="EZ45" s="2854"/>
      <c r="FA45" s="2854"/>
      <c r="FB45" s="2854"/>
      <c r="FC45" s="2854"/>
      <c r="FD45" s="2854"/>
      <c r="FE45" s="2854"/>
      <c r="FF45" s="2854"/>
      <c r="FG45" s="2854"/>
      <c r="FH45" s="2854"/>
      <c r="FI45" s="2854"/>
      <c r="FJ45" s="2854"/>
      <c r="FK45" s="2854"/>
      <c r="FL45" s="2854"/>
      <c r="FM45" s="2854"/>
      <c r="FN45" s="2854"/>
      <c r="FO45" s="2854"/>
      <c r="FP45" s="2854"/>
      <c r="FQ45" s="2854"/>
      <c r="FR45" s="2854"/>
      <c r="FS45" s="2854"/>
      <c r="FT45" s="2854"/>
      <c r="FU45" s="2854"/>
      <c r="FV45" s="2854"/>
      <c r="FW45" s="2854"/>
      <c r="FX45" s="2854"/>
      <c r="FY45" s="2854"/>
      <c r="FZ45" s="2854"/>
      <c r="GA45" s="2854"/>
      <c r="GB45" s="2854"/>
      <c r="GC45" s="2854"/>
      <c r="GD45" s="2854"/>
      <c r="GE45" s="2854"/>
      <c r="GF45" s="2854"/>
      <c r="GG45" s="2854"/>
      <c r="GH45" s="2854"/>
      <c r="GI45" s="2854"/>
      <c r="GJ45" s="2854"/>
      <c r="GK45" s="2854"/>
      <c r="GL45" s="2854"/>
      <c r="GM45" s="2854"/>
      <c r="GN45" s="2854"/>
      <c r="GO45" s="2854"/>
      <c r="GP45" s="2854"/>
      <c r="GQ45" s="2854"/>
      <c r="GR45" s="2854"/>
      <c r="GS45" s="2854"/>
      <c r="GT45" s="2854"/>
      <c r="GU45" s="2854"/>
      <c r="GV45" s="2854"/>
      <c r="GW45" s="2854"/>
      <c r="GX45" s="2854"/>
      <c r="GY45" s="2854"/>
      <c r="GZ45" s="2854"/>
      <c r="HA45" s="2854"/>
      <c r="HB45" s="2854"/>
      <c r="HC45" s="2854"/>
      <c r="HD45" s="2854"/>
      <c r="HE45" s="2854"/>
      <c r="HF45" s="2854"/>
      <c r="HG45" s="2854"/>
      <c r="HH45" s="2854"/>
      <c r="HI45" s="2854"/>
      <c r="HJ45" s="2854"/>
      <c r="HK45" s="2854"/>
      <c r="HL45" s="2854"/>
      <c r="HM45" s="2854"/>
      <c r="HN45" s="2854"/>
      <c r="HO45" s="2854"/>
      <c r="HP45" s="2854"/>
      <c r="HQ45" s="2854"/>
      <c r="HR45" s="2854"/>
      <c r="HS45" s="2854"/>
      <c r="HT45" s="2854"/>
      <c r="HU45" s="2854"/>
      <c r="HV45" s="2854"/>
      <c r="HW45" s="2854"/>
      <c r="HX45" s="2854"/>
      <c r="HY45" s="2854"/>
      <c r="HZ45" s="2854"/>
      <c r="IA45" s="2854"/>
      <c r="IB45" s="2854"/>
      <c r="IC45" s="2854"/>
      <c r="ID45" s="2854"/>
      <c r="IE45" s="2854"/>
      <c r="IF45" s="2854"/>
      <c r="IG45" s="2854"/>
      <c r="IH45" s="2854"/>
      <c r="II45" s="2854"/>
      <c r="IJ45" s="2854"/>
      <c r="IK45" s="2854"/>
      <c r="IL45" s="2854"/>
      <c r="IM45" s="2854"/>
      <c r="IN45" s="2854"/>
      <c r="IO45" s="2854"/>
      <c r="IP45" s="2854"/>
      <c r="IQ45" s="2854"/>
      <c r="IR45" s="2854"/>
      <c r="IS45" s="2854"/>
      <c r="IT45" s="2854"/>
      <c r="IU45" s="2854"/>
      <c r="IV45" s="2854"/>
      <c r="IW45" s="2854"/>
      <c r="IX45" s="2854"/>
      <c r="IY45" s="2854"/>
      <c r="IZ45" s="2854"/>
      <c r="JA45" s="2854"/>
      <c r="JB45" s="2854"/>
      <c r="JC45" s="2854"/>
      <c r="JD45" s="2854"/>
      <c r="JE45" s="2854"/>
      <c r="JF45" s="2854"/>
      <c r="JG45" s="2854"/>
      <c r="JH45" s="2854"/>
      <c r="JI45" s="2854"/>
      <c r="JJ45" s="2854"/>
      <c r="JK45" s="2854"/>
      <c r="JL45" s="2854"/>
      <c r="JM45" s="2854"/>
      <c r="JN45" s="2854"/>
      <c r="JO45" s="2854"/>
      <c r="JP45" s="2854"/>
      <c r="JQ45" s="2854"/>
      <c r="JR45" s="2854"/>
      <c r="JS45" s="2854"/>
      <c r="JT45" s="2854"/>
      <c r="JU45" s="2854"/>
      <c r="JV45" s="2854"/>
      <c r="JW45" s="2854"/>
      <c r="JX45" s="2854"/>
      <c r="JY45" s="2854"/>
      <c r="JZ45" s="2854"/>
      <c r="KA45" s="2854"/>
      <c r="KB45" s="2854"/>
      <c r="KC45" s="2854"/>
      <c r="KD45" s="2854"/>
      <c r="KE45" s="2854"/>
      <c r="KF45" s="2854"/>
      <c r="KG45" s="2854"/>
      <c r="KH45" s="2854"/>
      <c r="KI45" s="2854"/>
      <c r="KJ45" s="2854"/>
      <c r="KK45" s="2854"/>
      <c r="KL45" s="2854"/>
      <c r="KM45" s="2854"/>
      <c r="KN45" s="2854"/>
      <c r="KO45" s="2854"/>
      <c r="KP45" s="2854"/>
      <c r="KQ45" s="2854"/>
      <c r="KR45" s="2854"/>
      <c r="KS45" s="2854"/>
      <c r="KT45" s="2854"/>
      <c r="KU45" s="2854"/>
      <c r="KV45" s="2854"/>
      <c r="KW45" s="2854"/>
      <c r="KX45" s="2854"/>
      <c r="KY45" s="2854"/>
      <c r="KZ45" s="2854"/>
      <c r="LA45" s="2854"/>
      <c r="LB45" s="2854"/>
      <c r="LC45" s="2854"/>
      <c r="LD45" s="2854"/>
      <c r="LE45" s="2854"/>
      <c r="LF45" s="2854"/>
      <c r="LG45" s="2854"/>
      <c r="LH45" s="2854"/>
      <c r="LI45" s="2854"/>
      <c r="LJ45" s="2854"/>
      <c r="LK45" s="2854"/>
      <c r="LL45" s="2854"/>
      <c r="LM45" s="2854"/>
      <c r="LN45" s="2854"/>
      <c r="LO45" s="2854"/>
      <c r="LP45" s="2854"/>
      <c r="LQ45" s="2854"/>
      <c r="LR45" s="2854"/>
      <c r="LS45" s="2854"/>
      <c r="LT45" s="2854"/>
      <c r="LU45" s="2854"/>
      <c r="LV45" s="2854"/>
      <c r="LW45" s="2854"/>
      <c r="LX45" s="2854"/>
      <c r="LY45" s="2854"/>
      <c r="LZ45" s="2854"/>
      <c r="MA45" s="2854"/>
      <c r="MB45" s="2854"/>
      <c r="MC45" s="2854"/>
      <c r="MD45" s="2854"/>
      <c r="ME45" s="2854"/>
      <c r="MF45" s="2854"/>
      <c r="MG45" s="2854"/>
      <c r="MH45" s="2854"/>
      <c r="MI45" s="2854"/>
      <c r="MJ45" s="2854"/>
      <c r="MK45" s="2854"/>
      <c r="ML45" s="2854"/>
      <c r="MM45" s="2854"/>
      <c r="MN45" s="2854"/>
      <c r="MO45" s="2854"/>
      <c r="MP45" s="2854"/>
      <c r="MQ45" s="2854"/>
      <c r="MR45" s="2854"/>
      <c r="MS45" s="2854"/>
      <c r="MT45" s="2854"/>
      <c r="MU45" s="2854"/>
      <c r="MV45" s="2854"/>
      <c r="MW45" s="2854"/>
      <c r="MX45" s="2854"/>
      <c r="MY45" s="2854"/>
      <c r="MZ45" s="2854"/>
      <c r="NA45" s="2854"/>
      <c r="NB45" s="2854"/>
      <c r="NC45" s="2854"/>
      <c r="ND45" s="2854"/>
      <c r="NE45" s="2854"/>
      <c r="NF45" s="2854"/>
      <c r="NG45" s="2854"/>
      <c r="NH45" s="2854"/>
      <c r="NI45" s="2854"/>
      <c r="NJ45" s="2854"/>
      <c r="NK45" s="2854"/>
      <c r="NL45" s="2854"/>
      <c r="NM45" s="2854"/>
      <c r="NN45" s="2854"/>
      <c r="NO45" s="2854"/>
      <c r="NP45" s="2854"/>
      <c r="NQ45" s="2854"/>
      <c r="NR45" s="2854"/>
      <c r="NS45" s="2854"/>
      <c r="NT45" s="2854"/>
      <c r="NU45" s="2854"/>
      <c r="NV45" s="2854"/>
      <c r="NW45" s="2854"/>
      <c r="NX45" s="2854"/>
      <c r="NY45" s="2854"/>
      <c r="NZ45" s="2854"/>
      <c r="OA45" s="2854"/>
      <c r="OB45" s="2854"/>
      <c r="OC45" s="2854"/>
      <c r="OD45" s="2854"/>
      <c r="OE45" s="2854"/>
      <c r="OF45" s="2854"/>
      <c r="OG45" s="2854"/>
      <c r="OH45" s="2854"/>
      <c r="OI45" s="2854"/>
      <c r="OJ45" s="2854"/>
      <c r="OK45" s="2854"/>
      <c r="OL45" s="2854"/>
      <c r="OM45" s="2854"/>
      <c r="ON45" s="2854"/>
      <c r="OO45" s="2854"/>
      <c r="OP45" s="2854"/>
      <c r="OQ45" s="2854"/>
      <c r="OR45" s="2854"/>
      <c r="OS45" s="2854"/>
      <c r="OT45" s="2854"/>
      <c r="OU45" s="2854"/>
      <c r="OV45" s="2854"/>
      <c r="OW45" s="2854"/>
      <c r="OX45" s="2854"/>
      <c r="OY45" s="2854"/>
      <c r="OZ45" s="2854"/>
      <c r="PA45" s="2854"/>
      <c r="PB45" s="2854"/>
      <c r="PC45" s="2854"/>
      <c r="PD45" s="2854"/>
      <c r="PE45" s="2854"/>
      <c r="PF45" s="2854"/>
      <c r="PG45" s="2854"/>
      <c r="PH45" s="2854"/>
      <c r="PI45" s="2854"/>
      <c r="PJ45" s="2854"/>
      <c r="PK45" s="2854"/>
      <c r="PL45" s="2854"/>
      <c r="PM45" s="2854"/>
      <c r="PN45" s="2854"/>
      <c r="PO45" s="2854"/>
      <c r="PP45" s="2854"/>
      <c r="PQ45" s="2854"/>
      <c r="PR45" s="2854"/>
      <c r="PS45" s="2854"/>
      <c r="PT45" s="2854"/>
      <c r="PU45" s="2854"/>
      <c r="PV45" s="2854"/>
      <c r="PW45" s="2854"/>
      <c r="PX45" s="2854"/>
      <c r="PY45" s="2854"/>
      <c r="PZ45" s="2854"/>
      <c r="QA45" s="2854"/>
      <c r="QB45" s="2854"/>
      <c r="QC45" s="2854"/>
      <c r="QD45" s="2854"/>
      <c r="QE45" s="2854"/>
      <c r="QF45" s="2854"/>
      <c r="QG45" s="2854"/>
      <c r="QH45" s="2854"/>
      <c r="QI45" s="2854"/>
      <c r="QJ45" s="2854"/>
      <c r="QK45" s="2854"/>
      <c r="QL45" s="2854"/>
      <c r="QM45" s="2854"/>
      <c r="QN45" s="2854"/>
      <c r="QO45" s="2854"/>
      <c r="QP45" s="2854"/>
      <c r="QQ45" s="2854"/>
      <c r="QR45" s="2854"/>
      <c r="QS45" s="2854"/>
      <c r="QT45" s="2854"/>
      <c r="QU45" s="2854"/>
      <c r="QV45" s="2854"/>
      <c r="QW45" s="2854"/>
      <c r="QX45" s="2854"/>
      <c r="QY45" s="2854"/>
      <c r="QZ45" s="2854"/>
      <c r="RA45" s="2854"/>
      <c r="RB45" s="2854"/>
      <c r="RC45" s="2854"/>
      <c r="RD45" s="2854"/>
      <c r="RE45" s="2854"/>
      <c r="RF45" s="2854"/>
      <c r="RG45" s="2854"/>
      <c r="RH45" s="2854"/>
      <c r="RI45" s="2854"/>
      <c r="RJ45" s="2854"/>
      <c r="RK45" s="2854"/>
      <c r="RL45" s="2854"/>
      <c r="RM45" s="2854"/>
      <c r="RN45" s="2854"/>
      <c r="RO45" s="2854"/>
      <c r="RP45" s="2854"/>
      <c r="RQ45" s="2854"/>
      <c r="RR45" s="2854"/>
      <c r="RS45" s="2854"/>
      <c r="RT45" s="2854"/>
      <c r="RU45" s="2854"/>
      <c r="RV45" s="2854"/>
      <c r="RW45" s="2854"/>
      <c r="RX45" s="2854"/>
      <c r="RY45" s="2854"/>
      <c r="RZ45" s="2854"/>
      <c r="SA45" s="2854"/>
      <c r="SB45" s="2854"/>
      <c r="SC45" s="2854"/>
      <c r="SD45" s="2854"/>
      <c r="SE45" s="2854"/>
      <c r="SF45" s="2854"/>
      <c r="SG45" s="2854"/>
      <c r="SH45" s="2854"/>
      <c r="SI45" s="2854"/>
      <c r="SJ45" s="2854"/>
      <c r="SK45" s="2854"/>
      <c r="SL45" s="2854"/>
      <c r="SM45" s="2854"/>
      <c r="SN45" s="2854"/>
      <c r="SO45" s="2854"/>
      <c r="SP45" s="2854"/>
      <c r="SQ45" s="2854"/>
      <c r="SR45" s="2854"/>
      <c r="SS45" s="2854"/>
      <c r="ST45" s="2854"/>
      <c r="SU45" s="2854"/>
      <c r="SV45" s="2854"/>
      <c r="SW45" s="2854"/>
      <c r="SX45" s="2854"/>
      <c r="SY45" s="2854"/>
      <c r="SZ45" s="2854"/>
      <c r="TA45" s="2854"/>
      <c r="TB45" s="2854"/>
      <c r="TC45" s="2854"/>
      <c r="TD45" s="2854"/>
      <c r="TE45" s="2854"/>
      <c r="TF45" s="2854"/>
      <c r="TG45" s="2854"/>
      <c r="TH45" s="2854"/>
      <c r="TI45" s="2854"/>
      <c r="TJ45" s="2854"/>
      <c r="TK45" s="2854"/>
      <c r="TL45" s="2854"/>
      <c r="TM45" s="2854"/>
      <c r="TN45" s="2854"/>
      <c r="TO45" s="2854"/>
      <c r="TP45" s="2854"/>
      <c r="TQ45" s="2854"/>
      <c r="TR45" s="2854"/>
      <c r="TS45" s="2854"/>
      <c r="TT45" s="2854"/>
      <c r="TU45" s="3783"/>
      <c r="TV45" s="3783"/>
      <c r="TW45" s="3783"/>
      <c r="TX45" s="3783"/>
      <c r="TY45" s="3783"/>
      <c r="TZ45" s="3783"/>
      <c r="UA45" s="3783"/>
      <c r="UB45" s="3783"/>
      <c r="UC45" s="3783"/>
      <c r="UD45" s="3783"/>
      <c r="UE45" s="3783"/>
      <c r="UF45" s="3783"/>
      <c r="UG45" s="3783"/>
      <c r="UH45" s="3783"/>
      <c r="UI45" s="3783"/>
      <c r="UJ45" s="3783"/>
      <c r="UK45" s="3783"/>
      <c r="UL45" s="3783"/>
      <c r="UM45" s="3783"/>
      <c r="UN45" s="3783"/>
      <c r="UO45" s="3783"/>
      <c r="UP45" s="2854"/>
      <c r="UQ45" s="2854"/>
      <c r="UR45" s="2854"/>
      <c r="US45" s="2854"/>
      <c r="UT45" s="2854"/>
      <c r="UU45" s="2854"/>
      <c r="UV45" s="2854"/>
      <c r="UW45" s="2854"/>
      <c r="UX45" s="2854"/>
      <c r="UY45" s="2854"/>
      <c r="UZ45" s="2854"/>
      <c r="VA45" s="2854"/>
      <c r="VB45" s="2854"/>
      <c r="VC45" s="2854"/>
      <c r="VD45" s="2854"/>
      <c r="VE45" s="2854"/>
      <c r="VF45" s="2854"/>
      <c r="VG45" s="2854"/>
      <c r="VH45" s="2854"/>
      <c r="VI45" s="2854"/>
      <c r="VJ45" s="2854"/>
      <c r="VK45" s="2854"/>
      <c r="VL45" s="2854"/>
      <c r="VM45" s="2854"/>
      <c r="VN45" s="2854"/>
      <c r="VO45" s="2854"/>
      <c r="VP45" s="2854"/>
      <c r="VQ45" s="2854"/>
      <c r="VR45" s="2854"/>
      <c r="VS45" s="2854"/>
      <c r="VT45" s="2854"/>
      <c r="VU45" s="2854"/>
      <c r="VV45" s="2854"/>
      <c r="VW45" s="2854"/>
      <c r="VX45" s="2854"/>
      <c r="VY45" s="2854"/>
      <c r="VZ45" s="2854"/>
      <c r="WA45" s="2854"/>
      <c r="WB45" s="2854"/>
      <c r="WC45" s="2854"/>
      <c r="WD45" s="2854"/>
      <c r="WE45" s="2854"/>
      <c r="WF45" s="2854"/>
      <c r="WG45" s="2854"/>
      <c r="WH45" s="2854"/>
      <c r="WI45" s="2854"/>
      <c r="WJ45" s="2854"/>
      <c r="WK45" s="2854"/>
      <c r="WL45" s="2854"/>
      <c r="WM45" s="2854"/>
      <c r="WN45" s="2854"/>
      <c r="WO45" s="2854"/>
      <c r="WP45" s="2854"/>
      <c r="WQ45" s="2854"/>
      <c r="WR45" s="2854"/>
      <c r="WS45" s="2854"/>
      <c r="WT45" s="2854"/>
      <c r="WU45" s="2854"/>
      <c r="WV45" s="2854"/>
      <c r="WW45" s="2854"/>
      <c r="WX45" s="2854"/>
      <c r="WY45" s="2854"/>
      <c r="WZ45" s="2854"/>
      <c r="XA45" s="2854"/>
      <c r="XB45" s="2854"/>
      <c r="XC45" s="2854"/>
      <c r="XD45" s="2854"/>
      <c r="XE45" s="2854"/>
      <c r="XF45" s="2854"/>
      <c r="XG45" s="2854"/>
      <c r="XH45" s="2854"/>
      <c r="XI45" s="2854"/>
      <c r="XJ45" s="2854"/>
      <c r="XK45" s="2854"/>
      <c r="XL45" s="2854"/>
      <c r="XM45" s="2854"/>
      <c r="XN45" s="2854"/>
      <c r="XO45" s="2854"/>
      <c r="XP45" s="2854"/>
      <c r="XQ45" s="2854"/>
      <c r="XR45" s="2854"/>
      <c r="XS45" s="2854"/>
      <c r="XT45" s="2854"/>
      <c r="XU45" s="2854"/>
      <c r="XV45" s="2854"/>
      <c r="XW45" s="2854"/>
      <c r="XX45" s="2854"/>
      <c r="XY45" s="2854"/>
      <c r="XZ45" s="2854"/>
      <c r="YA45" s="2854"/>
      <c r="YB45" s="2854"/>
      <c r="YC45" s="2854"/>
      <c r="YD45" s="2854"/>
      <c r="YE45" s="2854"/>
      <c r="YF45" s="2854"/>
      <c r="YG45" s="2854"/>
      <c r="YH45" s="2854"/>
      <c r="YI45" s="2854"/>
      <c r="YJ45" s="2854"/>
      <c r="YK45" s="2854"/>
      <c r="YL45" s="2854"/>
      <c r="YM45" s="2854"/>
      <c r="YN45" s="2854"/>
      <c r="YO45" s="2854"/>
      <c r="YP45" s="2854"/>
      <c r="YQ45" s="2854"/>
      <c r="YR45" s="2854"/>
      <c r="YS45" s="2854"/>
      <c r="YT45" s="2854"/>
      <c r="YU45" s="2854"/>
      <c r="YV45" s="2854"/>
      <c r="YW45" s="2854"/>
      <c r="YX45" s="2854"/>
      <c r="YY45" s="2854"/>
      <c r="YZ45" s="2854"/>
      <c r="ZA45" s="2854"/>
      <c r="ZB45" s="2854"/>
      <c r="ZC45" s="2854"/>
      <c r="ZD45" s="2854"/>
      <c r="ZE45" s="2854"/>
      <c r="ZF45" s="2854"/>
      <c r="ZG45" s="2854"/>
      <c r="ZH45" s="2854"/>
      <c r="ZI45" s="2854"/>
      <c r="ZJ45" s="2854"/>
      <c r="ZK45" s="2854"/>
      <c r="ZL45" s="2854"/>
      <c r="ZM45" s="2854"/>
      <c r="ZN45" s="2854"/>
      <c r="ZO45" s="2854"/>
      <c r="ZP45" s="2854"/>
      <c r="ZQ45" s="2854"/>
      <c r="ZR45" s="2854"/>
      <c r="ZS45" s="2854"/>
      <c r="ZT45" s="2854"/>
      <c r="ZU45" s="2854"/>
      <c r="ZV45" s="2854"/>
      <c r="ZW45" s="2854"/>
      <c r="ZX45" s="2854"/>
      <c r="ZY45" s="2854"/>
      <c r="ZZ45" s="2854"/>
      <c r="AAA45" s="2854"/>
      <c r="AAB45" s="2854"/>
      <c r="AAC45" s="2854"/>
      <c r="AAD45" s="2854"/>
      <c r="AAE45" s="2854"/>
      <c r="AAF45" s="2854"/>
      <c r="AAG45" s="2854"/>
      <c r="AAH45" s="2854"/>
      <c r="AAI45" s="2854"/>
      <c r="AAJ45" s="2854"/>
      <c r="AAK45" s="2854"/>
      <c r="AAL45" s="2854"/>
      <c r="AAM45" s="2854"/>
      <c r="AAN45" s="2854"/>
      <c r="AAO45" s="2854"/>
      <c r="AAP45" s="2854"/>
      <c r="AAQ45" s="2854"/>
      <c r="AAR45" s="2854"/>
      <c r="AAS45" s="2854"/>
      <c r="AAT45" s="2854"/>
      <c r="AAU45" s="2854"/>
      <c r="AAV45" s="2854"/>
      <c r="AAW45" s="2854"/>
      <c r="AAX45" s="2854"/>
      <c r="AAY45" s="2854"/>
      <c r="AAZ45" s="2854"/>
      <c r="ABA45" s="2854"/>
      <c r="ABB45" s="2854"/>
      <c r="ABC45" s="2854"/>
      <c r="ABD45" s="2854"/>
      <c r="ABE45" s="2854"/>
      <c r="ABF45" s="2854"/>
      <c r="ABG45" s="2854"/>
      <c r="ABH45" s="2854"/>
      <c r="ABI45" s="2854"/>
      <c r="ABJ45" s="2854"/>
      <c r="ABK45" s="2854"/>
      <c r="ABL45" s="2854"/>
      <c r="ABM45" s="2854"/>
      <c r="ABN45" s="2854"/>
      <c r="ABO45" s="2854"/>
      <c r="ABP45" s="2854"/>
      <c r="ABQ45" s="2854"/>
      <c r="ABR45" s="2854"/>
      <c r="ABS45" s="2854"/>
      <c r="ABT45" s="2854"/>
      <c r="ABU45" s="2854"/>
      <c r="ABV45" s="2854"/>
      <c r="ABW45" s="2854"/>
      <c r="ABX45" s="2854"/>
      <c r="ABY45" s="2854"/>
      <c r="ABZ45" s="2854"/>
      <c r="ACA45" s="2854"/>
      <c r="ACB45" s="2854"/>
      <c r="ACC45" s="2854"/>
      <c r="ACD45" s="2854"/>
      <c r="ACE45" s="2854"/>
      <c r="ACF45" s="2854"/>
      <c r="ACG45" s="2854"/>
      <c r="ACH45" s="2854"/>
      <c r="ACI45" s="2854"/>
      <c r="ACJ45" s="2854"/>
      <c r="ACK45" s="2854"/>
      <c r="ACL45" s="2854"/>
      <c r="ACM45" s="2854"/>
      <c r="ACN45" s="2854"/>
      <c r="ACO45" s="2854"/>
      <c r="ACP45" s="2854"/>
      <c r="ACQ45" s="2854"/>
      <c r="ACR45" s="2854"/>
      <c r="ACS45" s="2854"/>
      <c r="ACT45" s="2854"/>
      <c r="ACU45" s="2854"/>
      <c r="ACV45" s="2854"/>
      <c r="ACW45" s="2854"/>
      <c r="ACX45" s="2854"/>
      <c r="ACY45" s="2854"/>
      <c r="ACZ45" s="2854"/>
      <c r="ADA45" s="2854"/>
      <c r="ADB45" s="2854"/>
      <c r="ADC45" s="2854"/>
      <c r="ADD45" s="2854"/>
      <c r="ADE45" s="2854"/>
      <c r="ADF45" s="2854"/>
      <c r="ADG45" s="2854"/>
      <c r="ADH45" s="2854"/>
      <c r="ADI45" s="2854"/>
      <c r="ADJ45" s="2854"/>
      <c r="ADK45" s="2854"/>
      <c r="ADL45" s="2854"/>
      <c r="ADM45" s="2854"/>
      <c r="ADN45" s="2854"/>
      <c r="ADO45" s="2854"/>
      <c r="ADP45" s="2854"/>
      <c r="ADQ45" s="2854"/>
      <c r="ADR45" s="2854"/>
      <c r="ADS45" s="2854"/>
      <c r="ADT45" s="2854"/>
      <c r="ADU45" s="2854"/>
      <c r="ADV45" s="2854"/>
      <c r="ADW45" s="2854"/>
      <c r="ADX45" s="2854"/>
      <c r="ADY45" s="2854"/>
      <c r="ADZ45" s="2854"/>
      <c r="AEA45" s="2854"/>
      <c r="AEB45" s="2854"/>
      <c r="AEC45" s="2854"/>
      <c r="AED45" s="2854"/>
      <c r="AEE45" s="2854"/>
      <c r="AEF45" s="2854"/>
      <c r="AEG45" s="2854"/>
      <c r="AEH45" s="2854"/>
      <c r="AEI45" s="2854"/>
      <c r="AEJ45" s="2854"/>
      <c r="AEK45" s="2854"/>
      <c r="AEL45" s="2854"/>
      <c r="AEM45" s="2854"/>
      <c r="AEN45" s="2854"/>
      <c r="AEO45" s="2854"/>
      <c r="AEP45" s="2854"/>
      <c r="AEQ45" s="2854"/>
      <c r="AER45" s="2854"/>
      <c r="AES45" s="2854"/>
      <c r="AET45" s="2854"/>
      <c r="AEU45" s="2854"/>
      <c r="AEV45" s="2854"/>
      <c r="AEW45" s="2854"/>
      <c r="AEX45" s="2854"/>
      <c r="AEY45" s="2854"/>
      <c r="AEZ45" s="2854"/>
      <c r="AFA45" s="2854"/>
      <c r="AFB45" s="2854"/>
      <c r="AFC45" s="2854"/>
      <c r="AFD45" s="2854"/>
      <c r="AFE45" s="2854"/>
      <c r="AFF45" s="2854"/>
      <c r="AFG45" s="2854"/>
      <c r="AFH45" s="2854"/>
      <c r="AFI45" s="2854"/>
      <c r="AFJ45" s="2854"/>
      <c r="AFK45" s="2854"/>
      <c r="AFL45" s="2854"/>
      <c r="AFM45" s="2854"/>
      <c r="AFN45" s="2854"/>
      <c r="AFO45" s="2854"/>
      <c r="AFP45" s="2854"/>
      <c r="AFQ45" s="2854"/>
      <c r="AFR45" s="2854"/>
      <c r="AFS45" s="2854"/>
      <c r="AFT45" s="2854"/>
      <c r="AFU45" s="2854"/>
      <c r="AFV45" s="2854"/>
      <c r="AFW45" s="2854"/>
      <c r="AFX45" s="2854"/>
      <c r="AFY45" s="2854"/>
      <c r="AFZ45" s="2854"/>
      <c r="AGA45" s="2854"/>
      <c r="AGB45" s="2854"/>
      <c r="AGC45" s="2854"/>
      <c r="AGD45" s="2854"/>
      <c r="AGE45" s="2854"/>
      <c r="AGF45" s="2854"/>
      <c r="AGG45" s="2854"/>
      <c r="AGH45" s="2854"/>
      <c r="AGI45" s="2854"/>
      <c r="AGJ45" s="2854"/>
      <c r="AGK45" s="2854"/>
      <c r="AGL45" s="2854"/>
      <c r="AGM45" s="2854"/>
      <c r="AGN45" s="2854"/>
      <c r="AGO45" s="2854"/>
      <c r="AGP45" s="2854"/>
      <c r="AGQ45" s="2854"/>
      <c r="AGR45" s="2854"/>
      <c r="AGS45" s="2854"/>
      <c r="AGT45" s="2854"/>
      <c r="AGU45" s="2854"/>
      <c r="AGV45" s="2854"/>
      <c r="AGW45" s="2854"/>
      <c r="AGX45" s="2854"/>
      <c r="AGY45" s="2854"/>
      <c r="AGZ45" s="2854"/>
      <c r="AHA45" s="2854"/>
      <c r="AHB45" s="2854"/>
      <c r="AHC45" s="2854"/>
      <c r="AHD45" s="2854"/>
      <c r="AHE45" s="2854"/>
      <c r="AHF45" s="2854"/>
      <c r="AHG45" s="2854"/>
      <c r="AHH45" s="2854"/>
      <c r="AHI45" s="2854"/>
      <c r="AHJ45" s="2854"/>
      <c r="AHK45" s="2854"/>
      <c r="AHL45" s="2854"/>
      <c r="AHM45" s="2854"/>
      <c r="AHN45" s="2854"/>
      <c r="AHO45" s="2854"/>
      <c r="AHP45" s="2854"/>
      <c r="AHQ45" s="2854"/>
      <c r="AHR45" s="2854"/>
      <c r="AHS45" s="2854"/>
      <c r="AHT45" s="2854"/>
      <c r="AHU45" s="2854"/>
      <c r="AHV45" s="2854"/>
      <c r="AHW45" s="2854"/>
      <c r="AHX45" s="2854"/>
      <c r="AHY45" s="2854"/>
      <c r="AHZ45" s="2854"/>
      <c r="AIA45" s="2854"/>
      <c r="AIB45" s="2854"/>
      <c r="AIC45" s="2854"/>
      <c r="AID45" s="2854"/>
      <c r="AIE45" s="2854"/>
      <c r="AIF45" s="2854"/>
      <c r="AIG45" s="2854"/>
      <c r="AIH45" s="2854"/>
      <c r="AII45" s="2854"/>
      <c r="AIJ45" s="2854"/>
      <c r="AIK45" s="2854"/>
      <c r="AIL45" s="2854"/>
      <c r="AIM45" s="2854"/>
      <c r="AIN45" s="2854"/>
      <c r="AIO45" s="2854"/>
      <c r="AIP45" s="2854"/>
      <c r="AIQ45" s="2854"/>
      <c r="AIR45" s="2854"/>
      <c r="AIS45" s="2854"/>
      <c r="AIT45" s="2854"/>
      <c r="AIU45" s="2854"/>
      <c r="AIV45" s="2854"/>
      <c r="AIW45" s="2854"/>
      <c r="AIX45" s="2854"/>
      <c r="AIY45" s="2854"/>
      <c r="AIZ45" s="2854"/>
      <c r="AJA45" s="2854"/>
      <c r="AJB45" s="2854"/>
      <c r="AJC45" s="2854"/>
      <c r="AJD45" s="2854"/>
      <c r="AJE45" s="2854"/>
      <c r="AJF45" s="2854"/>
      <c r="AJG45" s="2854"/>
      <c r="AJH45" s="2854"/>
      <c r="AJI45" s="2854"/>
      <c r="AJJ45" s="2854"/>
      <c r="AJK45" s="2854"/>
      <c r="AJL45" s="2854"/>
      <c r="AJM45" s="2854"/>
      <c r="AJN45" s="2854"/>
      <c r="AJO45" s="2854"/>
      <c r="AJP45" s="2854"/>
      <c r="AJQ45" s="2854"/>
      <c r="AJR45" s="2854"/>
      <c r="AJS45" s="2854"/>
      <c r="AJT45" s="2854"/>
      <c r="AJU45" s="2854"/>
      <c r="AJV45" s="2854"/>
      <c r="AJW45" s="2854"/>
      <c r="AJX45" s="2854"/>
      <c r="AJY45" s="2854"/>
      <c r="AJZ45" s="2854"/>
      <c r="AKA45" s="2854"/>
      <c r="AKB45" s="2854"/>
      <c r="AKC45" s="2854"/>
      <c r="AKD45" s="2854"/>
      <c r="AKE45" s="2854"/>
      <c r="AKF45" s="2854"/>
      <c r="AKG45" s="2854"/>
      <c r="AKH45" s="2854"/>
      <c r="AKI45" s="2854"/>
      <c r="AKJ45" s="2854"/>
      <c r="AKK45" s="2854"/>
      <c r="AKL45" s="2854"/>
      <c r="AKM45" s="2854"/>
      <c r="AKN45" s="2854"/>
      <c r="AKO45" s="2854"/>
      <c r="AKP45" s="2854"/>
      <c r="AKQ45" s="2854"/>
      <c r="AKR45" s="2854"/>
      <c r="AKS45" s="2854"/>
      <c r="AKT45" s="2854"/>
      <c r="AKU45" s="2854"/>
      <c r="AKV45" s="2854"/>
      <c r="AKW45" s="2854"/>
      <c r="AKX45" s="2854"/>
      <c r="AKY45" s="2854"/>
      <c r="AKZ45" s="2854"/>
      <c r="ALA45" s="2854"/>
      <c r="ALB45" s="2854"/>
      <c r="ALC45" s="2854"/>
      <c r="ALD45" s="2854"/>
      <c r="ALE45" s="2854"/>
      <c r="ALF45" s="2854"/>
      <c r="ALG45" s="2854"/>
      <c r="ALH45" s="2854"/>
      <c r="ALI45" s="2854"/>
      <c r="ALJ45" s="2854"/>
      <c r="ALK45" s="2854"/>
      <c r="ALL45" s="2854"/>
      <c r="ALM45" s="2854"/>
      <c r="ALN45" s="2854"/>
      <c r="ALO45" s="2854"/>
      <c r="ALP45" s="2854"/>
      <c r="ALQ45" s="2854"/>
      <c r="ALR45" s="2854"/>
      <c r="ALS45" s="2854"/>
      <c r="ALT45" s="2854"/>
      <c r="ALU45" s="2854"/>
      <c r="ALV45" s="2854"/>
      <c r="ALW45" s="2854"/>
      <c r="ALX45" s="2854"/>
      <c r="ALY45" s="2854"/>
      <c r="ALZ45" s="2854"/>
      <c r="AMA45" s="2854"/>
      <c r="AMB45" s="2854"/>
      <c r="AMC45" s="2854"/>
      <c r="AMD45" s="2854"/>
      <c r="AME45" s="2854"/>
      <c r="AMF45" s="2854"/>
      <c r="AMG45" s="2854"/>
      <c r="AMH45" s="2854"/>
      <c r="AMI45" s="2854"/>
      <c r="AMJ45" s="2854"/>
      <c r="AMK45" s="2854"/>
      <c r="AML45" s="2854"/>
      <c r="AMM45" s="2854"/>
      <c r="AMN45" s="2854"/>
      <c r="AMO45" s="2854"/>
      <c r="AMP45" s="2854"/>
      <c r="AMQ45" s="2854"/>
      <c r="AMR45" s="2854"/>
      <c r="AMS45" s="2854"/>
      <c r="AMT45" s="2854"/>
      <c r="AMU45" s="2854"/>
      <c r="AMV45" s="2854"/>
      <c r="AMW45" s="2854"/>
      <c r="AMX45" s="2854"/>
      <c r="AMY45" s="2854"/>
      <c r="AMZ45" s="2854"/>
      <c r="ANA45" s="2854"/>
      <c r="ANB45" s="2854"/>
      <c r="ANC45" s="2854"/>
      <c r="AND45" s="2854"/>
      <c r="ANE45" s="2854"/>
      <c r="ANF45" s="2854"/>
      <c r="ANG45" s="2854"/>
      <c r="ANH45" s="2854"/>
      <c r="ANI45" s="2854"/>
      <c r="ANJ45" s="2854"/>
      <c r="ANK45" s="2854"/>
      <c r="ANL45" s="2854"/>
      <c r="ANM45" s="2854"/>
      <c r="ANN45" s="2854"/>
      <c r="ANO45" s="2854"/>
      <c r="ANP45" s="2854"/>
      <c r="ANQ45" s="2854"/>
      <c r="ANR45" s="2854"/>
      <c r="ANS45" s="2854"/>
      <c r="ANT45" s="2854"/>
      <c r="ANU45" s="2854"/>
      <c r="ANV45" s="2854"/>
      <c r="ANW45" s="2854"/>
      <c r="ANX45" s="2854"/>
      <c r="ANY45" s="2854"/>
      <c r="ANZ45" s="2854"/>
      <c r="AOA45" s="2854"/>
      <c r="AOB45" s="2854"/>
      <c r="AOC45" s="2854"/>
      <c r="AOD45" s="2854"/>
      <c r="AOE45" s="2854"/>
      <c r="AOF45" s="2854"/>
      <c r="AOG45" s="2854"/>
      <c r="AOH45" s="2854"/>
      <c r="AOI45" s="2854"/>
      <c r="AOJ45" s="2854"/>
      <c r="AOK45" s="2854"/>
      <c r="AOL45" s="2854"/>
      <c r="AOM45" s="2854"/>
      <c r="AON45" s="2854"/>
      <c r="AOO45" s="2854"/>
      <c r="AOP45" s="2854"/>
      <c r="AOQ45" s="2854"/>
      <c r="AOR45" s="2854"/>
      <c r="AOS45" s="2854"/>
      <c r="AOT45" s="2854"/>
      <c r="AOU45" s="2854"/>
      <c r="AOV45" s="2854"/>
      <c r="AOW45" s="2854"/>
      <c r="AOX45" s="2854"/>
      <c r="AOY45" s="2854"/>
      <c r="AOZ45" s="2854"/>
      <c r="APA45" s="2854"/>
      <c r="APB45" s="2854"/>
      <c r="APC45" s="2854"/>
      <c r="APD45" s="2854"/>
      <c r="APE45" s="2854"/>
      <c r="APF45" s="2854"/>
      <c r="APG45" s="2854"/>
      <c r="APH45" s="2854"/>
      <c r="API45" s="2854"/>
      <c r="APJ45" s="2854"/>
      <c r="APK45" s="2854"/>
      <c r="APL45" s="2854"/>
      <c r="APM45" s="2854"/>
      <c r="APN45" s="2854"/>
      <c r="APO45" s="2854"/>
      <c r="APP45" s="2854"/>
      <c r="APQ45" s="2854"/>
      <c r="APR45" s="2854"/>
      <c r="APS45" s="2854"/>
      <c r="APT45" s="2854"/>
      <c r="APU45" s="2854"/>
      <c r="APV45" s="2854"/>
      <c r="APW45" s="2854"/>
      <c r="APX45" s="2854"/>
      <c r="APY45" s="2854"/>
      <c r="APZ45" s="2854"/>
      <c r="AQA45" s="2854"/>
      <c r="AQB45" s="2854"/>
      <c r="AQC45" s="2854"/>
      <c r="AQD45" s="2854"/>
      <c r="AQE45" s="2854"/>
      <c r="AQF45" s="2854"/>
      <c r="AQG45" s="2854"/>
      <c r="AQH45" s="2854"/>
      <c r="AQI45" s="2854"/>
      <c r="AQJ45" s="2854"/>
      <c r="AQK45" s="2854"/>
      <c r="AQL45" s="2854"/>
      <c r="AQM45" s="2854"/>
      <c r="AQN45" s="2854"/>
      <c r="AQO45" s="2854"/>
      <c r="AQP45" s="2854"/>
      <c r="AQQ45" s="2854"/>
      <c r="AQR45" s="2854"/>
      <c r="AQS45" s="2854"/>
      <c r="AQT45" s="2854"/>
      <c r="AQU45" s="2854"/>
      <c r="AQV45" s="2854"/>
      <c r="AQW45" s="2854"/>
      <c r="AQX45" s="2854"/>
      <c r="AQY45" s="2854"/>
      <c r="AQZ45" s="2854"/>
      <c r="ARA45" s="2854"/>
      <c r="ARB45" s="2854"/>
      <c r="ARC45" s="2854"/>
      <c r="ARD45" s="2854"/>
      <c r="ARE45" s="2854"/>
      <c r="ARF45" s="2854"/>
      <c r="ARG45" s="2854"/>
      <c r="ARH45" s="2854"/>
      <c r="ARI45" s="2854"/>
      <c r="ARJ45" s="2854"/>
      <c r="ARK45" s="2854"/>
      <c r="ARL45" s="2854"/>
      <c r="ARM45" s="2854"/>
      <c r="ARN45" s="2854"/>
      <c r="ARO45" s="2854"/>
      <c r="ARP45" s="2854"/>
      <c r="ARQ45" s="2854"/>
      <c r="ARR45" s="2854"/>
      <c r="ARS45" s="2854"/>
      <c r="ART45" s="2854"/>
      <c r="ARU45" s="2854"/>
      <c r="ARV45" s="2854"/>
      <c r="ARW45" s="2854"/>
      <c r="ARX45" s="2854"/>
      <c r="ARY45" s="2854"/>
      <c r="ARZ45" s="2854"/>
      <c r="ASA45" s="2854"/>
      <c r="ASB45" s="2854"/>
      <c r="ASC45" s="2854"/>
      <c r="ASD45" s="2854"/>
      <c r="ASE45" s="2854"/>
      <c r="ASF45" s="2854"/>
      <c r="ASG45" s="2854"/>
      <c r="ASH45" s="2854"/>
      <c r="ASI45" s="2854"/>
      <c r="ASJ45" s="2854"/>
      <c r="ASK45" s="2854"/>
      <c r="ASL45" s="2854"/>
      <c r="ASM45" s="2854"/>
      <c r="ASN45" s="2854"/>
      <c r="ASO45" s="2854"/>
      <c r="ASP45" s="2854"/>
      <c r="ASQ45" s="2854"/>
      <c r="ASR45" s="2854"/>
      <c r="ASS45" s="2854"/>
      <c r="AST45" s="2854"/>
      <c r="ASU45" s="2854"/>
      <c r="ASV45" s="2854"/>
      <c r="ASW45" s="2854"/>
      <c r="ASX45" s="2854"/>
      <c r="ASY45" s="2854"/>
      <c r="ASZ45" s="2854"/>
      <c r="ATA45" s="2854"/>
      <c r="ATB45" s="2854"/>
      <c r="ATC45" s="2854"/>
      <c r="ATD45" s="2854"/>
      <c r="ATE45" s="2854"/>
      <c r="ATF45" s="2854"/>
      <c r="ATG45" s="2854"/>
      <c r="ATH45" s="2854"/>
      <c r="ATI45" s="2854"/>
      <c r="ATJ45" s="2854"/>
      <c r="ATK45" s="2854"/>
      <c r="ATL45" s="2854"/>
      <c r="ATM45" s="2854"/>
      <c r="ATN45" s="2854"/>
      <c r="ATO45" s="2854"/>
      <c r="ATP45" s="2854"/>
      <c r="ATQ45" s="2854"/>
      <c r="ATR45" s="2854"/>
      <c r="ATS45" s="2854"/>
      <c r="ATT45" s="2854"/>
      <c r="ATU45" s="2854"/>
      <c r="ATV45" s="2854"/>
      <c r="ATW45" s="2854"/>
      <c r="ATX45" s="2854"/>
      <c r="ATY45" s="2854"/>
      <c r="ATZ45" s="2854"/>
      <c r="AUA45" s="2854"/>
      <c r="AUB45" s="2854"/>
      <c r="AUC45" s="2854"/>
      <c r="AUD45" s="2854"/>
      <c r="AUE45" s="2854"/>
      <c r="AUF45" s="2854"/>
      <c r="AUG45" s="2854"/>
      <c r="AUH45" s="2854"/>
      <c r="AUI45" s="2854"/>
      <c r="AUJ45" s="2854"/>
      <c r="AUK45" s="2854"/>
      <c r="AUL45" s="2854"/>
      <c r="AUM45" s="2854"/>
      <c r="AUN45" s="2854"/>
      <c r="AUO45" s="2854"/>
      <c r="AUP45" s="2854"/>
      <c r="AUQ45" s="2854"/>
      <c r="AUR45" s="2854"/>
      <c r="AUS45" s="2854"/>
      <c r="AUT45" s="2854"/>
      <c r="AUU45" s="2854"/>
      <c r="AUV45" s="2854"/>
      <c r="AUW45" s="2854"/>
      <c r="AUX45" s="2854"/>
      <c r="AUY45" s="2854"/>
      <c r="AUZ45" s="2854"/>
      <c r="AVA45" s="2854"/>
      <c r="AVB45" s="2854"/>
      <c r="AVC45" s="2854"/>
      <c r="AVD45" s="2854"/>
      <c r="AVE45" s="2854"/>
      <c r="AVF45" s="2854"/>
      <c r="AVG45" s="2854"/>
      <c r="AVH45" s="2854"/>
      <c r="AVI45" s="2854"/>
      <c r="AVJ45" s="2854"/>
      <c r="AVK45" s="2854"/>
      <c r="AVL45" s="2854"/>
      <c r="AVM45" s="2854"/>
      <c r="AVN45" s="2854"/>
      <c r="AVO45" s="2854"/>
      <c r="AVP45" s="2854"/>
      <c r="AVQ45" s="2854"/>
      <c r="AVR45" s="2854"/>
      <c r="AVS45" s="2854"/>
      <c r="AVT45" s="2854"/>
      <c r="AVU45" s="2854"/>
      <c r="AVV45" s="2854"/>
      <c r="AVW45" s="2854"/>
      <c r="AVX45" s="2854"/>
      <c r="AVY45" s="2854"/>
      <c r="AVZ45" s="2854"/>
      <c r="AWA45" s="2854"/>
      <c r="AWB45" s="2854"/>
      <c r="AWC45" s="2854"/>
      <c r="AWD45" s="2854"/>
      <c r="AWE45" s="2854"/>
      <c r="AWF45" s="2854"/>
      <c r="AWG45" s="2854"/>
      <c r="AWH45" s="2854"/>
      <c r="AWI45" s="2854"/>
      <c r="AWJ45" s="2854"/>
      <c r="AWK45" s="2854"/>
      <c r="AWL45" s="2854"/>
      <c r="AWM45" s="2854"/>
      <c r="AWN45" s="2854"/>
      <c r="AWO45" s="2854"/>
      <c r="AWP45" s="2854"/>
      <c r="AWQ45" s="2854"/>
      <c r="AWR45" s="2854"/>
      <c r="AWS45" s="2854"/>
      <c r="AWT45" s="2854"/>
      <c r="AWU45" s="2854"/>
      <c r="AWV45" s="2854"/>
      <c r="AWW45" s="2854"/>
      <c r="AWX45" s="2854"/>
      <c r="AWY45" s="2854"/>
      <c r="AWZ45" s="2854"/>
      <c r="AXA45" s="2854"/>
      <c r="AXB45" s="2854"/>
      <c r="AXC45" s="2854"/>
      <c r="AXD45" s="2854"/>
      <c r="AXE45" s="2854"/>
      <c r="AXF45" s="2854"/>
      <c r="AXG45" s="2854"/>
      <c r="AXH45" s="2854"/>
      <c r="AXI45" s="2854"/>
      <c r="AXJ45" s="2854"/>
      <c r="AXK45" s="2854"/>
      <c r="AXL45" s="2854"/>
      <c r="AXM45" s="2854"/>
      <c r="AXN45" s="2854"/>
      <c r="AXO45" s="2854"/>
      <c r="AXP45" s="2854"/>
      <c r="AXQ45" s="2854"/>
      <c r="AXR45" s="2854"/>
      <c r="AXS45" s="2854"/>
      <c r="AXT45" s="2854"/>
      <c r="AXU45" s="2854"/>
      <c r="AXV45" s="2854"/>
      <c r="AXW45" s="2854"/>
      <c r="AXX45" s="2854"/>
      <c r="AXY45" s="2854"/>
      <c r="AXZ45" s="2854"/>
      <c r="AYA45" s="2854"/>
      <c r="AYB45" s="2854"/>
      <c r="AYC45" s="2854"/>
      <c r="AYD45" s="2854"/>
      <c r="AYE45" s="2854"/>
      <c r="AYF45" s="2854"/>
      <c r="AYG45" s="2854"/>
      <c r="AYH45" s="2854"/>
      <c r="AYI45" s="2854"/>
      <c r="AYJ45" s="2854"/>
      <c r="AYK45" s="2854"/>
      <c r="AYL45" s="2854"/>
      <c r="AYM45" s="2854"/>
      <c r="AYN45" s="2854"/>
      <c r="AYO45" s="2854"/>
      <c r="AYP45" s="2854"/>
      <c r="AYQ45" s="2854"/>
      <c r="AYR45" s="2854"/>
      <c r="AYS45" s="2854"/>
      <c r="AYT45" s="2854"/>
      <c r="AYU45" s="2854"/>
      <c r="AYV45" s="2854"/>
      <c r="AYW45" s="2854"/>
      <c r="AYX45" s="2854"/>
      <c r="AYY45" s="2854"/>
      <c r="AYZ45" s="2854"/>
      <c r="AZA45" s="2854"/>
      <c r="AZB45" s="2854"/>
      <c r="AZC45" s="2854"/>
      <c r="AZD45" s="2854"/>
      <c r="AZE45" s="2854"/>
      <c r="AZF45" s="2854"/>
      <c r="AZG45" s="2854"/>
      <c r="AZH45" s="2854"/>
      <c r="AZI45" s="2854"/>
      <c r="AZJ45" s="2854"/>
      <c r="AZK45" s="2854"/>
      <c r="AZL45" s="2854"/>
      <c r="AZM45" s="2854"/>
      <c r="AZN45" s="2854"/>
      <c r="AZO45" s="2854"/>
      <c r="AZP45" s="2854"/>
      <c r="AZQ45" s="2854"/>
      <c r="AZR45" s="2854"/>
      <c r="AZS45" s="2854"/>
      <c r="AZT45" s="2854"/>
      <c r="AZU45" s="2854"/>
      <c r="AZV45" s="2854"/>
      <c r="AZW45" s="2854"/>
      <c r="AZX45" s="2854"/>
      <c r="AZY45" s="2854"/>
      <c r="AZZ45" s="2854"/>
      <c r="BAA45" s="2854"/>
      <c r="BAB45" s="2854"/>
      <c r="BAC45" s="2854"/>
      <c r="BAD45" s="2854"/>
      <c r="BAE45" s="2854"/>
      <c r="BAF45" s="2854"/>
      <c r="BAG45" s="2854"/>
      <c r="BAH45" s="2854"/>
      <c r="BAI45" s="2854"/>
      <c r="BAJ45" s="2854"/>
      <c r="BAK45" s="2854"/>
      <c r="BAL45" s="2854"/>
      <c r="BAM45" s="2854"/>
      <c r="BAN45" s="2854"/>
      <c r="BAO45" s="2854"/>
      <c r="BAP45" s="2854"/>
      <c r="BAQ45" s="2854"/>
      <c r="BAR45" s="2854"/>
      <c r="BAS45" s="2854"/>
      <c r="BAT45" s="2854"/>
      <c r="BAU45" s="2854"/>
      <c r="BAV45" s="2854"/>
      <c r="BAW45" s="2854"/>
      <c r="BAX45" s="2854"/>
      <c r="BAY45" s="2854"/>
      <c r="BAZ45" s="2854"/>
      <c r="BBA45" s="2854"/>
      <c r="BBB45" s="2854"/>
      <c r="BBC45" s="2854"/>
      <c r="BBD45" s="2854"/>
      <c r="BBE45" s="2854"/>
      <c r="BBF45" s="2854"/>
      <c r="BBG45" s="2854"/>
      <c r="BBH45" s="2854"/>
      <c r="BBI45" s="2854"/>
      <c r="BBJ45" s="2854"/>
      <c r="BBK45" s="2854"/>
      <c r="BBL45" s="2854"/>
      <c r="BBM45" s="2854"/>
      <c r="BBN45" s="2854"/>
      <c r="BBO45" s="2854"/>
      <c r="BBP45" s="2854"/>
      <c r="BBQ45" s="2854"/>
      <c r="BBR45" s="2854"/>
      <c r="BBS45" s="2854"/>
      <c r="BBT45" s="2854"/>
      <c r="BBU45" s="2854"/>
      <c r="BBV45" s="2854"/>
      <c r="BBW45" s="2854"/>
      <c r="BBX45" s="2854"/>
      <c r="BBY45" s="2854"/>
      <c r="BBZ45" s="2854"/>
      <c r="BCA45" s="2854"/>
      <c r="BCB45" s="2854"/>
      <c r="BCC45" s="2854"/>
      <c r="BCD45" s="2854"/>
      <c r="BCE45" s="2854"/>
      <c r="BCF45" s="2854"/>
      <c r="BCG45" s="2854"/>
      <c r="BCH45" s="2854"/>
      <c r="BCI45" s="2854"/>
      <c r="BCJ45" s="2854"/>
      <c r="BCK45" s="2854"/>
      <c r="BCL45" s="2854"/>
      <c r="BCM45" s="2854"/>
      <c r="BCN45" s="2854"/>
      <c r="BCO45" s="2854"/>
      <c r="BCP45" s="2854"/>
      <c r="BCQ45" s="2854"/>
      <c r="BCR45" s="2854"/>
      <c r="BCS45" s="2854"/>
      <c r="BCT45" s="2854"/>
      <c r="BCU45" s="2854"/>
      <c r="BCV45" s="2854"/>
      <c r="BCW45" s="2854"/>
      <c r="BCX45" s="2854"/>
      <c r="BCY45" s="2854"/>
      <c r="BCZ45" s="2854"/>
      <c r="BDA45" s="2854"/>
      <c r="BDB45" s="2854"/>
      <c r="BDC45" s="2854"/>
      <c r="BDD45" s="2854"/>
      <c r="BDE45" s="2854"/>
      <c r="BDF45" s="2854"/>
      <c r="BDG45" s="2854"/>
      <c r="BDH45" s="2854"/>
      <c r="BDI45" s="2854"/>
      <c r="BDJ45" s="2854"/>
      <c r="BDK45" s="2854"/>
      <c r="BDL45" s="2854"/>
      <c r="BDM45" s="2854"/>
      <c r="BDN45" s="2854"/>
      <c r="BDO45" s="2854"/>
      <c r="BDP45" s="2854"/>
      <c r="BDQ45" s="2854"/>
      <c r="BDR45" s="2854"/>
      <c r="BDS45" s="2854"/>
      <c r="BDT45" s="2854"/>
      <c r="BDU45" s="2854"/>
      <c r="BDV45" s="2854"/>
      <c r="BDW45" s="2854"/>
      <c r="BDX45" s="2854"/>
      <c r="BDY45" s="2854"/>
      <c r="BDZ45" s="2854"/>
      <c r="BEA45" s="2854"/>
      <c r="BEB45" s="2854"/>
      <c r="BEC45" s="2854"/>
      <c r="BED45" s="2854"/>
      <c r="BEE45" s="2854"/>
      <c r="BEF45" s="2854"/>
      <c r="BEG45" s="2854"/>
      <c r="BEH45" s="2854"/>
      <c r="BEI45" s="2854"/>
      <c r="BEJ45" s="2854"/>
      <c r="BEK45" s="2854"/>
      <c r="BEL45" s="2854"/>
      <c r="BEM45" s="2854"/>
      <c r="BEN45" s="2854"/>
      <c r="BEO45" s="2854"/>
      <c r="BEP45" s="2854"/>
      <c r="BEQ45" s="2854"/>
      <c r="BER45" s="2854"/>
      <c r="BES45" s="2854"/>
      <c r="BET45" s="2854"/>
      <c r="BEU45" s="2854"/>
      <c r="BEV45" s="2854"/>
      <c r="BEW45" s="2854"/>
      <c r="BEX45" s="2854"/>
      <c r="BEY45" s="2854"/>
      <c r="BEZ45" s="2854"/>
      <c r="BFA45" s="2854"/>
      <c r="BFB45" s="2854"/>
      <c r="BFC45" s="2854"/>
      <c r="BFD45" s="2854"/>
      <c r="BFE45" s="2854"/>
      <c r="BFF45" s="2854"/>
      <c r="BFG45" s="2854"/>
      <c r="BFH45" s="2854"/>
      <c r="BFI45" s="2854"/>
      <c r="BFJ45" s="2854"/>
      <c r="BFK45" s="2854"/>
      <c r="BFL45" s="2854"/>
      <c r="BFM45" s="2854"/>
      <c r="BFN45" s="2854"/>
      <c r="BFO45" s="2854"/>
      <c r="BFP45" s="2854"/>
      <c r="BFQ45" s="2854"/>
      <c r="BFR45" s="2854"/>
      <c r="BFS45" s="2854"/>
      <c r="BFT45" s="2854"/>
      <c r="BFU45" s="2854"/>
      <c r="BFV45" s="2854"/>
      <c r="BFW45" s="2854"/>
      <c r="BFX45" s="2854"/>
      <c r="BFY45" s="2854"/>
      <c r="BFZ45" s="2854"/>
      <c r="BGA45" s="2854"/>
      <c r="BGB45" s="2854"/>
      <c r="BGC45" s="2854"/>
      <c r="BGD45" s="2854"/>
      <c r="BGE45" s="2854"/>
      <c r="BGF45" s="2854"/>
      <c r="BGG45" s="2854"/>
      <c r="BGH45" s="2854"/>
      <c r="BGI45" s="2854"/>
      <c r="BGJ45" s="2854"/>
      <c r="BGK45" s="2854"/>
      <c r="BGL45" s="2854"/>
      <c r="BGM45" s="2854"/>
      <c r="BGN45" s="2854"/>
      <c r="BGO45" s="2854"/>
      <c r="BGP45" s="2854"/>
      <c r="BGQ45" s="2854"/>
      <c r="BGR45" s="2854"/>
      <c r="BGS45" s="2854"/>
      <c r="BGT45" s="2854"/>
      <c r="BGU45" s="2854"/>
      <c r="BGV45" s="2854"/>
      <c r="BGW45" s="2854"/>
      <c r="BGX45" s="2854"/>
      <c r="BGY45" s="2854"/>
      <c r="BGZ45" s="2854"/>
      <c r="BHA45" s="2854"/>
      <c r="BHB45" s="2854"/>
      <c r="BHC45" s="2854"/>
      <c r="BHD45" s="2854"/>
      <c r="BHE45" s="2854"/>
      <c r="BHF45" s="2854"/>
      <c r="BHG45" s="2854"/>
      <c r="BHH45" s="2854"/>
      <c r="BHI45" s="2854"/>
      <c r="BHJ45" s="2854"/>
      <c r="BHK45" s="2854"/>
      <c r="BHL45" s="2854"/>
      <c r="BHM45" s="2854"/>
      <c r="BHN45" s="2854"/>
      <c r="BHO45" s="2854"/>
      <c r="BHP45" s="2854"/>
      <c r="BHQ45" s="2854"/>
      <c r="BHR45" s="2854"/>
      <c r="BHS45" s="2854"/>
      <c r="BHT45" s="2854"/>
      <c r="BHU45" s="2854"/>
      <c r="BHV45" s="2854"/>
      <c r="BHW45" s="2854"/>
      <c r="BHX45" s="2854"/>
      <c r="BHY45" s="2854"/>
      <c r="BHZ45" s="2854"/>
      <c r="BIA45" s="2854"/>
      <c r="BIB45" s="2854"/>
      <c r="BIC45" s="2854"/>
      <c r="BID45" s="2854"/>
      <c r="BIE45" s="2854"/>
      <c r="BIF45" s="2854"/>
      <c r="BIG45" s="2854"/>
      <c r="BIH45" s="2854"/>
      <c r="BII45" s="2854"/>
      <c r="BIJ45" s="2854"/>
      <c r="BIK45" s="2854"/>
      <c r="BIL45" s="2854"/>
      <c r="BIM45" s="2854"/>
      <c r="BIN45" s="2854"/>
      <c r="BIO45" s="2854"/>
      <c r="BIP45" s="2854"/>
      <c r="BIQ45" s="2854"/>
      <c r="BIR45" s="2854"/>
      <c r="BIS45" s="2854"/>
      <c r="BIT45" s="2854"/>
      <c r="BIU45" s="2854"/>
      <c r="BIV45" s="2854"/>
      <c r="BIW45" s="2854"/>
      <c r="BIX45" s="2854"/>
      <c r="BIY45" s="2854"/>
      <c r="BIZ45" s="2854"/>
      <c r="BJA45" s="2854"/>
      <c r="BJB45" s="2854"/>
      <c r="BJC45" s="2854"/>
      <c r="BJD45" s="2854"/>
      <c r="BJE45" s="2854"/>
      <c r="BJF45" s="2854"/>
      <c r="BJG45" s="2854"/>
      <c r="BJH45" s="2854"/>
      <c r="BJI45" s="2854"/>
      <c r="BJJ45" s="2854"/>
      <c r="BJK45" s="2854"/>
      <c r="BJL45" s="2854"/>
      <c r="BJM45" s="2854"/>
      <c r="BJN45" s="2854"/>
      <c r="BJO45" s="2854"/>
      <c r="BJP45" s="2854"/>
      <c r="BJQ45" s="2854"/>
      <c r="BJR45" s="2854"/>
      <c r="BJS45" s="2854"/>
      <c r="BJT45" s="2854"/>
      <c r="BJU45" s="2854"/>
      <c r="BJV45" s="2854"/>
      <c r="BJW45" s="2854"/>
      <c r="BJX45" s="2854"/>
      <c r="BJY45" s="2854"/>
      <c r="BJZ45" s="2854"/>
      <c r="BKA45" s="2854"/>
      <c r="BKB45" s="2854"/>
      <c r="BKC45" s="2854"/>
      <c r="BKD45" s="2854"/>
      <c r="BKE45" s="2854"/>
      <c r="BKF45" s="2854"/>
      <c r="BKG45" s="2854"/>
      <c r="BKH45" s="2854"/>
      <c r="BKI45" s="2854"/>
      <c r="BKJ45" s="2854"/>
      <c r="BKK45" s="2854"/>
      <c r="BKL45" s="2854"/>
      <c r="BKM45" s="2854"/>
      <c r="BKN45" s="2854"/>
      <c r="BKO45" s="2854"/>
      <c r="BKP45" s="2854"/>
      <c r="BKQ45" s="2854"/>
      <c r="BKR45" s="2854"/>
      <c r="BKS45" s="2854"/>
      <c r="BKT45" s="2854"/>
      <c r="BKU45" s="2854"/>
      <c r="BKV45" s="2854"/>
      <c r="BKW45" s="2854"/>
      <c r="BKX45" s="2854"/>
      <c r="BKY45" s="2854"/>
      <c r="BKZ45" s="2854"/>
      <c r="BLA45" s="2854"/>
      <c r="BLB45" s="2854"/>
      <c r="BLC45" s="2854"/>
      <c r="BLD45" s="2854"/>
      <c r="BLE45" s="2854"/>
      <c r="BLF45" s="2854"/>
      <c r="BLG45" s="2854"/>
      <c r="BLH45" s="2854"/>
      <c r="BLI45" s="2854"/>
      <c r="BLJ45" s="2854"/>
      <c r="BLK45" s="2854"/>
      <c r="BLL45" s="2854"/>
      <c r="BLM45" s="2854"/>
      <c r="BLN45" s="2854"/>
      <c r="BLO45" s="2854"/>
      <c r="BLP45" s="2854"/>
      <c r="BLQ45" s="2854"/>
      <c r="BLR45" s="2854"/>
      <c r="BLS45" s="2854"/>
      <c r="BLT45" s="2854"/>
      <c r="BLU45" s="2854"/>
      <c r="BLV45" s="2854"/>
      <c r="BLW45" s="2854"/>
      <c r="BLX45" s="2854"/>
      <c r="BLY45" s="2854"/>
      <c r="BLZ45" s="2854"/>
      <c r="BMA45" s="2854"/>
      <c r="BMB45" s="2854"/>
      <c r="BMC45" s="2854"/>
      <c r="BMD45" s="2854"/>
      <c r="BME45" s="2854"/>
      <c r="BMF45" s="2854"/>
      <c r="BMG45" s="2854"/>
      <c r="BMH45" s="2854"/>
      <c r="BMI45" s="2854"/>
      <c r="BMJ45" s="2854"/>
      <c r="BMK45" s="2854"/>
      <c r="BML45" s="2854"/>
      <c r="BMM45" s="2854"/>
      <c r="BMN45" s="2854"/>
      <c r="BMO45" s="2854"/>
      <c r="BMP45" s="2854"/>
      <c r="BMQ45" s="2854"/>
      <c r="BMR45" s="2854"/>
      <c r="BMS45" s="2854"/>
      <c r="BMT45" s="2854"/>
      <c r="BMU45" s="2854"/>
      <c r="BMV45" s="2854"/>
      <c r="BMW45" s="2854"/>
      <c r="BMX45" s="2854"/>
      <c r="BMY45" s="2854"/>
      <c r="BMZ45" s="2854"/>
      <c r="BNA45" s="2854"/>
      <c r="BNB45" s="2854"/>
      <c r="BNC45" s="2854"/>
      <c r="BND45" s="2854"/>
      <c r="BNE45" s="2854"/>
      <c r="BNF45" s="2854"/>
      <c r="BNG45" s="2854"/>
      <c r="BNH45" s="2854"/>
      <c r="BNI45" s="2854"/>
      <c r="BNJ45" s="2854"/>
      <c r="BNK45" s="2854"/>
      <c r="BNL45" s="2854"/>
      <c r="BNM45" s="2854"/>
      <c r="BNN45" s="2854"/>
      <c r="BNO45" s="2854"/>
      <c r="BNP45" s="2854"/>
      <c r="BNQ45" s="2854"/>
      <c r="BNR45" s="2854"/>
      <c r="BNS45" s="2854"/>
      <c r="BNT45" s="2854"/>
      <c r="BNU45" s="2854"/>
      <c r="BNV45" s="2854"/>
      <c r="BNW45" s="2854"/>
      <c r="BNX45" s="2854"/>
      <c r="BNY45" s="2854"/>
      <c r="BNZ45" s="2854"/>
      <c r="BOA45" s="2854"/>
      <c r="BOB45" s="2854"/>
      <c r="BOC45" s="2854"/>
      <c r="BOD45" s="2854"/>
      <c r="BOE45" s="2854"/>
      <c r="BOF45" s="2854"/>
      <c r="BOG45" s="2854"/>
      <c r="BOH45" s="2854"/>
      <c r="BOI45" s="2854"/>
      <c r="BOJ45" s="2854"/>
      <c r="BOK45" s="2854"/>
      <c r="BOL45" s="2854"/>
      <c r="BOM45" s="2854"/>
      <c r="BON45" s="2854"/>
      <c r="BOO45" s="2854"/>
      <c r="BOP45" s="2854"/>
      <c r="BOQ45" s="2854"/>
      <c r="BOR45" s="2854"/>
      <c r="BOS45" s="2854"/>
      <c r="BOT45" s="2854"/>
      <c r="BOU45" s="2854"/>
      <c r="BOV45" s="2854"/>
      <c r="BOW45" s="2854"/>
      <c r="BOX45" s="2854"/>
      <c r="BOY45" s="2854"/>
      <c r="BOZ45" s="2854"/>
      <c r="BPA45" s="2854"/>
      <c r="BPB45" s="2854"/>
      <c r="BPC45" s="2854"/>
      <c r="BPD45" s="2854"/>
      <c r="BPE45" s="2854"/>
      <c r="BPF45" s="2854"/>
      <c r="BPG45" s="2854"/>
      <c r="BPH45" s="2854"/>
      <c r="BPI45" s="2854"/>
      <c r="BPJ45" s="2854"/>
      <c r="BPK45" s="2854"/>
      <c r="BPL45" s="2854"/>
      <c r="BPM45" s="2854"/>
      <c r="BPN45" s="2854"/>
      <c r="BPO45" s="2854"/>
      <c r="BPP45" s="2854"/>
      <c r="BPQ45" s="2854"/>
      <c r="BPR45" s="2854"/>
      <c r="BPS45" s="2854"/>
      <c r="BPT45" s="2854"/>
      <c r="BPU45" s="2854"/>
      <c r="BPV45" s="2854"/>
      <c r="BPW45" s="2854"/>
      <c r="BPX45" s="2854"/>
      <c r="BPY45" s="2854"/>
      <c r="BPZ45" s="2854"/>
      <c r="BQA45" s="2854"/>
      <c r="BQB45" s="2854"/>
      <c r="BQC45" s="2854"/>
      <c r="BQD45" s="2854"/>
      <c r="BQE45" s="2854"/>
      <c r="BQF45" s="2854"/>
      <c r="BQG45" s="2854"/>
      <c r="BQH45" s="2854"/>
      <c r="BQI45" s="2854"/>
      <c r="BQJ45" s="2854"/>
      <c r="BQK45" s="2854"/>
      <c r="BQL45" s="2854"/>
      <c r="BQM45" s="2854"/>
      <c r="BQN45" s="2854"/>
      <c r="BQO45" s="2854"/>
      <c r="BQP45" s="2854"/>
      <c r="BQQ45" s="2854"/>
      <c r="BQR45" s="2854"/>
      <c r="BQS45" s="2854"/>
      <c r="BQT45" s="2854"/>
      <c r="BQU45" s="2854"/>
      <c r="BQV45" s="2854"/>
      <c r="BQW45" s="2854"/>
      <c r="BQX45" s="2854"/>
      <c r="BQY45" s="2854"/>
      <c r="BQZ45" s="2854"/>
      <c r="BRA45" s="2854"/>
      <c r="BRB45" s="2854"/>
      <c r="BRC45" s="2854"/>
      <c r="BRD45" s="2854"/>
      <c r="BRE45" s="2854"/>
      <c r="BRF45" s="2854"/>
      <c r="BRG45" s="2854"/>
      <c r="BRH45" s="2854"/>
      <c r="BRI45" s="2854"/>
      <c r="BRJ45" s="2854"/>
      <c r="BRK45" s="2854"/>
      <c r="BRL45" s="2854"/>
      <c r="BRM45" s="2854"/>
      <c r="BRN45" s="2854"/>
      <c r="BRO45" s="2854"/>
      <c r="BRP45" s="2854"/>
      <c r="BRQ45" s="2854"/>
      <c r="BRR45" s="2854"/>
      <c r="BRS45" s="2854"/>
      <c r="BRT45" s="2854"/>
      <c r="BRU45" s="2854"/>
      <c r="BRV45" s="2854"/>
      <c r="BRW45" s="2854"/>
      <c r="BRX45" s="2854"/>
      <c r="BRY45" s="2854"/>
      <c r="BRZ45" s="2854"/>
      <c r="BSA45" s="2854"/>
      <c r="BSB45" s="2854"/>
      <c r="BSC45" s="2854"/>
      <c r="BSD45" s="2854"/>
      <c r="BSE45" s="2854"/>
      <c r="BSF45" s="2854"/>
      <c r="BSG45" s="2854"/>
      <c r="BSH45" s="2854"/>
      <c r="BSI45" s="2854"/>
      <c r="BSJ45" s="2854"/>
      <c r="BSK45" s="2854"/>
      <c r="BSL45" s="2854"/>
      <c r="BSM45" s="2854"/>
      <c r="BSN45" s="2854"/>
      <c r="BSO45" s="2854"/>
      <c r="BSP45" s="2854"/>
      <c r="BSQ45" s="2854"/>
      <c r="BSR45" s="2854"/>
      <c r="BSS45" s="2854"/>
      <c r="BST45" s="2854"/>
      <c r="BSU45" s="2854"/>
      <c r="BSV45" s="2854"/>
      <c r="BSW45" s="2854"/>
      <c r="BSX45" s="2854"/>
      <c r="BSY45" s="2854"/>
      <c r="BSZ45" s="2854"/>
      <c r="BTA45" s="2854"/>
      <c r="BTB45" s="2854"/>
      <c r="BTC45" s="2854"/>
      <c r="BTD45" s="2854"/>
      <c r="BTE45" s="2854"/>
      <c r="BTF45" s="2854"/>
      <c r="BTG45" s="2854"/>
      <c r="BTH45" s="2854"/>
      <c r="BTI45" s="2854"/>
      <c r="BTJ45" s="2854"/>
      <c r="BTK45" s="2854"/>
      <c r="BTL45" s="2854"/>
      <c r="BTM45" s="2854"/>
      <c r="BTN45" s="2854"/>
      <c r="BTO45" s="2854"/>
      <c r="BTP45" s="2854"/>
      <c r="BTQ45" s="2854"/>
      <c r="BTR45" s="2854"/>
      <c r="BTS45" s="2854"/>
      <c r="BTT45" s="2854"/>
      <c r="BTU45" s="2854"/>
      <c r="BTV45" s="2854"/>
      <c r="BTW45" s="2854"/>
      <c r="BTX45" s="2854"/>
      <c r="BTY45" s="2854"/>
      <c r="BTZ45" s="2854"/>
      <c r="BUA45" s="2854"/>
      <c r="BUB45" s="2854"/>
      <c r="BUC45" s="2854"/>
      <c r="BUD45" s="2854"/>
      <c r="BUE45" s="2854"/>
      <c r="BUF45" s="2854"/>
      <c r="BUG45" s="2854"/>
      <c r="BUH45" s="2854"/>
      <c r="BUI45" s="2854"/>
      <c r="BUJ45" s="2854"/>
      <c r="BUK45" s="2854"/>
      <c r="BUL45" s="2854"/>
      <c r="BUM45" s="2854"/>
      <c r="BUN45" s="2854"/>
      <c r="BUO45" s="2854"/>
      <c r="BUP45" s="2854"/>
      <c r="BUQ45" s="2854"/>
      <c r="BUR45" s="2854"/>
      <c r="BUS45" s="2854"/>
      <c r="BUT45" s="2854"/>
      <c r="BUU45" s="2854"/>
      <c r="BUV45" s="2854"/>
      <c r="BUW45" s="2854"/>
      <c r="BUX45" s="2854"/>
      <c r="BUY45" s="2854"/>
      <c r="BUZ45" s="2854"/>
      <c r="BVA45" s="2854"/>
      <c r="BVB45" s="2854"/>
      <c r="BVC45" s="2854"/>
      <c r="BVD45" s="2854"/>
      <c r="BVE45" s="2854"/>
      <c r="BVF45" s="2854"/>
      <c r="BVG45" s="2854"/>
      <c r="BVH45" s="2854"/>
      <c r="BVI45" s="2854"/>
      <c r="BVJ45" s="2854"/>
      <c r="BVK45" s="2854"/>
      <c r="BVL45" s="2854"/>
      <c r="BVM45" s="2854"/>
      <c r="BVN45" s="2854"/>
      <c r="BVO45" s="2854"/>
      <c r="BVP45" s="2854"/>
      <c r="BVQ45" s="2854"/>
      <c r="BVR45" s="2854"/>
      <c r="BVS45" s="2854"/>
      <c r="BVT45" s="2854"/>
      <c r="BVU45" s="2854"/>
      <c r="BVV45" s="2854"/>
      <c r="BVW45" s="2854"/>
      <c r="BVX45" s="2854"/>
      <c r="BVY45" s="2854"/>
      <c r="BVZ45" s="2854"/>
      <c r="BWA45" s="2854"/>
      <c r="BWB45" s="2854"/>
      <c r="BWC45" s="2854"/>
      <c r="BWD45" s="2854"/>
      <c r="BWE45" s="2854"/>
      <c r="BWF45" s="2854"/>
      <c r="BWG45" s="2854"/>
      <c r="BWH45" s="2854"/>
      <c r="BWI45" s="2854"/>
      <c r="BWJ45" s="2854"/>
      <c r="BWK45" s="2854"/>
      <c r="BWL45" s="2854"/>
      <c r="BWM45" s="2854"/>
      <c r="BWN45" s="2854"/>
      <c r="BWO45" s="2854"/>
      <c r="BWP45" s="2854"/>
      <c r="BWQ45" s="2854"/>
      <c r="BWR45" s="2854"/>
      <c r="BWS45" s="2854"/>
      <c r="BWT45" s="2854"/>
      <c r="BWU45" s="2854"/>
      <c r="BWV45" s="2854"/>
      <c r="BWW45" s="2854"/>
      <c r="BWX45" s="2854"/>
      <c r="BWY45" s="2854"/>
      <c r="BWZ45" s="2854"/>
      <c r="BXA45" s="2854"/>
      <c r="BXB45" s="2854"/>
      <c r="BXC45" s="2854"/>
      <c r="BXD45" s="2854"/>
      <c r="BXE45" s="2854"/>
      <c r="BXF45" s="2854"/>
      <c r="BXG45" s="2854"/>
      <c r="BXH45" s="2854"/>
      <c r="BXI45" s="2854"/>
      <c r="BXJ45" s="2854"/>
      <c r="BXK45" s="2854"/>
      <c r="BXL45" s="2854"/>
      <c r="BXM45" s="2854"/>
      <c r="BXN45" s="2854"/>
      <c r="BXO45" s="2854"/>
      <c r="BXP45" s="2854"/>
      <c r="BXQ45" s="2854"/>
      <c r="BXR45" s="2854"/>
      <c r="BXS45" s="2854"/>
      <c r="BXT45" s="2854"/>
      <c r="BXU45" s="2854"/>
      <c r="BXV45" s="2854"/>
      <c r="BXW45" s="2854"/>
      <c r="BXX45" s="2854"/>
      <c r="BXY45" s="2854"/>
      <c r="BXZ45" s="2854"/>
      <c r="BYA45" s="2854"/>
      <c r="BYB45" s="2854"/>
      <c r="BYC45" s="2854"/>
      <c r="BYD45" s="2854"/>
      <c r="BYE45" s="2854"/>
      <c r="BYF45" s="2854"/>
      <c r="BYG45" s="2854"/>
      <c r="BYH45" s="2854"/>
      <c r="BYI45" s="2854"/>
      <c r="BYJ45" s="2854"/>
      <c r="BYK45" s="2854"/>
      <c r="BYL45" s="2854"/>
      <c r="BYM45" s="2854"/>
      <c r="BYN45" s="2854"/>
      <c r="BYO45" s="2854"/>
      <c r="BYP45" s="2854"/>
      <c r="BYQ45" s="2854"/>
      <c r="BYR45" s="2854"/>
      <c r="BYS45" s="2854"/>
      <c r="BYT45" s="2854"/>
      <c r="BYU45" s="2854"/>
      <c r="BYV45" s="2854"/>
      <c r="BYW45" s="2854"/>
      <c r="BYX45" s="2854"/>
      <c r="BYY45" s="2854"/>
      <c r="BYZ45" s="2854"/>
      <c r="BZA45" s="2854"/>
      <c r="BZB45" s="2854"/>
      <c r="BZC45" s="2854"/>
      <c r="BZD45" s="2854"/>
      <c r="BZE45" s="2854"/>
      <c r="BZF45" s="2854"/>
      <c r="BZG45" s="2854"/>
      <c r="BZH45" s="2854"/>
      <c r="BZI45" s="2854"/>
      <c r="BZJ45" s="2854"/>
      <c r="BZK45" s="2854"/>
      <c r="BZL45" s="2854"/>
      <c r="BZM45" s="2854"/>
      <c r="BZN45" s="2854"/>
      <c r="BZO45" s="2854"/>
      <c r="BZP45" s="2854"/>
      <c r="BZQ45" s="2854"/>
      <c r="BZR45" s="2854"/>
      <c r="BZS45" s="2854"/>
      <c r="BZT45" s="2854"/>
      <c r="BZU45" s="2854"/>
      <c r="BZV45" s="2854"/>
      <c r="BZW45" s="2854"/>
      <c r="BZX45" s="2854"/>
      <c r="BZY45" s="2854"/>
      <c r="BZZ45" s="2854"/>
      <c r="CAA45" s="2854"/>
      <c r="CAB45" s="2854"/>
      <c r="CAC45" s="2854"/>
      <c r="CAD45" s="2854"/>
      <c r="CAE45" s="2854"/>
      <c r="CAF45" s="2854"/>
      <c r="CAG45" s="2854"/>
      <c r="CAH45" s="2854"/>
      <c r="CAI45" s="2854"/>
      <c r="CAJ45" s="2854"/>
      <c r="CAK45" s="2854"/>
      <c r="CAL45" s="2854"/>
      <c r="CAM45" s="2854"/>
      <c r="CAN45" s="2854"/>
      <c r="CAO45" s="2854"/>
      <c r="CAP45" s="2854"/>
      <c r="CAQ45" s="2854"/>
      <c r="CAR45" s="2854"/>
      <c r="CAS45" s="2854"/>
      <c r="CAT45" s="2854"/>
      <c r="CAU45" s="2854"/>
      <c r="CAV45" s="2854"/>
      <c r="CAW45" s="2854"/>
      <c r="CAX45" s="2854"/>
      <c r="CAY45" s="2854"/>
      <c r="CAZ45" s="2854"/>
      <c r="CBA45" s="2854"/>
      <c r="CBB45" s="2854"/>
      <c r="CBC45" s="2854"/>
      <c r="CBD45" s="2854"/>
      <c r="CBE45" s="2854"/>
      <c r="CBF45" s="2854"/>
      <c r="CBG45" s="2854"/>
      <c r="CBH45" s="2854"/>
      <c r="CBI45" s="2854"/>
      <c r="CBJ45" s="2854"/>
      <c r="CBK45" s="2854"/>
      <c r="CBL45" s="2854"/>
      <c r="CBM45" s="2854"/>
      <c r="CBN45" s="2854"/>
      <c r="CBO45" s="2854"/>
      <c r="CBP45" s="2854"/>
      <c r="CBQ45" s="2854"/>
      <c r="CBR45" s="2854"/>
      <c r="CBS45" s="2854"/>
      <c r="CBT45" s="2854"/>
      <c r="CBU45" s="2854"/>
      <c r="CBV45" s="2854"/>
      <c r="CBW45" s="2854"/>
      <c r="CBX45" s="2854"/>
      <c r="CBY45" s="2854"/>
      <c r="CBZ45" s="2854"/>
      <c r="CCA45" s="2854"/>
      <c r="CCB45" s="2854"/>
      <c r="CCC45" s="2854"/>
      <c r="CCD45" s="2854"/>
      <c r="CCE45" s="2854"/>
      <c r="CCF45" s="2854"/>
      <c r="CCG45" s="2854"/>
      <c r="CCH45" s="2854"/>
      <c r="CCI45" s="2854"/>
      <c r="CCJ45" s="2854"/>
      <c r="CCK45" s="2854"/>
      <c r="CCL45" s="2854"/>
      <c r="CCM45" s="2854"/>
      <c r="CCN45" s="2854"/>
      <c r="CCO45" s="2854"/>
      <c r="CCP45" s="2854"/>
      <c r="CCQ45" s="2854"/>
      <c r="CCR45" s="2854"/>
      <c r="CCS45" s="2854"/>
      <c r="CCT45" s="2854"/>
      <c r="CCU45" s="2854"/>
      <c r="CCV45" s="2854"/>
      <c r="CCW45" s="2854"/>
      <c r="CCX45" s="2854"/>
      <c r="CCY45" s="2854"/>
      <c r="CCZ45" s="2854"/>
      <c r="CDA45" s="2854"/>
      <c r="CDB45" s="2854"/>
      <c r="CDC45" s="2854"/>
      <c r="CDD45" s="2854"/>
      <c r="CDE45" s="2854"/>
      <c r="CDF45" s="2854"/>
      <c r="CDG45" s="2854"/>
      <c r="CDH45" s="2854"/>
      <c r="CDI45" s="2854"/>
      <c r="CDJ45" s="2854"/>
      <c r="CDK45" s="2854"/>
      <c r="CDL45" s="2854"/>
      <c r="CDM45" s="2854"/>
      <c r="CDN45" s="2854"/>
      <c r="CDO45" s="2854"/>
      <c r="CDP45" s="2854"/>
      <c r="CDQ45" s="2854"/>
      <c r="CDR45" s="2854"/>
      <c r="CDS45" s="2854"/>
      <c r="CDT45" s="2854"/>
      <c r="CDU45" s="2854"/>
      <c r="CDV45" s="2854"/>
      <c r="CDW45" s="2854"/>
      <c r="CDX45" s="2854"/>
      <c r="CDY45" s="2854"/>
      <c r="CDZ45" s="2854"/>
      <c r="CEA45" s="2854"/>
      <c r="CEB45" s="2854"/>
      <c r="CEC45" s="2854"/>
      <c r="CED45" s="2854"/>
      <c r="CEE45" s="2854"/>
      <c r="CEF45" s="2854"/>
      <c r="CEG45" s="2854"/>
      <c r="CEH45" s="2854"/>
      <c r="CEI45" s="2854"/>
      <c r="CEJ45" s="2854"/>
      <c r="CEK45" s="2854"/>
      <c r="CEL45" s="2854"/>
      <c r="CEM45" s="2854"/>
      <c r="CEN45" s="2854"/>
      <c r="CEO45" s="2854"/>
      <c r="CEP45" s="2854"/>
      <c r="CEQ45" s="2854"/>
      <c r="CER45" s="2854"/>
      <c r="CES45" s="2854"/>
      <c r="CET45" s="2854"/>
      <c r="CEU45" s="2854"/>
      <c r="CEV45" s="2854"/>
      <c r="CEW45" s="2854"/>
      <c r="CEX45" s="2854"/>
      <c r="CEY45" s="2854"/>
      <c r="CEZ45" s="2854"/>
      <c r="CFA45" s="2854"/>
      <c r="CFB45" s="2854"/>
      <c r="CFC45" s="2854"/>
      <c r="CFD45" s="2854"/>
      <c r="CFE45" s="2854"/>
      <c r="CFF45" s="2854"/>
      <c r="CFG45" s="2854"/>
      <c r="CFH45" s="2854"/>
      <c r="CFI45" s="2854"/>
      <c r="CFJ45" s="2854"/>
      <c r="CFK45" s="2854"/>
      <c r="CFL45" s="2854"/>
      <c r="CFM45" s="2854"/>
      <c r="CFN45" s="2854"/>
      <c r="CFO45" s="2854"/>
      <c r="CFP45" s="2854"/>
      <c r="CFQ45" s="2854"/>
      <c r="CFR45" s="2854"/>
      <c r="CFS45" s="2854"/>
      <c r="CFT45" s="2854"/>
      <c r="CFU45" s="2854"/>
      <c r="CFV45" s="2854"/>
      <c r="CFW45" s="2854"/>
      <c r="CFX45" s="2854"/>
      <c r="CFY45" s="2854"/>
      <c r="CFZ45" s="2854"/>
      <c r="CGA45" s="2854"/>
      <c r="CGB45" s="2854"/>
      <c r="CGC45" s="2854"/>
      <c r="CGD45" s="2854"/>
      <c r="CGE45" s="2854"/>
      <c r="CGF45" s="2854"/>
      <c r="CGG45" s="2854"/>
      <c r="CGH45" s="2854"/>
      <c r="CGI45" s="2854"/>
      <c r="CGJ45" s="2854"/>
      <c r="CGK45" s="2854"/>
      <c r="CGL45" s="2854"/>
      <c r="CGM45" s="2854"/>
      <c r="CGN45" s="2854"/>
      <c r="CGO45" s="2854"/>
      <c r="CGP45" s="2854"/>
      <c r="CGQ45" s="2854"/>
      <c r="CGR45" s="2854"/>
      <c r="CGS45" s="2854"/>
      <c r="CGT45" s="2854"/>
      <c r="CGU45" s="2854"/>
      <c r="CGV45" s="2854"/>
      <c r="CGW45" s="2854"/>
      <c r="CGX45" s="2854"/>
      <c r="CGY45" s="2854"/>
      <c r="CGZ45" s="2854"/>
      <c r="CHA45" s="2854"/>
      <c r="CHB45" s="2854"/>
      <c r="CHC45" s="2854"/>
      <c r="CHD45" s="2854"/>
      <c r="CHE45" s="2854"/>
      <c r="CHF45" s="2854"/>
      <c r="CHG45" s="2854"/>
      <c r="CHH45" s="2854"/>
      <c r="CHI45" s="2854"/>
      <c r="CHJ45" s="2854"/>
      <c r="CHK45" s="2854"/>
      <c r="CHL45" s="2854"/>
      <c r="CHM45" s="2854"/>
      <c r="CHN45" s="2854"/>
      <c r="CHO45" s="2854"/>
      <c r="CHP45" s="2854"/>
      <c r="CHQ45" s="2854"/>
      <c r="CHR45" s="2854"/>
      <c r="CHS45" s="2854"/>
      <c r="CHT45" s="2854"/>
      <c r="CHU45" s="2854"/>
      <c r="CHV45" s="2854"/>
      <c r="CHW45" s="2854"/>
      <c r="CHX45" s="2854"/>
      <c r="CHY45" s="2854"/>
      <c r="CHZ45" s="2854"/>
      <c r="CIA45" s="2854"/>
      <c r="CIB45" s="2854"/>
      <c r="CIC45" s="2854"/>
      <c r="CID45" s="2854"/>
      <c r="CIE45" s="2854"/>
      <c r="CIF45" s="2854"/>
      <c r="CIG45" s="2854"/>
      <c r="CIH45" s="2854"/>
      <c r="CII45" s="2854"/>
      <c r="CIJ45" s="2854"/>
      <c r="CIK45" s="2854"/>
      <c r="CIL45" s="2854"/>
      <c r="CIM45" s="2854"/>
      <c r="CIN45" s="2854"/>
      <c r="CIO45" s="2854"/>
      <c r="CIP45" s="2854"/>
      <c r="CIQ45" s="2854"/>
      <c r="CIR45" s="2854"/>
      <c r="CIS45" s="2854"/>
      <c r="CIT45" s="2854"/>
      <c r="CIU45" s="2854"/>
      <c r="CIV45" s="2854"/>
      <c r="CIW45" s="2854"/>
      <c r="CIX45" s="2854"/>
      <c r="CIY45" s="2854"/>
      <c r="CIZ45" s="2854"/>
      <c r="CJA45" s="2854"/>
      <c r="CJB45" s="2854"/>
      <c r="CJC45" s="2854"/>
      <c r="CJD45" s="2854"/>
      <c r="CJE45" s="2854"/>
      <c r="CJF45" s="2854"/>
      <c r="CJG45" s="2854"/>
      <c r="CJH45" s="2854"/>
      <c r="CJI45" s="2854"/>
      <c r="CJJ45" s="2854"/>
      <c r="CJK45" s="2854"/>
      <c r="CJL45" s="2854"/>
      <c r="CJM45" s="2854"/>
      <c r="CJN45" s="2854"/>
      <c r="CJO45" s="2854"/>
      <c r="CJP45" s="2854"/>
      <c r="CJQ45" s="2854"/>
      <c r="CJR45" s="2854"/>
      <c r="CJS45" s="2854"/>
      <c r="CJT45" s="2854"/>
      <c r="CJU45" s="2854"/>
      <c r="CJV45" s="2854"/>
      <c r="CJW45" s="2854"/>
      <c r="CJX45" s="2854"/>
      <c r="CJY45" s="2854"/>
      <c r="CJZ45" s="2854"/>
      <c r="CKA45" s="2854"/>
      <c r="CKB45" s="2854"/>
      <c r="CKC45" s="2854"/>
      <c r="CKD45" s="2854"/>
      <c r="CKE45" s="2854"/>
      <c r="CKF45" s="2854"/>
      <c r="CKG45" s="2854"/>
      <c r="CKH45" s="2854"/>
      <c r="CKI45" s="2854"/>
      <c r="CKJ45" s="2854"/>
      <c r="CKK45" s="2854"/>
      <c r="CKL45" s="2854"/>
      <c r="CKM45" s="2854"/>
      <c r="CKN45" s="2854"/>
      <c r="CKO45" s="2854"/>
      <c r="CKP45" s="2854"/>
      <c r="CKQ45" s="2854"/>
      <c r="CKR45" s="2854"/>
      <c r="CKS45" s="2854"/>
      <c r="CKT45" s="2854"/>
      <c r="CKU45" s="2854"/>
      <c r="CKV45" s="2854"/>
      <c r="CKW45" s="2854"/>
      <c r="CKX45" s="2854"/>
      <c r="CKY45" s="2854"/>
      <c r="CKZ45" s="2854"/>
      <c r="CLA45" s="2854"/>
      <c r="CLB45" s="2854"/>
      <c r="CLC45" s="2854"/>
      <c r="CLD45" s="2854"/>
      <c r="CLE45" s="2854"/>
      <c r="CLF45" s="2854"/>
      <c r="CLG45" s="2854"/>
      <c r="CLH45" s="2854"/>
      <c r="CLI45" s="2854"/>
      <c r="CLJ45" s="2854"/>
      <c r="CLK45" s="2854"/>
      <c r="CLL45" s="2854"/>
      <c r="CLM45" s="2854"/>
      <c r="CLN45" s="2854"/>
      <c r="CLO45" s="2854"/>
      <c r="CLP45" s="2854"/>
      <c r="CLQ45" s="2854"/>
      <c r="CLR45" s="2854"/>
      <c r="CLS45" s="2854"/>
      <c r="CLT45" s="2854"/>
      <c r="CLU45" s="2854"/>
      <c r="CLV45" s="2854"/>
      <c r="CLW45" s="2854"/>
    </row>
    <row r="46" spans="1:2363" ht="15" customHeight="1" x14ac:dyDescent="0.25">
      <c r="A46" s="3877"/>
      <c r="B46" s="3878"/>
      <c r="C46" s="3316">
        <v>8</v>
      </c>
      <c r="D46" s="3353"/>
      <c r="E46" s="3358"/>
      <c r="F46" s="2249"/>
      <c r="G46" s="2613"/>
      <c r="H46" s="1801"/>
      <c r="I46" s="1799"/>
      <c r="J46" s="2249"/>
      <c r="K46" s="1801"/>
      <c r="L46" s="1799"/>
      <c r="M46" s="1799"/>
      <c r="N46" s="1799">
        <f>+L46+I46+F46</f>
        <v>0</v>
      </c>
      <c r="O46" s="2281">
        <f>F46+I46</f>
        <v>0</v>
      </c>
      <c r="P46" s="2295"/>
      <c r="Q46" s="1799"/>
      <c r="R46" s="2718"/>
      <c r="S46" s="2718"/>
      <c r="T46" s="2887"/>
      <c r="U46" s="2882"/>
      <c r="V46" s="2364">
        <f>U46+R46+Q46+P46+S46+T46</f>
        <v>0</v>
      </c>
      <c r="W46" s="2300"/>
      <c r="X46" s="2932"/>
      <c r="Y46" s="3013"/>
      <c r="Z46" s="2128"/>
      <c r="AA46" s="1894">
        <v>0</v>
      </c>
      <c r="AB46" s="1894">
        <v>0</v>
      </c>
      <c r="AC46" s="3382">
        <f t="shared" si="58"/>
        <v>0</v>
      </c>
      <c r="AD46" s="1850">
        <v>0</v>
      </c>
      <c r="AE46" s="1897"/>
      <c r="AF46" s="1893">
        <v>0</v>
      </c>
      <c r="AG46" s="2869"/>
      <c r="AH46" s="2062">
        <f t="shared" si="85"/>
        <v>0</v>
      </c>
      <c r="AI46" s="1839">
        <v>0</v>
      </c>
      <c r="AJ46" s="1894">
        <v>0</v>
      </c>
      <c r="AK46" s="2455">
        <f t="shared" si="74"/>
        <v>0</v>
      </c>
      <c r="AL46" s="2516">
        <v>0</v>
      </c>
      <c r="AM46" s="2516">
        <v>0</v>
      </c>
      <c r="AN46" s="2697">
        <v>0</v>
      </c>
      <c r="AO46" s="2181">
        <v>0</v>
      </c>
      <c r="AP46" s="2166">
        <v>0</v>
      </c>
      <c r="AQ46" s="2166">
        <v>0</v>
      </c>
      <c r="AR46" s="2166"/>
      <c r="AS46" s="2157">
        <f t="shared" si="65"/>
        <v>0</v>
      </c>
      <c r="AT46" s="2504">
        <v>0</v>
      </c>
      <c r="AU46" s="2158">
        <v>0</v>
      </c>
      <c r="AV46" s="2168">
        <v>0</v>
      </c>
      <c r="AW46" s="2159">
        <f t="shared" si="86"/>
        <v>0</v>
      </c>
      <c r="AX46" s="2516">
        <v>0</v>
      </c>
      <c r="AY46" s="2516">
        <v>0</v>
      </c>
      <c r="AZ46" s="2697">
        <v>0</v>
      </c>
      <c r="BA46" s="3296">
        <v>0</v>
      </c>
      <c r="BB46" s="3086">
        <v>0</v>
      </c>
      <c r="BC46" s="3086">
        <v>0</v>
      </c>
      <c r="BD46" s="3086"/>
      <c r="BE46" s="3087">
        <f>+BA46+BB46+BC46+BD46+AZ46</f>
        <v>0</v>
      </c>
      <c r="BF46" s="2122"/>
      <c r="BG46" s="2158">
        <v>0</v>
      </c>
      <c r="BH46" s="2168">
        <v>0</v>
      </c>
      <c r="BI46" s="2159">
        <f t="shared" si="88"/>
        <v>0</v>
      </c>
      <c r="BJ46" s="1892">
        <f>AA46+AL46</f>
        <v>0</v>
      </c>
      <c r="BK46" s="1851">
        <f>AB46+AM46</f>
        <v>0</v>
      </c>
      <c r="BL46" s="1884">
        <v>0</v>
      </c>
      <c r="BM46" s="1850">
        <f t="shared" si="91"/>
        <v>0</v>
      </c>
      <c r="BN46" s="2101">
        <f>+AP46+AE46</f>
        <v>0</v>
      </c>
      <c r="BO46" s="1893">
        <v>0</v>
      </c>
      <c r="BP46" s="1893">
        <v>0</v>
      </c>
      <c r="BQ46" s="1893">
        <f t="shared" si="78"/>
        <v>0</v>
      </c>
      <c r="BR46" s="1889">
        <f t="shared" si="79"/>
        <v>0</v>
      </c>
      <c r="BS46" s="1848">
        <f t="shared" si="89"/>
        <v>0</v>
      </c>
      <c r="BT46" s="2454">
        <f t="shared" si="80"/>
        <v>0</v>
      </c>
      <c r="BU46" s="3147"/>
      <c r="BV46" s="3058"/>
      <c r="BW46" s="3058"/>
      <c r="BX46" s="3058"/>
      <c r="BY46" s="3147"/>
      <c r="BZ46" s="3147"/>
      <c r="CA46" s="3147"/>
      <c r="CB46" s="3147"/>
      <c r="CC46" s="3147"/>
      <c r="CD46" s="3147"/>
      <c r="CE46" s="3147"/>
      <c r="CF46" s="3147"/>
      <c r="CG46" s="3147"/>
      <c r="CH46" s="1163"/>
      <c r="CI46" s="1144"/>
      <c r="CJ46" s="1144"/>
      <c r="CK46" s="1144"/>
      <c r="CL46" s="1144"/>
      <c r="CM46" s="1144"/>
      <c r="CN46" s="1144"/>
      <c r="CO46" s="1144"/>
      <c r="CP46" s="1144"/>
      <c r="CQ46" s="1144"/>
      <c r="CR46" s="1144"/>
      <c r="CS46" s="1144"/>
      <c r="CT46" s="1144"/>
      <c r="CU46" s="1144"/>
      <c r="CV46" s="1144"/>
      <c r="CW46" s="2854"/>
      <c r="CX46" s="2854"/>
      <c r="CY46" s="2854"/>
      <c r="CZ46" s="2854"/>
      <c r="DA46" s="2854"/>
      <c r="DB46" s="2854"/>
      <c r="DC46" s="2854"/>
      <c r="DD46" s="2854"/>
      <c r="DE46" s="2854"/>
      <c r="DF46" s="2854"/>
      <c r="DG46" s="2854"/>
      <c r="DH46" s="2854"/>
      <c r="DI46" s="2854"/>
      <c r="DJ46" s="2854"/>
      <c r="DK46" s="2854"/>
      <c r="DL46" s="2854"/>
      <c r="DM46" s="2854"/>
      <c r="DN46" s="2854"/>
      <c r="DO46" s="2854"/>
      <c r="DP46" s="2854"/>
      <c r="DQ46" s="2854"/>
      <c r="DR46" s="2854"/>
      <c r="DS46" s="2854"/>
      <c r="DT46" s="2854"/>
      <c r="DU46" s="2854"/>
      <c r="DV46" s="2854"/>
      <c r="DW46" s="2854"/>
      <c r="DX46" s="2854"/>
      <c r="DY46" s="2854"/>
      <c r="DZ46" s="2854"/>
      <c r="EA46" s="2854"/>
      <c r="EB46" s="2854"/>
      <c r="EC46" s="2854"/>
      <c r="ED46" s="2854"/>
      <c r="EE46" s="2854"/>
      <c r="EF46" s="2854"/>
      <c r="EG46" s="2854"/>
      <c r="EH46" s="2854"/>
      <c r="EI46" s="2854"/>
      <c r="EJ46" s="2854"/>
      <c r="EK46" s="2854"/>
      <c r="EL46" s="2854"/>
      <c r="EM46" s="2854"/>
      <c r="EN46" s="2854"/>
      <c r="EO46" s="2854"/>
      <c r="EP46" s="2854"/>
      <c r="EQ46" s="2854"/>
      <c r="ER46" s="2854"/>
      <c r="ES46" s="2854"/>
      <c r="ET46" s="2854"/>
      <c r="EU46" s="2854"/>
      <c r="EV46" s="2854"/>
      <c r="EW46" s="2854"/>
      <c r="EX46" s="2854"/>
      <c r="EY46" s="2854"/>
      <c r="EZ46" s="2854"/>
      <c r="FA46" s="2854"/>
      <c r="FB46" s="2854"/>
      <c r="FC46" s="2854"/>
      <c r="FD46" s="2854"/>
      <c r="FE46" s="2854"/>
      <c r="FF46" s="2854"/>
      <c r="FG46" s="2854"/>
      <c r="FH46" s="2854"/>
      <c r="FI46" s="2854"/>
      <c r="FJ46" s="2854"/>
      <c r="FK46" s="2854"/>
      <c r="FL46" s="2854"/>
      <c r="FM46" s="2854"/>
      <c r="FN46" s="2854"/>
      <c r="FO46" s="2854"/>
      <c r="FP46" s="2854"/>
      <c r="FQ46" s="2854"/>
      <c r="FR46" s="2854"/>
      <c r="FS46" s="2854"/>
      <c r="FT46" s="2854"/>
      <c r="FU46" s="2854"/>
      <c r="FV46" s="2854"/>
      <c r="FW46" s="2854"/>
      <c r="FX46" s="2854"/>
      <c r="FY46" s="2854"/>
      <c r="FZ46" s="2854"/>
      <c r="GA46" s="2854"/>
      <c r="GB46" s="2854"/>
      <c r="GC46" s="2854"/>
      <c r="GD46" s="2854"/>
      <c r="GE46" s="2854"/>
      <c r="GF46" s="2854"/>
      <c r="GG46" s="2854"/>
      <c r="GH46" s="2854"/>
      <c r="GI46" s="2854"/>
      <c r="GJ46" s="2854"/>
      <c r="GK46" s="2854"/>
      <c r="GL46" s="2854"/>
      <c r="GM46" s="2854"/>
      <c r="GN46" s="2854"/>
      <c r="GO46" s="2854"/>
      <c r="GP46" s="2854"/>
      <c r="GQ46" s="2854"/>
      <c r="GR46" s="2854"/>
      <c r="GS46" s="2854"/>
      <c r="GT46" s="2854"/>
      <c r="GU46" s="2854"/>
      <c r="GV46" s="2854"/>
      <c r="GW46" s="2854"/>
      <c r="GX46" s="2854"/>
      <c r="GY46" s="2854"/>
      <c r="GZ46" s="2854"/>
      <c r="HA46" s="2854"/>
      <c r="HB46" s="2854"/>
      <c r="HC46" s="2854"/>
      <c r="HD46" s="2854"/>
      <c r="HE46" s="2854"/>
      <c r="HF46" s="2854"/>
      <c r="HG46" s="2854"/>
      <c r="HH46" s="2854"/>
      <c r="HI46" s="2854"/>
      <c r="HJ46" s="2854"/>
      <c r="HK46" s="2854"/>
      <c r="HL46" s="2854"/>
      <c r="HM46" s="2854"/>
      <c r="HN46" s="2854"/>
      <c r="HO46" s="2854"/>
      <c r="HP46" s="2854"/>
      <c r="HQ46" s="2854"/>
      <c r="HR46" s="2854"/>
      <c r="HS46" s="2854"/>
      <c r="HT46" s="2854"/>
      <c r="HU46" s="2854"/>
      <c r="HV46" s="2854"/>
      <c r="HW46" s="2854"/>
      <c r="HX46" s="2854"/>
      <c r="HY46" s="2854"/>
      <c r="HZ46" s="2854"/>
      <c r="IA46" s="2854"/>
      <c r="IB46" s="2854"/>
      <c r="IC46" s="2854"/>
      <c r="ID46" s="2854"/>
      <c r="IE46" s="2854"/>
      <c r="IF46" s="2854"/>
      <c r="IG46" s="2854"/>
      <c r="IH46" s="2854"/>
      <c r="II46" s="2854"/>
      <c r="IJ46" s="2854"/>
      <c r="IK46" s="2854"/>
      <c r="IL46" s="2854"/>
      <c r="IM46" s="2854"/>
      <c r="IN46" s="2854"/>
      <c r="IO46" s="2854"/>
      <c r="IP46" s="2854"/>
      <c r="IQ46" s="2854"/>
      <c r="IR46" s="2854"/>
      <c r="IS46" s="2854"/>
      <c r="IT46" s="2854"/>
      <c r="IU46" s="2854"/>
      <c r="IV46" s="2854"/>
      <c r="IW46" s="2854"/>
      <c r="IX46" s="2854"/>
      <c r="IY46" s="2854"/>
      <c r="IZ46" s="2854"/>
      <c r="JA46" s="2854"/>
      <c r="JB46" s="2854"/>
      <c r="JC46" s="2854"/>
      <c r="JD46" s="2854"/>
      <c r="JE46" s="2854"/>
      <c r="JF46" s="2854"/>
      <c r="JG46" s="2854"/>
      <c r="JH46" s="2854"/>
      <c r="JI46" s="2854"/>
      <c r="JJ46" s="2854"/>
      <c r="JK46" s="2854"/>
      <c r="JL46" s="2854"/>
      <c r="JM46" s="2854"/>
      <c r="JN46" s="2854"/>
      <c r="JO46" s="2854"/>
      <c r="JP46" s="2854"/>
      <c r="JQ46" s="2854"/>
      <c r="JR46" s="2854"/>
      <c r="JS46" s="2854"/>
      <c r="JT46" s="2854"/>
      <c r="JU46" s="2854"/>
      <c r="JV46" s="2854"/>
      <c r="JW46" s="2854"/>
      <c r="JX46" s="2854"/>
      <c r="JY46" s="2854"/>
      <c r="JZ46" s="2854"/>
      <c r="KA46" s="2854"/>
      <c r="KB46" s="2854"/>
      <c r="KC46" s="2854"/>
      <c r="KD46" s="2854"/>
      <c r="KE46" s="2854"/>
      <c r="KF46" s="2854"/>
      <c r="KG46" s="2854"/>
      <c r="KH46" s="2854"/>
      <c r="KI46" s="2854"/>
      <c r="KJ46" s="2854"/>
      <c r="KK46" s="2854"/>
      <c r="KL46" s="2854"/>
      <c r="KM46" s="2854"/>
      <c r="KN46" s="2854"/>
      <c r="KO46" s="2854"/>
      <c r="KP46" s="2854"/>
      <c r="KQ46" s="2854"/>
      <c r="KR46" s="2854"/>
      <c r="KS46" s="2854"/>
      <c r="KT46" s="2854"/>
      <c r="KU46" s="2854"/>
      <c r="KV46" s="2854"/>
      <c r="KW46" s="2854"/>
      <c r="KX46" s="2854"/>
      <c r="KY46" s="2854"/>
      <c r="KZ46" s="2854"/>
      <c r="LA46" s="2854"/>
      <c r="LB46" s="2854"/>
      <c r="LC46" s="2854"/>
      <c r="LD46" s="2854"/>
      <c r="LE46" s="2854"/>
      <c r="LF46" s="2854"/>
      <c r="LG46" s="2854"/>
      <c r="LH46" s="2854"/>
      <c r="LI46" s="2854"/>
      <c r="LJ46" s="2854"/>
      <c r="LK46" s="2854"/>
      <c r="LL46" s="2854"/>
      <c r="LM46" s="2854"/>
      <c r="LN46" s="2854"/>
      <c r="LO46" s="2854"/>
      <c r="LP46" s="2854"/>
      <c r="LQ46" s="2854"/>
      <c r="LR46" s="2854"/>
      <c r="LS46" s="2854"/>
      <c r="LT46" s="2854"/>
      <c r="LU46" s="2854"/>
      <c r="LV46" s="2854"/>
      <c r="LW46" s="2854"/>
      <c r="LX46" s="2854"/>
      <c r="LY46" s="2854"/>
      <c r="LZ46" s="2854"/>
      <c r="MA46" s="2854"/>
      <c r="MB46" s="2854"/>
      <c r="MC46" s="2854"/>
      <c r="MD46" s="2854"/>
      <c r="ME46" s="2854"/>
      <c r="MF46" s="2854"/>
      <c r="MG46" s="2854"/>
      <c r="MH46" s="2854"/>
      <c r="MI46" s="2854"/>
      <c r="MJ46" s="2854"/>
      <c r="MK46" s="2854"/>
      <c r="ML46" s="2854"/>
      <c r="MM46" s="2854"/>
      <c r="MN46" s="2854"/>
      <c r="MO46" s="2854"/>
      <c r="MP46" s="2854"/>
      <c r="MQ46" s="2854"/>
      <c r="MR46" s="2854"/>
      <c r="MS46" s="2854"/>
      <c r="MT46" s="2854"/>
      <c r="MU46" s="2854"/>
      <c r="MV46" s="2854"/>
      <c r="MW46" s="2854"/>
      <c r="MX46" s="2854"/>
      <c r="MY46" s="2854"/>
      <c r="MZ46" s="2854"/>
      <c r="NA46" s="2854"/>
      <c r="NB46" s="2854"/>
      <c r="NC46" s="2854"/>
      <c r="ND46" s="2854"/>
      <c r="NE46" s="2854"/>
      <c r="NF46" s="2854"/>
      <c r="NG46" s="2854"/>
      <c r="NH46" s="2854"/>
      <c r="NI46" s="2854"/>
      <c r="NJ46" s="2854"/>
      <c r="NK46" s="2854"/>
      <c r="NL46" s="2854"/>
      <c r="NM46" s="2854"/>
      <c r="NN46" s="2854"/>
      <c r="NO46" s="2854"/>
      <c r="NP46" s="2854"/>
      <c r="NQ46" s="2854"/>
      <c r="NR46" s="2854"/>
      <c r="NS46" s="2854"/>
      <c r="NT46" s="2854"/>
      <c r="NU46" s="2854"/>
      <c r="NV46" s="2854"/>
      <c r="NW46" s="2854"/>
      <c r="NX46" s="2854"/>
      <c r="NY46" s="2854"/>
      <c r="NZ46" s="2854"/>
      <c r="OA46" s="2854"/>
      <c r="OB46" s="2854"/>
      <c r="OC46" s="2854"/>
      <c r="OD46" s="2854"/>
      <c r="OE46" s="2854"/>
      <c r="OF46" s="2854"/>
      <c r="OG46" s="2854"/>
      <c r="OH46" s="2854"/>
      <c r="OI46" s="2854"/>
      <c r="OJ46" s="2854"/>
      <c r="OK46" s="2854"/>
      <c r="OL46" s="2854"/>
      <c r="OM46" s="2854"/>
      <c r="ON46" s="2854"/>
      <c r="OO46" s="2854"/>
      <c r="OP46" s="2854"/>
      <c r="OQ46" s="2854"/>
      <c r="OR46" s="2854"/>
      <c r="OS46" s="2854"/>
      <c r="OT46" s="2854"/>
      <c r="OU46" s="2854"/>
      <c r="OV46" s="2854"/>
      <c r="OW46" s="2854"/>
      <c r="OX46" s="2854"/>
      <c r="OY46" s="2854"/>
      <c r="OZ46" s="2854"/>
      <c r="PA46" s="2854"/>
      <c r="PB46" s="2854"/>
      <c r="PC46" s="2854"/>
      <c r="PD46" s="2854"/>
      <c r="PE46" s="2854"/>
      <c r="PF46" s="2854"/>
      <c r="PG46" s="2854"/>
      <c r="PH46" s="2854"/>
      <c r="PI46" s="2854"/>
      <c r="PJ46" s="2854"/>
      <c r="PK46" s="2854"/>
      <c r="PL46" s="2854"/>
      <c r="PM46" s="2854"/>
      <c r="PN46" s="2854"/>
      <c r="PO46" s="2854"/>
      <c r="PP46" s="2854"/>
      <c r="PQ46" s="2854"/>
      <c r="PR46" s="2854"/>
      <c r="PS46" s="2854"/>
      <c r="PT46" s="2854"/>
      <c r="PU46" s="2854"/>
      <c r="PV46" s="2854"/>
      <c r="PW46" s="2854"/>
      <c r="PX46" s="2854"/>
      <c r="PY46" s="2854"/>
      <c r="PZ46" s="2854"/>
      <c r="QA46" s="2854"/>
      <c r="QB46" s="2854"/>
      <c r="QC46" s="2854"/>
      <c r="QD46" s="2854"/>
      <c r="QE46" s="2854"/>
      <c r="QF46" s="2854"/>
      <c r="QG46" s="2854"/>
      <c r="QH46" s="2854"/>
      <c r="QI46" s="2854"/>
      <c r="QJ46" s="2854"/>
      <c r="QK46" s="2854"/>
      <c r="QL46" s="2854"/>
      <c r="QM46" s="2854"/>
      <c r="QN46" s="2854"/>
      <c r="QO46" s="2854"/>
      <c r="QP46" s="2854"/>
      <c r="QQ46" s="2854"/>
      <c r="QR46" s="2854"/>
      <c r="QS46" s="2854"/>
      <c r="QT46" s="2854"/>
      <c r="QU46" s="2854"/>
      <c r="QV46" s="2854"/>
      <c r="QW46" s="2854"/>
      <c r="QX46" s="2854"/>
      <c r="QY46" s="2854"/>
      <c r="QZ46" s="2854"/>
      <c r="RA46" s="2854"/>
      <c r="RB46" s="2854"/>
      <c r="RC46" s="2854"/>
      <c r="RD46" s="2854"/>
      <c r="RE46" s="2854"/>
      <c r="RF46" s="2854"/>
      <c r="RG46" s="2854"/>
      <c r="RH46" s="2854"/>
      <c r="RI46" s="2854"/>
      <c r="RJ46" s="2854"/>
      <c r="RK46" s="2854"/>
      <c r="RL46" s="2854"/>
      <c r="RM46" s="2854"/>
      <c r="RN46" s="2854"/>
      <c r="RO46" s="2854"/>
      <c r="RP46" s="2854"/>
      <c r="RQ46" s="2854"/>
      <c r="RR46" s="2854"/>
      <c r="RS46" s="2854"/>
      <c r="RT46" s="2854"/>
      <c r="RU46" s="2854"/>
      <c r="RV46" s="2854"/>
      <c r="RW46" s="2854"/>
      <c r="RX46" s="2854"/>
      <c r="RY46" s="2854"/>
      <c r="RZ46" s="2854"/>
      <c r="SA46" s="2854"/>
      <c r="SB46" s="2854"/>
      <c r="SC46" s="2854"/>
      <c r="SD46" s="2854"/>
      <c r="SE46" s="2854"/>
      <c r="SF46" s="2854"/>
      <c r="SG46" s="2854"/>
      <c r="SH46" s="2854"/>
      <c r="SI46" s="2854"/>
      <c r="SJ46" s="2854"/>
      <c r="SK46" s="2854"/>
      <c r="SL46" s="2854"/>
      <c r="SM46" s="2854"/>
      <c r="SN46" s="2854"/>
      <c r="SO46" s="2854"/>
      <c r="SP46" s="2854"/>
      <c r="SQ46" s="2854"/>
      <c r="SR46" s="2854"/>
      <c r="SS46" s="2854"/>
      <c r="ST46" s="2854"/>
      <c r="SU46" s="2854"/>
      <c r="SV46" s="2854"/>
      <c r="SW46" s="2854"/>
      <c r="SX46" s="2854"/>
      <c r="SY46" s="2854"/>
      <c r="SZ46" s="2854"/>
      <c r="TA46" s="2854"/>
      <c r="TB46" s="2854"/>
      <c r="TC46" s="2854"/>
      <c r="TD46" s="2854"/>
      <c r="TE46" s="2854"/>
      <c r="TF46" s="2854"/>
      <c r="TG46" s="2854"/>
      <c r="TH46" s="2854"/>
      <c r="TI46" s="2854"/>
      <c r="TJ46" s="2854"/>
      <c r="TK46" s="2854"/>
      <c r="TL46" s="2854"/>
      <c r="TM46" s="2854"/>
      <c r="TN46" s="2854"/>
      <c r="TO46" s="2854"/>
      <c r="TP46" s="2854"/>
      <c r="TQ46" s="2854"/>
      <c r="TR46" s="2854"/>
      <c r="TS46" s="2854"/>
      <c r="TT46" s="2854"/>
      <c r="TU46" s="3783"/>
      <c r="TV46" s="3783"/>
      <c r="TW46" s="3783"/>
      <c r="TX46" s="3783"/>
      <c r="TY46" s="3783"/>
      <c r="TZ46" s="3783"/>
      <c r="UA46" s="3783"/>
      <c r="UB46" s="3783"/>
      <c r="UC46" s="3783"/>
      <c r="UD46" s="3783"/>
      <c r="UE46" s="3783"/>
      <c r="UF46" s="3783"/>
      <c r="UG46" s="3783"/>
      <c r="UH46" s="3783"/>
      <c r="UI46" s="3783"/>
      <c r="UJ46" s="3783"/>
      <c r="UK46" s="3783"/>
      <c r="UL46" s="3783"/>
      <c r="UM46" s="3783"/>
      <c r="UN46" s="3783"/>
      <c r="UO46" s="3783"/>
      <c r="UP46" s="2854"/>
      <c r="UQ46" s="2854"/>
      <c r="UR46" s="2854"/>
      <c r="US46" s="2854"/>
      <c r="UT46" s="2854"/>
      <c r="UU46" s="2854"/>
      <c r="UV46" s="2854"/>
      <c r="UW46" s="2854"/>
      <c r="UX46" s="2854"/>
      <c r="UY46" s="2854"/>
      <c r="UZ46" s="2854"/>
      <c r="VA46" s="2854"/>
      <c r="VB46" s="2854"/>
      <c r="VC46" s="2854"/>
      <c r="VD46" s="2854"/>
      <c r="VE46" s="2854"/>
      <c r="VF46" s="2854"/>
      <c r="VG46" s="2854"/>
      <c r="VH46" s="2854"/>
      <c r="VI46" s="2854"/>
      <c r="VJ46" s="2854"/>
      <c r="VK46" s="2854"/>
      <c r="VL46" s="2854"/>
      <c r="VM46" s="2854"/>
      <c r="VN46" s="2854"/>
      <c r="VO46" s="2854"/>
      <c r="VP46" s="2854"/>
      <c r="VQ46" s="2854"/>
      <c r="VR46" s="2854"/>
      <c r="VS46" s="2854"/>
      <c r="VT46" s="2854"/>
      <c r="VU46" s="2854"/>
      <c r="VV46" s="2854"/>
      <c r="VW46" s="2854"/>
      <c r="VX46" s="2854"/>
      <c r="VY46" s="2854"/>
      <c r="VZ46" s="2854"/>
      <c r="WA46" s="2854"/>
      <c r="WB46" s="2854"/>
      <c r="WC46" s="2854"/>
      <c r="WD46" s="2854"/>
      <c r="WE46" s="2854"/>
      <c r="WF46" s="2854"/>
      <c r="WG46" s="2854"/>
      <c r="WH46" s="2854"/>
      <c r="WI46" s="2854"/>
      <c r="WJ46" s="2854"/>
      <c r="WK46" s="2854"/>
      <c r="WL46" s="2854"/>
      <c r="WM46" s="2854"/>
      <c r="WN46" s="2854"/>
      <c r="WO46" s="2854"/>
      <c r="WP46" s="2854"/>
      <c r="WQ46" s="2854"/>
      <c r="WR46" s="2854"/>
      <c r="WS46" s="2854"/>
      <c r="WT46" s="2854"/>
      <c r="WU46" s="2854"/>
      <c r="WV46" s="2854"/>
      <c r="WW46" s="2854"/>
      <c r="WX46" s="2854"/>
      <c r="WY46" s="2854"/>
      <c r="WZ46" s="2854"/>
      <c r="XA46" s="2854"/>
      <c r="XB46" s="2854"/>
      <c r="XC46" s="2854"/>
      <c r="XD46" s="2854"/>
      <c r="XE46" s="2854"/>
      <c r="XF46" s="2854"/>
      <c r="XG46" s="2854"/>
      <c r="XH46" s="2854"/>
      <c r="XI46" s="2854"/>
      <c r="XJ46" s="2854"/>
      <c r="XK46" s="2854"/>
      <c r="XL46" s="2854"/>
      <c r="XM46" s="2854"/>
      <c r="XN46" s="2854"/>
      <c r="XO46" s="2854"/>
      <c r="XP46" s="2854"/>
      <c r="XQ46" s="2854"/>
      <c r="XR46" s="2854"/>
      <c r="XS46" s="2854"/>
      <c r="XT46" s="2854"/>
      <c r="XU46" s="2854"/>
      <c r="XV46" s="2854"/>
      <c r="XW46" s="2854"/>
      <c r="XX46" s="2854"/>
      <c r="XY46" s="2854"/>
      <c r="XZ46" s="2854"/>
      <c r="YA46" s="2854"/>
      <c r="YB46" s="2854"/>
      <c r="YC46" s="2854"/>
      <c r="YD46" s="2854"/>
      <c r="YE46" s="2854"/>
      <c r="YF46" s="2854"/>
      <c r="YG46" s="2854"/>
      <c r="YH46" s="2854"/>
      <c r="YI46" s="2854"/>
      <c r="YJ46" s="2854"/>
      <c r="YK46" s="2854"/>
      <c r="YL46" s="2854"/>
      <c r="YM46" s="2854"/>
      <c r="YN46" s="2854"/>
      <c r="YO46" s="2854"/>
      <c r="YP46" s="2854"/>
      <c r="YQ46" s="2854"/>
      <c r="YR46" s="2854"/>
      <c r="YS46" s="2854"/>
      <c r="YT46" s="2854"/>
      <c r="YU46" s="2854"/>
      <c r="YV46" s="2854"/>
      <c r="YW46" s="2854"/>
      <c r="YX46" s="2854"/>
      <c r="YY46" s="2854"/>
      <c r="YZ46" s="2854"/>
      <c r="ZA46" s="2854"/>
      <c r="ZB46" s="2854"/>
      <c r="ZC46" s="2854"/>
      <c r="ZD46" s="2854"/>
      <c r="ZE46" s="2854"/>
      <c r="ZF46" s="2854"/>
      <c r="ZG46" s="2854"/>
      <c r="ZH46" s="2854"/>
      <c r="ZI46" s="2854"/>
      <c r="ZJ46" s="2854"/>
      <c r="ZK46" s="2854"/>
      <c r="ZL46" s="2854"/>
      <c r="ZM46" s="2854"/>
      <c r="ZN46" s="2854"/>
      <c r="ZO46" s="2854"/>
      <c r="ZP46" s="2854"/>
      <c r="ZQ46" s="2854"/>
      <c r="ZR46" s="2854"/>
      <c r="ZS46" s="2854"/>
      <c r="ZT46" s="2854"/>
      <c r="ZU46" s="2854"/>
      <c r="ZV46" s="2854"/>
      <c r="ZW46" s="2854"/>
      <c r="ZX46" s="2854"/>
      <c r="ZY46" s="2854"/>
      <c r="ZZ46" s="2854"/>
      <c r="AAA46" s="2854"/>
      <c r="AAB46" s="2854"/>
      <c r="AAC46" s="2854"/>
      <c r="AAD46" s="2854"/>
      <c r="AAE46" s="2854"/>
      <c r="AAF46" s="2854"/>
      <c r="AAG46" s="2854"/>
      <c r="AAH46" s="2854"/>
      <c r="AAI46" s="2854"/>
      <c r="AAJ46" s="2854"/>
      <c r="AAK46" s="2854"/>
      <c r="AAL46" s="2854"/>
      <c r="AAM46" s="2854"/>
      <c r="AAN46" s="2854"/>
      <c r="AAO46" s="2854"/>
      <c r="AAP46" s="2854"/>
      <c r="AAQ46" s="2854"/>
      <c r="AAR46" s="2854"/>
      <c r="AAS46" s="2854"/>
      <c r="AAT46" s="2854"/>
      <c r="AAU46" s="2854"/>
      <c r="AAV46" s="2854"/>
      <c r="AAW46" s="2854"/>
      <c r="AAX46" s="2854"/>
      <c r="AAY46" s="2854"/>
      <c r="AAZ46" s="2854"/>
      <c r="ABA46" s="2854"/>
      <c r="ABB46" s="2854"/>
      <c r="ABC46" s="2854"/>
      <c r="ABD46" s="2854"/>
      <c r="ABE46" s="2854"/>
      <c r="ABF46" s="2854"/>
      <c r="ABG46" s="2854"/>
      <c r="ABH46" s="2854"/>
      <c r="ABI46" s="2854"/>
      <c r="ABJ46" s="2854"/>
      <c r="ABK46" s="2854"/>
      <c r="ABL46" s="2854"/>
      <c r="ABM46" s="2854"/>
      <c r="ABN46" s="2854"/>
      <c r="ABO46" s="2854"/>
      <c r="ABP46" s="2854"/>
      <c r="ABQ46" s="2854"/>
      <c r="ABR46" s="2854"/>
      <c r="ABS46" s="2854"/>
      <c r="ABT46" s="2854"/>
      <c r="ABU46" s="2854"/>
      <c r="ABV46" s="2854"/>
      <c r="ABW46" s="2854"/>
      <c r="ABX46" s="2854"/>
      <c r="ABY46" s="2854"/>
      <c r="ABZ46" s="2854"/>
      <c r="ACA46" s="2854"/>
      <c r="ACB46" s="2854"/>
      <c r="ACC46" s="2854"/>
      <c r="ACD46" s="2854"/>
      <c r="ACE46" s="2854"/>
      <c r="ACF46" s="2854"/>
      <c r="ACG46" s="2854"/>
      <c r="ACH46" s="2854"/>
      <c r="ACI46" s="2854"/>
      <c r="ACJ46" s="2854"/>
      <c r="ACK46" s="2854"/>
      <c r="ACL46" s="2854"/>
      <c r="ACM46" s="2854"/>
      <c r="ACN46" s="2854"/>
      <c r="ACO46" s="2854"/>
      <c r="ACP46" s="2854"/>
      <c r="ACQ46" s="2854"/>
      <c r="ACR46" s="2854"/>
      <c r="ACS46" s="2854"/>
      <c r="ACT46" s="2854"/>
      <c r="ACU46" s="2854"/>
      <c r="ACV46" s="2854"/>
      <c r="ACW46" s="2854"/>
      <c r="ACX46" s="2854"/>
      <c r="ACY46" s="2854"/>
      <c r="ACZ46" s="2854"/>
      <c r="ADA46" s="2854"/>
      <c r="ADB46" s="2854"/>
      <c r="ADC46" s="2854"/>
      <c r="ADD46" s="2854"/>
      <c r="ADE46" s="2854"/>
      <c r="ADF46" s="2854"/>
      <c r="ADG46" s="2854"/>
      <c r="ADH46" s="2854"/>
      <c r="ADI46" s="2854"/>
      <c r="ADJ46" s="2854"/>
      <c r="ADK46" s="2854"/>
      <c r="ADL46" s="2854"/>
      <c r="ADM46" s="2854"/>
      <c r="ADN46" s="2854"/>
      <c r="ADO46" s="2854"/>
      <c r="ADP46" s="2854"/>
      <c r="ADQ46" s="2854"/>
      <c r="ADR46" s="2854"/>
      <c r="ADS46" s="2854"/>
      <c r="ADT46" s="2854"/>
      <c r="ADU46" s="2854"/>
      <c r="ADV46" s="2854"/>
      <c r="ADW46" s="2854"/>
      <c r="ADX46" s="2854"/>
      <c r="ADY46" s="2854"/>
      <c r="ADZ46" s="2854"/>
      <c r="AEA46" s="2854"/>
      <c r="AEB46" s="2854"/>
      <c r="AEC46" s="2854"/>
      <c r="AED46" s="2854"/>
      <c r="AEE46" s="2854"/>
      <c r="AEF46" s="2854"/>
      <c r="AEG46" s="2854"/>
      <c r="AEH46" s="2854"/>
      <c r="AEI46" s="2854"/>
      <c r="AEJ46" s="2854"/>
      <c r="AEK46" s="2854"/>
      <c r="AEL46" s="2854"/>
      <c r="AEM46" s="2854"/>
      <c r="AEN46" s="2854"/>
      <c r="AEO46" s="2854"/>
      <c r="AEP46" s="2854"/>
      <c r="AEQ46" s="2854"/>
      <c r="AER46" s="2854"/>
      <c r="AES46" s="2854"/>
      <c r="AET46" s="2854"/>
      <c r="AEU46" s="2854"/>
      <c r="AEV46" s="2854"/>
      <c r="AEW46" s="2854"/>
      <c r="AEX46" s="2854"/>
      <c r="AEY46" s="2854"/>
      <c r="AEZ46" s="2854"/>
      <c r="AFA46" s="2854"/>
      <c r="AFB46" s="2854"/>
      <c r="AFC46" s="2854"/>
      <c r="AFD46" s="2854"/>
      <c r="AFE46" s="2854"/>
      <c r="AFF46" s="2854"/>
      <c r="AFG46" s="2854"/>
      <c r="AFH46" s="2854"/>
      <c r="AFI46" s="2854"/>
      <c r="AFJ46" s="2854"/>
      <c r="AFK46" s="2854"/>
      <c r="AFL46" s="2854"/>
      <c r="AFM46" s="2854"/>
      <c r="AFN46" s="2854"/>
      <c r="AFO46" s="2854"/>
      <c r="AFP46" s="2854"/>
      <c r="AFQ46" s="2854"/>
      <c r="AFR46" s="2854"/>
      <c r="AFS46" s="2854"/>
      <c r="AFT46" s="2854"/>
      <c r="AFU46" s="2854"/>
      <c r="AFV46" s="2854"/>
      <c r="AFW46" s="2854"/>
      <c r="AFX46" s="2854"/>
      <c r="AFY46" s="2854"/>
      <c r="AFZ46" s="2854"/>
      <c r="AGA46" s="2854"/>
      <c r="AGB46" s="2854"/>
      <c r="AGC46" s="2854"/>
      <c r="AGD46" s="2854"/>
      <c r="AGE46" s="2854"/>
      <c r="AGF46" s="2854"/>
      <c r="AGG46" s="2854"/>
      <c r="AGH46" s="2854"/>
      <c r="AGI46" s="2854"/>
      <c r="AGJ46" s="2854"/>
      <c r="AGK46" s="2854"/>
      <c r="AGL46" s="2854"/>
      <c r="AGM46" s="2854"/>
      <c r="AGN46" s="2854"/>
      <c r="AGO46" s="2854"/>
      <c r="AGP46" s="2854"/>
      <c r="AGQ46" s="2854"/>
      <c r="AGR46" s="2854"/>
      <c r="AGS46" s="2854"/>
      <c r="AGT46" s="2854"/>
      <c r="AGU46" s="2854"/>
      <c r="AGV46" s="2854"/>
      <c r="AGW46" s="2854"/>
      <c r="AGX46" s="2854"/>
      <c r="AGY46" s="2854"/>
      <c r="AGZ46" s="2854"/>
      <c r="AHA46" s="2854"/>
      <c r="AHB46" s="2854"/>
      <c r="AHC46" s="2854"/>
      <c r="AHD46" s="2854"/>
      <c r="AHE46" s="2854"/>
      <c r="AHF46" s="2854"/>
      <c r="AHG46" s="2854"/>
      <c r="AHH46" s="2854"/>
      <c r="AHI46" s="2854"/>
      <c r="AHJ46" s="2854"/>
      <c r="AHK46" s="2854"/>
      <c r="AHL46" s="2854"/>
      <c r="AHM46" s="2854"/>
      <c r="AHN46" s="2854"/>
      <c r="AHO46" s="2854"/>
      <c r="AHP46" s="2854"/>
      <c r="AHQ46" s="2854"/>
      <c r="AHR46" s="2854"/>
      <c r="AHS46" s="2854"/>
      <c r="AHT46" s="2854"/>
      <c r="AHU46" s="2854"/>
      <c r="AHV46" s="2854"/>
      <c r="AHW46" s="2854"/>
      <c r="AHX46" s="2854"/>
      <c r="AHY46" s="2854"/>
      <c r="AHZ46" s="2854"/>
      <c r="AIA46" s="2854"/>
      <c r="AIB46" s="2854"/>
      <c r="AIC46" s="2854"/>
      <c r="AID46" s="2854"/>
      <c r="AIE46" s="2854"/>
      <c r="AIF46" s="2854"/>
      <c r="AIG46" s="2854"/>
      <c r="AIH46" s="2854"/>
      <c r="AII46" s="2854"/>
      <c r="AIJ46" s="2854"/>
      <c r="AIK46" s="2854"/>
      <c r="AIL46" s="2854"/>
      <c r="AIM46" s="2854"/>
      <c r="AIN46" s="2854"/>
      <c r="AIO46" s="2854"/>
      <c r="AIP46" s="2854"/>
      <c r="AIQ46" s="2854"/>
      <c r="AIR46" s="2854"/>
      <c r="AIS46" s="2854"/>
      <c r="AIT46" s="2854"/>
      <c r="AIU46" s="2854"/>
      <c r="AIV46" s="2854"/>
      <c r="AIW46" s="2854"/>
      <c r="AIX46" s="2854"/>
      <c r="AIY46" s="2854"/>
      <c r="AIZ46" s="2854"/>
      <c r="AJA46" s="2854"/>
      <c r="AJB46" s="2854"/>
      <c r="AJC46" s="2854"/>
      <c r="AJD46" s="2854"/>
      <c r="AJE46" s="2854"/>
      <c r="AJF46" s="2854"/>
      <c r="AJG46" s="2854"/>
      <c r="AJH46" s="2854"/>
      <c r="AJI46" s="2854"/>
      <c r="AJJ46" s="2854"/>
      <c r="AJK46" s="2854"/>
      <c r="AJL46" s="2854"/>
      <c r="AJM46" s="2854"/>
      <c r="AJN46" s="2854"/>
      <c r="AJO46" s="2854"/>
      <c r="AJP46" s="2854"/>
      <c r="AJQ46" s="2854"/>
      <c r="AJR46" s="2854"/>
      <c r="AJS46" s="2854"/>
      <c r="AJT46" s="2854"/>
      <c r="AJU46" s="2854"/>
      <c r="AJV46" s="2854"/>
      <c r="AJW46" s="2854"/>
      <c r="AJX46" s="2854"/>
      <c r="AJY46" s="2854"/>
      <c r="AJZ46" s="2854"/>
      <c r="AKA46" s="2854"/>
      <c r="AKB46" s="2854"/>
      <c r="AKC46" s="2854"/>
      <c r="AKD46" s="2854"/>
      <c r="AKE46" s="2854"/>
      <c r="AKF46" s="2854"/>
      <c r="AKG46" s="2854"/>
      <c r="AKH46" s="2854"/>
      <c r="AKI46" s="2854"/>
      <c r="AKJ46" s="2854"/>
      <c r="AKK46" s="2854"/>
      <c r="AKL46" s="2854"/>
      <c r="AKM46" s="2854"/>
      <c r="AKN46" s="2854"/>
      <c r="AKO46" s="2854"/>
      <c r="AKP46" s="2854"/>
      <c r="AKQ46" s="2854"/>
      <c r="AKR46" s="2854"/>
      <c r="AKS46" s="2854"/>
      <c r="AKT46" s="2854"/>
      <c r="AKU46" s="2854"/>
      <c r="AKV46" s="2854"/>
      <c r="AKW46" s="2854"/>
      <c r="AKX46" s="2854"/>
      <c r="AKY46" s="2854"/>
      <c r="AKZ46" s="2854"/>
      <c r="ALA46" s="2854"/>
      <c r="ALB46" s="2854"/>
      <c r="ALC46" s="2854"/>
      <c r="ALD46" s="2854"/>
      <c r="ALE46" s="2854"/>
      <c r="ALF46" s="2854"/>
      <c r="ALG46" s="2854"/>
      <c r="ALH46" s="2854"/>
      <c r="ALI46" s="2854"/>
      <c r="ALJ46" s="2854"/>
      <c r="ALK46" s="2854"/>
      <c r="ALL46" s="2854"/>
      <c r="ALM46" s="2854"/>
      <c r="ALN46" s="2854"/>
      <c r="ALO46" s="2854"/>
      <c r="ALP46" s="2854"/>
      <c r="ALQ46" s="2854"/>
      <c r="ALR46" s="2854"/>
      <c r="ALS46" s="2854"/>
      <c r="ALT46" s="2854"/>
      <c r="ALU46" s="2854"/>
      <c r="ALV46" s="2854"/>
      <c r="ALW46" s="2854"/>
      <c r="ALX46" s="2854"/>
      <c r="ALY46" s="2854"/>
      <c r="ALZ46" s="2854"/>
      <c r="AMA46" s="2854"/>
      <c r="AMB46" s="2854"/>
      <c r="AMC46" s="2854"/>
      <c r="AMD46" s="2854"/>
      <c r="AME46" s="2854"/>
      <c r="AMF46" s="2854"/>
      <c r="AMG46" s="2854"/>
      <c r="AMH46" s="2854"/>
      <c r="AMI46" s="2854"/>
      <c r="AMJ46" s="2854"/>
      <c r="AMK46" s="2854"/>
      <c r="AML46" s="2854"/>
      <c r="AMM46" s="2854"/>
      <c r="AMN46" s="2854"/>
      <c r="AMO46" s="2854"/>
      <c r="AMP46" s="2854"/>
      <c r="AMQ46" s="2854"/>
      <c r="AMR46" s="2854"/>
      <c r="AMS46" s="2854"/>
      <c r="AMT46" s="2854"/>
      <c r="AMU46" s="2854"/>
      <c r="AMV46" s="2854"/>
      <c r="AMW46" s="2854"/>
      <c r="AMX46" s="2854"/>
      <c r="AMY46" s="2854"/>
      <c r="AMZ46" s="2854"/>
      <c r="ANA46" s="2854"/>
      <c r="ANB46" s="2854"/>
      <c r="ANC46" s="2854"/>
      <c r="AND46" s="2854"/>
      <c r="ANE46" s="2854"/>
      <c r="ANF46" s="2854"/>
      <c r="ANG46" s="2854"/>
      <c r="ANH46" s="2854"/>
      <c r="ANI46" s="2854"/>
      <c r="ANJ46" s="2854"/>
      <c r="ANK46" s="2854"/>
      <c r="ANL46" s="2854"/>
      <c r="ANM46" s="2854"/>
      <c r="ANN46" s="2854"/>
      <c r="ANO46" s="2854"/>
      <c r="ANP46" s="2854"/>
      <c r="ANQ46" s="2854"/>
      <c r="ANR46" s="2854"/>
      <c r="ANS46" s="2854"/>
      <c r="ANT46" s="2854"/>
      <c r="ANU46" s="2854"/>
      <c r="ANV46" s="2854"/>
      <c r="ANW46" s="2854"/>
      <c r="ANX46" s="2854"/>
      <c r="ANY46" s="2854"/>
      <c r="ANZ46" s="2854"/>
      <c r="AOA46" s="2854"/>
      <c r="AOB46" s="2854"/>
      <c r="AOC46" s="2854"/>
      <c r="AOD46" s="2854"/>
      <c r="AOE46" s="2854"/>
      <c r="AOF46" s="2854"/>
      <c r="AOG46" s="2854"/>
      <c r="AOH46" s="2854"/>
      <c r="AOI46" s="2854"/>
      <c r="AOJ46" s="2854"/>
      <c r="AOK46" s="2854"/>
      <c r="AOL46" s="2854"/>
      <c r="AOM46" s="2854"/>
      <c r="AON46" s="2854"/>
      <c r="AOO46" s="2854"/>
      <c r="AOP46" s="2854"/>
      <c r="AOQ46" s="2854"/>
      <c r="AOR46" s="2854"/>
      <c r="AOS46" s="2854"/>
      <c r="AOT46" s="2854"/>
      <c r="AOU46" s="2854"/>
      <c r="AOV46" s="2854"/>
      <c r="AOW46" s="2854"/>
      <c r="AOX46" s="2854"/>
      <c r="AOY46" s="2854"/>
      <c r="AOZ46" s="2854"/>
      <c r="APA46" s="2854"/>
      <c r="APB46" s="2854"/>
      <c r="APC46" s="2854"/>
      <c r="APD46" s="2854"/>
      <c r="APE46" s="2854"/>
      <c r="APF46" s="2854"/>
      <c r="APG46" s="2854"/>
      <c r="APH46" s="2854"/>
      <c r="API46" s="2854"/>
      <c r="APJ46" s="2854"/>
      <c r="APK46" s="2854"/>
      <c r="APL46" s="2854"/>
      <c r="APM46" s="2854"/>
      <c r="APN46" s="2854"/>
      <c r="APO46" s="2854"/>
      <c r="APP46" s="2854"/>
      <c r="APQ46" s="2854"/>
      <c r="APR46" s="2854"/>
      <c r="APS46" s="2854"/>
      <c r="APT46" s="2854"/>
      <c r="APU46" s="2854"/>
      <c r="APV46" s="2854"/>
      <c r="APW46" s="2854"/>
      <c r="APX46" s="2854"/>
      <c r="APY46" s="2854"/>
      <c r="APZ46" s="2854"/>
      <c r="AQA46" s="2854"/>
      <c r="AQB46" s="2854"/>
      <c r="AQC46" s="2854"/>
      <c r="AQD46" s="2854"/>
      <c r="AQE46" s="2854"/>
      <c r="AQF46" s="2854"/>
      <c r="AQG46" s="2854"/>
      <c r="AQH46" s="2854"/>
      <c r="AQI46" s="2854"/>
      <c r="AQJ46" s="2854"/>
      <c r="AQK46" s="2854"/>
      <c r="AQL46" s="2854"/>
      <c r="AQM46" s="2854"/>
      <c r="AQN46" s="2854"/>
      <c r="AQO46" s="2854"/>
      <c r="AQP46" s="2854"/>
      <c r="AQQ46" s="2854"/>
      <c r="AQR46" s="2854"/>
      <c r="AQS46" s="2854"/>
      <c r="AQT46" s="2854"/>
      <c r="AQU46" s="2854"/>
      <c r="AQV46" s="2854"/>
      <c r="AQW46" s="2854"/>
      <c r="AQX46" s="2854"/>
      <c r="AQY46" s="2854"/>
      <c r="AQZ46" s="2854"/>
      <c r="ARA46" s="2854"/>
      <c r="ARB46" s="2854"/>
      <c r="ARC46" s="2854"/>
      <c r="ARD46" s="2854"/>
      <c r="ARE46" s="2854"/>
      <c r="ARF46" s="2854"/>
      <c r="ARG46" s="2854"/>
      <c r="ARH46" s="2854"/>
      <c r="ARI46" s="2854"/>
      <c r="ARJ46" s="2854"/>
      <c r="ARK46" s="2854"/>
      <c r="ARL46" s="2854"/>
      <c r="ARM46" s="2854"/>
      <c r="ARN46" s="2854"/>
      <c r="ARO46" s="2854"/>
      <c r="ARP46" s="2854"/>
      <c r="ARQ46" s="2854"/>
      <c r="ARR46" s="2854"/>
      <c r="ARS46" s="2854"/>
      <c r="ART46" s="2854"/>
      <c r="ARU46" s="2854"/>
      <c r="ARV46" s="2854"/>
      <c r="ARW46" s="2854"/>
      <c r="ARX46" s="2854"/>
      <c r="ARY46" s="2854"/>
      <c r="ARZ46" s="2854"/>
      <c r="ASA46" s="2854"/>
      <c r="ASB46" s="2854"/>
      <c r="ASC46" s="2854"/>
      <c r="ASD46" s="2854"/>
      <c r="ASE46" s="2854"/>
      <c r="ASF46" s="2854"/>
      <c r="ASG46" s="2854"/>
      <c r="ASH46" s="2854"/>
      <c r="ASI46" s="2854"/>
      <c r="ASJ46" s="2854"/>
      <c r="ASK46" s="2854"/>
      <c r="ASL46" s="2854"/>
      <c r="ASM46" s="2854"/>
      <c r="ASN46" s="2854"/>
      <c r="ASO46" s="2854"/>
      <c r="ASP46" s="2854"/>
      <c r="ASQ46" s="2854"/>
      <c r="ASR46" s="2854"/>
      <c r="ASS46" s="2854"/>
      <c r="AST46" s="2854"/>
      <c r="ASU46" s="2854"/>
      <c r="ASV46" s="2854"/>
      <c r="ASW46" s="2854"/>
      <c r="ASX46" s="2854"/>
      <c r="ASY46" s="2854"/>
      <c r="ASZ46" s="2854"/>
      <c r="ATA46" s="2854"/>
      <c r="ATB46" s="2854"/>
      <c r="ATC46" s="2854"/>
      <c r="ATD46" s="2854"/>
      <c r="ATE46" s="2854"/>
      <c r="ATF46" s="2854"/>
      <c r="ATG46" s="2854"/>
      <c r="ATH46" s="2854"/>
      <c r="ATI46" s="2854"/>
      <c r="ATJ46" s="2854"/>
      <c r="ATK46" s="2854"/>
      <c r="ATL46" s="2854"/>
      <c r="ATM46" s="2854"/>
      <c r="ATN46" s="2854"/>
      <c r="ATO46" s="2854"/>
      <c r="ATP46" s="2854"/>
      <c r="ATQ46" s="2854"/>
      <c r="ATR46" s="2854"/>
      <c r="ATS46" s="2854"/>
      <c r="ATT46" s="2854"/>
      <c r="ATU46" s="2854"/>
      <c r="ATV46" s="2854"/>
      <c r="ATW46" s="2854"/>
      <c r="ATX46" s="2854"/>
      <c r="ATY46" s="2854"/>
      <c r="ATZ46" s="2854"/>
      <c r="AUA46" s="2854"/>
      <c r="AUB46" s="2854"/>
      <c r="AUC46" s="2854"/>
      <c r="AUD46" s="2854"/>
      <c r="AUE46" s="2854"/>
      <c r="AUF46" s="2854"/>
      <c r="AUG46" s="2854"/>
      <c r="AUH46" s="2854"/>
      <c r="AUI46" s="2854"/>
      <c r="AUJ46" s="2854"/>
      <c r="AUK46" s="2854"/>
      <c r="AUL46" s="2854"/>
      <c r="AUM46" s="2854"/>
      <c r="AUN46" s="2854"/>
      <c r="AUO46" s="2854"/>
      <c r="AUP46" s="2854"/>
      <c r="AUQ46" s="2854"/>
      <c r="AUR46" s="2854"/>
      <c r="AUS46" s="2854"/>
      <c r="AUT46" s="2854"/>
      <c r="AUU46" s="2854"/>
      <c r="AUV46" s="2854"/>
      <c r="AUW46" s="2854"/>
      <c r="AUX46" s="2854"/>
      <c r="AUY46" s="2854"/>
      <c r="AUZ46" s="2854"/>
      <c r="AVA46" s="2854"/>
      <c r="AVB46" s="2854"/>
      <c r="AVC46" s="2854"/>
      <c r="AVD46" s="2854"/>
      <c r="AVE46" s="2854"/>
      <c r="AVF46" s="2854"/>
      <c r="AVG46" s="2854"/>
      <c r="AVH46" s="2854"/>
      <c r="AVI46" s="2854"/>
      <c r="AVJ46" s="2854"/>
      <c r="AVK46" s="2854"/>
      <c r="AVL46" s="2854"/>
      <c r="AVM46" s="2854"/>
      <c r="AVN46" s="2854"/>
      <c r="AVO46" s="2854"/>
      <c r="AVP46" s="2854"/>
      <c r="AVQ46" s="2854"/>
      <c r="AVR46" s="2854"/>
      <c r="AVS46" s="2854"/>
      <c r="AVT46" s="2854"/>
      <c r="AVU46" s="2854"/>
      <c r="AVV46" s="2854"/>
      <c r="AVW46" s="2854"/>
      <c r="AVX46" s="2854"/>
      <c r="AVY46" s="2854"/>
      <c r="AVZ46" s="2854"/>
      <c r="AWA46" s="2854"/>
      <c r="AWB46" s="2854"/>
      <c r="AWC46" s="2854"/>
      <c r="AWD46" s="2854"/>
      <c r="AWE46" s="2854"/>
      <c r="AWF46" s="2854"/>
      <c r="AWG46" s="2854"/>
      <c r="AWH46" s="2854"/>
      <c r="AWI46" s="2854"/>
      <c r="AWJ46" s="2854"/>
      <c r="AWK46" s="2854"/>
      <c r="AWL46" s="2854"/>
      <c r="AWM46" s="2854"/>
      <c r="AWN46" s="2854"/>
      <c r="AWO46" s="2854"/>
      <c r="AWP46" s="2854"/>
      <c r="AWQ46" s="2854"/>
      <c r="AWR46" s="2854"/>
      <c r="AWS46" s="2854"/>
      <c r="AWT46" s="2854"/>
      <c r="AWU46" s="2854"/>
      <c r="AWV46" s="2854"/>
      <c r="AWW46" s="2854"/>
      <c r="AWX46" s="2854"/>
      <c r="AWY46" s="2854"/>
      <c r="AWZ46" s="2854"/>
      <c r="AXA46" s="2854"/>
      <c r="AXB46" s="2854"/>
      <c r="AXC46" s="2854"/>
      <c r="AXD46" s="2854"/>
      <c r="AXE46" s="2854"/>
      <c r="AXF46" s="2854"/>
      <c r="AXG46" s="2854"/>
      <c r="AXH46" s="2854"/>
      <c r="AXI46" s="2854"/>
      <c r="AXJ46" s="2854"/>
      <c r="AXK46" s="2854"/>
      <c r="AXL46" s="2854"/>
      <c r="AXM46" s="2854"/>
      <c r="AXN46" s="2854"/>
      <c r="AXO46" s="2854"/>
      <c r="AXP46" s="2854"/>
      <c r="AXQ46" s="2854"/>
      <c r="AXR46" s="2854"/>
      <c r="AXS46" s="2854"/>
      <c r="AXT46" s="2854"/>
      <c r="AXU46" s="2854"/>
      <c r="AXV46" s="2854"/>
      <c r="AXW46" s="2854"/>
      <c r="AXX46" s="2854"/>
      <c r="AXY46" s="2854"/>
      <c r="AXZ46" s="2854"/>
      <c r="AYA46" s="2854"/>
      <c r="AYB46" s="2854"/>
      <c r="AYC46" s="2854"/>
      <c r="AYD46" s="2854"/>
      <c r="AYE46" s="2854"/>
      <c r="AYF46" s="2854"/>
      <c r="AYG46" s="2854"/>
      <c r="AYH46" s="2854"/>
      <c r="AYI46" s="2854"/>
      <c r="AYJ46" s="2854"/>
      <c r="AYK46" s="2854"/>
      <c r="AYL46" s="2854"/>
      <c r="AYM46" s="2854"/>
      <c r="AYN46" s="2854"/>
      <c r="AYO46" s="2854"/>
      <c r="AYP46" s="2854"/>
      <c r="AYQ46" s="2854"/>
      <c r="AYR46" s="2854"/>
      <c r="AYS46" s="2854"/>
      <c r="AYT46" s="2854"/>
      <c r="AYU46" s="2854"/>
      <c r="AYV46" s="2854"/>
      <c r="AYW46" s="2854"/>
      <c r="AYX46" s="2854"/>
      <c r="AYY46" s="2854"/>
      <c r="AYZ46" s="2854"/>
      <c r="AZA46" s="2854"/>
      <c r="AZB46" s="2854"/>
      <c r="AZC46" s="2854"/>
      <c r="AZD46" s="2854"/>
      <c r="AZE46" s="2854"/>
      <c r="AZF46" s="2854"/>
      <c r="AZG46" s="2854"/>
      <c r="AZH46" s="2854"/>
      <c r="AZI46" s="2854"/>
      <c r="AZJ46" s="2854"/>
      <c r="AZK46" s="2854"/>
      <c r="AZL46" s="2854"/>
      <c r="AZM46" s="2854"/>
      <c r="AZN46" s="2854"/>
      <c r="AZO46" s="2854"/>
      <c r="AZP46" s="2854"/>
      <c r="AZQ46" s="2854"/>
      <c r="AZR46" s="2854"/>
      <c r="AZS46" s="2854"/>
      <c r="AZT46" s="2854"/>
      <c r="AZU46" s="2854"/>
      <c r="AZV46" s="2854"/>
      <c r="AZW46" s="2854"/>
      <c r="AZX46" s="2854"/>
      <c r="AZY46" s="2854"/>
      <c r="AZZ46" s="2854"/>
      <c r="BAA46" s="2854"/>
      <c r="BAB46" s="2854"/>
      <c r="BAC46" s="2854"/>
      <c r="BAD46" s="2854"/>
      <c r="BAE46" s="2854"/>
      <c r="BAF46" s="2854"/>
      <c r="BAG46" s="2854"/>
      <c r="BAH46" s="2854"/>
      <c r="BAI46" s="2854"/>
      <c r="BAJ46" s="2854"/>
      <c r="BAK46" s="2854"/>
      <c r="BAL46" s="2854"/>
      <c r="BAM46" s="2854"/>
      <c r="BAN46" s="2854"/>
      <c r="BAO46" s="2854"/>
      <c r="BAP46" s="2854"/>
      <c r="BAQ46" s="2854"/>
      <c r="BAR46" s="2854"/>
      <c r="BAS46" s="2854"/>
      <c r="BAT46" s="2854"/>
      <c r="BAU46" s="2854"/>
      <c r="BAV46" s="2854"/>
      <c r="BAW46" s="2854"/>
      <c r="BAX46" s="2854"/>
      <c r="BAY46" s="2854"/>
      <c r="BAZ46" s="2854"/>
      <c r="BBA46" s="2854"/>
      <c r="BBB46" s="2854"/>
      <c r="BBC46" s="2854"/>
      <c r="BBD46" s="2854"/>
      <c r="BBE46" s="2854"/>
      <c r="BBF46" s="2854"/>
      <c r="BBG46" s="2854"/>
      <c r="BBH46" s="2854"/>
      <c r="BBI46" s="2854"/>
      <c r="BBJ46" s="2854"/>
      <c r="BBK46" s="2854"/>
      <c r="BBL46" s="2854"/>
      <c r="BBM46" s="2854"/>
      <c r="BBN46" s="2854"/>
      <c r="BBO46" s="2854"/>
      <c r="BBP46" s="2854"/>
      <c r="BBQ46" s="2854"/>
      <c r="BBR46" s="2854"/>
      <c r="BBS46" s="2854"/>
      <c r="BBT46" s="2854"/>
      <c r="BBU46" s="2854"/>
      <c r="BBV46" s="2854"/>
      <c r="BBW46" s="2854"/>
      <c r="BBX46" s="2854"/>
      <c r="BBY46" s="2854"/>
      <c r="BBZ46" s="2854"/>
      <c r="BCA46" s="2854"/>
      <c r="BCB46" s="2854"/>
      <c r="BCC46" s="2854"/>
      <c r="BCD46" s="2854"/>
      <c r="BCE46" s="2854"/>
      <c r="BCF46" s="2854"/>
      <c r="BCG46" s="2854"/>
      <c r="BCH46" s="2854"/>
      <c r="BCI46" s="2854"/>
      <c r="BCJ46" s="2854"/>
      <c r="BCK46" s="2854"/>
      <c r="BCL46" s="2854"/>
      <c r="BCM46" s="2854"/>
      <c r="BCN46" s="2854"/>
      <c r="BCO46" s="2854"/>
      <c r="BCP46" s="2854"/>
      <c r="BCQ46" s="2854"/>
      <c r="BCR46" s="2854"/>
      <c r="BCS46" s="2854"/>
      <c r="BCT46" s="2854"/>
      <c r="BCU46" s="2854"/>
      <c r="BCV46" s="2854"/>
      <c r="BCW46" s="2854"/>
      <c r="BCX46" s="2854"/>
      <c r="BCY46" s="2854"/>
      <c r="BCZ46" s="2854"/>
      <c r="BDA46" s="2854"/>
      <c r="BDB46" s="2854"/>
      <c r="BDC46" s="2854"/>
      <c r="BDD46" s="2854"/>
      <c r="BDE46" s="2854"/>
      <c r="BDF46" s="2854"/>
      <c r="BDG46" s="2854"/>
      <c r="BDH46" s="2854"/>
      <c r="BDI46" s="2854"/>
      <c r="BDJ46" s="2854"/>
      <c r="BDK46" s="2854"/>
      <c r="BDL46" s="2854"/>
      <c r="BDM46" s="2854"/>
      <c r="BDN46" s="2854"/>
      <c r="BDO46" s="2854"/>
      <c r="BDP46" s="2854"/>
      <c r="BDQ46" s="2854"/>
      <c r="BDR46" s="2854"/>
      <c r="BDS46" s="2854"/>
      <c r="BDT46" s="2854"/>
      <c r="BDU46" s="2854"/>
      <c r="BDV46" s="2854"/>
      <c r="BDW46" s="2854"/>
      <c r="BDX46" s="2854"/>
      <c r="BDY46" s="2854"/>
      <c r="BDZ46" s="2854"/>
      <c r="BEA46" s="2854"/>
      <c r="BEB46" s="2854"/>
      <c r="BEC46" s="2854"/>
      <c r="BED46" s="2854"/>
      <c r="BEE46" s="2854"/>
      <c r="BEF46" s="2854"/>
      <c r="BEG46" s="2854"/>
      <c r="BEH46" s="2854"/>
      <c r="BEI46" s="2854"/>
      <c r="BEJ46" s="2854"/>
      <c r="BEK46" s="2854"/>
      <c r="BEL46" s="2854"/>
      <c r="BEM46" s="2854"/>
      <c r="BEN46" s="2854"/>
      <c r="BEO46" s="2854"/>
      <c r="BEP46" s="2854"/>
      <c r="BEQ46" s="2854"/>
      <c r="BER46" s="2854"/>
      <c r="BES46" s="2854"/>
      <c r="BET46" s="2854"/>
      <c r="BEU46" s="2854"/>
      <c r="BEV46" s="2854"/>
      <c r="BEW46" s="2854"/>
      <c r="BEX46" s="2854"/>
      <c r="BEY46" s="2854"/>
      <c r="BEZ46" s="2854"/>
      <c r="BFA46" s="2854"/>
      <c r="BFB46" s="2854"/>
      <c r="BFC46" s="2854"/>
      <c r="BFD46" s="2854"/>
      <c r="BFE46" s="2854"/>
      <c r="BFF46" s="2854"/>
      <c r="BFG46" s="2854"/>
      <c r="BFH46" s="2854"/>
      <c r="BFI46" s="2854"/>
      <c r="BFJ46" s="2854"/>
      <c r="BFK46" s="2854"/>
      <c r="BFL46" s="2854"/>
      <c r="BFM46" s="2854"/>
      <c r="BFN46" s="2854"/>
      <c r="BFO46" s="2854"/>
      <c r="BFP46" s="2854"/>
      <c r="BFQ46" s="2854"/>
      <c r="BFR46" s="2854"/>
      <c r="BFS46" s="2854"/>
      <c r="BFT46" s="2854"/>
      <c r="BFU46" s="2854"/>
      <c r="BFV46" s="2854"/>
      <c r="BFW46" s="2854"/>
      <c r="BFX46" s="2854"/>
      <c r="BFY46" s="2854"/>
      <c r="BFZ46" s="2854"/>
      <c r="BGA46" s="2854"/>
      <c r="BGB46" s="2854"/>
      <c r="BGC46" s="2854"/>
      <c r="BGD46" s="2854"/>
      <c r="BGE46" s="2854"/>
      <c r="BGF46" s="2854"/>
      <c r="BGG46" s="2854"/>
      <c r="BGH46" s="2854"/>
      <c r="BGI46" s="2854"/>
      <c r="BGJ46" s="2854"/>
      <c r="BGK46" s="2854"/>
      <c r="BGL46" s="2854"/>
      <c r="BGM46" s="2854"/>
      <c r="BGN46" s="2854"/>
      <c r="BGO46" s="2854"/>
      <c r="BGP46" s="2854"/>
      <c r="BGQ46" s="2854"/>
      <c r="BGR46" s="2854"/>
      <c r="BGS46" s="2854"/>
      <c r="BGT46" s="2854"/>
      <c r="BGU46" s="2854"/>
      <c r="BGV46" s="2854"/>
      <c r="BGW46" s="2854"/>
      <c r="BGX46" s="2854"/>
      <c r="BGY46" s="2854"/>
      <c r="BGZ46" s="2854"/>
      <c r="BHA46" s="2854"/>
      <c r="BHB46" s="2854"/>
      <c r="BHC46" s="2854"/>
      <c r="BHD46" s="2854"/>
      <c r="BHE46" s="2854"/>
      <c r="BHF46" s="2854"/>
      <c r="BHG46" s="2854"/>
      <c r="BHH46" s="2854"/>
      <c r="BHI46" s="2854"/>
      <c r="BHJ46" s="2854"/>
      <c r="BHK46" s="2854"/>
      <c r="BHL46" s="2854"/>
      <c r="BHM46" s="2854"/>
      <c r="BHN46" s="2854"/>
      <c r="BHO46" s="2854"/>
      <c r="BHP46" s="2854"/>
      <c r="BHQ46" s="2854"/>
      <c r="BHR46" s="2854"/>
      <c r="BHS46" s="2854"/>
      <c r="BHT46" s="2854"/>
      <c r="BHU46" s="2854"/>
      <c r="BHV46" s="2854"/>
      <c r="BHW46" s="2854"/>
      <c r="BHX46" s="2854"/>
      <c r="BHY46" s="2854"/>
      <c r="BHZ46" s="2854"/>
      <c r="BIA46" s="2854"/>
      <c r="BIB46" s="2854"/>
      <c r="BIC46" s="2854"/>
      <c r="BID46" s="2854"/>
      <c r="BIE46" s="2854"/>
      <c r="BIF46" s="2854"/>
      <c r="BIG46" s="2854"/>
      <c r="BIH46" s="2854"/>
      <c r="BII46" s="2854"/>
      <c r="BIJ46" s="2854"/>
      <c r="BIK46" s="2854"/>
      <c r="BIL46" s="2854"/>
      <c r="BIM46" s="2854"/>
      <c r="BIN46" s="2854"/>
      <c r="BIO46" s="2854"/>
      <c r="BIP46" s="2854"/>
      <c r="BIQ46" s="2854"/>
      <c r="BIR46" s="2854"/>
      <c r="BIS46" s="2854"/>
      <c r="BIT46" s="2854"/>
      <c r="BIU46" s="2854"/>
      <c r="BIV46" s="2854"/>
      <c r="BIW46" s="2854"/>
      <c r="BIX46" s="2854"/>
      <c r="BIY46" s="2854"/>
      <c r="BIZ46" s="2854"/>
      <c r="BJA46" s="2854"/>
      <c r="BJB46" s="2854"/>
      <c r="BJC46" s="2854"/>
      <c r="BJD46" s="2854"/>
      <c r="BJE46" s="2854"/>
      <c r="BJF46" s="2854"/>
      <c r="BJG46" s="2854"/>
      <c r="BJH46" s="2854"/>
      <c r="BJI46" s="2854"/>
      <c r="BJJ46" s="2854"/>
      <c r="BJK46" s="2854"/>
      <c r="BJL46" s="2854"/>
      <c r="BJM46" s="2854"/>
      <c r="BJN46" s="2854"/>
      <c r="BJO46" s="2854"/>
      <c r="BJP46" s="2854"/>
      <c r="BJQ46" s="2854"/>
      <c r="BJR46" s="2854"/>
      <c r="BJS46" s="2854"/>
      <c r="BJT46" s="2854"/>
      <c r="BJU46" s="2854"/>
      <c r="BJV46" s="2854"/>
      <c r="BJW46" s="2854"/>
      <c r="BJX46" s="2854"/>
      <c r="BJY46" s="2854"/>
      <c r="BJZ46" s="2854"/>
      <c r="BKA46" s="2854"/>
      <c r="BKB46" s="2854"/>
      <c r="BKC46" s="2854"/>
      <c r="BKD46" s="2854"/>
      <c r="BKE46" s="2854"/>
      <c r="BKF46" s="2854"/>
      <c r="BKG46" s="2854"/>
      <c r="BKH46" s="2854"/>
      <c r="BKI46" s="2854"/>
      <c r="BKJ46" s="2854"/>
      <c r="BKK46" s="2854"/>
      <c r="BKL46" s="2854"/>
      <c r="BKM46" s="2854"/>
      <c r="BKN46" s="2854"/>
      <c r="BKO46" s="2854"/>
      <c r="BKP46" s="2854"/>
      <c r="BKQ46" s="2854"/>
      <c r="BKR46" s="2854"/>
      <c r="BKS46" s="2854"/>
      <c r="BKT46" s="2854"/>
      <c r="BKU46" s="2854"/>
      <c r="BKV46" s="2854"/>
      <c r="BKW46" s="2854"/>
      <c r="BKX46" s="2854"/>
      <c r="BKY46" s="2854"/>
      <c r="BKZ46" s="2854"/>
      <c r="BLA46" s="2854"/>
      <c r="BLB46" s="2854"/>
      <c r="BLC46" s="2854"/>
      <c r="BLD46" s="2854"/>
      <c r="BLE46" s="2854"/>
      <c r="BLF46" s="2854"/>
      <c r="BLG46" s="2854"/>
      <c r="BLH46" s="2854"/>
      <c r="BLI46" s="2854"/>
      <c r="BLJ46" s="2854"/>
      <c r="BLK46" s="2854"/>
      <c r="BLL46" s="2854"/>
      <c r="BLM46" s="2854"/>
      <c r="BLN46" s="2854"/>
      <c r="BLO46" s="2854"/>
      <c r="BLP46" s="2854"/>
      <c r="BLQ46" s="2854"/>
      <c r="BLR46" s="2854"/>
      <c r="BLS46" s="2854"/>
      <c r="BLT46" s="2854"/>
      <c r="BLU46" s="2854"/>
      <c r="BLV46" s="2854"/>
      <c r="BLW46" s="2854"/>
      <c r="BLX46" s="2854"/>
      <c r="BLY46" s="2854"/>
      <c r="BLZ46" s="2854"/>
      <c r="BMA46" s="2854"/>
      <c r="BMB46" s="2854"/>
      <c r="BMC46" s="2854"/>
      <c r="BMD46" s="2854"/>
      <c r="BME46" s="2854"/>
      <c r="BMF46" s="2854"/>
      <c r="BMG46" s="2854"/>
      <c r="BMH46" s="2854"/>
      <c r="BMI46" s="2854"/>
      <c r="BMJ46" s="2854"/>
      <c r="BMK46" s="2854"/>
      <c r="BML46" s="2854"/>
      <c r="BMM46" s="2854"/>
      <c r="BMN46" s="2854"/>
      <c r="BMO46" s="2854"/>
      <c r="BMP46" s="2854"/>
      <c r="BMQ46" s="2854"/>
      <c r="BMR46" s="2854"/>
      <c r="BMS46" s="2854"/>
      <c r="BMT46" s="2854"/>
      <c r="BMU46" s="2854"/>
      <c r="BMV46" s="2854"/>
      <c r="BMW46" s="2854"/>
      <c r="BMX46" s="2854"/>
      <c r="BMY46" s="2854"/>
      <c r="BMZ46" s="2854"/>
      <c r="BNA46" s="2854"/>
      <c r="BNB46" s="2854"/>
      <c r="BNC46" s="2854"/>
      <c r="BND46" s="2854"/>
      <c r="BNE46" s="2854"/>
      <c r="BNF46" s="2854"/>
      <c r="BNG46" s="2854"/>
      <c r="BNH46" s="2854"/>
      <c r="BNI46" s="2854"/>
      <c r="BNJ46" s="2854"/>
      <c r="BNK46" s="2854"/>
      <c r="BNL46" s="2854"/>
      <c r="BNM46" s="2854"/>
      <c r="BNN46" s="2854"/>
      <c r="BNO46" s="2854"/>
      <c r="BNP46" s="2854"/>
      <c r="BNQ46" s="2854"/>
      <c r="BNR46" s="2854"/>
      <c r="BNS46" s="2854"/>
      <c r="BNT46" s="2854"/>
      <c r="BNU46" s="2854"/>
      <c r="BNV46" s="2854"/>
      <c r="BNW46" s="2854"/>
      <c r="BNX46" s="2854"/>
      <c r="BNY46" s="2854"/>
      <c r="BNZ46" s="2854"/>
      <c r="BOA46" s="2854"/>
      <c r="BOB46" s="2854"/>
      <c r="BOC46" s="2854"/>
      <c r="BOD46" s="2854"/>
      <c r="BOE46" s="2854"/>
      <c r="BOF46" s="2854"/>
      <c r="BOG46" s="2854"/>
      <c r="BOH46" s="2854"/>
      <c r="BOI46" s="2854"/>
      <c r="BOJ46" s="2854"/>
      <c r="BOK46" s="2854"/>
      <c r="BOL46" s="2854"/>
      <c r="BOM46" s="2854"/>
      <c r="BON46" s="2854"/>
      <c r="BOO46" s="2854"/>
      <c r="BOP46" s="2854"/>
      <c r="BOQ46" s="2854"/>
      <c r="BOR46" s="2854"/>
      <c r="BOS46" s="2854"/>
      <c r="BOT46" s="2854"/>
      <c r="BOU46" s="2854"/>
      <c r="BOV46" s="2854"/>
      <c r="BOW46" s="2854"/>
      <c r="BOX46" s="2854"/>
      <c r="BOY46" s="2854"/>
      <c r="BOZ46" s="2854"/>
      <c r="BPA46" s="2854"/>
      <c r="BPB46" s="2854"/>
      <c r="BPC46" s="2854"/>
      <c r="BPD46" s="2854"/>
      <c r="BPE46" s="2854"/>
      <c r="BPF46" s="2854"/>
      <c r="BPG46" s="2854"/>
      <c r="BPH46" s="2854"/>
      <c r="BPI46" s="2854"/>
      <c r="BPJ46" s="2854"/>
      <c r="BPK46" s="2854"/>
      <c r="BPL46" s="2854"/>
      <c r="BPM46" s="2854"/>
      <c r="BPN46" s="2854"/>
      <c r="BPO46" s="2854"/>
      <c r="BPP46" s="2854"/>
      <c r="BPQ46" s="2854"/>
      <c r="BPR46" s="2854"/>
      <c r="BPS46" s="2854"/>
      <c r="BPT46" s="2854"/>
      <c r="BPU46" s="2854"/>
      <c r="BPV46" s="2854"/>
      <c r="BPW46" s="2854"/>
      <c r="BPX46" s="2854"/>
      <c r="BPY46" s="2854"/>
      <c r="BPZ46" s="2854"/>
      <c r="BQA46" s="2854"/>
      <c r="BQB46" s="2854"/>
      <c r="BQC46" s="2854"/>
      <c r="BQD46" s="2854"/>
      <c r="BQE46" s="2854"/>
      <c r="BQF46" s="2854"/>
      <c r="BQG46" s="2854"/>
      <c r="BQH46" s="2854"/>
      <c r="BQI46" s="2854"/>
      <c r="BQJ46" s="2854"/>
      <c r="BQK46" s="2854"/>
      <c r="BQL46" s="2854"/>
      <c r="BQM46" s="2854"/>
      <c r="BQN46" s="2854"/>
      <c r="BQO46" s="2854"/>
      <c r="BQP46" s="2854"/>
      <c r="BQQ46" s="2854"/>
      <c r="BQR46" s="2854"/>
      <c r="BQS46" s="2854"/>
      <c r="BQT46" s="2854"/>
      <c r="BQU46" s="2854"/>
      <c r="BQV46" s="2854"/>
      <c r="BQW46" s="2854"/>
      <c r="BQX46" s="2854"/>
      <c r="BQY46" s="2854"/>
      <c r="BQZ46" s="2854"/>
      <c r="BRA46" s="2854"/>
      <c r="BRB46" s="2854"/>
      <c r="BRC46" s="2854"/>
      <c r="BRD46" s="2854"/>
      <c r="BRE46" s="2854"/>
      <c r="BRF46" s="2854"/>
      <c r="BRG46" s="2854"/>
      <c r="BRH46" s="2854"/>
      <c r="BRI46" s="2854"/>
      <c r="BRJ46" s="2854"/>
      <c r="BRK46" s="2854"/>
      <c r="BRL46" s="2854"/>
      <c r="BRM46" s="2854"/>
      <c r="BRN46" s="2854"/>
      <c r="BRO46" s="2854"/>
      <c r="BRP46" s="2854"/>
      <c r="BRQ46" s="2854"/>
      <c r="BRR46" s="2854"/>
      <c r="BRS46" s="2854"/>
      <c r="BRT46" s="2854"/>
      <c r="BRU46" s="2854"/>
      <c r="BRV46" s="2854"/>
      <c r="BRW46" s="2854"/>
      <c r="BRX46" s="2854"/>
      <c r="BRY46" s="2854"/>
      <c r="BRZ46" s="2854"/>
      <c r="BSA46" s="2854"/>
      <c r="BSB46" s="2854"/>
      <c r="BSC46" s="2854"/>
      <c r="BSD46" s="2854"/>
      <c r="BSE46" s="2854"/>
      <c r="BSF46" s="2854"/>
      <c r="BSG46" s="2854"/>
      <c r="BSH46" s="2854"/>
      <c r="BSI46" s="2854"/>
      <c r="BSJ46" s="2854"/>
      <c r="BSK46" s="2854"/>
      <c r="BSL46" s="2854"/>
      <c r="BSM46" s="2854"/>
      <c r="BSN46" s="2854"/>
      <c r="BSO46" s="2854"/>
      <c r="BSP46" s="2854"/>
      <c r="BSQ46" s="2854"/>
      <c r="BSR46" s="2854"/>
      <c r="BSS46" s="2854"/>
      <c r="BST46" s="2854"/>
      <c r="BSU46" s="2854"/>
      <c r="BSV46" s="2854"/>
      <c r="BSW46" s="2854"/>
      <c r="BSX46" s="2854"/>
      <c r="BSY46" s="2854"/>
      <c r="BSZ46" s="2854"/>
      <c r="BTA46" s="2854"/>
      <c r="BTB46" s="2854"/>
      <c r="BTC46" s="2854"/>
      <c r="BTD46" s="2854"/>
      <c r="BTE46" s="2854"/>
      <c r="BTF46" s="2854"/>
      <c r="BTG46" s="2854"/>
      <c r="BTH46" s="2854"/>
      <c r="BTI46" s="2854"/>
      <c r="BTJ46" s="2854"/>
      <c r="BTK46" s="2854"/>
      <c r="BTL46" s="2854"/>
      <c r="BTM46" s="2854"/>
      <c r="BTN46" s="2854"/>
      <c r="BTO46" s="2854"/>
      <c r="BTP46" s="2854"/>
      <c r="BTQ46" s="2854"/>
      <c r="BTR46" s="2854"/>
      <c r="BTS46" s="2854"/>
      <c r="BTT46" s="2854"/>
      <c r="BTU46" s="2854"/>
      <c r="BTV46" s="2854"/>
      <c r="BTW46" s="2854"/>
      <c r="BTX46" s="2854"/>
      <c r="BTY46" s="2854"/>
      <c r="BTZ46" s="2854"/>
      <c r="BUA46" s="2854"/>
      <c r="BUB46" s="2854"/>
      <c r="BUC46" s="2854"/>
      <c r="BUD46" s="2854"/>
      <c r="BUE46" s="2854"/>
      <c r="BUF46" s="2854"/>
      <c r="BUG46" s="2854"/>
      <c r="BUH46" s="2854"/>
      <c r="BUI46" s="2854"/>
      <c r="BUJ46" s="2854"/>
      <c r="BUK46" s="2854"/>
      <c r="BUL46" s="2854"/>
      <c r="BUM46" s="2854"/>
      <c r="BUN46" s="2854"/>
      <c r="BUO46" s="2854"/>
      <c r="BUP46" s="2854"/>
      <c r="BUQ46" s="2854"/>
      <c r="BUR46" s="2854"/>
      <c r="BUS46" s="2854"/>
      <c r="BUT46" s="2854"/>
      <c r="BUU46" s="2854"/>
      <c r="BUV46" s="2854"/>
      <c r="BUW46" s="2854"/>
      <c r="BUX46" s="2854"/>
      <c r="BUY46" s="2854"/>
      <c r="BUZ46" s="2854"/>
      <c r="BVA46" s="2854"/>
      <c r="BVB46" s="2854"/>
      <c r="BVC46" s="2854"/>
      <c r="BVD46" s="2854"/>
      <c r="BVE46" s="2854"/>
      <c r="BVF46" s="2854"/>
      <c r="BVG46" s="2854"/>
      <c r="BVH46" s="2854"/>
      <c r="BVI46" s="2854"/>
      <c r="BVJ46" s="2854"/>
      <c r="BVK46" s="2854"/>
      <c r="BVL46" s="2854"/>
      <c r="BVM46" s="2854"/>
      <c r="BVN46" s="2854"/>
      <c r="BVO46" s="2854"/>
      <c r="BVP46" s="2854"/>
      <c r="BVQ46" s="2854"/>
      <c r="BVR46" s="2854"/>
      <c r="BVS46" s="2854"/>
      <c r="BVT46" s="2854"/>
      <c r="BVU46" s="2854"/>
      <c r="BVV46" s="2854"/>
      <c r="BVW46" s="2854"/>
      <c r="BVX46" s="2854"/>
      <c r="BVY46" s="2854"/>
      <c r="BVZ46" s="2854"/>
      <c r="BWA46" s="2854"/>
      <c r="BWB46" s="2854"/>
      <c r="BWC46" s="2854"/>
      <c r="BWD46" s="2854"/>
      <c r="BWE46" s="2854"/>
      <c r="BWF46" s="2854"/>
      <c r="BWG46" s="2854"/>
      <c r="BWH46" s="2854"/>
      <c r="BWI46" s="2854"/>
      <c r="BWJ46" s="2854"/>
      <c r="BWK46" s="2854"/>
      <c r="BWL46" s="2854"/>
      <c r="BWM46" s="2854"/>
      <c r="BWN46" s="2854"/>
      <c r="BWO46" s="2854"/>
      <c r="BWP46" s="2854"/>
      <c r="BWQ46" s="2854"/>
      <c r="BWR46" s="2854"/>
      <c r="BWS46" s="2854"/>
      <c r="BWT46" s="2854"/>
      <c r="BWU46" s="2854"/>
      <c r="BWV46" s="2854"/>
      <c r="BWW46" s="2854"/>
      <c r="BWX46" s="2854"/>
      <c r="BWY46" s="2854"/>
      <c r="BWZ46" s="2854"/>
      <c r="BXA46" s="2854"/>
      <c r="BXB46" s="2854"/>
      <c r="BXC46" s="2854"/>
      <c r="BXD46" s="2854"/>
      <c r="BXE46" s="2854"/>
      <c r="BXF46" s="2854"/>
      <c r="BXG46" s="2854"/>
      <c r="BXH46" s="2854"/>
      <c r="BXI46" s="2854"/>
      <c r="BXJ46" s="2854"/>
      <c r="BXK46" s="2854"/>
      <c r="BXL46" s="2854"/>
      <c r="BXM46" s="2854"/>
      <c r="BXN46" s="2854"/>
      <c r="BXO46" s="2854"/>
      <c r="BXP46" s="2854"/>
      <c r="BXQ46" s="2854"/>
      <c r="BXR46" s="2854"/>
      <c r="BXS46" s="2854"/>
      <c r="BXT46" s="2854"/>
      <c r="BXU46" s="2854"/>
      <c r="BXV46" s="2854"/>
      <c r="BXW46" s="2854"/>
      <c r="BXX46" s="2854"/>
      <c r="BXY46" s="2854"/>
      <c r="BXZ46" s="2854"/>
      <c r="BYA46" s="2854"/>
      <c r="BYB46" s="2854"/>
      <c r="BYC46" s="2854"/>
      <c r="BYD46" s="2854"/>
      <c r="BYE46" s="2854"/>
      <c r="BYF46" s="2854"/>
      <c r="BYG46" s="2854"/>
      <c r="BYH46" s="2854"/>
      <c r="BYI46" s="2854"/>
      <c r="BYJ46" s="2854"/>
      <c r="BYK46" s="2854"/>
      <c r="BYL46" s="2854"/>
      <c r="BYM46" s="2854"/>
      <c r="BYN46" s="2854"/>
      <c r="BYO46" s="2854"/>
      <c r="BYP46" s="2854"/>
      <c r="BYQ46" s="2854"/>
      <c r="BYR46" s="2854"/>
      <c r="BYS46" s="2854"/>
      <c r="BYT46" s="2854"/>
      <c r="BYU46" s="2854"/>
      <c r="BYV46" s="2854"/>
      <c r="BYW46" s="2854"/>
      <c r="BYX46" s="2854"/>
      <c r="BYY46" s="2854"/>
      <c r="BYZ46" s="2854"/>
      <c r="BZA46" s="2854"/>
      <c r="BZB46" s="2854"/>
      <c r="BZC46" s="2854"/>
      <c r="BZD46" s="2854"/>
      <c r="BZE46" s="2854"/>
      <c r="BZF46" s="2854"/>
      <c r="BZG46" s="2854"/>
      <c r="BZH46" s="2854"/>
      <c r="BZI46" s="2854"/>
      <c r="BZJ46" s="2854"/>
      <c r="BZK46" s="2854"/>
      <c r="BZL46" s="2854"/>
      <c r="BZM46" s="2854"/>
      <c r="BZN46" s="2854"/>
      <c r="BZO46" s="2854"/>
      <c r="BZP46" s="2854"/>
      <c r="BZQ46" s="2854"/>
      <c r="BZR46" s="2854"/>
      <c r="BZS46" s="2854"/>
      <c r="BZT46" s="2854"/>
      <c r="BZU46" s="2854"/>
      <c r="BZV46" s="2854"/>
      <c r="BZW46" s="2854"/>
      <c r="BZX46" s="2854"/>
      <c r="BZY46" s="2854"/>
      <c r="BZZ46" s="2854"/>
      <c r="CAA46" s="2854"/>
      <c r="CAB46" s="2854"/>
      <c r="CAC46" s="2854"/>
      <c r="CAD46" s="2854"/>
      <c r="CAE46" s="2854"/>
      <c r="CAF46" s="2854"/>
      <c r="CAG46" s="2854"/>
      <c r="CAH46" s="2854"/>
      <c r="CAI46" s="2854"/>
      <c r="CAJ46" s="2854"/>
      <c r="CAK46" s="2854"/>
      <c r="CAL46" s="2854"/>
      <c r="CAM46" s="2854"/>
      <c r="CAN46" s="2854"/>
      <c r="CAO46" s="2854"/>
      <c r="CAP46" s="2854"/>
      <c r="CAQ46" s="2854"/>
      <c r="CAR46" s="2854"/>
      <c r="CAS46" s="2854"/>
      <c r="CAT46" s="2854"/>
      <c r="CAU46" s="2854"/>
      <c r="CAV46" s="2854"/>
      <c r="CAW46" s="2854"/>
      <c r="CAX46" s="2854"/>
      <c r="CAY46" s="2854"/>
      <c r="CAZ46" s="2854"/>
      <c r="CBA46" s="2854"/>
      <c r="CBB46" s="2854"/>
      <c r="CBC46" s="2854"/>
      <c r="CBD46" s="2854"/>
      <c r="CBE46" s="2854"/>
      <c r="CBF46" s="2854"/>
      <c r="CBG46" s="2854"/>
      <c r="CBH46" s="2854"/>
      <c r="CBI46" s="2854"/>
      <c r="CBJ46" s="2854"/>
      <c r="CBK46" s="2854"/>
      <c r="CBL46" s="2854"/>
      <c r="CBM46" s="2854"/>
      <c r="CBN46" s="2854"/>
      <c r="CBO46" s="2854"/>
      <c r="CBP46" s="2854"/>
      <c r="CBQ46" s="2854"/>
      <c r="CBR46" s="2854"/>
      <c r="CBS46" s="2854"/>
      <c r="CBT46" s="2854"/>
      <c r="CBU46" s="2854"/>
      <c r="CBV46" s="2854"/>
      <c r="CBW46" s="2854"/>
      <c r="CBX46" s="2854"/>
      <c r="CBY46" s="2854"/>
      <c r="CBZ46" s="2854"/>
      <c r="CCA46" s="2854"/>
      <c r="CCB46" s="2854"/>
      <c r="CCC46" s="2854"/>
      <c r="CCD46" s="2854"/>
      <c r="CCE46" s="2854"/>
      <c r="CCF46" s="2854"/>
      <c r="CCG46" s="2854"/>
      <c r="CCH46" s="2854"/>
      <c r="CCI46" s="2854"/>
      <c r="CCJ46" s="2854"/>
      <c r="CCK46" s="2854"/>
      <c r="CCL46" s="2854"/>
      <c r="CCM46" s="2854"/>
      <c r="CCN46" s="2854"/>
      <c r="CCO46" s="2854"/>
      <c r="CCP46" s="2854"/>
      <c r="CCQ46" s="2854"/>
      <c r="CCR46" s="2854"/>
      <c r="CCS46" s="2854"/>
      <c r="CCT46" s="2854"/>
      <c r="CCU46" s="2854"/>
      <c r="CCV46" s="2854"/>
      <c r="CCW46" s="2854"/>
      <c r="CCX46" s="2854"/>
      <c r="CCY46" s="2854"/>
      <c r="CCZ46" s="2854"/>
      <c r="CDA46" s="2854"/>
      <c r="CDB46" s="2854"/>
      <c r="CDC46" s="2854"/>
      <c r="CDD46" s="2854"/>
      <c r="CDE46" s="2854"/>
      <c r="CDF46" s="2854"/>
      <c r="CDG46" s="2854"/>
      <c r="CDH46" s="2854"/>
      <c r="CDI46" s="2854"/>
      <c r="CDJ46" s="2854"/>
      <c r="CDK46" s="2854"/>
      <c r="CDL46" s="2854"/>
      <c r="CDM46" s="2854"/>
      <c r="CDN46" s="2854"/>
      <c r="CDO46" s="2854"/>
      <c r="CDP46" s="2854"/>
      <c r="CDQ46" s="2854"/>
      <c r="CDR46" s="2854"/>
      <c r="CDS46" s="2854"/>
      <c r="CDT46" s="2854"/>
      <c r="CDU46" s="2854"/>
      <c r="CDV46" s="2854"/>
      <c r="CDW46" s="2854"/>
      <c r="CDX46" s="2854"/>
      <c r="CDY46" s="2854"/>
      <c r="CDZ46" s="2854"/>
      <c r="CEA46" s="2854"/>
      <c r="CEB46" s="2854"/>
      <c r="CEC46" s="2854"/>
      <c r="CED46" s="2854"/>
      <c r="CEE46" s="2854"/>
      <c r="CEF46" s="2854"/>
      <c r="CEG46" s="2854"/>
      <c r="CEH46" s="2854"/>
      <c r="CEI46" s="2854"/>
      <c r="CEJ46" s="2854"/>
      <c r="CEK46" s="2854"/>
      <c r="CEL46" s="2854"/>
      <c r="CEM46" s="2854"/>
      <c r="CEN46" s="2854"/>
      <c r="CEO46" s="2854"/>
      <c r="CEP46" s="2854"/>
      <c r="CEQ46" s="2854"/>
      <c r="CER46" s="2854"/>
      <c r="CES46" s="2854"/>
      <c r="CET46" s="2854"/>
      <c r="CEU46" s="2854"/>
      <c r="CEV46" s="2854"/>
      <c r="CEW46" s="2854"/>
      <c r="CEX46" s="2854"/>
      <c r="CEY46" s="2854"/>
      <c r="CEZ46" s="2854"/>
      <c r="CFA46" s="2854"/>
      <c r="CFB46" s="2854"/>
      <c r="CFC46" s="2854"/>
      <c r="CFD46" s="2854"/>
      <c r="CFE46" s="2854"/>
      <c r="CFF46" s="2854"/>
      <c r="CFG46" s="2854"/>
      <c r="CFH46" s="2854"/>
      <c r="CFI46" s="2854"/>
      <c r="CFJ46" s="2854"/>
      <c r="CFK46" s="2854"/>
      <c r="CFL46" s="2854"/>
      <c r="CFM46" s="2854"/>
      <c r="CFN46" s="2854"/>
      <c r="CFO46" s="2854"/>
      <c r="CFP46" s="2854"/>
      <c r="CFQ46" s="2854"/>
      <c r="CFR46" s="2854"/>
      <c r="CFS46" s="2854"/>
      <c r="CFT46" s="2854"/>
      <c r="CFU46" s="2854"/>
      <c r="CFV46" s="2854"/>
      <c r="CFW46" s="2854"/>
      <c r="CFX46" s="2854"/>
      <c r="CFY46" s="2854"/>
      <c r="CFZ46" s="2854"/>
      <c r="CGA46" s="2854"/>
      <c r="CGB46" s="2854"/>
      <c r="CGC46" s="2854"/>
      <c r="CGD46" s="2854"/>
      <c r="CGE46" s="2854"/>
      <c r="CGF46" s="2854"/>
      <c r="CGG46" s="2854"/>
      <c r="CGH46" s="2854"/>
      <c r="CGI46" s="2854"/>
      <c r="CGJ46" s="2854"/>
      <c r="CGK46" s="2854"/>
      <c r="CGL46" s="2854"/>
      <c r="CGM46" s="2854"/>
      <c r="CGN46" s="2854"/>
      <c r="CGO46" s="2854"/>
      <c r="CGP46" s="2854"/>
      <c r="CGQ46" s="2854"/>
      <c r="CGR46" s="2854"/>
      <c r="CGS46" s="2854"/>
      <c r="CGT46" s="2854"/>
      <c r="CGU46" s="2854"/>
      <c r="CGV46" s="2854"/>
      <c r="CGW46" s="2854"/>
      <c r="CGX46" s="2854"/>
      <c r="CGY46" s="2854"/>
      <c r="CGZ46" s="2854"/>
      <c r="CHA46" s="2854"/>
      <c r="CHB46" s="2854"/>
      <c r="CHC46" s="2854"/>
      <c r="CHD46" s="2854"/>
      <c r="CHE46" s="2854"/>
      <c r="CHF46" s="2854"/>
      <c r="CHG46" s="2854"/>
      <c r="CHH46" s="2854"/>
      <c r="CHI46" s="2854"/>
      <c r="CHJ46" s="2854"/>
      <c r="CHK46" s="2854"/>
      <c r="CHL46" s="2854"/>
      <c r="CHM46" s="2854"/>
      <c r="CHN46" s="2854"/>
      <c r="CHO46" s="2854"/>
      <c r="CHP46" s="2854"/>
      <c r="CHQ46" s="2854"/>
      <c r="CHR46" s="2854"/>
      <c r="CHS46" s="2854"/>
      <c r="CHT46" s="2854"/>
      <c r="CHU46" s="2854"/>
      <c r="CHV46" s="2854"/>
      <c r="CHW46" s="2854"/>
      <c r="CHX46" s="2854"/>
      <c r="CHY46" s="2854"/>
      <c r="CHZ46" s="2854"/>
      <c r="CIA46" s="2854"/>
      <c r="CIB46" s="2854"/>
      <c r="CIC46" s="2854"/>
      <c r="CID46" s="2854"/>
      <c r="CIE46" s="2854"/>
      <c r="CIF46" s="2854"/>
      <c r="CIG46" s="2854"/>
      <c r="CIH46" s="2854"/>
      <c r="CII46" s="2854"/>
      <c r="CIJ46" s="2854"/>
      <c r="CIK46" s="2854"/>
      <c r="CIL46" s="2854"/>
      <c r="CIM46" s="2854"/>
      <c r="CIN46" s="2854"/>
      <c r="CIO46" s="2854"/>
      <c r="CIP46" s="2854"/>
      <c r="CIQ46" s="2854"/>
      <c r="CIR46" s="2854"/>
      <c r="CIS46" s="2854"/>
      <c r="CIT46" s="2854"/>
      <c r="CIU46" s="2854"/>
      <c r="CIV46" s="2854"/>
      <c r="CIW46" s="2854"/>
      <c r="CIX46" s="2854"/>
      <c r="CIY46" s="2854"/>
      <c r="CIZ46" s="2854"/>
      <c r="CJA46" s="2854"/>
      <c r="CJB46" s="2854"/>
      <c r="CJC46" s="2854"/>
      <c r="CJD46" s="2854"/>
      <c r="CJE46" s="2854"/>
      <c r="CJF46" s="2854"/>
      <c r="CJG46" s="2854"/>
      <c r="CJH46" s="2854"/>
      <c r="CJI46" s="2854"/>
      <c r="CJJ46" s="2854"/>
      <c r="CJK46" s="2854"/>
      <c r="CJL46" s="2854"/>
      <c r="CJM46" s="2854"/>
      <c r="CJN46" s="2854"/>
      <c r="CJO46" s="2854"/>
      <c r="CJP46" s="2854"/>
      <c r="CJQ46" s="2854"/>
      <c r="CJR46" s="2854"/>
      <c r="CJS46" s="2854"/>
      <c r="CJT46" s="2854"/>
      <c r="CJU46" s="2854"/>
      <c r="CJV46" s="2854"/>
      <c r="CJW46" s="2854"/>
      <c r="CJX46" s="2854"/>
      <c r="CJY46" s="2854"/>
      <c r="CJZ46" s="2854"/>
      <c r="CKA46" s="2854"/>
      <c r="CKB46" s="2854"/>
      <c r="CKC46" s="2854"/>
      <c r="CKD46" s="2854"/>
      <c r="CKE46" s="2854"/>
      <c r="CKF46" s="2854"/>
      <c r="CKG46" s="2854"/>
      <c r="CKH46" s="2854"/>
      <c r="CKI46" s="2854"/>
      <c r="CKJ46" s="2854"/>
      <c r="CKK46" s="2854"/>
      <c r="CKL46" s="2854"/>
      <c r="CKM46" s="2854"/>
      <c r="CKN46" s="2854"/>
      <c r="CKO46" s="2854"/>
      <c r="CKP46" s="2854"/>
      <c r="CKQ46" s="2854"/>
      <c r="CKR46" s="2854"/>
      <c r="CKS46" s="2854"/>
      <c r="CKT46" s="2854"/>
      <c r="CKU46" s="2854"/>
      <c r="CKV46" s="2854"/>
      <c r="CKW46" s="2854"/>
      <c r="CKX46" s="2854"/>
      <c r="CKY46" s="2854"/>
      <c r="CKZ46" s="2854"/>
      <c r="CLA46" s="2854"/>
      <c r="CLB46" s="2854"/>
      <c r="CLC46" s="2854"/>
      <c r="CLD46" s="2854"/>
      <c r="CLE46" s="2854"/>
      <c r="CLF46" s="2854"/>
      <c r="CLG46" s="2854"/>
      <c r="CLH46" s="2854"/>
      <c r="CLI46" s="2854"/>
      <c r="CLJ46" s="2854"/>
      <c r="CLK46" s="2854"/>
      <c r="CLL46" s="2854"/>
      <c r="CLM46" s="2854"/>
      <c r="CLN46" s="2854"/>
      <c r="CLO46" s="2854"/>
      <c r="CLP46" s="2854"/>
      <c r="CLQ46" s="2854"/>
      <c r="CLR46" s="2854"/>
      <c r="CLS46" s="2854"/>
      <c r="CLT46" s="2854"/>
      <c r="CLU46" s="2854"/>
      <c r="CLV46" s="2854"/>
      <c r="CLW46" s="2854"/>
    </row>
    <row r="47" spans="1:2363" s="1144" customFormat="1" ht="15" customHeight="1" x14ac:dyDescent="0.25">
      <c r="A47" s="3877"/>
      <c r="B47" s="3878"/>
      <c r="C47" s="3318">
        <v>9</v>
      </c>
      <c r="D47" s="3354"/>
      <c r="E47" s="3359"/>
      <c r="F47" s="1817"/>
      <c r="G47" s="3319"/>
      <c r="H47" s="2109"/>
      <c r="I47" s="1817"/>
      <c r="J47" s="1817"/>
      <c r="K47" s="2109"/>
      <c r="L47" s="1817"/>
      <c r="M47" s="1817"/>
      <c r="N47" s="1817">
        <f>+L47+I47+F47</f>
        <v>0</v>
      </c>
      <c r="O47" s="2280">
        <f>F47+I47</f>
        <v>0</v>
      </c>
      <c r="P47" s="2614"/>
      <c r="Q47" s="1817"/>
      <c r="R47" s="3320">
        <v>0</v>
      </c>
      <c r="S47" s="3321"/>
      <c r="T47" s="3322"/>
      <c r="U47" s="3377"/>
      <c r="V47" s="3323">
        <f>U47+Q47+P47+R47</f>
        <v>0</v>
      </c>
      <c r="W47" s="1919"/>
      <c r="X47" s="2930"/>
      <c r="Y47" s="3324"/>
      <c r="Z47" s="3325"/>
      <c r="AA47" s="1848">
        <v>0</v>
      </c>
      <c r="AB47" s="1848">
        <v>0</v>
      </c>
      <c r="AC47" s="1884">
        <f t="shared" si="58"/>
        <v>0</v>
      </c>
      <c r="AD47" s="1849">
        <v>0</v>
      </c>
      <c r="AE47" s="2113"/>
      <c r="AF47" s="1968">
        <v>0</v>
      </c>
      <c r="AG47" s="2870"/>
      <c r="AH47" s="2112">
        <f t="shared" si="85"/>
        <v>0</v>
      </c>
      <c r="AI47" s="1970">
        <v>0</v>
      </c>
      <c r="AJ47" s="1848">
        <f t="shared" si="63"/>
        <v>0</v>
      </c>
      <c r="AK47" s="2454">
        <f t="shared" si="74"/>
        <v>0</v>
      </c>
      <c r="AL47" s="2514">
        <v>0</v>
      </c>
      <c r="AM47" s="2514">
        <v>0</v>
      </c>
      <c r="AN47" s="2696">
        <f t="shared" si="64"/>
        <v>0</v>
      </c>
      <c r="AO47" s="2181">
        <v>0</v>
      </c>
      <c r="AP47" s="2166">
        <v>0</v>
      </c>
      <c r="AQ47" s="2166">
        <v>0</v>
      </c>
      <c r="AR47" s="2166"/>
      <c r="AS47" s="2157">
        <f t="shared" si="65"/>
        <v>0</v>
      </c>
      <c r="AT47" s="2504">
        <v>0</v>
      </c>
      <c r="AU47" s="2158">
        <v>0</v>
      </c>
      <c r="AV47" s="2158">
        <v>0</v>
      </c>
      <c r="AW47" s="2159">
        <f t="shared" si="86"/>
        <v>0</v>
      </c>
      <c r="AX47" s="2514">
        <v>0</v>
      </c>
      <c r="AY47" s="2514">
        <v>0</v>
      </c>
      <c r="AZ47" s="2696">
        <f>AX47-AY47</f>
        <v>0</v>
      </c>
      <c r="BA47" s="3296">
        <v>0</v>
      </c>
      <c r="BB47" s="3086">
        <v>0</v>
      </c>
      <c r="BC47" s="3086">
        <v>0</v>
      </c>
      <c r="BD47" s="3086"/>
      <c r="BE47" s="3087">
        <f t="shared" si="90"/>
        <v>0</v>
      </c>
      <c r="BF47" s="2122"/>
      <c r="BG47" s="2158">
        <v>0</v>
      </c>
      <c r="BH47" s="2158">
        <v>0</v>
      </c>
      <c r="BI47" s="2159">
        <f t="shared" si="88"/>
        <v>0</v>
      </c>
      <c r="BJ47" s="2048">
        <f>AA47+AL47+AX47</f>
        <v>0</v>
      </c>
      <c r="BK47" s="1970">
        <f>AB47+AM47+AY47</f>
        <v>0</v>
      </c>
      <c r="BL47" s="1884">
        <f t="shared" si="67"/>
        <v>0</v>
      </c>
      <c r="BM47" s="1850">
        <f t="shared" si="91"/>
        <v>0</v>
      </c>
      <c r="BN47" s="1968">
        <f t="shared" si="68"/>
        <v>0</v>
      </c>
      <c r="BO47" s="1968">
        <v>0</v>
      </c>
      <c r="BP47" s="1968">
        <v>0</v>
      </c>
      <c r="BQ47" s="1968">
        <f t="shared" si="78"/>
        <v>0</v>
      </c>
      <c r="BR47" s="1889">
        <f t="shared" si="79"/>
        <v>0</v>
      </c>
      <c r="BS47" s="1848">
        <f t="shared" si="89"/>
        <v>0</v>
      </c>
      <c r="BT47" s="2454">
        <f t="shared" si="80"/>
        <v>0</v>
      </c>
      <c r="BU47" s="3147"/>
      <c r="BV47" s="3058"/>
      <c r="BW47" s="3058"/>
      <c r="BX47" s="3058"/>
      <c r="BY47" s="3147"/>
      <c r="BZ47" s="3147"/>
      <c r="CA47" s="3147"/>
      <c r="CB47" s="3147"/>
      <c r="CC47" s="1050"/>
      <c r="CD47" s="1050"/>
      <c r="CE47" s="1050"/>
      <c r="CF47" s="1050"/>
      <c r="CG47" s="1050"/>
      <c r="CH47" s="1050"/>
      <c r="CI47" s="2854"/>
      <c r="CJ47" s="2854"/>
      <c r="CK47" s="2854"/>
      <c r="CL47" s="2854"/>
      <c r="CM47" s="2854"/>
      <c r="CN47" s="2854"/>
      <c r="CO47" s="2854"/>
      <c r="CP47" s="2854"/>
      <c r="CQ47" s="2854"/>
      <c r="CR47" s="2854"/>
      <c r="CS47" s="2854"/>
      <c r="CT47" s="2854"/>
      <c r="CU47" s="2854"/>
      <c r="CV47" s="2854"/>
      <c r="TU47" s="3783"/>
      <c r="TV47" s="3783"/>
      <c r="TW47" s="3783"/>
      <c r="TX47" s="3783"/>
      <c r="TY47" s="3783"/>
      <c r="TZ47" s="3783"/>
      <c r="UA47" s="3783"/>
      <c r="UB47" s="3783"/>
      <c r="UC47" s="3783"/>
      <c r="UD47" s="3783"/>
      <c r="UE47" s="3783"/>
      <c r="UF47" s="3783"/>
      <c r="UG47" s="3783"/>
      <c r="UH47" s="3783"/>
      <c r="UI47" s="3783"/>
      <c r="UJ47" s="3783"/>
      <c r="UK47" s="3783"/>
      <c r="UL47" s="3783"/>
      <c r="UM47" s="3783"/>
      <c r="UN47" s="3783"/>
      <c r="UO47" s="3783"/>
    </row>
    <row r="48" spans="1:2363" s="1144" customFormat="1" ht="15" customHeight="1" x14ac:dyDescent="0.25">
      <c r="A48" s="3877"/>
      <c r="B48" s="3878"/>
      <c r="C48" s="3326">
        <v>10</v>
      </c>
      <c r="D48" s="3355"/>
      <c r="E48" s="3360"/>
      <c r="F48" s="3327"/>
      <c r="G48" s="3328"/>
      <c r="H48" s="3329"/>
      <c r="I48" s="3327"/>
      <c r="J48" s="3327"/>
      <c r="K48" s="3329"/>
      <c r="L48" s="3327"/>
      <c r="M48" s="3327"/>
      <c r="N48" s="1817">
        <f t="shared" ref="N48:N49" si="93">+L48+I48+F48</f>
        <v>0</v>
      </c>
      <c r="O48" s="3366">
        <f>F48+I48</f>
        <v>0</v>
      </c>
      <c r="P48" s="3367"/>
      <c r="Q48" s="3327"/>
      <c r="R48" s="3320">
        <f>+O48*6000</f>
        <v>0</v>
      </c>
      <c r="S48" s="3330"/>
      <c r="T48" s="3376"/>
      <c r="U48" s="3367">
        <f>+O48*2400</f>
        <v>0</v>
      </c>
      <c r="V48" s="3323">
        <f>U48+Q48+P48+R48</f>
        <v>0</v>
      </c>
      <c r="W48" s="3331"/>
      <c r="X48" s="3331"/>
      <c r="Y48" s="3379"/>
      <c r="Z48" s="3381"/>
      <c r="AA48" s="3380">
        <v>0</v>
      </c>
      <c r="AB48" s="3332">
        <v>0</v>
      </c>
      <c r="AC48" s="3383">
        <f t="shared" si="58"/>
        <v>0</v>
      </c>
      <c r="AD48" s="3385">
        <v>0</v>
      </c>
      <c r="AE48" s="3333"/>
      <c r="AF48" s="3333">
        <v>0</v>
      </c>
      <c r="AG48" s="3333"/>
      <c r="AH48" s="2112">
        <f t="shared" si="85"/>
        <v>0</v>
      </c>
      <c r="AI48" s="3332">
        <v>0</v>
      </c>
      <c r="AJ48" s="3332">
        <v>0</v>
      </c>
      <c r="AK48" s="3383">
        <v>0</v>
      </c>
      <c r="AL48" s="3350">
        <v>0</v>
      </c>
      <c r="AM48" s="3334">
        <v>0</v>
      </c>
      <c r="AN48" s="3387">
        <v>0</v>
      </c>
      <c r="AO48" s="3389">
        <v>0</v>
      </c>
      <c r="AP48" s="3335">
        <v>0</v>
      </c>
      <c r="AQ48" s="3335">
        <v>0</v>
      </c>
      <c r="AR48" s="3335"/>
      <c r="AS48" s="3391">
        <f t="shared" si="65"/>
        <v>0</v>
      </c>
      <c r="AT48" s="3393">
        <v>0</v>
      </c>
      <c r="AU48" s="3337">
        <v>0</v>
      </c>
      <c r="AV48" s="3337">
        <v>0</v>
      </c>
      <c r="AW48" s="3348">
        <f t="shared" si="86"/>
        <v>0</v>
      </c>
      <c r="AX48" s="3350">
        <v>0</v>
      </c>
      <c r="AY48" s="3334">
        <v>0</v>
      </c>
      <c r="AZ48" s="2696">
        <f t="shared" ref="AZ48:AZ49" si="94">AX48-AY48</f>
        <v>0</v>
      </c>
      <c r="BA48" s="3404">
        <v>0</v>
      </c>
      <c r="BB48" s="3338">
        <v>0</v>
      </c>
      <c r="BC48" s="3086">
        <v>0</v>
      </c>
      <c r="BD48" s="3338"/>
      <c r="BE48" s="3087">
        <f t="shared" si="90"/>
        <v>0</v>
      </c>
      <c r="BF48" s="3336"/>
      <c r="BG48" s="3337">
        <v>0</v>
      </c>
      <c r="BH48" s="3337">
        <v>0</v>
      </c>
      <c r="BI48" s="3395">
        <f t="shared" si="88"/>
        <v>0</v>
      </c>
      <c r="BJ48" s="3397">
        <v>0</v>
      </c>
      <c r="BK48" s="1970">
        <v>0</v>
      </c>
      <c r="BL48" s="1884">
        <f t="shared" si="67"/>
        <v>0</v>
      </c>
      <c r="BM48" s="1850">
        <f t="shared" si="91"/>
        <v>0</v>
      </c>
      <c r="BN48" s="3333">
        <v>0</v>
      </c>
      <c r="BO48" s="3333">
        <v>0</v>
      </c>
      <c r="BP48" s="3333">
        <v>0</v>
      </c>
      <c r="BQ48" s="1968">
        <f t="shared" si="78"/>
        <v>0</v>
      </c>
      <c r="BR48" s="1889">
        <f t="shared" si="79"/>
        <v>0</v>
      </c>
      <c r="BS48" s="1848">
        <f t="shared" si="89"/>
        <v>0</v>
      </c>
      <c r="BT48" s="2454">
        <f t="shared" si="80"/>
        <v>0</v>
      </c>
      <c r="BU48" s="3147"/>
      <c r="BV48" s="3058"/>
      <c r="BW48" s="3058"/>
      <c r="BX48" s="3058"/>
      <c r="BY48" s="3147"/>
      <c r="BZ48" s="3147"/>
      <c r="CA48" s="3147"/>
      <c r="CB48" s="3147"/>
      <c r="CC48" s="1050"/>
      <c r="CD48" s="1050"/>
      <c r="CE48" s="1050"/>
      <c r="CF48" s="1050"/>
      <c r="CG48" s="1050"/>
      <c r="CH48" s="1050"/>
      <c r="CI48" s="2854"/>
      <c r="CJ48" s="2854"/>
      <c r="CK48" s="2854"/>
      <c r="CL48" s="2854"/>
      <c r="CM48" s="2854"/>
      <c r="CN48" s="2854"/>
      <c r="CO48" s="2854"/>
      <c r="CP48" s="2854"/>
      <c r="CQ48" s="2854"/>
      <c r="CR48" s="2854"/>
      <c r="CS48" s="2854"/>
      <c r="CT48" s="2854"/>
      <c r="CU48" s="2854"/>
      <c r="CV48" s="2854"/>
      <c r="TU48" s="3783"/>
      <c r="TV48" s="3783"/>
      <c r="TW48" s="3783"/>
      <c r="TX48" s="3783"/>
      <c r="TY48" s="3783"/>
      <c r="TZ48" s="3783"/>
      <c r="UA48" s="3783"/>
      <c r="UB48" s="3783"/>
      <c r="UC48" s="3783"/>
      <c r="UD48" s="3783"/>
      <c r="UE48" s="3783"/>
      <c r="UF48" s="3783"/>
      <c r="UG48" s="3783"/>
      <c r="UH48" s="3783"/>
      <c r="UI48" s="3783"/>
      <c r="UJ48" s="3783"/>
      <c r="UK48" s="3783"/>
      <c r="UL48" s="3783"/>
      <c r="UM48" s="3783"/>
      <c r="UN48" s="3783"/>
      <c r="UO48" s="3783"/>
    </row>
    <row r="49" spans="1:2363" s="1144" customFormat="1" ht="15" customHeight="1" x14ac:dyDescent="0.25">
      <c r="A49" s="3877"/>
      <c r="B49" s="3878"/>
      <c r="C49" s="3317">
        <v>11</v>
      </c>
      <c r="D49" s="3356"/>
      <c r="E49" s="3365"/>
      <c r="F49" s="1790"/>
      <c r="G49" s="3310"/>
      <c r="H49" s="1791"/>
      <c r="I49" s="1790"/>
      <c r="J49" s="1790"/>
      <c r="K49" s="1791"/>
      <c r="L49" s="1790"/>
      <c r="M49" s="1790"/>
      <c r="N49" s="1817">
        <f t="shared" si="93"/>
        <v>0</v>
      </c>
      <c r="O49" s="3311">
        <f>F49+I49</f>
        <v>0</v>
      </c>
      <c r="P49" s="3312"/>
      <c r="Q49" s="1790"/>
      <c r="R49" s="3320">
        <f>+O49*6000</f>
        <v>0</v>
      </c>
      <c r="S49" s="3313"/>
      <c r="T49" s="3313"/>
      <c r="U49" s="3367">
        <f>+O49*2400</f>
        <v>0</v>
      </c>
      <c r="V49" s="3323">
        <f t="shared" ref="V49" si="95">U49+Q49+P49+R49</f>
        <v>0</v>
      </c>
      <c r="W49" s="3314"/>
      <c r="X49" s="3314"/>
      <c r="Y49" s="3314"/>
      <c r="Z49" s="3315"/>
      <c r="AA49" s="1837">
        <v>0</v>
      </c>
      <c r="AB49" s="3341">
        <v>0</v>
      </c>
      <c r="AC49" s="3384">
        <f t="shared" si="58"/>
        <v>0</v>
      </c>
      <c r="AD49" s="3386">
        <v>0</v>
      </c>
      <c r="AE49" s="3342"/>
      <c r="AF49" s="3342">
        <v>0</v>
      </c>
      <c r="AG49" s="3342"/>
      <c r="AH49" s="2112">
        <f t="shared" si="85"/>
        <v>0</v>
      </c>
      <c r="AI49" s="3341">
        <v>0</v>
      </c>
      <c r="AJ49" s="3341">
        <v>0</v>
      </c>
      <c r="AK49" s="3384">
        <v>0</v>
      </c>
      <c r="AL49" s="3351">
        <v>0</v>
      </c>
      <c r="AM49" s="3343">
        <v>0</v>
      </c>
      <c r="AN49" s="3388">
        <v>0</v>
      </c>
      <c r="AO49" s="3390">
        <v>0</v>
      </c>
      <c r="AP49" s="3344">
        <v>0</v>
      </c>
      <c r="AQ49" s="3344">
        <v>0</v>
      </c>
      <c r="AR49" s="3344"/>
      <c r="AS49" s="3392">
        <f t="shared" si="65"/>
        <v>0</v>
      </c>
      <c r="AT49" s="3394">
        <v>0</v>
      </c>
      <c r="AU49" s="3346">
        <v>0</v>
      </c>
      <c r="AV49" s="3346">
        <v>0</v>
      </c>
      <c r="AW49" s="3349">
        <v>0</v>
      </c>
      <c r="AX49" s="3351">
        <v>0</v>
      </c>
      <c r="AY49" s="3343">
        <v>0</v>
      </c>
      <c r="AZ49" s="2696">
        <f t="shared" si="94"/>
        <v>0</v>
      </c>
      <c r="BA49" s="3405">
        <v>0</v>
      </c>
      <c r="BB49" s="3347">
        <v>0</v>
      </c>
      <c r="BC49" s="3086">
        <v>0</v>
      </c>
      <c r="BD49" s="3347"/>
      <c r="BE49" s="3087">
        <f t="shared" si="90"/>
        <v>0</v>
      </c>
      <c r="BF49" s="3345"/>
      <c r="BG49" s="3346">
        <v>0</v>
      </c>
      <c r="BH49" s="3346">
        <v>0</v>
      </c>
      <c r="BI49" s="3396">
        <f t="shared" si="88"/>
        <v>0</v>
      </c>
      <c r="BJ49" s="3398">
        <v>0</v>
      </c>
      <c r="BK49" s="1970">
        <v>0</v>
      </c>
      <c r="BL49" s="1884">
        <f t="shared" si="67"/>
        <v>0</v>
      </c>
      <c r="BM49" s="1850">
        <f t="shared" si="91"/>
        <v>0</v>
      </c>
      <c r="BN49" s="3342">
        <v>0</v>
      </c>
      <c r="BO49" s="3342">
        <v>0</v>
      </c>
      <c r="BP49" s="3342">
        <v>0</v>
      </c>
      <c r="BQ49" s="1968">
        <f t="shared" si="78"/>
        <v>0</v>
      </c>
      <c r="BR49" s="1889">
        <f t="shared" si="79"/>
        <v>0</v>
      </c>
      <c r="BS49" s="1848">
        <f t="shared" si="89"/>
        <v>0</v>
      </c>
      <c r="BT49" s="2454">
        <f t="shared" si="80"/>
        <v>0</v>
      </c>
      <c r="BU49" s="3147"/>
      <c r="BV49" s="3058"/>
      <c r="BW49" s="3058"/>
      <c r="BX49" s="3058"/>
      <c r="BY49" s="3147"/>
      <c r="BZ49" s="3147"/>
      <c r="CA49" s="3147"/>
      <c r="CB49" s="3147"/>
      <c r="CC49" s="1050"/>
      <c r="CD49" s="1050"/>
      <c r="CE49" s="1050"/>
      <c r="CF49" s="1050"/>
      <c r="CG49" s="1050"/>
      <c r="CH49" s="1050"/>
      <c r="CI49" s="2854"/>
      <c r="CJ49" s="2854"/>
      <c r="CK49" s="2854"/>
      <c r="CL49" s="2854"/>
      <c r="CM49" s="2854"/>
      <c r="CN49" s="2854"/>
      <c r="CO49" s="2854"/>
      <c r="CP49" s="2854"/>
      <c r="CQ49" s="2854"/>
      <c r="CR49" s="2854"/>
      <c r="CS49" s="2854"/>
      <c r="CT49" s="2854"/>
      <c r="CU49" s="2854"/>
      <c r="CV49" s="2854"/>
      <c r="TU49" s="3783"/>
      <c r="TV49" s="3783"/>
      <c r="TW49" s="3783"/>
      <c r="TX49" s="3783"/>
      <c r="TY49" s="3783"/>
      <c r="TZ49" s="3783"/>
      <c r="UA49" s="3783"/>
      <c r="UB49" s="3783"/>
      <c r="UC49" s="3783"/>
      <c r="UD49" s="3783"/>
      <c r="UE49" s="3783"/>
      <c r="UF49" s="3783"/>
      <c r="UG49" s="3783"/>
      <c r="UH49" s="3783"/>
      <c r="UI49" s="3783"/>
      <c r="UJ49" s="3783"/>
      <c r="UK49" s="3783"/>
      <c r="UL49" s="3783"/>
      <c r="UM49" s="3783"/>
      <c r="UN49" s="3783"/>
      <c r="UO49" s="3783"/>
    </row>
    <row r="50" spans="1:2363" s="2075" customFormat="1" ht="15" customHeight="1" x14ac:dyDescent="0.2">
      <c r="A50" s="3877"/>
      <c r="B50" s="3879"/>
      <c r="C50" s="1972"/>
      <c r="D50" s="1995" t="s">
        <v>682</v>
      </c>
      <c r="E50" s="3361">
        <f>SUM(E35:E49)</f>
        <v>30</v>
      </c>
      <c r="F50" s="1905">
        <f>SUM(F35:F49)</f>
        <v>1880</v>
      </c>
      <c r="G50" s="2134">
        <f>+F50/E50</f>
        <v>62.666666666666664</v>
      </c>
      <c r="H50" s="2133">
        <f>SUM(H35:H47)</f>
        <v>0</v>
      </c>
      <c r="I50" s="1905">
        <f>+I39</f>
        <v>0</v>
      </c>
      <c r="J50" s="1905" t="e">
        <f>+I50/H50</f>
        <v>#DIV/0!</v>
      </c>
      <c r="K50" s="2133">
        <f>SUM(K35:K47)</f>
        <v>0</v>
      </c>
      <c r="L50" s="1905">
        <f>SUM(L47:L47)</f>
        <v>0</v>
      </c>
      <c r="M50" s="1905"/>
      <c r="N50" s="1905">
        <f>SUM(N35:N49)</f>
        <v>1880</v>
      </c>
      <c r="O50" s="2155">
        <f>SUM(O35:O49)</f>
        <v>1880</v>
      </c>
      <c r="P50" s="1905">
        <f>SUM(P35:P47)</f>
        <v>0</v>
      </c>
      <c r="Q50" s="1905">
        <f>SUM(Q35:Q49)</f>
        <v>187500</v>
      </c>
      <c r="R50" s="2174">
        <f>SUM(R35:R49)</f>
        <v>3311458.75</v>
      </c>
      <c r="S50" s="1905">
        <f>SUM(S35:S49)</f>
        <v>12500</v>
      </c>
      <c r="T50" s="2174">
        <f>+T39+T35</f>
        <v>0</v>
      </c>
      <c r="U50" s="2805">
        <f>SUM(U35:U49)</f>
        <v>439061.25</v>
      </c>
      <c r="V50" s="1905">
        <f>SUM(V35:V49)</f>
        <v>3955520</v>
      </c>
      <c r="W50" s="1905"/>
      <c r="X50" s="1905"/>
      <c r="Y50" s="1905"/>
      <c r="Z50" s="2819">
        <f>SUM(Z35:Z49)</f>
        <v>618050</v>
      </c>
      <c r="AA50" s="1905">
        <f>SUM(AA35:AA49)</f>
        <v>871063.73</v>
      </c>
      <c r="AB50" s="1905">
        <f>SUM(AB35:AB49)</f>
        <v>871063.73</v>
      </c>
      <c r="AC50" s="1905">
        <f>AA50-AB50</f>
        <v>0</v>
      </c>
      <c r="AD50" s="1905">
        <f>SUM(AD35:AD49)</f>
        <v>418452.93</v>
      </c>
      <c r="AE50" s="1905">
        <f>SUM(AE35:AE49)</f>
        <v>8681504.9100000001</v>
      </c>
      <c r="AF50" s="1905">
        <f>SUM(AF38:AF47)</f>
        <v>0</v>
      </c>
      <c r="AG50" s="1905"/>
      <c r="AH50" s="1905">
        <f>AD50+AF50</f>
        <v>418452.93</v>
      </c>
      <c r="AI50" s="1905">
        <f>SUM(AI35:AI49)</f>
        <v>0</v>
      </c>
      <c r="AJ50" s="1905">
        <f>SUM(AJ35:AJ49)</f>
        <v>0</v>
      </c>
      <c r="AK50" s="2155">
        <f>AI50+AJ50</f>
        <v>0</v>
      </c>
      <c r="AL50" s="1905">
        <f>SUM(AL35:AL49)</f>
        <v>70000</v>
      </c>
      <c r="AM50" s="1905">
        <f>SUM(AM35:AM49)</f>
        <v>70000</v>
      </c>
      <c r="AN50" s="1905">
        <f>AL50-AM50</f>
        <v>0</v>
      </c>
      <c r="AO50" s="1905">
        <f>SUM(AO35:AO49)</f>
        <v>70000</v>
      </c>
      <c r="AP50" s="1905">
        <f>SUM(AP35:AP49)</f>
        <v>0</v>
      </c>
      <c r="AQ50" s="1905">
        <f>SUM(AQ35:AQ49)</f>
        <v>0</v>
      </c>
      <c r="AR50" s="1905">
        <f>SUM(AR35:AR47)</f>
        <v>0</v>
      </c>
      <c r="AS50" s="1905">
        <f>+AS39+AS35+AS40+AS36+AS37+AS38+AS42+AS43+AS44+AS45+AS46+AS47+AS48+AS49</f>
        <v>70000</v>
      </c>
      <c r="AT50" s="1905">
        <f>+AT39+AT35+AT40+AT36+AT37+AT38+AT42+AT43+AT44+AT45+AT46+AT47</f>
        <v>2063950.52</v>
      </c>
      <c r="AU50" s="1905">
        <f>SUM(AU35:AU49)</f>
        <v>0</v>
      </c>
      <c r="AV50" s="1905">
        <f>SUM(AV35:AV49)</f>
        <v>0</v>
      </c>
      <c r="AW50" s="2155">
        <f>SUM(AW35:AW49)</f>
        <v>0</v>
      </c>
      <c r="AX50" s="1905">
        <f>SUM(AX35:AX49)</f>
        <v>70000</v>
      </c>
      <c r="AY50" s="1905">
        <f>SUM(AY35:AY49)</f>
        <v>70000</v>
      </c>
      <c r="AZ50" s="1905">
        <f>AX50-AY50</f>
        <v>0</v>
      </c>
      <c r="BA50" s="1905">
        <f>+BA35+BA36+BA37+BA38+BA39+BA40+BA41+BA42+BA43+BA44+BA45+BA46+BA47+BA48+BA49</f>
        <v>70000</v>
      </c>
      <c r="BB50" s="1905">
        <f>SUM(BB35:BB49)</f>
        <v>322186.25</v>
      </c>
      <c r="BC50" s="1905">
        <f>SUM(BC35:BC47)</f>
        <v>0</v>
      </c>
      <c r="BD50" s="1905"/>
      <c r="BE50" s="1905">
        <f>SUM(BE35:BE47)</f>
        <v>392186.25</v>
      </c>
      <c r="BF50" s="1905">
        <f t="shared" ref="BF50:BK50" si="96">SUM(BF35:BF49)</f>
        <v>0</v>
      </c>
      <c r="BG50" s="1905">
        <f t="shared" si="96"/>
        <v>0</v>
      </c>
      <c r="BH50" s="1905">
        <f t="shared" si="96"/>
        <v>322186.25</v>
      </c>
      <c r="BI50" s="2155">
        <f t="shared" si="96"/>
        <v>322186.25</v>
      </c>
      <c r="BJ50" s="1905">
        <f t="shared" si="96"/>
        <v>548050</v>
      </c>
      <c r="BK50" s="1905">
        <f t="shared" si="96"/>
        <v>548050</v>
      </c>
      <c r="BL50" s="1905">
        <f>BJ50-BK50</f>
        <v>0</v>
      </c>
      <c r="BM50" s="1905">
        <f>SUM(BM35:BM49)</f>
        <v>2048050</v>
      </c>
      <c r="BN50" s="1905">
        <f>SUM(BN35:BN49)</f>
        <v>81250</v>
      </c>
      <c r="BO50" s="1905">
        <f>SUM(BO35:BO49)</f>
        <v>0</v>
      </c>
      <c r="BP50" s="1905">
        <f>SUM(BP35:BP49)</f>
        <v>0</v>
      </c>
      <c r="BQ50" s="1905">
        <f>BM50+BN50</f>
        <v>2129300</v>
      </c>
      <c r="BR50" s="1905">
        <f>SUM(BR35:BR49)</f>
        <v>2487326.52</v>
      </c>
      <c r="BS50" s="1905">
        <f>SUM(BS35:BS49)</f>
        <v>81250</v>
      </c>
      <c r="BT50" s="2155">
        <f>BR50+BS50</f>
        <v>2568576.52</v>
      </c>
      <c r="BU50" s="3147"/>
      <c r="BV50" s="3058"/>
      <c r="BW50" s="3058"/>
      <c r="BX50" s="3058"/>
      <c r="BY50" s="3147"/>
      <c r="BZ50" s="3147"/>
      <c r="CA50" s="3147"/>
      <c r="CB50" s="3147"/>
      <c r="CC50" s="3153"/>
      <c r="CD50" s="3153"/>
      <c r="CE50" s="3153"/>
      <c r="CF50" s="3153"/>
      <c r="CG50" s="3153"/>
      <c r="CH50" s="3153"/>
      <c r="CI50" s="3154"/>
      <c r="CJ50" s="3154"/>
      <c r="CK50" s="3154"/>
      <c r="CL50" s="3154"/>
      <c r="CM50" s="3154"/>
      <c r="CN50" s="3154"/>
      <c r="CO50" s="3154"/>
      <c r="CP50" s="3154"/>
      <c r="CQ50" s="3154"/>
      <c r="CR50" s="3154"/>
      <c r="CS50" s="3154"/>
      <c r="CT50" s="3154"/>
      <c r="CU50" s="3154"/>
      <c r="CV50" s="3154"/>
      <c r="CW50" s="1144"/>
      <c r="CX50" s="1144"/>
      <c r="CY50" s="1144"/>
      <c r="CZ50" s="1144"/>
      <c r="DA50" s="1144"/>
      <c r="DB50" s="1144"/>
      <c r="DC50" s="1144"/>
      <c r="DD50" s="1144"/>
      <c r="DE50" s="1144"/>
      <c r="DF50" s="1144"/>
      <c r="DG50" s="1144"/>
      <c r="DH50" s="1144"/>
      <c r="DI50" s="1144"/>
      <c r="DJ50" s="1144"/>
      <c r="DK50" s="1144"/>
      <c r="DL50" s="1144"/>
      <c r="DM50" s="1144"/>
      <c r="DN50" s="1144"/>
      <c r="DO50" s="1144"/>
      <c r="DP50" s="1144"/>
      <c r="DQ50" s="1144"/>
      <c r="DR50" s="1144"/>
      <c r="DS50" s="1144"/>
      <c r="DT50" s="1144"/>
      <c r="DU50" s="1144"/>
      <c r="DV50" s="1144"/>
      <c r="DW50" s="1144"/>
      <c r="DX50" s="1144"/>
      <c r="DY50" s="1144"/>
      <c r="DZ50" s="1144"/>
      <c r="EA50" s="1144"/>
      <c r="EB50" s="1144"/>
      <c r="EC50" s="1144"/>
      <c r="ED50" s="1144"/>
      <c r="EE50" s="1144"/>
      <c r="EF50" s="1144"/>
      <c r="EG50" s="1144"/>
      <c r="EH50" s="1144"/>
      <c r="EI50" s="1144"/>
      <c r="EJ50" s="1144"/>
      <c r="EK50" s="1144"/>
      <c r="EL50" s="1144"/>
      <c r="EM50" s="1144"/>
      <c r="EN50" s="1144"/>
      <c r="EO50" s="1144"/>
      <c r="EP50" s="1144"/>
      <c r="EQ50" s="1144"/>
      <c r="ER50" s="1144"/>
      <c r="ES50" s="1144"/>
      <c r="ET50" s="1144"/>
      <c r="EU50" s="1144"/>
      <c r="EV50" s="1144"/>
      <c r="EW50" s="1144"/>
      <c r="EX50" s="1144"/>
      <c r="EY50" s="1144"/>
      <c r="EZ50" s="1144"/>
      <c r="FA50" s="1144"/>
      <c r="FB50" s="1144"/>
      <c r="FC50" s="1144"/>
      <c r="FD50" s="1144"/>
      <c r="FE50" s="1144"/>
      <c r="FF50" s="1144"/>
      <c r="FG50" s="1144"/>
      <c r="FH50" s="1144"/>
      <c r="FI50" s="1144"/>
      <c r="FJ50" s="1144"/>
      <c r="FK50" s="1144"/>
      <c r="FL50" s="1144"/>
      <c r="FM50" s="1144"/>
      <c r="FN50" s="1144"/>
      <c r="FO50" s="1144"/>
      <c r="FP50" s="1144"/>
      <c r="FQ50" s="1144"/>
      <c r="FR50" s="1144"/>
      <c r="FS50" s="1144"/>
      <c r="FT50" s="1144"/>
      <c r="FU50" s="1144"/>
      <c r="FV50" s="1144"/>
      <c r="FW50" s="1144"/>
      <c r="FX50" s="1144"/>
      <c r="FY50" s="1144"/>
      <c r="FZ50" s="1144"/>
      <c r="GA50" s="1144"/>
      <c r="GB50" s="1144"/>
      <c r="GC50" s="1144"/>
      <c r="GD50" s="1144"/>
      <c r="GE50" s="1144"/>
      <c r="GF50" s="1144"/>
      <c r="GG50" s="1144"/>
      <c r="GH50" s="1144"/>
      <c r="GI50" s="1144"/>
      <c r="GJ50" s="1144"/>
      <c r="GK50" s="1144"/>
      <c r="GL50" s="1144"/>
      <c r="GM50" s="1144"/>
      <c r="GN50" s="1144"/>
      <c r="GO50" s="1144"/>
      <c r="GP50" s="1144"/>
      <c r="GQ50" s="1144"/>
      <c r="GR50" s="1144"/>
      <c r="GS50" s="1144"/>
      <c r="GT50" s="1144"/>
      <c r="GU50" s="1144"/>
      <c r="GV50" s="1144"/>
      <c r="GW50" s="1144"/>
      <c r="GX50" s="1144"/>
      <c r="GY50" s="1144"/>
      <c r="GZ50" s="1144"/>
      <c r="HA50" s="1144"/>
      <c r="HB50" s="1144"/>
      <c r="HC50" s="1144"/>
      <c r="HD50" s="1144"/>
      <c r="HE50" s="1144"/>
      <c r="HF50" s="1144"/>
      <c r="HG50" s="1144"/>
      <c r="HH50" s="1144"/>
      <c r="HI50" s="1144"/>
      <c r="HJ50" s="1144"/>
      <c r="HK50" s="1144"/>
      <c r="HL50" s="1144"/>
      <c r="HM50" s="1144"/>
      <c r="HN50" s="1144"/>
      <c r="HO50" s="1144"/>
      <c r="HP50" s="1144"/>
      <c r="HQ50" s="1144"/>
      <c r="HR50" s="1144"/>
      <c r="HS50" s="1144"/>
      <c r="HT50" s="1144"/>
      <c r="HU50" s="1144"/>
      <c r="HV50" s="1144"/>
      <c r="HW50" s="1144"/>
      <c r="HX50" s="1144"/>
      <c r="HY50" s="1144"/>
      <c r="HZ50" s="1144"/>
      <c r="IA50" s="1144"/>
      <c r="IB50" s="1144"/>
      <c r="IC50" s="1144"/>
      <c r="ID50" s="1144"/>
      <c r="IE50" s="1144"/>
      <c r="IF50" s="1144"/>
      <c r="IG50" s="1144"/>
      <c r="IH50" s="1144"/>
      <c r="II50" s="1144"/>
      <c r="IJ50" s="1144"/>
      <c r="IK50" s="1144"/>
      <c r="IL50" s="1144"/>
      <c r="IM50" s="1144"/>
      <c r="IN50" s="1144"/>
      <c r="IO50" s="1144"/>
      <c r="IP50" s="1144"/>
      <c r="IQ50" s="1144"/>
      <c r="IR50" s="1144"/>
      <c r="IS50" s="1144"/>
      <c r="IT50" s="1144"/>
      <c r="IU50" s="1144"/>
      <c r="IV50" s="1144"/>
      <c r="IW50" s="1144"/>
      <c r="IX50" s="1144"/>
      <c r="IY50" s="1144"/>
      <c r="IZ50" s="1144"/>
      <c r="JA50" s="1144"/>
      <c r="JB50" s="1144"/>
      <c r="JC50" s="1144"/>
      <c r="JD50" s="1144"/>
      <c r="JE50" s="1144"/>
      <c r="JF50" s="1144"/>
      <c r="JG50" s="1144"/>
      <c r="JH50" s="1144"/>
      <c r="JI50" s="1144"/>
      <c r="JJ50" s="1144"/>
      <c r="JK50" s="1144"/>
      <c r="JL50" s="1144"/>
      <c r="JM50" s="1144"/>
      <c r="JN50" s="1144"/>
      <c r="JO50" s="1144"/>
      <c r="JP50" s="1144"/>
      <c r="JQ50" s="1144"/>
      <c r="JR50" s="1144"/>
      <c r="JS50" s="1144"/>
      <c r="JT50" s="1144"/>
      <c r="JU50" s="1144"/>
      <c r="JV50" s="1144"/>
      <c r="JW50" s="1144"/>
      <c r="JX50" s="1144"/>
      <c r="JY50" s="1144"/>
      <c r="JZ50" s="1144"/>
      <c r="KA50" s="1144"/>
      <c r="KB50" s="1144"/>
      <c r="KC50" s="1144"/>
      <c r="KD50" s="1144"/>
      <c r="KE50" s="1144"/>
      <c r="KF50" s="1144"/>
      <c r="KG50" s="1144"/>
      <c r="KH50" s="1144"/>
      <c r="KI50" s="1144"/>
      <c r="KJ50" s="1144"/>
      <c r="KK50" s="1144"/>
      <c r="KL50" s="1144"/>
      <c r="KM50" s="1144"/>
      <c r="KN50" s="1144"/>
      <c r="KO50" s="1144"/>
      <c r="KP50" s="1144"/>
      <c r="KQ50" s="1144"/>
      <c r="KR50" s="1144"/>
      <c r="KS50" s="1144"/>
      <c r="KT50" s="1144"/>
      <c r="KU50" s="1144"/>
      <c r="KV50" s="1144"/>
      <c r="KW50" s="1144"/>
      <c r="KX50" s="1144"/>
      <c r="KY50" s="1144"/>
      <c r="KZ50" s="1144"/>
      <c r="LA50" s="1144"/>
      <c r="LB50" s="1144"/>
      <c r="LC50" s="1144"/>
      <c r="LD50" s="1144"/>
      <c r="LE50" s="1144"/>
      <c r="LF50" s="1144"/>
      <c r="LG50" s="1144"/>
      <c r="LH50" s="1144"/>
      <c r="LI50" s="1144"/>
      <c r="LJ50" s="1144"/>
      <c r="LK50" s="1144"/>
      <c r="LL50" s="1144"/>
      <c r="LM50" s="1144"/>
      <c r="LN50" s="1144"/>
      <c r="LO50" s="1144"/>
      <c r="LP50" s="1144"/>
      <c r="LQ50" s="1144"/>
      <c r="LR50" s="1144"/>
      <c r="LS50" s="1144"/>
      <c r="LT50" s="1144"/>
      <c r="LU50" s="1144"/>
      <c r="LV50" s="1144"/>
      <c r="LW50" s="1144"/>
      <c r="LX50" s="1144"/>
      <c r="LY50" s="1144"/>
      <c r="LZ50" s="1144"/>
      <c r="MA50" s="1144"/>
      <c r="MB50" s="1144"/>
      <c r="MC50" s="1144"/>
      <c r="MD50" s="1144"/>
      <c r="ME50" s="1144"/>
      <c r="MF50" s="1144"/>
      <c r="MG50" s="1144"/>
      <c r="MH50" s="1144"/>
      <c r="MI50" s="1144"/>
      <c r="MJ50" s="1144"/>
      <c r="MK50" s="1144"/>
      <c r="ML50" s="1144"/>
      <c r="MM50" s="1144"/>
      <c r="MN50" s="1144"/>
      <c r="MO50" s="1144"/>
      <c r="MP50" s="1144"/>
      <c r="MQ50" s="1144"/>
      <c r="MR50" s="1144"/>
      <c r="MS50" s="1144"/>
      <c r="MT50" s="1144"/>
      <c r="MU50" s="1144"/>
      <c r="MV50" s="1144"/>
      <c r="MW50" s="1144"/>
      <c r="MX50" s="1144"/>
      <c r="MY50" s="1144"/>
      <c r="MZ50" s="1144"/>
      <c r="NA50" s="1144"/>
      <c r="NB50" s="1144"/>
      <c r="NC50" s="1144"/>
      <c r="ND50" s="1144"/>
      <c r="NE50" s="1144"/>
      <c r="NF50" s="1144"/>
      <c r="NG50" s="1144"/>
      <c r="NH50" s="1144"/>
      <c r="NI50" s="1144"/>
      <c r="NJ50" s="1144"/>
      <c r="NK50" s="1144"/>
      <c r="NL50" s="1144"/>
      <c r="NM50" s="1144"/>
      <c r="NN50" s="1144"/>
      <c r="NO50" s="1144"/>
      <c r="NP50" s="1144"/>
      <c r="NQ50" s="1144"/>
      <c r="NR50" s="1144"/>
      <c r="NS50" s="1144"/>
      <c r="NT50" s="1144"/>
      <c r="NU50" s="1144"/>
      <c r="NV50" s="1144"/>
      <c r="NW50" s="1144"/>
      <c r="NX50" s="1144"/>
      <c r="NY50" s="1144"/>
      <c r="NZ50" s="1144"/>
      <c r="OA50" s="1144"/>
      <c r="OB50" s="1144"/>
      <c r="OC50" s="1144"/>
      <c r="OD50" s="1144"/>
      <c r="OE50" s="1144"/>
      <c r="OF50" s="1144"/>
      <c r="OG50" s="1144"/>
      <c r="OH50" s="1144"/>
      <c r="OI50" s="1144"/>
      <c r="OJ50" s="1144"/>
      <c r="OK50" s="1144"/>
      <c r="OL50" s="1144"/>
      <c r="OM50" s="1144"/>
      <c r="ON50" s="1144"/>
      <c r="OO50" s="1144"/>
      <c r="OP50" s="1144"/>
      <c r="OQ50" s="1144"/>
      <c r="OR50" s="1144"/>
      <c r="OS50" s="1144"/>
      <c r="OT50" s="1144"/>
      <c r="OU50" s="1144"/>
      <c r="OV50" s="1144"/>
      <c r="OW50" s="1144"/>
      <c r="OX50" s="1144"/>
      <c r="OY50" s="1144"/>
      <c r="OZ50" s="1144"/>
      <c r="PA50" s="1144"/>
      <c r="PB50" s="1144"/>
      <c r="PC50" s="1144"/>
      <c r="PD50" s="1144"/>
      <c r="PE50" s="1144"/>
      <c r="PF50" s="1144"/>
      <c r="PG50" s="1144"/>
      <c r="PH50" s="1144"/>
      <c r="PI50" s="1144"/>
      <c r="PJ50" s="1144"/>
      <c r="PK50" s="1144"/>
      <c r="PL50" s="1144"/>
      <c r="PM50" s="1144"/>
      <c r="PN50" s="1144"/>
      <c r="PO50" s="1144"/>
      <c r="PP50" s="1144"/>
      <c r="PQ50" s="1144"/>
      <c r="PR50" s="1144"/>
      <c r="PS50" s="1144"/>
      <c r="PT50" s="1144"/>
      <c r="PU50" s="1144"/>
      <c r="PV50" s="1144"/>
      <c r="PW50" s="1144"/>
      <c r="PX50" s="1144"/>
      <c r="PY50" s="1144"/>
      <c r="PZ50" s="1144"/>
      <c r="QA50" s="1144"/>
      <c r="QB50" s="1144"/>
      <c r="QC50" s="1144"/>
      <c r="QD50" s="1144"/>
      <c r="QE50" s="1144"/>
      <c r="QF50" s="1144"/>
      <c r="QG50" s="1144"/>
      <c r="QH50" s="1144"/>
      <c r="QI50" s="1144"/>
      <c r="QJ50" s="1144"/>
      <c r="QK50" s="1144"/>
      <c r="QL50" s="1144"/>
      <c r="QM50" s="1144"/>
      <c r="QN50" s="1144"/>
      <c r="QO50" s="1144"/>
      <c r="QP50" s="1144"/>
      <c r="QQ50" s="1144"/>
      <c r="QR50" s="1144"/>
      <c r="QS50" s="1144"/>
      <c r="QT50" s="1144"/>
      <c r="QU50" s="1144"/>
      <c r="QV50" s="1144"/>
      <c r="QW50" s="1144"/>
      <c r="QX50" s="1144"/>
      <c r="QY50" s="1144"/>
      <c r="QZ50" s="1144"/>
      <c r="RA50" s="1144"/>
      <c r="RB50" s="1144"/>
      <c r="RC50" s="1144"/>
      <c r="RD50" s="1144"/>
      <c r="RE50" s="1144"/>
      <c r="RF50" s="1144"/>
      <c r="RG50" s="1144"/>
      <c r="RH50" s="1144"/>
      <c r="RI50" s="1144"/>
      <c r="RJ50" s="1144"/>
      <c r="RK50" s="1144"/>
      <c r="RL50" s="1144"/>
      <c r="RM50" s="1144"/>
      <c r="RN50" s="1144"/>
      <c r="RO50" s="1144"/>
      <c r="RP50" s="1144"/>
      <c r="RQ50" s="1144"/>
      <c r="RR50" s="1144"/>
      <c r="RS50" s="1144"/>
      <c r="RT50" s="1144"/>
      <c r="RU50" s="1144"/>
      <c r="RV50" s="1144"/>
      <c r="RW50" s="1144"/>
      <c r="RX50" s="1144"/>
      <c r="RY50" s="1144"/>
      <c r="RZ50" s="1144"/>
      <c r="SA50" s="1144"/>
      <c r="SB50" s="1144"/>
      <c r="SC50" s="1144"/>
      <c r="SD50" s="1144"/>
      <c r="SE50" s="1144"/>
      <c r="SF50" s="1144"/>
      <c r="SG50" s="1144"/>
      <c r="SH50" s="1144"/>
      <c r="SI50" s="1144"/>
      <c r="SJ50" s="1144"/>
      <c r="SK50" s="1144"/>
      <c r="SL50" s="1144"/>
      <c r="SM50" s="1144"/>
      <c r="SN50" s="1144"/>
      <c r="SO50" s="1144"/>
      <c r="SP50" s="1144"/>
      <c r="SQ50" s="1144"/>
      <c r="SR50" s="1144"/>
      <c r="SS50" s="1144"/>
      <c r="ST50" s="1144"/>
      <c r="SU50" s="1144"/>
      <c r="SV50" s="1144"/>
      <c r="SW50" s="1144"/>
      <c r="SX50" s="1144"/>
      <c r="SY50" s="1144"/>
      <c r="SZ50" s="1144"/>
      <c r="TA50" s="1144"/>
      <c r="TB50" s="1144"/>
      <c r="TC50" s="1144"/>
      <c r="TD50" s="1144"/>
      <c r="TE50" s="1144"/>
      <c r="TF50" s="1144"/>
      <c r="TG50" s="1144"/>
      <c r="TH50" s="1144"/>
      <c r="TI50" s="1144"/>
      <c r="TJ50" s="1144"/>
      <c r="TK50" s="1144"/>
      <c r="TL50" s="1144"/>
      <c r="TM50" s="1144"/>
      <c r="TN50" s="1144"/>
      <c r="TO50" s="1144"/>
      <c r="TP50" s="1144"/>
      <c r="TQ50" s="1144"/>
      <c r="TR50" s="1144"/>
      <c r="TS50" s="1144"/>
      <c r="TT50" s="1144"/>
      <c r="TU50" s="3783"/>
      <c r="TV50" s="3783"/>
      <c r="TW50" s="3783"/>
      <c r="TX50" s="3783"/>
      <c r="TY50" s="3783"/>
      <c r="TZ50" s="3783"/>
      <c r="UA50" s="3783"/>
      <c r="UB50" s="3783"/>
      <c r="UC50" s="3783"/>
      <c r="UD50" s="3783"/>
      <c r="UE50" s="3783"/>
      <c r="UF50" s="3783"/>
      <c r="UG50" s="3783"/>
      <c r="UH50" s="3783"/>
      <c r="UI50" s="3783"/>
      <c r="UJ50" s="3783"/>
      <c r="UK50" s="3783"/>
      <c r="UL50" s="3783"/>
      <c r="UM50" s="3783"/>
      <c r="UN50" s="3783"/>
      <c r="UO50" s="3783"/>
      <c r="UP50" s="1144"/>
      <c r="UQ50" s="1144"/>
      <c r="UR50" s="1144"/>
      <c r="US50" s="1144"/>
      <c r="UT50" s="1144"/>
      <c r="UU50" s="1144"/>
      <c r="UV50" s="1144"/>
      <c r="UW50" s="1144"/>
      <c r="UX50" s="1144"/>
      <c r="UY50" s="1144"/>
      <c r="UZ50" s="1144"/>
      <c r="VA50" s="1144"/>
      <c r="VB50" s="1144"/>
      <c r="VC50" s="1144"/>
      <c r="VD50" s="1144"/>
      <c r="VE50" s="1144"/>
      <c r="VF50" s="1144"/>
      <c r="VG50" s="1144"/>
      <c r="VH50" s="1144"/>
      <c r="VI50" s="1144"/>
      <c r="VJ50" s="1144"/>
      <c r="VK50" s="1144"/>
      <c r="VL50" s="1144"/>
      <c r="VM50" s="1144"/>
      <c r="VN50" s="1144"/>
      <c r="VO50" s="1144"/>
      <c r="VP50" s="1144"/>
      <c r="VQ50" s="1144"/>
      <c r="VR50" s="1144"/>
      <c r="VS50" s="1144"/>
      <c r="VT50" s="1144"/>
      <c r="VU50" s="1144"/>
      <c r="VV50" s="1144"/>
      <c r="VW50" s="1144"/>
      <c r="VX50" s="1144"/>
      <c r="VY50" s="1144"/>
      <c r="VZ50" s="1144"/>
      <c r="WA50" s="1144"/>
      <c r="WB50" s="1144"/>
      <c r="WC50" s="1144"/>
      <c r="WD50" s="1144"/>
      <c r="WE50" s="1144"/>
      <c r="WF50" s="1144"/>
      <c r="WG50" s="1144"/>
      <c r="WH50" s="1144"/>
      <c r="WI50" s="1144"/>
      <c r="WJ50" s="1144"/>
      <c r="WK50" s="1144"/>
      <c r="WL50" s="1144"/>
      <c r="WM50" s="1144"/>
      <c r="WN50" s="1144"/>
      <c r="WO50" s="1144"/>
      <c r="WP50" s="1144"/>
      <c r="WQ50" s="1144"/>
      <c r="WR50" s="1144"/>
      <c r="WS50" s="1144"/>
      <c r="WT50" s="1144"/>
      <c r="WU50" s="1144"/>
      <c r="WV50" s="1144"/>
      <c r="WW50" s="1144"/>
      <c r="WX50" s="1144"/>
      <c r="WY50" s="1144"/>
      <c r="WZ50" s="1144"/>
      <c r="XA50" s="1144"/>
      <c r="XB50" s="1144"/>
      <c r="XC50" s="1144"/>
      <c r="XD50" s="1144"/>
      <c r="XE50" s="1144"/>
      <c r="XF50" s="1144"/>
      <c r="XG50" s="1144"/>
      <c r="XH50" s="1144"/>
      <c r="XI50" s="1144"/>
      <c r="XJ50" s="1144"/>
      <c r="XK50" s="1144"/>
      <c r="XL50" s="1144"/>
      <c r="XM50" s="1144"/>
      <c r="XN50" s="1144"/>
      <c r="XO50" s="1144"/>
      <c r="XP50" s="1144"/>
      <c r="XQ50" s="1144"/>
      <c r="XR50" s="1144"/>
      <c r="XS50" s="1144"/>
      <c r="XT50" s="1144"/>
      <c r="XU50" s="1144"/>
      <c r="XV50" s="1144"/>
      <c r="XW50" s="1144"/>
      <c r="XX50" s="1144"/>
      <c r="XY50" s="1144"/>
      <c r="XZ50" s="1144"/>
      <c r="YA50" s="1144"/>
      <c r="YB50" s="1144"/>
      <c r="YC50" s="1144"/>
      <c r="YD50" s="1144"/>
      <c r="YE50" s="1144"/>
      <c r="YF50" s="1144"/>
      <c r="YG50" s="1144"/>
      <c r="YH50" s="1144"/>
      <c r="YI50" s="1144"/>
      <c r="YJ50" s="1144"/>
      <c r="YK50" s="1144"/>
      <c r="YL50" s="1144"/>
      <c r="YM50" s="1144"/>
      <c r="YN50" s="1144"/>
      <c r="YO50" s="1144"/>
      <c r="YP50" s="1144"/>
      <c r="YQ50" s="1144"/>
      <c r="YR50" s="1144"/>
      <c r="YS50" s="1144"/>
      <c r="YT50" s="1144"/>
      <c r="YU50" s="1144"/>
      <c r="YV50" s="1144"/>
      <c r="YW50" s="1144"/>
      <c r="YX50" s="1144"/>
      <c r="YY50" s="1144"/>
      <c r="YZ50" s="1144"/>
      <c r="ZA50" s="1144"/>
      <c r="ZB50" s="1144"/>
      <c r="ZC50" s="1144"/>
      <c r="ZD50" s="1144"/>
      <c r="ZE50" s="1144"/>
      <c r="ZF50" s="1144"/>
      <c r="ZG50" s="1144"/>
      <c r="ZH50" s="1144"/>
      <c r="ZI50" s="1144"/>
      <c r="ZJ50" s="1144"/>
      <c r="ZK50" s="1144"/>
      <c r="ZL50" s="1144"/>
      <c r="ZM50" s="1144"/>
      <c r="ZN50" s="1144"/>
      <c r="ZO50" s="1144"/>
      <c r="ZP50" s="1144"/>
      <c r="ZQ50" s="1144"/>
      <c r="ZR50" s="1144"/>
      <c r="ZS50" s="1144"/>
      <c r="ZT50" s="1144"/>
      <c r="ZU50" s="1144"/>
      <c r="ZV50" s="1144"/>
      <c r="ZW50" s="1144"/>
      <c r="ZX50" s="1144"/>
      <c r="ZY50" s="1144"/>
      <c r="ZZ50" s="1144"/>
      <c r="AAA50" s="1144"/>
      <c r="AAB50" s="1144"/>
      <c r="AAC50" s="1144"/>
      <c r="AAD50" s="1144"/>
      <c r="AAE50" s="1144"/>
      <c r="AAF50" s="1144"/>
      <c r="AAG50" s="1144"/>
      <c r="AAH50" s="1144"/>
      <c r="AAI50" s="1144"/>
      <c r="AAJ50" s="1144"/>
      <c r="AAK50" s="1144"/>
      <c r="AAL50" s="1144"/>
      <c r="AAM50" s="1144"/>
      <c r="AAN50" s="1144"/>
      <c r="AAO50" s="1144"/>
      <c r="AAP50" s="1144"/>
      <c r="AAQ50" s="1144"/>
      <c r="AAR50" s="1144"/>
      <c r="AAS50" s="1144"/>
      <c r="AAT50" s="1144"/>
      <c r="AAU50" s="1144"/>
      <c r="AAV50" s="1144"/>
      <c r="AAW50" s="1144"/>
      <c r="AAX50" s="1144"/>
      <c r="AAY50" s="1144"/>
      <c r="AAZ50" s="1144"/>
      <c r="ABA50" s="1144"/>
      <c r="ABB50" s="1144"/>
      <c r="ABC50" s="1144"/>
      <c r="ABD50" s="1144"/>
      <c r="ABE50" s="1144"/>
      <c r="ABF50" s="1144"/>
      <c r="ABG50" s="1144"/>
      <c r="ABH50" s="1144"/>
      <c r="ABI50" s="1144"/>
      <c r="ABJ50" s="1144"/>
      <c r="ABK50" s="1144"/>
      <c r="ABL50" s="1144"/>
      <c r="ABM50" s="1144"/>
      <c r="ABN50" s="1144"/>
      <c r="ABO50" s="1144"/>
      <c r="ABP50" s="1144"/>
      <c r="ABQ50" s="1144"/>
      <c r="ABR50" s="1144"/>
      <c r="ABS50" s="1144"/>
      <c r="ABT50" s="1144"/>
      <c r="ABU50" s="1144"/>
      <c r="ABV50" s="1144"/>
      <c r="ABW50" s="1144"/>
      <c r="ABX50" s="1144"/>
      <c r="ABY50" s="1144"/>
      <c r="ABZ50" s="1144"/>
      <c r="ACA50" s="1144"/>
      <c r="ACB50" s="1144"/>
      <c r="ACC50" s="1144"/>
      <c r="ACD50" s="1144"/>
      <c r="ACE50" s="1144"/>
      <c r="ACF50" s="1144"/>
      <c r="ACG50" s="1144"/>
      <c r="ACH50" s="1144"/>
      <c r="ACI50" s="1144"/>
      <c r="ACJ50" s="1144"/>
      <c r="ACK50" s="1144"/>
      <c r="ACL50" s="1144"/>
      <c r="ACM50" s="1144"/>
      <c r="ACN50" s="1144"/>
      <c r="ACO50" s="1144"/>
      <c r="ACP50" s="1144"/>
      <c r="ACQ50" s="1144"/>
      <c r="ACR50" s="1144"/>
      <c r="ACS50" s="1144"/>
      <c r="ACT50" s="1144"/>
      <c r="ACU50" s="1144"/>
      <c r="ACV50" s="1144"/>
      <c r="ACW50" s="1144"/>
      <c r="ACX50" s="1144"/>
      <c r="ACY50" s="1144"/>
      <c r="ACZ50" s="1144"/>
      <c r="ADA50" s="1144"/>
      <c r="ADB50" s="1144"/>
      <c r="ADC50" s="1144"/>
      <c r="ADD50" s="1144"/>
      <c r="ADE50" s="1144"/>
      <c r="ADF50" s="1144"/>
      <c r="ADG50" s="1144"/>
      <c r="ADH50" s="1144"/>
      <c r="ADI50" s="1144"/>
      <c r="ADJ50" s="1144"/>
      <c r="ADK50" s="1144"/>
      <c r="ADL50" s="1144"/>
      <c r="ADM50" s="1144"/>
      <c r="ADN50" s="1144"/>
      <c r="ADO50" s="1144"/>
      <c r="ADP50" s="1144"/>
      <c r="ADQ50" s="1144"/>
      <c r="ADR50" s="1144"/>
      <c r="ADS50" s="1144"/>
      <c r="ADT50" s="1144"/>
      <c r="ADU50" s="1144"/>
      <c r="ADV50" s="1144"/>
      <c r="ADW50" s="1144"/>
      <c r="ADX50" s="1144"/>
      <c r="ADY50" s="1144"/>
      <c r="ADZ50" s="1144"/>
      <c r="AEA50" s="1144"/>
      <c r="AEB50" s="1144"/>
      <c r="AEC50" s="1144"/>
      <c r="AED50" s="1144"/>
      <c r="AEE50" s="1144"/>
      <c r="AEF50" s="1144"/>
      <c r="AEG50" s="1144"/>
      <c r="AEH50" s="1144"/>
      <c r="AEI50" s="1144"/>
      <c r="AEJ50" s="1144"/>
      <c r="AEK50" s="1144"/>
      <c r="AEL50" s="1144"/>
      <c r="AEM50" s="1144"/>
      <c r="AEN50" s="1144"/>
      <c r="AEO50" s="1144"/>
      <c r="AEP50" s="1144"/>
      <c r="AEQ50" s="1144"/>
      <c r="AER50" s="1144"/>
      <c r="AES50" s="1144"/>
      <c r="AET50" s="1144"/>
      <c r="AEU50" s="1144"/>
      <c r="AEV50" s="1144"/>
      <c r="AEW50" s="1144"/>
      <c r="AEX50" s="1144"/>
      <c r="AEY50" s="1144"/>
      <c r="AEZ50" s="1144"/>
      <c r="AFA50" s="1144"/>
      <c r="AFB50" s="1144"/>
      <c r="AFC50" s="1144"/>
      <c r="AFD50" s="1144"/>
      <c r="AFE50" s="1144"/>
      <c r="AFF50" s="1144"/>
      <c r="AFG50" s="1144"/>
      <c r="AFH50" s="1144"/>
      <c r="AFI50" s="1144"/>
      <c r="AFJ50" s="1144"/>
      <c r="AFK50" s="1144"/>
      <c r="AFL50" s="1144"/>
      <c r="AFM50" s="1144"/>
      <c r="AFN50" s="1144"/>
      <c r="AFO50" s="1144"/>
      <c r="AFP50" s="1144"/>
      <c r="AFQ50" s="1144"/>
      <c r="AFR50" s="1144"/>
      <c r="AFS50" s="1144"/>
      <c r="AFT50" s="1144"/>
      <c r="AFU50" s="1144"/>
      <c r="AFV50" s="1144"/>
      <c r="AFW50" s="1144"/>
      <c r="AFX50" s="1144"/>
      <c r="AFY50" s="1144"/>
      <c r="AFZ50" s="1144"/>
      <c r="AGA50" s="1144"/>
      <c r="AGB50" s="1144"/>
      <c r="AGC50" s="1144"/>
      <c r="AGD50" s="1144"/>
      <c r="AGE50" s="1144"/>
      <c r="AGF50" s="1144"/>
      <c r="AGG50" s="1144"/>
      <c r="AGH50" s="1144"/>
      <c r="AGI50" s="1144"/>
      <c r="AGJ50" s="1144"/>
      <c r="AGK50" s="1144"/>
      <c r="AGL50" s="1144"/>
      <c r="AGM50" s="1144"/>
      <c r="AGN50" s="1144"/>
      <c r="AGO50" s="1144"/>
      <c r="AGP50" s="1144"/>
      <c r="AGQ50" s="1144"/>
      <c r="AGR50" s="1144"/>
      <c r="AGS50" s="1144"/>
      <c r="AGT50" s="1144"/>
      <c r="AGU50" s="1144"/>
      <c r="AGV50" s="1144"/>
      <c r="AGW50" s="1144"/>
      <c r="AGX50" s="1144"/>
      <c r="AGY50" s="1144"/>
      <c r="AGZ50" s="1144"/>
      <c r="AHA50" s="1144"/>
      <c r="AHB50" s="1144"/>
      <c r="AHC50" s="1144"/>
      <c r="AHD50" s="1144"/>
      <c r="AHE50" s="1144"/>
      <c r="AHF50" s="1144"/>
      <c r="AHG50" s="1144"/>
      <c r="AHH50" s="1144"/>
      <c r="AHI50" s="1144"/>
      <c r="AHJ50" s="1144"/>
      <c r="AHK50" s="1144"/>
      <c r="AHL50" s="1144"/>
      <c r="AHM50" s="1144"/>
      <c r="AHN50" s="1144"/>
      <c r="AHO50" s="1144"/>
      <c r="AHP50" s="1144"/>
      <c r="AHQ50" s="1144"/>
      <c r="AHR50" s="1144"/>
      <c r="AHS50" s="1144"/>
      <c r="AHT50" s="1144"/>
      <c r="AHU50" s="1144"/>
      <c r="AHV50" s="1144"/>
      <c r="AHW50" s="1144"/>
      <c r="AHX50" s="1144"/>
      <c r="AHY50" s="1144"/>
      <c r="AHZ50" s="1144"/>
      <c r="AIA50" s="1144"/>
      <c r="AIB50" s="1144"/>
      <c r="AIC50" s="1144"/>
      <c r="AID50" s="1144"/>
      <c r="AIE50" s="1144"/>
      <c r="AIF50" s="1144"/>
      <c r="AIG50" s="1144"/>
      <c r="AIH50" s="1144"/>
      <c r="AII50" s="1144"/>
      <c r="AIJ50" s="1144"/>
      <c r="AIK50" s="1144"/>
      <c r="AIL50" s="1144"/>
      <c r="AIM50" s="1144"/>
      <c r="AIN50" s="1144"/>
      <c r="AIO50" s="1144"/>
      <c r="AIP50" s="1144"/>
      <c r="AIQ50" s="1144"/>
      <c r="AIR50" s="1144"/>
      <c r="AIS50" s="1144"/>
      <c r="AIT50" s="1144"/>
      <c r="AIU50" s="1144"/>
      <c r="AIV50" s="1144"/>
      <c r="AIW50" s="1144"/>
      <c r="AIX50" s="1144"/>
      <c r="AIY50" s="1144"/>
      <c r="AIZ50" s="1144"/>
      <c r="AJA50" s="1144"/>
      <c r="AJB50" s="1144"/>
      <c r="AJC50" s="1144"/>
      <c r="AJD50" s="1144"/>
      <c r="AJE50" s="1144"/>
      <c r="AJF50" s="1144"/>
      <c r="AJG50" s="1144"/>
      <c r="AJH50" s="1144"/>
      <c r="AJI50" s="1144"/>
      <c r="AJJ50" s="1144"/>
      <c r="AJK50" s="1144"/>
      <c r="AJL50" s="1144"/>
      <c r="AJM50" s="1144"/>
      <c r="AJN50" s="1144"/>
      <c r="AJO50" s="1144"/>
      <c r="AJP50" s="1144"/>
      <c r="AJQ50" s="1144"/>
      <c r="AJR50" s="1144"/>
      <c r="AJS50" s="1144"/>
      <c r="AJT50" s="1144"/>
      <c r="AJU50" s="1144"/>
      <c r="AJV50" s="1144"/>
      <c r="AJW50" s="1144"/>
      <c r="AJX50" s="1144"/>
      <c r="AJY50" s="1144"/>
      <c r="AJZ50" s="1144"/>
      <c r="AKA50" s="1144"/>
      <c r="AKB50" s="1144"/>
      <c r="AKC50" s="1144"/>
      <c r="AKD50" s="1144"/>
      <c r="AKE50" s="1144"/>
      <c r="AKF50" s="1144"/>
      <c r="AKG50" s="1144"/>
      <c r="AKH50" s="1144"/>
      <c r="AKI50" s="1144"/>
      <c r="AKJ50" s="1144"/>
      <c r="AKK50" s="1144"/>
      <c r="AKL50" s="1144"/>
      <c r="AKM50" s="1144"/>
      <c r="AKN50" s="1144"/>
      <c r="AKO50" s="1144"/>
      <c r="AKP50" s="1144"/>
      <c r="AKQ50" s="1144"/>
      <c r="AKR50" s="1144"/>
      <c r="AKS50" s="1144"/>
      <c r="AKT50" s="1144"/>
      <c r="AKU50" s="1144"/>
      <c r="AKV50" s="1144"/>
      <c r="AKW50" s="1144"/>
      <c r="AKX50" s="1144"/>
      <c r="AKY50" s="1144"/>
      <c r="AKZ50" s="1144"/>
      <c r="ALA50" s="1144"/>
      <c r="ALB50" s="1144"/>
      <c r="ALC50" s="1144"/>
      <c r="ALD50" s="1144"/>
      <c r="ALE50" s="1144"/>
      <c r="ALF50" s="1144"/>
      <c r="ALG50" s="1144"/>
      <c r="ALH50" s="1144"/>
      <c r="ALI50" s="1144"/>
      <c r="ALJ50" s="1144"/>
      <c r="ALK50" s="1144"/>
      <c r="ALL50" s="1144"/>
      <c r="ALM50" s="1144"/>
      <c r="ALN50" s="1144"/>
      <c r="ALO50" s="1144"/>
      <c r="ALP50" s="1144"/>
      <c r="ALQ50" s="1144"/>
      <c r="ALR50" s="1144"/>
      <c r="ALS50" s="1144"/>
      <c r="ALT50" s="1144"/>
      <c r="ALU50" s="1144"/>
      <c r="ALV50" s="1144"/>
      <c r="ALW50" s="1144"/>
      <c r="ALX50" s="1144"/>
      <c r="ALY50" s="1144"/>
      <c r="ALZ50" s="1144"/>
      <c r="AMA50" s="1144"/>
      <c r="AMB50" s="1144"/>
      <c r="AMC50" s="1144"/>
      <c r="AMD50" s="1144"/>
      <c r="AME50" s="1144"/>
      <c r="AMF50" s="1144"/>
      <c r="AMG50" s="1144"/>
      <c r="AMH50" s="1144"/>
      <c r="AMI50" s="1144"/>
      <c r="AMJ50" s="1144"/>
      <c r="AMK50" s="1144"/>
      <c r="AML50" s="1144"/>
      <c r="AMM50" s="1144"/>
      <c r="AMN50" s="1144"/>
      <c r="AMO50" s="1144"/>
      <c r="AMP50" s="1144"/>
      <c r="AMQ50" s="1144"/>
      <c r="AMR50" s="1144"/>
      <c r="AMS50" s="1144"/>
      <c r="AMT50" s="1144"/>
      <c r="AMU50" s="1144"/>
      <c r="AMV50" s="1144"/>
      <c r="AMW50" s="1144"/>
      <c r="AMX50" s="1144"/>
      <c r="AMY50" s="1144"/>
      <c r="AMZ50" s="1144"/>
      <c r="ANA50" s="1144"/>
      <c r="ANB50" s="1144"/>
      <c r="ANC50" s="1144"/>
      <c r="AND50" s="1144"/>
      <c r="ANE50" s="1144"/>
      <c r="ANF50" s="1144"/>
      <c r="ANG50" s="1144"/>
      <c r="ANH50" s="1144"/>
      <c r="ANI50" s="1144"/>
      <c r="ANJ50" s="1144"/>
      <c r="ANK50" s="1144"/>
      <c r="ANL50" s="1144"/>
      <c r="ANM50" s="1144"/>
      <c r="ANN50" s="1144"/>
      <c r="ANO50" s="1144"/>
      <c r="ANP50" s="1144"/>
      <c r="ANQ50" s="1144"/>
      <c r="ANR50" s="1144"/>
      <c r="ANS50" s="1144"/>
      <c r="ANT50" s="1144"/>
      <c r="ANU50" s="1144"/>
      <c r="ANV50" s="1144"/>
      <c r="ANW50" s="1144"/>
      <c r="ANX50" s="1144"/>
      <c r="ANY50" s="1144"/>
      <c r="ANZ50" s="1144"/>
      <c r="AOA50" s="1144"/>
      <c r="AOB50" s="1144"/>
      <c r="AOC50" s="1144"/>
      <c r="AOD50" s="1144"/>
      <c r="AOE50" s="1144"/>
      <c r="AOF50" s="1144"/>
      <c r="AOG50" s="1144"/>
      <c r="AOH50" s="1144"/>
      <c r="AOI50" s="1144"/>
      <c r="AOJ50" s="1144"/>
      <c r="AOK50" s="1144"/>
      <c r="AOL50" s="1144"/>
      <c r="AOM50" s="1144"/>
      <c r="AON50" s="1144"/>
      <c r="AOO50" s="1144"/>
      <c r="AOP50" s="1144"/>
      <c r="AOQ50" s="1144"/>
      <c r="AOR50" s="1144"/>
      <c r="AOS50" s="1144"/>
      <c r="AOT50" s="1144"/>
      <c r="AOU50" s="1144"/>
      <c r="AOV50" s="1144"/>
      <c r="AOW50" s="1144"/>
      <c r="AOX50" s="1144"/>
      <c r="AOY50" s="1144"/>
      <c r="AOZ50" s="1144"/>
      <c r="APA50" s="1144"/>
      <c r="APB50" s="1144"/>
      <c r="APC50" s="1144"/>
      <c r="APD50" s="1144"/>
      <c r="APE50" s="1144"/>
      <c r="APF50" s="1144"/>
      <c r="APG50" s="1144"/>
      <c r="APH50" s="1144"/>
      <c r="API50" s="1144"/>
      <c r="APJ50" s="1144"/>
      <c r="APK50" s="1144"/>
      <c r="APL50" s="1144"/>
      <c r="APM50" s="1144"/>
      <c r="APN50" s="1144"/>
      <c r="APO50" s="1144"/>
      <c r="APP50" s="1144"/>
      <c r="APQ50" s="1144"/>
      <c r="APR50" s="1144"/>
      <c r="APS50" s="1144"/>
      <c r="APT50" s="1144"/>
      <c r="APU50" s="1144"/>
      <c r="APV50" s="1144"/>
      <c r="APW50" s="1144"/>
      <c r="APX50" s="1144"/>
      <c r="APY50" s="1144"/>
      <c r="APZ50" s="1144"/>
      <c r="AQA50" s="1144"/>
      <c r="AQB50" s="1144"/>
      <c r="AQC50" s="1144"/>
      <c r="AQD50" s="1144"/>
      <c r="AQE50" s="1144"/>
      <c r="AQF50" s="1144"/>
      <c r="AQG50" s="1144"/>
      <c r="AQH50" s="1144"/>
      <c r="AQI50" s="1144"/>
      <c r="AQJ50" s="1144"/>
      <c r="AQK50" s="1144"/>
      <c r="AQL50" s="1144"/>
      <c r="AQM50" s="1144"/>
      <c r="AQN50" s="1144"/>
      <c r="AQO50" s="1144"/>
      <c r="AQP50" s="1144"/>
      <c r="AQQ50" s="1144"/>
      <c r="AQR50" s="1144"/>
      <c r="AQS50" s="1144"/>
      <c r="AQT50" s="1144"/>
      <c r="AQU50" s="1144"/>
      <c r="AQV50" s="1144"/>
      <c r="AQW50" s="1144"/>
      <c r="AQX50" s="1144"/>
      <c r="AQY50" s="1144"/>
      <c r="AQZ50" s="1144"/>
      <c r="ARA50" s="1144"/>
      <c r="ARB50" s="1144"/>
      <c r="ARC50" s="1144"/>
      <c r="ARD50" s="1144"/>
      <c r="ARE50" s="1144"/>
      <c r="ARF50" s="1144"/>
      <c r="ARG50" s="1144"/>
      <c r="ARH50" s="1144"/>
      <c r="ARI50" s="1144"/>
      <c r="ARJ50" s="1144"/>
      <c r="ARK50" s="1144"/>
      <c r="ARL50" s="1144"/>
      <c r="ARM50" s="1144"/>
      <c r="ARN50" s="1144"/>
      <c r="ARO50" s="1144"/>
      <c r="ARP50" s="1144"/>
      <c r="ARQ50" s="1144"/>
      <c r="ARR50" s="1144"/>
      <c r="ARS50" s="1144"/>
      <c r="ART50" s="1144"/>
      <c r="ARU50" s="1144"/>
      <c r="ARV50" s="1144"/>
      <c r="ARW50" s="1144"/>
      <c r="ARX50" s="1144"/>
      <c r="ARY50" s="1144"/>
      <c r="ARZ50" s="1144"/>
      <c r="ASA50" s="1144"/>
      <c r="ASB50" s="1144"/>
      <c r="ASC50" s="1144"/>
      <c r="ASD50" s="1144"/>
      <c r="ASE50" s="1144"/>
      <c r="ASF50" s="1144"/>
      <c r="ASG50" s="1144"/>
      <c r="ASH50" s="1144"/>
      <c r="ASI50" s="1144"/>
      <c r="ASJ50" s="1144"/>
      <c r="ASK50" s="1144"/>
      <c r="ASL50" s="1144"/>
      <c r="ASM50" s="1144"/>
      <c r="ASN50" s="1144"/>
      <c r="ASO50" s="1144"/>
      <c r="ASP50" s="1144"/>
      <c r="ASQ50" s="1144"/>
      <c r="ASR50" s="1144"/>
      <c r="ASS50" s="1144"/>
      <c r="AST50" s="1144"/>
      <c r="ASU50" s="1144"/>
      <c r="ASV50" s="1144"/>
      <c r="ASW50" s="1144"/>
      <c r="ASX50" s="1144"/>
      <c r="ASY50" s="1144"/>
      <c r="ASZ50" s="1144"/>
      <c r="ATA50" s="1144"/>
      <c r="ATB50" s="1144"/>
      <c r="ATC50" s="1144"/>
      <c r="ATD50" s="1144"/>
      <c r="ATE50" s="1144"/>
      <c r="ATF50" s="1144"/>
      <c r="ATG50" s="1144"/>
      <c r="ATH50" s="1144"/>
      <c r="ATI50" s="1144"/>
      <c r="ATJ50" s="1144"/>
      <c r="ATK50" s="1144"/>
      <c r="ATL50" s="1144"/>
      <c r="ATM50" s="1144"/>
      <c r="ATN50" s="1144"/>
      <c r="ATO50" s="1144"/>
      <c r="ATP50" s="1144"/>
      <c r="ATQ50" s="1144"/>
      <c r="ATR50" s="1144"/>
      <c r="ATS50" s="1144"/>
      <c r="ATT50" s="1144"/>
      <c r="ATU50" s="1144"/>
      <c r="ATV50" s="1144"/>
      <c r="ATW50" s="1144"/>
      <c r="ATX50" s="1144"/>
      <c r="ATY50" s="1144"/>
      <c r="ATZ50" s="1144"/>
      <c r="AUA50" s="1144"/>
      <c r="AUB50" s="1144"/>
      <c r="AUC50" s="1144"/>
      <c r="AUD50" s="1144"/>
      <c r="AUE50" s="1144"/>
      <c r="AUF50" s="1144"/>
      <c r="AUG50" s="1144"/>
      <c r="AUH50" s="1144"/>
      <c r="AUI50" s="1144"/>
      <c r="AUJ50" s="1144"/>
      <c r="AUK50" s="1144"/>
      <c r="AUL50" s="1144"/>
      <c r="AUM50" s="1144"/>
      <c r="AUN50" s="1144"/>
      <c r="AUO50" s="1144"/>
      <c r="AUP50" s="1144"/>
      <c r="AUQ50" s="1144"/>
      <c r="AUR50" s="1144"/>
      <c r="AUS50" s="1144"/>
      <c r="AUT50" s="1144"/>
      <c r="AUU50" s="1144"/>
      <c r="AUV50" s="1144"/>
      <c r="AUW50" s="1144"/>
      <c r="AUX50" s="1144"/>
      <c r="AUY50" s="1144"/>
      <c r="AUZ50" s="1144"/>
      <c r="AVA50" s="1144"/>
      <c r="AVB50" s="1144"/>
      <c r="AVC50" s="1144"/>
      <c r="AVD50" s="1144"/>
      <c r="AVE50" s="1144"/>
      <c r="AVF50" s="1144"/>
      <c r="AVG50" s="1144"/>
      <c r="AVH50" s="1144"/>
      <c r="AVI50" s="1144"/>
      <c r="AVJ50" s="1144"/>
      <c r="AVK50" s="1144"/>
      <c r="AVL50" s="1144"/>
      <c r="AVM50" s="1144"/>
      <c r="AVN50" s="1144"/>
      <c r="AVO50" s="1144"/>
      <c r="AVP50" s="1144"/>
      <c r="AVQ50" s="1144"/>
      <c r="AVR50" s="1144"/>
      <c r="AVS50" s="1144"/>
      <c r="AVT50" s="1144"/>
      <c r="AVU50" s="1144"/>
      <c r="AVV50" s="1144"/>
      <c r="AVW50" s="1144"/>
      <c r="AVX50" s="1144"/>
      <c r="AVY50" s="1144"/>
      <c r="AVZ50" s="1144"/>
      <c r="AWA50" s="1144"/>
      <c r="AWB50" s="1144"/>
      <c r="AWC50" s="1144"/>
      <c r="AWD50" s="1144"/>
      <c r="AWE50" s="1144"/>
      <c r="AWF50" s="1144"/>
      <c r="AWG50" s="1144"/>
      <c r="AWH50" s="1144"/>
      <c r="AWI50" s="1144"/>
      <c r="AWJ50" s="1144"/>
      <c r="AWK50" s="1144"/>
      <c r="AWL50" s="1144"/>
      <c r="AWM50" s="1144"/>
      <c r="AWN50" s="1144"/>
      <c r="AWO50" s="1144"/>
      <c r="AWP50" s="1144"/>
      <c r="AWQ50" s="1144"/>
      <c r="AWR50" s="1144"/>
      <c r="AWS50" s="1144"/>
      <c r="AWT50" s="1144"/>
      <c r="AWU50" s="1144"/>
      <c r="AWV50" s="1144"/>
      <c r="AWW50" s="1144"/>
      <c r="AWX50" s="1144"/>
      <c r="AWY50" s="1144"/>
      <c r="AWZ50" s="1144"/>
      <c r="AXA50" s="1144"/>
      <c r="AXB50" s="1144"/>
      <c r="AXC50" s="1144"/>
      <c r="AXD50" s="1144"/>
      <c r="AXE50" s="1144"/>
      <c r="AXF50" s="1144"/>
      <c r="AXG50" s="1144"/>
      <c r="AXH50" s="1144"/>
      <c r="AXI50" s="1144"/>
      <c r="AXJ50" s="1144"/>
      <c r="AXK50" s="1144"/>
      <c r="AXL50" s="1144"/>
      <c r="AXM50" s="1144"/>
      <c r="AXN50" s="1144"/>
      <c r="AXO50" s="1144"/>
      <c r="AXP50" s="1144"/>
      <c r="AXQ50" s="1144"/>
      <c r="AXR50" s="1144"/>
      <c r="AXS50" s="1144"/>
      <c r="AXT50" s="1144"/>
      <c r="AXU50" s="1144"/>
      <c r="AXV50" s="1144"/>
      <c r="AXW50" s="1144"/>
      <c r="AXX50" s="1144"/>
      <c r="AXY50" s="1144"/>
      <c r="AXZ50" s="1144"/>
      <c r="AYA50" s="1144"/>
      <c r="AYB50" s="1144"/>
      <c r="AYC50" s="1144"/>
      <c r="AYD50" s="1144"/>
      <c r="AYE50" s="1144"/>
      <c r="AYF50" s="1144"/>
      <c r="AYG50" s="1144"/>
      <c r="AYH50" s="1144"/>
      <c r="AYI50" s="1144"/>
      <c r="AYJ50" s="1144"/>
      <c r="AYK50" s="1144"/>
      <c r="AYL50" s="1144"/>
      <c r="AYM50" s="1144"/>
      <c r="AYN50" s="1144"/>
      <c r="AYO50" s="1144"/>
      <c r="AYP50" s="1144"/>
      <c r="AYQ50" s="1144"/>
      <c r="AYR50" s="1144"/>
      <c r="AYS50" s="1144"/>
      <c r="AYT50" s="1144"/>
      <c r="AYU50" s="1144"/>
      <c r="AYV50" s="1144"/>
      <c r="AYW50" s="1144"/>
      <c r="AYX50" s="1144"/>
      <c r="AYY50" s="1144"/>
      <c r="AYZ50" s="1144"/>
      <c r="AZA50" s="1144"/>
      <c r="AZB50" s="1144"/>
      <c r="AZC50" s="1144"/>
      <c r="AZD50" s="1144"/>
      <c r="AZE50" s="1144"/>
      <c r="AZF50" s="1144"/>
      <c r="AZG50" s="1144"/>
      <c r="AZH50" s="1144"/>
      <c r="AZI50" s="1144"/>
      <c r="AZJ50" s="1144"/>
      <c r="AZK50" s="1144"/>
      <c r="AZL50" s="1144"/>
      <c r="AZM50" s="1144"/>
      <c r="AZN50" s="1144"/>
      <c r="AZO50" s="1144"/>
      <c r="AZP50" s="1144"/>
      <c r="AZQ50" s="1144"/>
      <c r="AZR50" s="1144"/>
      <c r="AZS50" s="1144"/>
      <c r="AZT50" s="1144"/>
      <c r="AZU50" s="1144"/>
      <c r="AZV50" s="1144"/>
      <c r="AZW50" s="1144"/>
      <c r="AZX50" s="1144"/>
      <c r="AZY50" s="1144"/>
      <c r="AZZ50" s="1144"/>
      <c r="BAA50" s="1144"/>
      <c r="BAB50" s="1144"/>
      <c r="BAC50" s="1144"/>
      <c r="BAD50" s="1144"/>
      <c r="BAE50" s="1144"/>
      <c r="BAF50" s="1144"/>
      <c r="BAG50" s="1144"/>
      <c r="BAH50" s="1144"/>
      <c r="BAI50" s="1144"/>
      <c r="BAJ50" s="1144"/>
      <c r="BAK50" s="1144"/>
      <c r="BAL50" s="1144"/>
      <c r="BAM50" s="1144"/>
      <c r="BAN50" s="1144"/>
      <c r="BAO50" s="1144"/>
      <c r="BAP50" s="1144"/>
      <c r="BAQ50" s="1144"/>
      <c r="BAR50" s="1144"/>
      <c r="BAS50" s="1144"/>
      <c r="BAT50" s="1144"/>
      <c r="BAU50" s="1144"/>
      <c r="BAV50" s="1144"/>
      <c r="BAW50" s="1144"/>
      <c r="BAX50" s="1144"/>
      <c r="BAY50" s="1144"/>
      <c r="BAZ50" s="1144"/>
      <c r="BBA50" s="1144"/>
      <c r="BBB50" s="1144"/>
      <c r="BBC50" s="1144"/>
      <c r="BBD50" s="1144"/>
      <c r="BBE50" s="1144"/>
      <c r="BBF50" s="1144"/>
      <c r="BBG50" s="1144"/>
      <c r="BBH50" s="1144"/>
      <c r="BBI50" s="1144"/>
      <c r="BBJ50" s="1144"/>
      <c r="BBK50" s="1144"/>
      <c r="BBL50" s="1144"/>
      <c r="BBM50" s="1144"/>
      <c r="BBN50" s="1144"/>
      <c r="BBO50" s="1144"/>
      <c r="BBP50" s="1144"/>
      <c r="BBQ50" s="1144"/>
      <c r="BBR50" s="1144"/>
      <c r="BBS50" s="1144"/>
      <c r="BBT50" s="1144"/>
      <c r="BBU50" s="1144"/>
      <c r="BBV50" s="1144"/>
      <c r="BBW50" s="1144"/>
      <c r="BBX50" s="1144"/>
      <c r="BBY50" s="1144"/>
      <c r="BBZ50" s="1144"/>
      <c r="BCA50" s="1144"/>
      <c r="BCB50" s="1144"/>
      <c r="BCC50" s="1144"/>
      <c r="BCD50" s="1144"/>
      <c r="BCE50" s="1144"/>
      <c r="BCF50" s="1144"/>
      <c r="BCG50" s="1144"/>
      <c r="BCH50" s="1144"/>
      <c r="BCI50" s="1144"/>
      <c r="BCJ50" s="1144"/>
      <c r="BCK50" s="1144"/>
      <c r="BCL50" s="1144"/>
      <c r="BCM50" s="1144"/>
      <c r="BCN50" s="1144"/>
      <c r="BCO50" s="1144"/>
      <c r="BCP50" s="1144"/>
      <c r="BCQ50" s="1144"/>
      <c r="BCR50" s="1144"/>
      <c r="BCS50" s="1144"/>
      <c r="BCT50" s="1144"/>
      <c r="BCU50" s="1144"/>
      <c r="BCV50" s="1144"/>
      <c r="BCW50" s="1144"/>
      <c r="BCX50" s="1144"/>
      <c r="BCY50" s="1144"/>
      <c r="BCZ50" s="1144"/>
      <c r="BDA50" s="1144"/>
      <c r="BDB50" s="1144"/>
      <c r="BDC50" s="1144"/>
      <c r="BDD50" s="1144"/>
      <c r="BDE50" s="1144"/>
      <c r="BDF50" s="1144"/>
      <c r="BDG50" s="1144"/>
      <c r="BDH50" s="1144"/>
      <c r="BDI50" s="1144"/>
      <c r="BDJ50" s="1144"/>
      <c r="BDK50" s="1144"/>
      <c r="BDL50" s="1144"/>
      <c r="BDM50" s="1144"/>
      <c r="BDN50" s="1144"/>
      <c r="BDO50" s="1144"/>
      <c r="BDP50" s="1144"/>
      <c r="BDQ50" s="1144"/>
      <c r="BDR50" s="1144"/>
      <c r="BDS50" s="1144"/>
      <c r="BDT50" s="1144"/>
      <c r="BDU50" s="1144"/>
      <c r="BDV50" s="1144"/>
      <c r="BDW50" s="1144"/>
      <c r="BDX50" s="1144"/>
      <c r="BDY50" s="1144"/>
      <c r="BDZ50" s="1144"/>
      <c r="BEA50" s="1144"/>
      <c r="BEB50" s="1144"/>
      <c r="BEC50" s="1144"/>
      <c r="BED50" s="1144"/>
      <c r="BEE50" s="1144"/>
      <c r="BEF50" s="1144"/>
      <c r="BEG50" s="1144"/>
      <c r="BEH50" s="1144"/>
      <c r="BEI50" s="1144"/>
      <c r="BEJ50" s="1144"/>
      <c r="BEK50" s="1144"/>
      <c r="BEL50" s="1144"/>
      <c r="BEM50" s="1144"/>
      <c r="BEN50" s="1144"/>
      <c r="BEO50" s="1144"/>
      <c r="BEP50" s="1144"/>
      <c r="BEQ50" s="1144"/>
      <c r="BER50" s="1144"/>
      <c r="BES50" s="1144"/>
      <c r="BET50" s="1144"/>
      <c r="BEU50" s="1144"/>
      <c r="BEV50" s="1144"/>
      <c r="BEW50" s="1144"/>
      <c r="BEX50" s="1144"/>
      <c r="BEY50" s="1144"/>
      <c r="BEZ50" s="1144"/>
      <c r="BFA50" s="1144"/>
      <c r="BFB50" s="1144"/>
      <c r="BFC50" s="1144"/>
      <c r="BFD50" s="1144"/>
      <c r="BFE50" s="1144"/>
      <c r="BFF50" s="1144"/>
      <c r="BFG50" s="1144"/>
      <c r="BFH50" s="1144"/>
      <c r="BFI50" s="1144"/>
      <c r="BFJ50" s="1144"/>
      <c r="BFK50" s="1144"/>
      <c r="BFL50" s="1144"/>
      <c r="BFM50" s="1144"/>
      <c r="BFN50" s="1144"/>
      <c r="BFO50" s="1144"/>
      <c r="BFP50" s="1144"/>
      <c r="BFQ50" s="1144"/>
      <c r="BFR50" s="1144"/>
      <c r="BFS50" s="1144"/>
      <c r="BFT50" s="1144"/>
      <c r="BFU50" s="1144"/>
      <c r="BFV50" s="1144"/>
      <c r="BFW50" s="1144"/>
      <c r="BFX50" s="1144"/>
      <c r="BFY50" s="1144"/>
      <c r="BFZ50" s="1144"/>
      <c r="BGA50" s="1144"/>
      <c r="BGB50" s="1144"/>
      <c r="BGC50" s="1144"/>
      <c r="BGD50" s="1144"/>
      <c r="BGE50" s="1144"/>
      <c r="BGF50" s="1144"/>
      <c r="BGG50" s="1144"/>
      <c r="BGH50" s="1144"/>
      <c r="BGI50" s="1144"/>
      <c r="BGJ50" s="1144"/>
      <c r="BGK50" s="1144"/>
      <c r="BGL50" s="1144"/>
      <c r="BGM50" s="1144"/>
      <c r="BGN50" s="1144"/>
      <c r="BGO50" s="1144"/>
      <c r="BGP50" s="1144"/>
      <c r="BGQ50" s="1144"/>
      <c r="BGR50" s="1144"/>
      <c r="BGS50" s="1144"/>
      <c r="BGT50" s="1144"/>
      <c r="BGU50" s="1144"/>
      <c r="BGV50" s="1144"/>
      <c r="BGW50" s="1144"/>
      <c r="BGX50" s="1144"/>
      <c r="BGY50" s="1144"/>
      <c r="BGZ50" s="1144"/>
      <c r="BHA50" s="1144"/>
      <c r="BHB50" s="1144"/>
      <c r="BHC50" s="1144"/>
      <c r="BHD50" s="1144"/>
      <c r="BHE50" s="1144"/>
      <c r="BHF50" s="1144"/>
      <c r="BHG50" s="1144"/>
      <c r="BHH50" s="1144"/>
      <c r="BHI50" s="1144"/>
      <c r="BHJ50" s="1144"/>
      <c r="BHK50" s="1144"/>
      <c r="BHL50" s="1144"/>
      <c r="BHM50" s="1144"/>
      <c r="BHN50" s="1144"/>
      <c r="BHO50" s="1144"/>
      <c r="BHP50" s="1144"/>
      <c r="BHQ50" s="1144"/>
      <c r="BHR50" s="1144"/>
      <c r="BHS50" s="1144"/>
      <c r="BHT50" s="1144"/>
      <c r="BHU50" s="1144"/>
      <c r="BHV50" s="1144"/>
      <c r="BHW50" s="1144"/>
      <c r="BHX50" s="1144"/>
      <c r="BHY50" s="1144"/>
      <c r="BHZ50" s="1144"/>
      <c r="BIA50" s="1144"/>
      <c r="BIB50" s="1144"/>
      <c r="BIC50" s="1144"/>
      <c r="BID50" s="1144"/>
      <c r="BIE50" s="1144"/>
      <c r="BIF50" s="1144"/>
      <c r="BIG50" s="1144"/>
      <c r="BIH50" s="1144"/>
      <c r="BII50" s="1144"/>
      <c r="BIJ50" s="1144"/>
      <c r="BIK50" s="1144"/>
      <c r="BIL50" s="1144"/>
      <c r="BIM50" s="1144"/>
      <c r="BIN50" s="1144"/>
      <c r="BIO50" s="1144"/>
      <c r="BIP50" s="1144"/>
      <c r="BIQ50" s="1144"/>
      <c r="BIR50" s="1144"/>
      <c r="BIS50" s="1144"/>
      <c r="BIT50" s="1144"/>
      <c r="BIU50" s="1144"/>
      <c r="BIV50" s="1144"/>
      <c r="BIW50" s="1144"/>
      <c r="BIX50" s="1144"/>
      <c r="BIY50" s="1144"/>
      <c r="BIZ50" s="1144"/>
      <c r="BJA50" s="1144"/>
      <c r="BJB50" s="1144"/>
      <c r="BJC50" s="1144"/>
      <c r="BJD50" s="1144"/>
      <c r="BJE50" s="1144"/>
      <c r="BJF50" s="1144"/>
      <c r="BJG50" s="1144"/>
      <c r="BJH50" s="1144"/>
      <c r="BJI50" s="1144"/>
      <c r="BJJ50" s="1144"/>
      <c r="BJK50" s="1144"/>
      <c r="BJL50" s="1144"/>
      <c r="BJM50" s="1144"/>
      <c r="BJN50" s="1144"/>
      <c r="BJO50" s="1144"/>
      <c r="BJP50" s="1144"/>
      <c r="BJQ50" s="1144"/>
      <c r="BJR50" s="1144"/>
      <c r="BJS50" s="1144"/>
      <c r="BJT50" s="1144"/>
      <c r="BJU50" s="1144"/>
      <c r="BJV50" s="1144"/>
      <c r="BJW50" s="1144"/>
      <c r="BJX50" s="1144"/>
      <c r="BJY50" s="1144"/>
      <c r="BJZ50" s="1144"/>
      <c r="BKA50" s="1144"/>
      <c r="BKB50" s="1144"/>
      <c r="BKC50" s="1144"/>
      <c r="BKD50" s="1144"/>
      <c r="BKE50" s="1144"/>
      <c r="BKF50" s="1144"/>
      <c r="BKG50" s="1144"/>
      <c r="BKH50" s="1144"/>
      <c r="BKI50" s="1144"/>
      <c r="BKJ50" s="1144"/>
      <c r="BKK50" s="1144"/>
      <c r="BKL50" s="1144"/>
      <c r="BKM50" s="1144"/>
      <c r="BKN50" s="1144"/>
      <c r="BKO50" s="1144"/>
      <c r="BKP50" s="1144"/>
      <c r="BKQ50" s="1144"/>
      <c r="BKR50" s="1144"/>
      <c r="BKS50" s="1144"/>
      <c r="BKT50" s="1144"/>
      <c r="BKU50" s="1144"/>
      <c r="BKV50" s="1144"/>
      <c r="BKW50" s="1144"/>
      <c r="BKX50" s="1144"/>
      <c r="BKY50" s="1144"/>
      <c r="BKZ50" s="1144"/>
      <c r="BLA50" s="1144"/>
      <c r="BLB50" s="1144"/>
      <c r="BLC50" s="1144"/>
      <c r="BLD50" s="1144"/>
      <c r="BLE50" s="1144"/>
      <c r="BLF50" s="1144"/>
      <c r="BLG50" s="1144"/>
      <c r="BLH50" s="1144"/>
      <c r="BLI50" s="1144"/>
      <c r="BLJ50" s="1144"/>
      <c r="BLK50" s="1144"/>
      <c r="BLL50" s="1144"/>
      <c r="BLM50" s="1144"/>
      <c r="BLN50" s="1144"/>
      <c r="BLO50" s="1144"/>
      <c r="BLP50" s="1144"/>
      <c r="BLQ50" s="1144"/>
      <c r="BLR50" s="1144"/>
      <c r="BLS50" s="1144"/>
      <c r="BLT50" s="1144"/>
      <c r="BLU50" s="1144"/>
      <c r="BLV50" s="1144"/>
      <c r="BLW50" s="1144"/>
      <c r="BLX50" s="1144"/>
      <c r="BLY50" s="1144"/>
      <c r="BLZ50" s="1144"/>
      <c r="BMA50" s="1144"/>
      <c r="BMB50" s="1144"/>
      <c r="BMC50" s="1144"/>
      <c r="BMD50" s="1144"/>
      <c r="BME50" s="1144"/>
      <c r="BMF50" s="1144"/>
      <c r="BMG50" s="1144"/>
      <c r="BMH50" s="1144"/>
      <c r="BMI50" s="1144"/>
      <c r="BMJ50" s="1144"/>
      <c r="BMK50" s="1144"/>
      <c r="BML50" s="1144"/>
      <c r="BMM50" s="1144"/>
      <c r="BMN50" s="1144"/>
      <c r="BMO50" s="1144"/>
      <c r="BMP50" s="1144"/>
      <c r="BMQ50" s="1144"/>
      <c r="BMR50" s="1144"/>
      <c r="BMS50" s="1144"/>
      <c r="BMT50" s="1144"/>
      <c r="BMU50" s="1144"/>
      <c r="BMV50" s="1144"/>
      <c r="BMW50" s="1144"/>
      <c r="BMX50" s="1144"/>
      <c r="BMY50" s="1144"/>
      <c r="BMZ50" s="1144"/>
      <c r="BNA50" s="1144"/>
      <c r="BNB50" s="1144"/>
      <c r="BNC50" s="1144"/>
      <c r="BND50" s="1144"/>
      <c r="BNE50" s="1144"/>
      <c r="BNF50" s="1144"/>
      <c r="BNG50" s="1144"/>
      <c r="BNH50" s="1144"/>
      <c r="BNI50" s="1144"/>
      <c r="BNJ50" s="1144"/>
      <c r="BNK50" s="1144"/>
      <c r="BNL50" s="1144"/>
      <c r="BNM50" s="1144"/>
      <c r="BNN50" s="1144"/>
      <c r="BNO50" s="1144"/>
      <c r="BNP50" s="1144"/>
      <c r="BNQ50" s="1144"/>
      <c r="BNR50" s="1144"/>
      <c r="BNS50" s="1144"/>
      <c r="BNT50" s="1144"/>
      <c r="BNU50" s="1144"/>
      <c r="BNV50" s="1144"/>
      <c r="BNW50" s="1144"/>
      <c r="BNX50" s="1144"/>
      <c r="BNY50" s="1144"/>
      <c r="BNZ50" s="1144"/>
      <c r="BOA50" s="1144"/>
      <c r="BOB50" s="1144"/>
      <c r="BOC50" s="1144"/>
      <c r="BOD50" s="1144"/>
      <c r="BOE50" s="1144"/>
      <c r="BOF50" s="1144"/>
      <c r="BOG50" s="1144"/>
      <c r="BOH50" s="1144"/>
      <c r="BOI50" s="1144"/>
      <c r="BOJ50" s="1144"/>
      <c r="BOK50" s="1144"/>
      <c r="BOL50" s="1144"/>
      <c r="BOM50" s="1144"/>
      <c r="BON50" s="1144"/>
      <c r="BOO50" s="1144"/>
      <c r="BOP50" s="1144"/>
      <c r="BOQ50" s="1144"/>
      <c r="BOR50" s="1144"/>
      <c r="BOS50" s="1144"/>
      <c r="BOT50" s="1144"/>
      <c r="BOU50" s="1144"/>
      <c r="BOV50" s="1144"/>
      <c r="BOW50" s="1144"/>
      <c r="BOX50" s="1144"/>
      <c r="BOY50" s="1144"/>
      <c r="BOZ50" s="1144"/>
      <c r="BPA50" s="1144"/>
      <c r="BPB50" s="1144"/>
      <c r="BPC50" s="1144"/>
      <c r="BPD50" s="1144"/>
      <c r="BPE50" s="1144"/>
      <c r="BPF50" s="1144"/>
      <c r="BPG50" s="1144"/>
      <c r="BPH50" s="1144"/>
      <c r="BPI50" s="1144"/>
      <c r="BPJ50" s="1144"/>
      <c r="BPK50" s="1144"/>
      <c r="BPL50" s="1144"/>
      <c r="BPM50" s="1144"/>
      <c r="BPN50" s="1144"/>
      <c r="BPO50" s="1144"/>
      <c r="BPP50" s="1144"/>
      <c r="BPQ50" s="1144"/>
      <c r="BPR50" s="1144"/>
      <c r="BPS50" s="1144"/>
      <c r="BPT50" s="1144"/>
      <c r="BPU50" s="1144"/>
      <c r="BPV50" s="1144"/>
      <c r="BPW50" s="1144"/>
      <c r="BPX50" s="1144"/>
      <c r="BPY50" s="1144"/>
      <c r="BPZ50" s="1144"/>
      <c r="BQA50" s="1144"/>
      <c r="BQB50" s="1144"/>
      <c r="BQC50" s="1144"/>
      <c r="BQD50" s="1144"/>
      <c r="BQE50" s="1144"/>
      <c r="BQF50" s="1144"/>
      <c r="BQG50" s="1144"/>
      <c r="BQH50" s="1144"/>
      <c r="BQI50" s="1144"/>
      <c r="BQJ50" s="1144"/>
      <c r="BQK50" s="1144"/>
      <c r="BQL50" s="1144"/>
      <c r="BQM50" s="1144"/>
      <c r="BQN50" s="1144"/>
      <c r="BQO50" s="1144"/>
      <c r="BQP50" s="1144"/>
      <c r="BQQ50" s="1144"/>
      <c r="BQR50" s="1144"/>
      <c r="BQS50" s="1144"/>
      <c r="BQT50" s="1144"/>
      <c r="BQU50" s="1144"/>
      <c r="BQV50" s="1144"/>
      <c r="BQW50" s="1144"/>
      <c r="BQX50" s="1144"/>
      <c r="BQY50" s="1144"/>
      <c r="BQZ50" s="1144"/>
      <c r="BRA50" s="1144"/>
      <c r="BRB50" s="1144"/>
      <c r="BRC50" s="1144"/>
      <c r="BRD50" s="1144"/>
      <c r="BRE50" s="1144"/>
      <c r="BRF50" s="1144"/>
      <c r="BRG50" s="1144"/>
      <c r="BRH50" s="1144"/>
      <c r="BRI50" s="1144"/>
      <c r="BRJ50" s="1144"/>
      <c r="BRK50" s="1144"/>
      <c r="BRL50" s="1144"/>
      <c r="BRM50" s="1144"/>
      <c r="BRN50" s="1144"/>
      <c r="BRO50" s="1144"/>
      <c r="BRP50" s="1144"/>
      <c r="BRQ50" s="1144"/>
      <c r="BRR50" s="1144"/>
      <c r="BRS50" s="1144"/>
      <c r="BRT50" s="1144"/>
      <c r="BRU50" s="1144"/>
      <c r="BRV50" s="1144"/>
      <c r="BRW50" s="1144"/>
      <c r="BRX50" s="1144"/>
      <c r="BRY50" s="1144"/>
      <c r="BRZ50" s="1144"/>
      <c r="BSA50" s="1144"/>
      <c r="BSB50" s="1144"/>
      <c r="BSC50" s="1144"/>
      <c r="BSD50" s="1144"/>
      <c r="BSE50" s="1144"/>
      <c r="BSF50" s="1144"/>
      <c r="BSG50" s="1144"/>
      <c r="BSH50" s="1144"/>
      <c r="BSI50" s="1144"/>
      <c r="BSJ50" s="1144"/>
      <c r="BSK50" s="1144"/>
      <c r="BSL50" s="1144"/>
      <c r="BSM50" s="1144"/>
      <c r="BSN50" s="1144"/>
      <c r="BSO50" s="1144"/>
      <c r="BSP50" s="1144"/>
      <c r="BSQ50" s="1144"/>
      <c r="BSR50" s="1144"/>
      <c r="BSS50" s="1144"/>
      <c r="BST50" s="1144"/>
      <c r="BSU50" s="1144"/>
      <c r="BSV50" s="1144"/>
      <c r="BSW50" s="1144"/>
      <c r="BSX50" s="1144"/>
      <c r="BSY50" s="1144"/>
      <c r="BSZ50" s="1144"/>
      <c r="BTA50" s="1144"/>
      <c r="BTB50" s="1144"/>
      <c r="BTC50" s="1144"/>
      <c r="BTD50" s="1144"/>
      <c r="BTE50" s="1144"/>
      <c r="BTF50" s="1144"/>
      <c r="BTG50" s="1144"/>
      <c r="BTH50" s="1144"/>
      <c r="BTI50" s="1144"/>
      <c r="BTJ50" s="1144"/>
      <c r="BTK50" s="1144"/>
      <c r="BTL50" s="1144"/>
      <c r="BTM50" s="1144"/>
      <c r="BTN50" s="1144"/>
      <c r="BTO50" s="1144"/>
      <c r="BTP50" s="1144"/>
      <c r="BTQ50" s="1144"/>
      <c r="BTR50" s="1144"/>
      <c r="BTS50" s="1144"/>
      <c r="BTT50" s="1144"/>
      <c r="BTU50" s="1144"/>
      <c r="BTV50" s="1144"/>
      <c r="BTW50" s="1144"/>
      <c r="BTX50" s="1144"/>
      <c r="BTY50" s="1144"/>
      <c r="BTZ50" s="1144"/>
      <c r="BUA50" s="1144"/>
      <c r="BUB50" s="1144"/>
      <c r="BUC50" s="1144"/>
      <c r="BUD50" s="1144"/>
      <c r="BUE50" s="1144"/>
      <c r="BUF50" s="1144"/>
      <c r="BUG50" s="1144"/>
      <c r="BUH50" s="1144"/>
      <c r="BUI50" s="1144"/>
      <c r="BUJ50" s="1144"/>
      <c r="BUK50" s="1144"/>
      <c r="BUL50" s="1144"/>
      <c r="BUM50" s="1144"/>
      <c r="BUN50" s="1144"/>
      <c r="BUO50" s="1144"/>
      <c r="BUP50" s="1144"/>
      <c r="BUQ50" s="1144"/>
      <c r="BUR50" s="1144"/>
      <c r="BUS50" s="1144"/>
      <c r="BUT50" s="1144"/>
      <c r="BUU50" s="1144"/>
      <c r="BUV50" s="1144"/>
      <c r="BUW50" s="1144"/>
      <c r="BUX50" s="1144"/>
      <c r="BUY50" s="1144"/>
      <c r="BUZ50" s="1144"/>
      <c r="BVA50" s="1144"/>
      <c r="BVB50" s="1144"/>
      <c r="BVC50" s="1144"/>
      <c r="BVD50" s="1144"/>
      <c r="BVE50" s="1144"/>
      <c r="BVF50" s="1144"/>
      <c r="BVG50" s="1144"/>
      <c r="BVH50" s="1144"/>
      <c r="BVI50" s="1144"/>
      <c r="BVJ50" s="1144"/>
      <c r="BVK50" s="1144"/>
      <c r="BVL50" s="1144"/>
      <c r="BVM50" s="1144"/>
      <c r="BVN50" s="1144"/>
      <c r="BVO50" s="1144"/>
      <c r="BVP50" s="1144"/>
      <c r="BVQ50" s="1144"/>
      <c r="BVR50" s="1144"/>
      <c r="BVS50" s="1144"/>
      <c r="BVT50" s="1144"/>
      <c r="BVU50" s="1144"/>
      <c r="BVV50" s="1144"/>
      <c r="BVW50" s="1144"/>
      <c r="BVX50" s="1144"/>
      <c r="BVY50" s="1144"/>
      <c r="BVZ50" s="1144"/>
      <c r="BWA50" s="1144"/>
      <c r="BWB50" s="1144"/>
      <c r="BWC50" s="1144"/>
      <c r="BWD50" s="1144"/>
      <c r="BWE50" s="1144"/>
      <c r="BWF50" s="1144"/>
      <c r="BWG50" s="1144"/>
      <c r="BWH50" s="1144"/>
      <c r="BWI50" s="1144"/>
      <c r="BWJ50" s="1144"/>
      <c r="BWK50" s="1144"/>
      <c r="BWL50" s="1144"/>
      <c r="BWM50" s="1144"/>
      <c r="BWN50" s="1144"/>
      <c r="BWO50" s="1144"/>
      <c r="BWP50" s="1144"/>
      <c r="BWQ50" s="1144"/>
      <c r="BWR50" s="1144"/>
      <c r="BWS50" s="1144"/>
      <c r="BWT50" s="1144"/>
      <c r="BWU50" s="1144"/>
      <c r="BWV50" s="1144"/>
      <c r="BWW50" s="1144"/>
      <c r="BWX50" s="1144"/>
      <c r="BWY50" s="1144"/>
      <c r="BWZ50" s="1144"/>
      <c r="BXA50" s="1144"/>
      <c r="BXB50" s="1144"/>
      <c r="BXC50" s="1144"/>
      <c r="BXD50" s="1144"/>
      <c r="BXE50" s="1144"/>
      <c r="BXF50" s="1144"/>
      <c r="BXG50" s="1144"/>
      <c r="BXH50" s="1144"/>
      <c r="BXI50" s="1144"/>
      <c r="BXJ50" s="1144"/>
      <c r="BXK50" s="1144"/>
      <c r="BXL50" s="1144"/>
      <c r="BXM50" s="1144"/>
      <c r="BXN50" s="1144"/>
      <c r="BXO50" s="1144"/>
      <c r="BXP50" s="1144"/>
      <c r="BXQ50" s="1144"/>
      <c r="BXR50" s="1144"/>
      <c r="BXS50" s="1144"/>
      <c r="BXT50" s="1144"/>
      <c r="BXU50" s="1144"/>
      <c r="BXV50" s="1144"/>
      <c r="BXW50" s="1144"/>
      <c r="BXX50" s="1144"/>
      <c r="BXY50" s="1144"/>
      <c r="BXZ50" s="1144"/>
      <c r="BYA50" s="1144"/>
      <c r="BYB50" s="1144"/>
      <c r="BYC50" s="1144"/>
      <c r="BYD50" s="1144"/>
      <c r="BYE50" s="1144"/>
      <c r="BYF50" s="1144"/>
      <c r="BYG50" s="1144"/>
      <c r="BYH50" s="1144"/>
      <c r="BYI50" s="1144"/>
      <c r="BYJ50" s="1144"/>
      <c r="BYK50" s="1144"/>
      <c r="BYL50" s="1144"/>
      <c r="BYM50" s="1144"/>
      <c r="BYN50" s="1144"/>
      <c r="BYO50" s="1144"/>
      <c r="BYP50" s="1144"/>
      <c r="BYQ50" s="1144"/>
      <c r="BYR50" s="1144"/>
      <c r="BYS50" s="1144"/>
      <c r="BYT50" s="1144"/>
      <c r="BYU50" s="1144"/>
      <c r="BYV50" s="1144"/>
      <c r="BYW50" s="1144"/>
      <c r="BYX50" s="1144"/>
      <c r="BYY50" s="1144"/>
      <c r="BYZ50" s="1144"/>
      <c r="BZA50" s="1144"/>
      <c r="BZB50" s="1144"/>
      <c r="BZC50" s="1144"/>
      <c r="BZD50" s="1144"/>
      <c r="BZE50" s="1144"/>
      <c r="BZF50" s="1144"/>
      <c r="BZG50" s="1144"/>
      <c r="BZH50" s="1144"/>
      <c r="BZI50" s="1144"/>
      <c r="BZJ50" s="1144"/>
      <c r="BZK50" s="1144"/>
      <c r="BZL50" s="1144"/>
      <c r="BZM50" s="1144"/>
      <c r="BZN50" s="1144"/>
      <c r="BZO50" s="1144"/>
      <c r="BZP50" s="1144"/>
      <c r="BZQ50" s="1144"/>
      <c r="BZR50" s="1144"/>
      <c r="BZS50" s="1144"/>
      <c r="BZT50" s="1144"/>
      <c r="BZU50" s="1144"/>
      <c r="BZV50" s="1144"/>
      <c r="BZW50" s="1144"/>
      <c r="BZX50" s="1144"/>
      <c r="BZY50" s="1144"/>
      <c r="BZZ50" s="1144"/>
      <c r="CAA50" s="1144"/>
      <c r="CAB50" s="1144"/>
      <c r="CAC50" s="1144"/>
      <c r="CAD50" s="1144"/>
      <c r="CAE50" s="1144"/>
      <c r="CAF50" s="1144"/>
      <c r="CAG50" s="1144"/>
      <c r="CAH50" s="1144"/>
      <c r="CAI50" s="1144"/>
      <c r="CAJ50" s="1144"/>
      <c r="CAK50" s="1144"/>
      <c r="CAL50" s="1144"/>
      <c r="CAM50" s="1144"/>
      <c r="CAN50" s="1144"/>
      <c r="CAO50" s="1144"/>
      <c r="CAP50" s="1144"/>
      <c r="CAQ50" s="1144"/>
      <c r="CAR50" s="1144"/>
      <c r="CAS50" s="1144"/>
      <c r="CAT50" s="1144"/>
      <c r="CAU50" s="1144"/>
      <c r="CAV50" s="1144"/>
      <c r="CAW50" s="1144"/>
      <c r="CAX50" s="1144"/>
      <c r="CAY50" s="1144"/>
      <c r="CAZ50" s="1144"/>
      <c r="CBA50" s="1144"/>
      <c r="CBB50" s="1144"/>
      <c r="CBC50" s="1144"/>
      <c r="CBD50" s="1144"/>
      <c r="CBE50" s="1144"/>
      <c r="CBF50" s="1144"/>
      <c r="CBG50" s="1144"/>
      <c r="CBH50" s="1144"/>
      <c r="CBI50" s="1144"/>
      <c r="CBJ50" s="1144"/>
      <c r="CBK50" s="1144"/>
      <c r="CBL50" s="1144"/>
      <c r="CBM50" s="1144"/>
      <c r="CBN50" s="1144"/>
      <c r="CBO50" s="1144"/>
      <c r="CBP50" s="1144"/>
      <c r="CBQ50" s="1144"/>
      <c r="CBR50" s="1144"/>
      <c r="CBS50" s="1144"/>
      <c r="CBT50" s="1144"/>
      <c r="CBU50" s="1144"/>
      <c r="CBV50" s="1144"/>
      <c r="CBW50" s="1144"/>
      <c r="CBX50" s="1144"/>
      <c r="CBY50" s="1144"/>
      <c r="CBZ50" s="1144"/>
      <c r="CCA50" s="1144"/>
      <c r="CCB50" s="1144"/>
      <c r="CCC50" s="1144"/>
      <c r="CCD50" s="1144"/>
      <c r="CCE50" s="1144"/>
      <c r="CCF50" s="1144"/>
      <c r="CCG50" s="1144"/>
      <c r="CCH50" s="1144"/>
      <c r="CCI50" s="1144"/>
      <c r="CCJ50" s="1144"/>
      <c r="CCK50" s="1144"/>
      <c r="CCL50" s="1144"/>
      <c r="CCM50" s="1144"/>
      <c r="CCN50" s="1144"/>
      <c r="CCO50" s="1144"/>
      <c r="CCP50" s="1144"/>
      <c r="CCQ50" s="1144"/>
      <c r="CCR50" s="1144"/>
      <c r="CCS50" s="1144"/>
      <c r="CCT50" s="1144"/>
      <c r="CCU50" s="1144"/>
      <c r="CCV50" s="1144"/>
      <c r="CCW50" s="1144"/>
      <c r="CCX50" s="1144"/>
      <c r="CCY50" s="1144"/>
      <c r="CCZ50" s="1144"/>
      <c r="CDA50" s="1144"/>
      <c r="CDB50" s="1144"/>
      <c r="CDC50" s="1144"/>
      <c r="CDD50" s="1144"/>
      <c r="CDE50" s="1144"/>
      <c r="CDF50" s="1144"/>
      <c r="CDG50" s="1144"/>
      <c r="CDH50" s="1144"/>
      <c r="CDI50" s="1144"/>
      <c r="CDJ50" s="1144"/>
      <c r="CDK50" s="1144"/>
      <c r="CDL50" s="1144"/>
      <c r="CDM50" s="1144"/>
      <c r="CDN50" s="1144"/>
      <c r="CDO50" s="1144"/>
      <c r="CDP50" s="1144"/>
      <c r="CDQ50" s="1144"/>
      <c r="CDR50" s="1144"/>
      <c r="CDS50" s="1144"/>
      <c r="CDT50" s="1144"/>
      <c r="CDU50" s="1144"/>
      <c r="CDV50" s="1144"/>
      <c r="CDW50" s="1144"/>
      <c r="CDX50" s="1144"/>
      <c r="CDY50" s="1144"/>
      <c r="CDZ50" s="1144"/>
      <c r="CEA50" s="1144"/>
      <c r="CEB50" s="1144"/>
      <c r="CEC50" s="1144"/>
      <c r="CED50" s="1144"/>
      <c r="CEE50" s="1144"/>
      <c r="CEF50" s="1144"/>
      <c r="CEG50" s="1144"/>
      <c r="CEH50" s="1144"/>
      <c r="CEI50" s="1144"/>
      <c r="CEJ50" s="1144"/>
      <c r="CEK50" s="1144"/>
      <c r="CEL50" s="1144"/>
      <c r="CEM50" s="1144"/>
      <c r="CEN50" s="1144"/>
      <c r="CEO50" s="1144"/>
      <c r="CEP50" s="1144"/>
      <c r="CEQ50" s="1144"/>
      <c r="CER50" s="1144"/>
      <c r="CES50" s="1144"/>
      <c r="CET50" s="1144"/>
      <c r="CEU50" s="1144"/>
      <c r="CEV50" s="1144"/>
      <c r="CEW50" s="1144"/>
      <c r="CEX50" s="1144"/>
      <c r="CEY50" s="1144"/>
      <c r="CEZ50" s="1144"/>
      <c r="CFA50" s="1144"/>
      <c r="CFB50" s="1144"/>
      <c r="CFC50" s="1144"/>
      <c r="CFD50" s="1144"/>
      <c r="CFE50" s="1144"/>
      <c r="CFF50" s="1144"/>
      <c r="CFG50" s="1144"/>
      <c r="CFH50" s="1144"/>
      <c r="CFI50" s="1144"/>
      <c r="CFJ50" s="1144"/>
      <c r="CFK50" s="1144"/>
      <c r="CFL50" s="1144"/>
      <c r="CFM50" s="1144"/>
      <c r="CFN50" s="1144"/>
      <c r="CFO50" s="1144"/>
      <c r="CFP50" s="1144"/>
      <c r="CFQ50" s="1144"/>
      <c r="CFR50" s="1144"/>
      <c r="CFS50" s="1144"/>
      <c r="CFT50" s="1144"/>
      <c r="CFU50" s="1144"/>
      <c r="CFV50" s="1144"/>
      <c r="CFW50" s="1144"/>
      <c r="CFX50" s="1144"/>
      <c r="CFY50" s="1144"/>
      <c r="CFZ50" s="1144"/>
      <c r="CGA50" s="1144"/>
      <c r="CGB50" s="1144"/>
      <c r="CGC50" s="1144"/>
      <c r="CGD50" s="1144"/>
      <c r="CGE50" s="1144"/>
      <c r="CGF50" s="1144"/>
      <c r="CGG50" s="1144"/>
      <c r="CGH50" s="1144"/>
      <c r="CGI50" s="1144"/>
      <c r="CGJ50" s="1144"/>
      <c r="CGK50" s="1144"/>
      <c r="CGL50" s="1144"/>
      <c r="CGM50" s="1144"/>
      <c r="CGN50" s="1144"/>
      <c r="CGO50" s="1144"/>
      <c r="CGP50" s="1144"/>
      <c r="CGQ50" s="1144"/>
      <c r="CGR50" s="1144"/>
      <c r="CGS50" s="1144"/>
      <c r="CGT50" s="1144"/>
      <c r="CGU50" s="1144"/>
      <c r="CGV50" s="1144"/>
      <c r="CGW50" s="1144"/>
      <c r="CGX50" s="1144"/>
      <c r="CGY50" s="1144"/>
      <c r="CGZ50" s="1144"/>
      <c r="CHA50" s="1144"/>
      <c r="CHB50" s="1144"/>
      <c r="CHC50" s="1144"/>
      <c r="CHD50" s="1144"/>
      <c r="CHE50" s="1144"/>
      <c r="CHF50" s="1144"/>
      <c r="CHG50" s="1144"/>
      <c r="CHH50" s="1144"/>
      <c r="CHI50" s="1144"/>
      <c r="CHJ50" s="1144"/>
      <c r="CHK50" s="1144"/>
      <c r="CHL50" s="1144"/>
      <c r="CHM50" s="1144"/>
      <c r="CHN50" s="1144"/>
      <c r="CHO50" s="1144"/>
      <c r="CHP50" s="1144"/>
      <c r="CHQ50" s="1144"/>
      <c r="CHR50" s="1144"/>
      <c r="CHS50" s="1144"/>
      <c r="CHT50" s="1144"/>
      <c r="CHU50" s="1144"/>
      <c r="CHV50" s="1144"/>
      <c r="CHW50" s="1144"/>
      <c r="CHX50" s="1144"/>
      <c r="CHY50" s="1144"/>
      <c r="CHZ50" s="1144"/>
      <c r="CIA50" s="1144"/>
      <c r="CIB50" s="1144"/>
      <c r="CIC50" s="1144"/>
      <c r="CID50" s="1144"/>
      <c r="CIE50" s="1144"/>
      <c r="CIF50" s="1144"/>
      <c r="CIG50" s="1144"/>
      <c r="CIH50" s="1144"/>
      <c r="CII50" s="1144"/>
      <c r="CIJ50" s="1144"/>
      <c r="CIK50" s="1144"/>
      <c r="CIL50" s="1144"/>
      <c r="CIM50" s="1144"/>
      <c r="CIN50" s="1144"/>
      <c r="CIO50" s="1144"/>
      <c r="CIP50" s="1144"/>
      <c r="CIQ50" s="1144"/>
      <c r="CIR50" s="1144"/>
      <c r="CIS50" s="1144"/>
      <c r="CIT50" s="1144"/>
      <c r="CIU50" s="1144"/>
      <c r="CIV50" s="1144"/>
      <c r="CIW50" s="1144"/>
      <c r="CIX50" s="1144"/>
      <c r="CIY50" s="1144"/>
      <c r="CIZ50" s="1144"/>
      <c r="CJA50" s="1144"/>
      <c r="CJB50" s="1144"/>
      <c r="CJC50" s="1144"/>
      <c r="CJD50" s="1144"/>
      <c r="CJE50" s="1144"/>
      <c r="CJF50" s="1144"/>
      <c r="CJG50" s="1144"/>
      <c r="CJH50" s="1144"/>
      <c r="CJI50" s="1144"/>
      <c r="CJJ50" s="1144"/>
      <c r="CJK50" s="1144"/>
      <c r="CJL50" s="1144"/>
      <c r="CJM50" s="1144"/>
      <c r="CJN50" s="1144"/>
      <c r="CJO50" s="1144"/>
      <c r="CJP50" s="1144"/>
      <c r="CJQ50" s="1144"/>
      <c r="CJR50" s="1144"/>
      <c r="CJS50" s="1144"/>
      <c r="CJT50" s="1144"/>
      <c r="CJU50" s="1144"/>
      <c r="CJV50" s="1144"/>
      <c r="CJW50" s="1144"/>
      <c r="CJX50" s="1144"/>
      <c r="CJY50" s="1144"/>
      <c r="CJZ50" s="1144"/>
      <c r="CKA50" s="1144"/>
      <c r="CKB50" s="1144"/>
      <c r="CKC50" s="1144"/>
      <c r="CKD50" s="1144"/>
      <c r="CKE50" s="1144"/>
      <c r="CKF50" s="1144"/>
      <c r="CKG50" s="1144"/>
      <c r="CKH50" s="1144"/>
      <c r="CKI50" s="1144"/>
      <c r="CKJ50" s="1144"/>
      <c r="CKK50" s="1144"/>
      <c r="CKL50" s="1144"/>
      <c r="CKM50" s="1144"/>
      <c r="CKN50" s="1144"/>
      <c r="CKO50" s="1144"/>
      <c r="CKP50" s="1144"/>
      <c r="CKQ50" s="1144"/>
      <c r="CKR50" s="1144"/>
      <c r="CKS50" s="1144"/>
      <c r="CKT50" s="1144"/>
      <c r="CKU50" s="1144"/>
      <c r="CKV50" s="1144"/>
      <c r="CKW50" s="1144"/>
      <c r="CKX50" s="1144"/>
      <c r="CKY50" s="1144"/>
      <c r="CKZ50" s="1144"/>
      <c r="CLA50" s="1144"/>
      <c r="CLB50" s="1144"/>
      <c r="CLC50" s="1144"/>
      <c r="CLD50" s="1144"/>
      <c r="CLE50" s="1144"/>
      <c r="CLF50" s="1144"/>
      <c r="CLG50" s="1144"/>
      <c r="CLH50" s="1144"/>
      <c r="CLI50" s="1144"/>
      <c r="CLJ50" s="1144"/>
      <c r="CLK50" s="1144"/>
      <c r="CLL50" s="1144"/>
      <c r="CLM50" s="1144"/>
      <c r="CLN50" s="1144"/>
      <c r="CLO50" s="1144"/>
      <c r="CLP50" s="1144"/>
      <c r="CLQ50" s="1144"/>
      <c r="CLR50" s="1144"/>
      <c r="CLS50" s="1144"/>
      <c r="CLT50" s="1144"/>
      <c r="CLU50" s="1144"/>
      <c r="CLV50" s="1144"/>
      <c r="CLW50" s="1144"/>
    </row>
    <row r="51" spans="1:2363" s="1144" customFormat="1" ht="15" customHeight="1" x14ac:dyDescent="0.2">
      <c r="A51" s="2072"/>
      <c r="B51" s="2489"/>
      <c r="C51" s="2210"/>
      <c r="D51" s="3357" t="s">
        <v>683</v>
      </c>
      <c r="E51" s="3362">
        <f>E34+E50</f>
        <v>30</v>
      </c>
      <c r="F51" s="1920">
        <f>F34+F50</f>
        <v>1880</v>
      </c>
      <c r="G51" s="2074">
        <f>+F51/E51</f>
        <v>62.666666666666664</v>
      </c>
      <c r="H51" s="2073">
        <f>+H34+H50</f>
        <v>0</v>
      </c>
      <c r="I51" s="1920">
        <f>I34+I50</f>
        <v>0</v>
      </c>
      <c r="J51" s="1920" t="e">
        <f>+I51/H51</f>
        <v>#DIV/0!</v>
      </c>
      <c r="K51" s="2073">
        <f>K34+K50</f>
        <v>0</v>
      </c>
      <c r="L51" s="1920">
        <f>L34+L50</f>
        <v>0</v>
      </c>
      <c r="M51" s="1920"/>
      <c r="N51" s="1920">
        <f t="shared" ref="N51:V51" si="97">N34+N50</f>
        <v>1880</v>
      </c>
      <c r="O51" s="2419">
        <f>O34+O50</f>
        <v>1880</v>
      </c>
      <c r="P51" s="1920">
        <f t="shared" si="97"/>
        <v>0</v>
      </c>
      <c r="Q51" s="1920">
        <f t="shared" si="97"/>
        <v>187500</v>
      </c>
      <c r="R51" s="1920">
        <f t="shared" si="97"/>
        <v>3311458.75</v>
      </c>
      <c r="S51" s="1920">
        <f t="shared" si="97"/>
        <v>12500</v>
      </c>
      <c r="T51" s="1920">
        <f t="shared" si="97"/>
        <v>0</v>
      </c>
      <c r="U51" s="2888">
        <f t="shared" si="97"/>
        <v>439061.25</v>
      </c>
      <c r="V51" s="1920">
        <f t="shared" si="97"/>
        <v>3955520</v>
      </c>
      <c r="W51" s="1920"/>
      <c r="X51" s="1920"/>
      <c r="Y51" s="1920"/>
      <c r="Z51" s="2815">
        <f>Z34+Z50</f>
        <v>618050</v>
      </c>
      <c r="AA51" s="1920">
        <f>AA34+AA50</f>
        <v>871063.73</v>
      </c>
      <c r="AB51" s="1920">
        <f>AB34+AB50</f>
        <v>871063.73</v>
      </c>
      <c r="AC51" s="1920">
        <f>AC34+AC50</f>
        <v>0</v>
      </c>
      <c r="AD51" s="1920">
        <f>AD34+AD50</f>
        <v>418452.93</v>
      </c>
      <c r="AE51" s="1920"/>
      <c r="AF51" s="1920">
        <f>AF34+AF50</f>
        <v>0</v>
      </c>
      <c r="AG51" s="1920"/>
      <c r="AH51" s="1920">
        <f t="shared" ref="AH51:AT51" si="98">AH34+AH50</f>
        <v>418452.93</v>
      </c>
      <c r="AI51" s="1920">
        <f t="shared" si="98"/>
        <v>0</v>
      </c>
      <c r="AJ51" s="1920">
        <f t="shared" si="98"/>
        <v>0</v>
      </c>
      <c r="AK51" s="2419">
        <f t="shared" si="98"/>
        <v>0</v>
      </c>
      <c r="AL51" s="1920">
        <f t="shared" si="98"/>
        <v>70000</v>
      </c>
      <c r="AM51" s="1920">
        <f t="shared" si="98"/>
        <v>70000</v>
      </c>
      <c r="AN51" s="1920">
        <f t="shared" si="98"/>
        <v>0</v>
      </c>
      <c r="AO51" s="1920">
        <f t="shared" si="98"/>
        <v>70000</v>
      </c>
      <c r="AP51" s="1920">
        <f t="shared" si="98"/>
        <v>0</v>
      </c>
      <c r="AQ51" s="1920">
        <f t="shared" si="98"/>
        <v>0</v>
      </c>
      <c r="AR51" s="1920">
        <f t="shared" si="98"/>
        <v>0</v>
      </c>
      <c r="AS51" s="1905">
        <f t="shared" si="98"/>
        <v>70000</v>
      </c>
      <c r="AT51" s="1920">
        <f t="shared" si="98"/>
        <v>2063950.52</v>
      </c>
      <c r="AU51" s="1920">
        <f>AU50+AU34</f>
        <v>0</v>
      </c>
      <c r="AV51" s="1920">
        <f>AV34</f>
        <v>0</v>
      </c>
      <c r="AW51" s="2419">
        <f>AU51+AV51</f>
        <v>0</v>
      </c>
      <c r="AX51" s="1920">
        <f t="shared" ref="AX51:BC51" si="99">AX34+AX50</f>
        <v>70000</v>
      </c>
      <c r="AY51" s="1920">
        <f t="shared" si="99"/>
        <v>70000</v>
      </c>
      <c r="AZ51" s="1920">
        <f t="shared" si="99"/>
        <v>0</v>
      </c>
      <c r="BA51" s="1920">
        <f t="shared" si="99"/>
        <v>70000</v>
      </c>
      <c r="BB51" s="1920">
        <f t="shared" si="99"/>
        <v>322186.25</v>
      </c>
      <c r="BC51" s="1920">
        <f t="shared" si="99"/>
        <v>0</v>
      </c>
      <c r="BD51" s="1920"/>
      <c r="BE51" s="1920">
        <f>BE34+BE50</f>
        <v>392186.25</v>
      </c>
      <c r="BF51" s="1920">
        <f>BF50+BF34</f>
        <v>0</v>
      </c>
      <c r="BG51" s="1920">
        <f>BG50+BG34</f>
        <v>0</v>
      </c>
      <c r="BH51" s="1920">
        <f>BH34+BH50</f>
        <v>322186.25</v>
      </c>
      <c r="BI51" s="2419">
        <f>BI50+BI34</f>
        <v>322186.25</v>
      </c>
      <c r="BJ51" s="1920">
        <f>BJ34+BJ50</f>
        <v>548050</v>
      </c>
      <c r="BK51" s="1920">
        <f>BK34+BK50</f>
        <v>548050</v>
      </c>
      <c r="BL51" s="1920">
        <f>BJ51-BK51</f>
        <v>0</v>
      </c>
      <c r="BM51" s="1920">
        <f>BM34+BM50</f>
        <v>2048050</v>
      </c>
      <c r="BN51" s="1920">
        <f>BN34+BN50</f>
        <v>81250</v>
      </c>
      <c r="BO51" s="1920">
        <f>BO34+BO50</f>
        <v>0</v>
      </c>
      <c r="BP51" s="1920">
        <f>BP34+BP50</f>
        <v>0</v>
      </c>
      <c r="BQ51" s="1920">
        <f>+BQ34+BQ50</f>
        <v>2129300</v>
      </c>
      <c r="BR51" s="1920">
        <f>BR34+BR50</f>
        <v>2487326.52</v>
      </c>
      <c r="BS51" s="1920">
        <f>BS34+BS50</f>
        <v>81250</v>
      </c>
      <c r="BT51" s="2419">
        <f>+BT34+BT50</f>
        <v>2568576.52</v>
      </c>
      <c r="BU51" s="3147"/>
      <c r="BV51" s="3058"/>
      <c r="BW51" s="3058"/>
      <c r="BX51" s="3058"/>
      <c r="BY51" s="3147"/>
      <c r="BZ51" s="3147"/>
      <c r="CA51" s="3147"/>
      <c r="CB51" s="3147"/>
      <c r="CC51" s="3155"/>
      <c r="CD51" s="3155"/>
      <c r="CE51" s="3155"/>
      <c r="CF51" s="3155"/>
      <c r="CG51" s="3155"/>
      <c r="CH51" s="3155"/>
      <c r="CI51" s="3156"/>
      <c r="CJ51" s="3156"/>
      <c r="CK51" s="3156"/>
      <c r="CL51" s="3156"/>
      <c r="CM51" s="3156"/>
      <c r="CN51" s="3156"/>
      <c r="CO51" s="3156"/>
      <c r="CP51" s="3156"/>
      <c r="CQ51" s="3156"/>
      <c r="CR51" s="3156"/>
      <c r="CS51" s="3156"/>
      <c r="CT51" s="3156"/>
      <c r="CU51" s="3156"/>
      <c r="CV51" s="3156"/>
      <c r="TU51" s="3783"/>
      <c r="TV51" s="3783"/>
      <c r="TW51" s="3783"/>
      <c r="TX51" s="3783"/>
      <c r="TY51" s="3783"/>
      <c r="TZ51" s="3783"/>
      <c r="UA51" s="3783"/>
      <c r="UB51" s="3783"/>
      <c r="UC51" s="3783"/>
      <c r="UD51" s="3783"/>
      <c r="UE51" s="3783"/>
      <c r="UF51" s="3783"/>
      <c r="UG51" s="3783"/>
      <c r="UH51" s="3783"/>
      <c r="UI51" s="3783"/>
      <c r="UJ51" s="3783"/>
      <c r="UK51" s="3783"/>
      <c r="UL51" s="3783"/>
      <c r="UM51" s="3783"/>
      <c r="UN51" s="3783"/>
      <c r="UO51" s="3783"/>
    </row>
    <row r="52" spans="1:2363" s="1144" customFormat="1" ht="15" customHeight="1" x14ac:dyDescent="0.2">
      <c r="A52" s="2072"/>
      <c r="B52" s="2637"/>
      <c r="C52" s="1997"/>
      <c r="D52" s="3363"/>
      <c r="E52" s="3362"/>
      <c r="F52" s="1920"/>
      <c r="G52" s="2074"/>
      <c r="H52" s="2073"/>
      <c r="I52" s="1920"/>
      <c r="J52" s="1920"/>
      <c r="K52" s="2073"/>
      <c r="L52" s="1920"/>
      <c r="M52" s="1920"/>
      <c r="N52" s="1920"/>
      <c r="O52" s="2419"/>
      <c r="P52" s="1920"/>
      <c r="Q52" s="1920"/>
      <c r="R52" s="1920"/>
      <c r="S52" s="1920"/>
      <c r="T52" s="1920"/>
      <c r="U52" s="2888"/>
      <c r="V52" s="1920"/>
      <c r="W52" s="1920"/>
      <c r="X52" s="1920"/>
      <c r="Y52" s="1920"/>
      <c r="Z52" s="2815"/>
      <c r="AA52" s="1920"/>
      <c r="AB52" s="1920"/>
      <c r="AC52" s="1920"/>
      <c r="AD52" s="1920"/>
      <c r="AE52" s="1920"/>
      <c r="AF52" s="1920"/>
      <c r="AG52" s="1920"/>
      <c r="AH52" s="1920"/>
      <c r="AI52" s="1920"/>
      <c r="AJ52" s="1920"/>
      <c r="AK52" s="2419"/>
      <c r="AL52" s="1920"/>
      <c r="AM52" s="1920"/>
      <c r="AN52" s="1920"/>
      <c r="AO52" s="1920"/>
      <c r="AP52" s="1920"/>
      <c r="AQ52" s="1920"/>
      <c r="AR52" s="1920"/>
      <c r="AS52" s="1905"/>
      <c r="AT52" s="1920"/>
      <c r="AU52" s="1920"/>
      <c r="AV52" s="1920"/>
      <c r="AW52" s="2419"/>
      <c r="AX52" s="1920"/>
      <c r="AY52" s="1920"/>
      <c r="AZ52" s="1920"/>
      <c r="BA52" s="1920"/>
      <c r="BB52" s="1920"/>
      <c r="BC52" s="1920"/>
      <c r="BD52" s="1920"/>
      <c r="BE52" s="1905"/>
      <c r="BF52" s="1920"/>
      <c r="BG52" s="1920"/>
      <c r="BH52" s="1920"/>
      <c r="BI52" s="2419"/>
      <c r="BJ52" s="1920"/>
      <c r="BK52" s="1920"/>
      <c r="BL52" s="1920"/>
      <c r="BM52" s="1920"/>
      <c r="BN52" s="1920"/>
      <c r="BO52" s="1920"/>
      <c r="BP52" s="1920"/>
      <c r="BQ52" s="1920"/>
      <c r="BR52" s="1920"/>
      <c r="BS52" s="1920"/>
      <c r="BT52" s="2419"/>
      <c r="BU52" s="3147"/>
      <c r="BV52" s="3058"/>
      <c r="BW52" s="3058"/>
      <c r="BX52" s="3058"/>
      <c r="BY52" s="3147"/>
      <c r="BZ52" s="3147"/>
      <c r="CA52" s="3147"/>
      <c r="CB52" s="3147"/>
      <c r="CC52" s="3155"/>
      <c r="CD52" s="3155"/>
      <c r="CE52" s="3155"/>
      <c r="CF52" s="3155"/>
      <c r="CG52" s="3155"/>
      <c r="CH52" s="3155"/>
      <c r="CI52" s="3156"/>
      <c r="CJ52" s="3156"/>
      <c r="CK52" s="3156"/>
      <c r="CL52" s="3156"/>
      <c r="CM52" s="3156"/>
      <c r="CN52" s="3156"/>
      <c r="CO52" s="3156"/>
      <c r="CP52" s="3156"/>
      <c r="CQ52" s="3156"/>
      <c r="CR52" s="3156"/>
      <c r="CS52" s="3156"/>
      <c r="CT52" s="3156"/>
      <c r="CU52" s="3156"/>
      <c r="CV52" s="3156"/>
      <c r="TU52" s="3783"/>
      <c r="TV52" s="3783"/>
      <c r="TW52" s="3783"/>
      <c r="TX52" s="3783"/>
      <c r="TY52" s="3783"/>
      <c r="TZ52" s="3783"/>
      <c r="UA52" s="3783"/>
      <c r="UB52" s="3783"/>
      <c r="UC52" s="3783"/>
      <c r="UD52" s="3783"/>
      <c r="UE52" s="3783"/>
      <c r="UF52" s="3783"/>
      <c r="UG52" s="3783"/>
      <c r="UH52" s="3783"/>
      <c r="UI52" s="3783"/>
      <c r="UJ52" s="3783"/>
      <c r="UK52" s="3783"/>
      <c r="UL52" s="3783"/>
      <c r="UM52" s="3783"/>
      <c r="UN52" s="3783"/>
      <c r="UO52" s="3783"/>
    </row>
    <row r="53" spans="1:2363" ht="15.75" customHeight="1" thickBot="1" x14ac:dyDescent="0.25">
      <c r="A53" s="2069"/>
      <c r="B53" s="1796"/>
      <c r="C53" s="1794"/>
      <c r="D53" s="3364" t="s">
        <v>605</v>
      </c>
      <c r="E53" s="3361">
        <f>+E31+E34+E50</f>
        <v>499</v>
      </c>
      <c r="F53" s="1905">
        <f>+F31+F34+F50</f>
        <v>35250.740000000005</v>
      </c>
      <c r="G53" s="1905">
        <f>+F53/E53</f>
        <v>70.642765531062139</v>
      </c>
      <c r="H53" s="2133">
        <f>+H31+H34+H50</f>
        <v>289</v>
      </c>
      <c r="I53" s="1905">
        <f>+I31+I34+I50</f>
        <v>3798.25</v>
      </c>
      <c r="J53" s="1905">
        <f>+I53/H53</f>
        <v>13.142733564013842</v>
      </c>
      <c r="K53" s="2133">
        <f>+K31+K34+K50</f>
        <v>4</v>
      </c>
      <c r="L53" s="1905">
        <f>+L31+L34+L50</f>
        <v>415</v>
      </c>
      <c r="M53" s="1905">
        <f>+L53/K53</f>
        <v>103.75</v>
      </c>
      <c r="N53" s="1905">
        <f>+N31+N34+N50</f>
        <v>39463.990000000005</v>
      </c>
      <c r="O53" s="2155">
        <f>+O31+O34+O50</f>
        <v>39048.990000000005</v>
      </c>
      <c r="P53" s="1905">
        <f>P31+P34+P50</f>
        <v>443212.42</v>
      </c>
      <c r="Q53" s="1905">
        <f t="shared" ref="Q53:V53" si="100">+Q31+Q34+Q50</f>
        <v>781305.38</v>
      </c>
      <c r="R53" s="1905">
        <f t="shared" si="100"/>
        <v>33971401.179999992</v>
      </c>
      <c r="S53" s="1905">
        <f t="shared" si="100"/>
        <v>119507.76999999999</v>
      </c>
      <c r="T53" s="1905">
        <f t="shared" si="100"/>
        <v>164068.74</v>
      </c>
      <c r="U53" s="2805">
        <f t="shared" si="100"/>
        <v>5299168.8600000003</v>
      </c>
      <c r="V53" s="1905">
        <f t="shared" si="100"/>
        <v>40783664.350000001</v>
      </c>
      <c r="W53" s="1905"/>
      <c r="X53" s="1905"/>
      <c r="Y53" s="1905"/>
      <c r="Z53" s="2819">
        <f>+Z31+Z34+Z50</f>
        <v>7655439.8251149813</v>
      </c>
      <c r="AA53" s="3451">
        <f>+AA31+AA34+AA50</f>
        <v>44665069.600000001</v>
      </c>
      <c r="AB53" s="3187">
        <f>+AB31+AB34+AB50</f>
        <v>44665069.600000001</v>
      </c>
      <c r="AC53" s="1905">
        <f>AC51+AC31</f>
        <v>0</v>
      </c>
      <c r="AD53" s="1905">
        <f>+AD31+AD34+AD50</f>
        <v>198060568.42000002</v>
      </c>
      <c r="AE53" s="1905">
        <f>+AE31+AE34+AE50</f>
        <v>33840243.450000003</v>
      </c>
      <c r="AF53" s="1905">
        <f>+AF31+AF34+AF50</f>
        <v>0</v>
      </c>
      <c r="AG53" s="1905"/>
      <c r="AH53" s="1905">
        <f>AH50+AH34+AH31</f>
        <v>223219306.96000001</v>
      </c>
      <c r="AI53" s="1905">
        <f>+AI31+AI34+AI50</f>
        <v>177392349.47999999</v>
      </c>
      <c r="AJ53" s="1905">
        <f>AJ51+AJ31+AJ34</f>
        <v>43478793.940000005</v>
      </c>
      <c r="AK53" s="2155">
        <f>+AK31+AK34+AK51</f>
        <v>220871143.41999999</v>
      </c>
      <c r="AL53" s="1905">
        <f>+AL31+AL34+AL50</f>
        <v>70000</v>
      </c>
      <c r="AM53" s="2174">
        <f>+AM31+AM34+AM50</f>
        <v>70000</v>
      </c>
      <c r="AN53" s="2174">
        <f>AN51+AN31</f>
        <v>0</v>
      </c>
      <c r="AO53" s="1905">
        <f>+AO31+AO34+AO50</f>
        <v>70000</v>
      </c>
      <c r="AP53" s="1905">
        <f>+AP30+AP34+AP50</f>
        <v>0</v>
      </c>
      <c r="AQ53" s="1905">
        <f t="shared" ref="AQ53:AY53" si="101">+AQ31+AQ34+AQ50</f>
        <v>0</v>
      </c>
      <c r="AR53" s="1905">
        <f t="shared" si="101"/>
        <v>755300</v>
      </c>
      <c r="AS53" s="1905">
        <f>+AS31+AS34+AS50</f>
        <v>825300</v>
      </c>
      <c r="AT53" s="1905">
        <f t="shared" si="101"/>
        <v>2778250.52</v>
      </c>
      <c r="AU53" s="1905">
        <f t="shared" si="101"/>
        <v>0</v>
      </c>
      <c r="AV53" s="1905">
        <f t="shared" si="101"/>
        <v>755300</v>
      </c>
      <c r="AW53" s="2155">
        <f>+AW31+AW34+AW50</f>
        <v>755300</v>
      </c>
      <c r="AX53" s="1905">
        <f t="shared" si="101"/>
        <v>7107389.830000001</v>
      </c>
      <c r="AY53" s="1905">
        <f t="shared" si="101"/>
        <v>7107389.830000001</v>
      </c>
      <c r="AZ53" s="2174">
        <f>AZ51+AZ31</f>
        <v>0</v>
      </c>
      <c r="BA53" s="1905">
        <f>+BA31+BA34+BA50</f>
        <v>33357509.049999997</v>
      </c>
      <c r="BB53" s="1905">
        <f>+BB31+BB34+BB50</f>
        <v>3862821.5700000003</v>
      </c>
      <c r="BC53" s="1905">
        <f>+BC31+BC34+BC50</f>
        <v>1156916.2</v>
      </c>
      <c r="BD53" s="1905"/>
      <c r="BE53" s="1905">
        <f>+BE31+BE34+BE50</f>
        <v>45401606.949999996</v>
      </c>
      <c r="BF53" s="1905">
        <f>+BF31+BF34+BF50</f>
        <v>0</v>
      </c>
      <c r="BG53" s="1905">
        <f>+BG31+BG34+BG50</f>
        <v>30283510.390000001</v>
      </c>
      <c r="BH53" s="1905">
        <f>BH31+BH34+BH50</f>
        <v>8998512.7899999991</v>
      </c>
      <c r="BI53" s="2155">
        <f>+BI31+BI34+BI50</f>
        <v>39282023.180000007</v>
      </c>
      <c r="BJ53" s="1905">
        <f>+BJ31+BJ34+BJ50</f>
        <v>548050</v>
      </c>
      <c r="BK53" s="1905">
        <f>+BK31+BK34+BK50</f>
        <v>548050</v>
      </c>
      <c r="BL53" s="1905">
        <f>BL51+BL31+BL34</f>
        <v>0</v>
      </c>
      <c r="BM53" s="1905">
        <f>+BM31+BM34+BM50</f>
        <v>2048050</v>
      </c>
      <c r="BN53" s="1905">
        <f>BN51+BN31</f>
        <v>81250</v>
      </c>
      <c r="BO53" s="1905">
        <f>BO51+BO31</f>
        <v>0</v>
      </c>
      <c r="BP53" s="1905">
        <f>+BP31+BP34+BP50</f>
        <v>733300</v>
      </c>
      <c r="BQ53" s="1905">
        <f>+BQ31+BQ34+BQ50</f>
        <v>2862600</v>
      </c>
      <c r="BR53" s="1905">
        <f>BR31+BR34+BR50</f>
        <v>2487326.52</v>
      </c>
      <c r="BS53" s="1905">
        <f>+BS31+BS34+BS50</f>
        <v>814550</v>
      </c>
      <c r="BT53" s="2155">
        <f>+BT31+BT34+BT50</f>
        <v>3301876.52</v>
      </c>
      <c r="BU53" s="3528"/>
      <c r="BV53" s="3058"/>
      <c r="BW53" s="3058"/>
      <c r="BX53" s="3058"/>
      <c r="BY53" s="3147"/>
      <c r="BZ53" s="3147"/>
      <c r="CA53" s="3147"/>
      <c r="CB53" s="3147"/>
      <c r="CC53" s="3155"/>
      <c r="CD53" s="3155"/>
      <c r="CE53" s="3155"/>
      <c r="CF53" s="3155"/>
      <c r="CG53" s="3155"/>
      <c r="CH53" s="3155"/>
      <c r="CI53" s="3156"/>
      <c r="CJ53" s="3156"/>
      <c r="CK53" s="3156"/>
      <c r="CL53" s="3156"/>
      <c r="CM53" s="3156"/>
      <c r="CN53" s="3156"/>
      <c r="CO53" s="3156"/>
      <c r="CP53" s="3156"/>
      <c r="CQ53" s="3156"/>
      <c r="CR53" s="3156"/>
      <c r="CS53" s="3156"/>
      <c r="CT53" s="3156"/>
      <c r="CU53" s="3156"/>
      <c r="CV53" s="3156"/>
      <c r="CW53" s="2854"/>
      <c r="CX53" s="2854"/>
      <c r="CY53" s="2854"/>
      <c r="CZ53" s="2854"/>
      <c r="DA53" s="2854"/>
      <c r="DB53" s="2854"/>
      <c r="DC53" s="2854"/>
      <c r="DD53" s="2854"/>
      <c r="DE53" s="2854"/>
      <c r="DF53" s="2854"/>
      <c r="DG53" s="2854"/>
      <c r="DH53" s="2854"/>
      <c r="DI53" s="2854"/>
      <c r="DJ53" s="2854"/>
      <c r="DK53" s="2854"/>
      <c r="DL53" s="2854"/>
      <c r="DM53" s="2854"/>
      <c r="DN53" s="2854"/>
      <c r="DO53" s="2854"/>
      <c r="DP53" s="2854"/>
      <c r="DQ53" s="2854"/>
      <c r="DR53" s="2854"/>
      <c r="DS53" s="2854"/>
      <c r="DT53" s="2854"/>
      <c r="DU53" s="2854"/>
      <c r="DV53" s="2854"/>
      <c r="DW53" s="2854"/>
      <c r="DX53" s="2854"/>
      <c r="DY53" s="2854"/>
      <c r="DZ53" s="2854"/>
      <c r="EA53" s="2854"/>
      <c r="EB53" s="2854"/>
      <c r="EC53" s="2854"/>
      <c r="ED53" s="2854"/>
      <c r="EE53" s="2854"/>
      <c r="EF53" s="2854"/>
      <c r="EG53" s="2854"/>
      <c r="EH53" s="2854"/>
      <c r="EI53" s="2854"/>
      <c r="EJ53" s="2854"/>
      <c r="EK53" s="2854"/>
      <c r="EL53" s="2854"/>
      <c r="EM53" s="2854"/>
      <c r="EN53" s="2854"/>
      <c r="EO53" s="2854"/>
      <c r="EP53" s="2854"/>
      <c r="EQ53" s="2854"/>
      <c r="ER53" s="2854"/>
      <c r="ES53" s="2854"/>
      <c r="ET53" s="2854"/>
      <c r="EU53" s="2854"/>
      <c r="EV53" s="2854"/>
      <c r="EW53" s="2854"/>
      <c r="EX53" s="2854"/>
      <c r="EY53" s="2854"/>
      <c r="EZ53" s="2854"/>
      <c r="FA53" s="2854"/>
      <c r="FB53" s="2854"/>
      <c r="FC53" s="2854"/>
      <c r="FD53" s="2854"/>
      <c r="FE53" s="2854"/>
      <c r="FF53" s="2854"/>
      <c r="FG53" s="2854"/>
      <c r="FH53" s="2854"/>
      <c r="FI53" s="2854"/>
      <c r="FJ53" s="2854"/>
      <c r="FK53" s="2854"/>
      <c r="FL53" s="2854"/>
      <c r="FM53" s="2854"/>
      <c r="FN53" s="2854"/>
      <c r="FO53" s="2854"/>
      <c r="FP53" s="2854"/>
      <c r="FQ53" s="2854"/>
      <c r="FR53" s="2854"/>
      <c r="FS53" s="2854"/>
      <c r="FT53" s="2854"/>
      <c r="FU53" s="2854"/>
      <c r="FV53" s="2854"/>
      <c r="FW53" s="2854"/>
      <c r="FX53" s="2854"/>
      <c r="FY53" s="2854"/>
      <c r="FZ53" s="2854"/>
      <c r="GA53" s="2854"/>
      <c r="GB53" s="2854"/>
      <c r="GC53" s="2854"/>
      <c r="GD53" s="2854"/>
      <c r="GE53" s="2854"/>
      <c r="GF53" s="2854"/>
      <c r="GG53" s="2854"/>
      <c r="GH53" s="2854"/>
      <c r="GI53" s="2854"/>
      <c r="GJ53" s="2854"/>
      <c r="GK53" s="2854"/>
      <c r="GL53" s="2854"/>
      <c r="GM53" s="2854"/>
      <c r="GN53" s="2854"/>
      <c r="GO53" s="2854"/>
      <c r="GP53" s="2854"/>
      <c r="GQ53" s="2854"/>
      <c r="GR53" s="2854"/>
      <c r="GS53" s="2854"/>
      <c r="GT53" s="2854"/>
      <c r="GU53" s="2854"/>
      <c r="GV53" s="2854"/>
      <c r="GW53" s="2854"/>
      <c r="GX53" s="2854"/>
      <c r="GY53" s="2854"/>
      <c r="GZ53" s="2854"/>
      <c r="HA53" s="2854"/>
      <c r="HB53" s="2854"/>
      <c r="HC53" s="2854"/>
      <c r="HD53" s="2854"/>
      <c r="HE53" s="2854"/>
      <c r="HF53" s="2854"/>
      <c r="HG53" s="2854"/>
      <c r="HH53" s="2854"/>
      <c r="HI53" s="2854"/>
      <c r="HJ53" s="2854"/>
      <c r="HK53" s="2854"/>
      <c r="HL53" s="2854"/>
      <c r="HM53" s="2854"/>
      <c r="HN53" s="2854"/>
      <c r="HO53" s="2854"/>
      <c r="HP53" s="2854"/>
      <c r="HQ53" s="2854"/>
      <c r="HR53" s="2854"/>
      <c r="HS53" s="2854"/>
      <c r="HT53" s="2854"/>
      <c r="HU53" s="2854"/>
      <c r="HV53" s="2854"/>
      <c r="HW53" s="2854"/>
      <c r="HX53" s="2854"/>
      <c r="HY53" s="2854"/>
      <c r="HZ53" s="2854"/>
      <c r="IA53" s="2854"/>
      <c r="IB53" s="2854"/>
      <c r="IC53" s="2854"/>
      <c r="ID53" s="2854"/>
      <c r="IE53" s="2854"/>
      <c r="IF53" s="2854"/>
      <c r="IG53" s="2854"/>
      <c r="IH53" s="2854"/>
      <c r="II53" s="2854"/>
      <c r="IJ53" s="2854"/>
      <c r="IK53" s="2854"/>
      <c r="IL53" s="2854"/>
      <c r="IM53" s="2854"/>
      <c r="IN53" s="2854"/>
      <c r="IO53" s="2854"/>
      <c r="IP53" s="2854"/>
      <c r="IQ53" s="2854"/>
      <c r="IR53" s="2854"/>
      <c r="IS53" s="2854"/>
      <c r="IT53" s="2854"/>
      <c r="IU53" s="2854"/>
      <c r="IV53" s="2854"/>
      <c r="IW53" s="2854"/>
      <c r="IX53" s="2854"/>
      <c r="IY53" s="2854"/>
      <c r="IZ53" s="2854"/>
      <c r="JA53" s="2854"/>
      <c r="JB53" s="2854"/>
      <c r="JC53" s="2854"/>
      <c r="JD53" s="2854"/>
      <c r="JE53" s="2854"/>
      <c r="JF53" s="2854"/>
      <c r="JG53" s="2854"/>
      <c r="JH53" s="2854"/>
      <c r="JI53" s="2854"/>
      <c r="JJ53" s="2854"/>
      <c r="JK53" s="2854"/>
      <c r="JL53" s="2854"/>
      <c r="JM53" s="2854"/>
      <c r="JN53" s="2854"/>
      <c r="JO53" s="2854"/>
      <c r="JP53" s="2854"/>
      <c r="JQ53" s="2854"/>
      <c r="JR53" s="2854"/>
      <c r="JS53" s="2854"/>
      <c r="JT53" s="2854"/>
      <c r="JU53" s="2854"/>
      <c r="JV53" s="2854"/>
      <c r="JW53" s="2854"/>
      <c r="JX53" s="2854"/>
      <c r="JY53" s="2854"/>
      <c r="JZ53" s="2854"/>
      <c r="KA53" s="2854"/>
      <c r="KB53" s="2854"/>
      <c r="KC53" s="2854"/>
      <c r="KD53" s="2854"/>
      <c r="KE53" s="2854"/>
      <c r="KF53" s="2854"/>
      <c r="KG53" s="2854"/>
      <c r="KH53" s="2854"/>
      <c r="KI53" s="2854"/>
      <c r="KJ53" s="2854"/>
      <c r="KK53" s="2854"/>
      <c r="KL53" s="2854"/>
      <c r="KM53" s="2854"/>
      <c r="KN53" s="2854"/>
      <c r="KO53" s="2854"/>
      <c r="KP53" s="2854"/>
      <c r="KQ53" s="2854"/>
      <c r="KR53" s="2854"/>
      <c r="KS53" s="2854"/>
      <c r="KT53" s="2854"/>
      <c r="KU53" s="2854"/>
      <c r="KV53" s="2854"/>
      <c r="KW53" s="2854"/>
      <c r="KX53" s="2854"/>
      <c r="KY53" s="2854"/>
      <c r="KZ53" s="2854"/>
      <c r="LA53" s="2854"/>
      <c r="LB53" s="2854"/>
      <c r="LC53" s="2854"/>
      <c r="LD53" s="2854"/>
      <c r="LE53" s="2854"/>
      <c r="LF53" s="2854"/>
      <c r="LG53" s="2854"/>
      <c r="LH53" s="2854"/>
      <c r="LI53" s="2854"/>
      <c r="LJ53" s="2854"/>
      <c r="LK53" s="2854"/>
      <c r="LL53" s="2854"/>
      <c r="LM53" s="2854"/>
      <c r="LN53" s="2854"/>
      <c r="LO53" s="2854"/>
      <c r="LP53" s="2854"/>
      <c r="LQ53" s="2854"/>
      <c r="LR53" s="2854"/>
      <c r="LS53" s="2854"/>
      <c r="LT53" s="2854"/>
      <c r="LU53" s="2854"/>
      <c r="LV53" s="2854"/>
      <c r="LW53" s="2854"/>
      <c r="LX53" s="2854"/>
      <c r="LY53" s="2854"/>
      <c r="LZ53" s="2854"/>
      <c r="MA53" s="2854"/>
      <c r="MB53" s="2854"/>
      <c r="MC53" s="2854"/>
      <c r="MD53" s="2854"/>
      <c r="ME53" s="2854"/>
      <c r="MF53" s="2854"/>
      <c r="MG53" s="2854"/>
      <c r="MH53" s="2854"/>
      <c r="MI53" s="2854"/>
      <c r="MJ53" s="2854"/>
      <c r="MK53" s="2854"/>
      <c r="ML53" s="2854"/>
      <c r="MM53" s="2854"/>
      <c r="MN53" s="2854"/>
      <c r="MO53" s="2854"/>
      <c r="MP53" s="2854"/>
      <c r="MQ53" s="2854"/>
      <c r="MR53" s="2854"/>
      <c r="MS53" s="2854"/>
      <c r="MT53" s="2854"/>
      <c r="MU53" s="2854"/>
      <c r="MV53" s="2854"/>
      <c r="MW53" s="2854"/>
      <c r="MX53" s="2854"/>
      <c r="MY53" s="2854"/>
      <c r="MZ53" s="2854"/>
      <c r="NA53" s="2854"/>
      <c r="NB53" s="2854"/>
      <c r="NC53" s="2854"/>
      <c r="ND53" s="2854"/>
      <c r="NE53" s="2854"/>
      <c r="NF53" s="2854"/>
      <c r="NG53" s="2854"/>
      <c r="NH53" s="2854"/>
      <c r="NI53" s="2854"/>
      <c r="NJ53" s="2854"/>
      <c r="NK53" s="2854"/>
      <c r="NL53" s="2854"/>
      <c r="NM53" s="2854"/>
      <c r="NN53" s="2854"/>
      <c r="NO53" s="2854"/>
      <c r="NP53" s="2854"/>
      <c r="NQ53" s="2854"/>
      <c r="NR53" s="2854"/>
      <c r="NS53" s="2854"/>
      <c r="NT53" s="2854"/>
      <c r="NU53" s="2854"/>
      <c r="NV53" s="2854"/>
      <c r="NW53" s="2854"/>
      <c r="NX53" s="2854"/>
      <c r="NY53" s="2854"/>
      <c r="NZ53" s="2854"/>
      <c r="OA53" s="2854"/>
      <c r="OB53" s="2854"/>
      <c r="OC53" s="2854"/>
      <c r="OD53" s="2854"/>
      <c r="OE53" s="2854"/>
      <c r="OF53" s="2854"/>
      <c r="OG53" s="2854"/>
      <c r="OH53" s="2854"/>
      <c r="OI53" s="2854"/>
      <c r="OJ53" s="2854"/>
      <c r="OK53" s="2854"/>
      <c r="OL53" s="2854"/>
      <c r="OM53" s="2854"/>
      <c r="ON53" s="2854"/>
      <c r="OO53" s="2854"/>
      <c r="OP53" s="2854"/>
      <c r="OQ53" s="2854"/>
      <c r="OR53" s="2854"/>
      <c r="OS53" s="2854"/>
      <c r="OT53" s="2854"/>
      <c r="OU53" s="2854"/>
      <c r="OV53" s="2854"/>
      <c r="OW53" s="2854"/>
      <c r="OX53" s="2854"/>
      <c r="OY53" s="2854"/>
      <c r="OZ53" s="2854"/>
      <c r="PA53" s="2854"/>
      <c r="PB53" s="2854"/>
      <c r="PC53" s="2854"/>
      <c r="PD53" s="2854"/>
      <c r="PE53" s="2854"/>
      <c r="PF53" s="2854"/>
      <c r="PG53" s="2854"/>
      <c r="PH53" s="2854"/>
      <c r="PI53" s="2854"/>
      <c r="PJ53" s="2854"/>
      <c r="PK53" s="2854"/>
      <c r="PL53" s="2854"/>
      <c r="PM53" s="2854"/>
      <c r="PN53" s="2854"/>
      <c r="PO53" s="2854"/>
      <c r="PP53" s="2854"/>
      <c r="PQ53" s="2854"/>
      <c r="PR53" s="2854"/>
      <c r="PS53" s="2854"/>
      <c r="PT53" s="2854"/>
      <c r="PU53" s="2854"/>
      <c r="PV53" s="2854"/>
      <c r="PW53" s="2854"/>
      <c r="PX53" s="2854"/>
      <c r="PY53" s="2854"/>
      <c r="PZ53" s="2854"/>
      <c r="QA53" s="2854"/>
      <c r="QB53" s="2854"/>
      <c r="QC53" s="2854"/>
      <c r="QD53" s="2854"/>
      <c r="QE53" s="2854"/>
      <c r="QF53" s="2854"/>
      <c r="QG53" s="2854"/>
      <c r="QH53" s="2854"/>
      <c r="QI53" s="2854"/>
      <c r="QJ53" s="2854"/>
      <c r="QK53" s="2854"/>
      <c r="QL53" s="2854"/>
      <c r="QM53" s="2854"/>
      <c r="QN53" s="2854"/>
      <c r="QO53" s="2854"/>
      <c r="QP53" s="2854"/>
      <c r="QQ53" s="2854"/>
      <c r="QR53" s="2854"/>
      <c r="QS53" s="2854"/>
      <c r="QT53" s="2854"/>
      <c r="QU53" s="2854"/>
      <c r="QV53" s="2854"/>
      <c r="QW53" s="2854"/>
      <c r="QX53" s="2854"/>
      <c r="QY53" s="2854"/>
      <c r="QZ53" s="2854"/>
      <c r="RA53" s="2854"/>
      <c r="RB53" s="2854"/>
      <c r="RC53" s="2854"/>
      <c r="RD53" s="2854"/>
      <c r="RE53" s="2854"/>
      <c r="RF53" s="2854"/>
      <c r="RG53" s="2854"/>
      <c r="RH53" s="2854"/>
      <c r="RI53" s="2854"/>
      <c r="RJ53" s="2854"/>
      <c r="RK53" s="2854"/>
      <c r="RL53" s="2854"/>
      <c r="RM53" s="2854"/>
      <c r="RN53" s="2854"/>
      <c r="RO53" s="2854"/>
      <c r="RP53" s="2854"/>
      <c r="RQ53" s="2854"/>
      <c r="RR53" s="2854"/>
      <c r="RS53" s="2854"/>
      <c r="RT53" s="2854"/>
      <c r="RU53" s="2854"/>
      <c r="RV53" s="2854"/>
      <c r="RW53" s="2854"/>
      <c r="RX53" s="2854"/>
      <c r="RY53" s="2854"/>
      <c r="RZ53" s="2854"/>
      <c r="SA53" s="2854"/>
      <c r="SB53" s="2854"/>
      <c r="SC53" s="2854"/>
      <c r="SD53" s="2854"/>
      <c r="SE53" s="2854"/>
      <c r="SF53" s="2854"/>
      <c r="SG53" s="2854"/>
      <c r="SH53" s="2854"/>
      <c r="SI53" s="2854"/>
      <c r="SJ53" s="2854"/>
      <c r="SK53" s="2854"/>
      <c r="SL53" s="2854"/>
      <c r="SM53" s="2854"/>
      <c r="SN53" s="2854"/>
      <c r="SO53" s="2854"/>
      <c r="SP53" s="2854"/>
      <c r="SQ53" s="2854"/>
      <c r="SR53" s="2854"/>
      <c r="SS53" s="2854"/>
      <c r="ST53" s="2854"/>
      <c r="SU53" s="2854"/>
      <c r="SV53" s="2854"/>
      <c r="SW53" s="2854"/>
      <c r="SX53" s="2854"/>
      <c r="SY53" s="2854"/>
      <c r="SZ53" s="2854"/>
      <c r="TA53" s="2854"/>
      <c r="TB53" s="2854"/>
      <c r="TC53" s="2854"/>
      <c r="TD53" s="2854"/>
      <c r="TE53" s="2854"/>
      <c r="TF53" s="2854"/>
      <c r="TG53" s="2854"/>
      <c r="TH53" s="2854"/>
      <c r="TI53" s="2854"/>
      <c r="TJ53" s="2854"/>
      <c r="TK53" s="2854"/>
      <c r="TL53" s="2854"/>
      <c r="TM53" s="2854"/>
      <c r="TN53" s="2854"/>
      <c r="TO53" s="2854"/>
      <c r="TP53" s="2854"/>
      <c r="TQ53" s="2854"/>
      <c r="TR53" s="2854"/>
      <c r="TS53" s="2854"/>
      <c r="TT53" s="2854"/>
      <c r="TU53" s="3783"/>
      <c r="TV53" s="3783"/>
      <c r="TW53" s="3783"/>
      <c r="TX53" s="3783"/>
      <c r="TY53" s="3783"/>
      <c r="TZ53" s="3783"/>
      <c r="UA53" s="3783"/>
      <c r="UB53" s="3783"/>
      <c r="UC53" s="3783"/>
      <c r="UD53" s="3783"/>
      <c r="UE53" s="3783"/>
      <c r="UF53" s="3783"/>
      <c r="UG53" s="3783"/>
      <c r="UH53" s="3783"/>
      <c r="UI53" s="3783"/>
      <c r="UJ53" s="3783"/>
      <c r="UK53" s="3783"/>
      <c r="UL53" s="3783"/>
      <c r="UM53" s="3783"/>
      <c r="UN53" s="3783"/>
      <c r="UO53" s="3783"/>
      <c r="UP53" s="2854"/>
      <c r="UQ53" s="2854"/>
      <c r="UR53" s="2854"/>
      <c r="US53" s="2854"/>
      <c r="UT53" s="2854"/>
      <c r="UU53" s="2854"/>
      <c r="UV53" s="2854"/>
      <c r="UW53" s="2854"/>
      <c r="UX53" s="2854"/>
      <c r="UY53" s="2854"/>
      <c r="UZ53" s="2854"/>
      <c r="VA53" s="2854"/>
      <c r="VB53" s="2854"/>
      <c r="VC53" s="2854"/>
      <c r="VD53" s="2854"/>
      <c r="VE53" s="2854"/>
      <c r="VF53" s="2854"/>
      <c r="VG53" s="2854"/>
      <c r="VH53" s="2854"/>
      <c r="VI53" s="2854"/>
      <c r="VJ53" s="2854"/>
      <c r="VK53" s="2854"/>
      <c r="VL53" s="2854"/>
      <c r="VM53" s="2854"/>
      <c r="VN53" s="2854"/>
      <c r="VO53" s="2854"/>
      <c r="VP53" s="2854"/>
      <c r="VQ53" s="2854"/>
      <c r="VR53" s="2854"/>
      <c r="VS53" s="2854"/>
      <c r="VT53" s="2854"/>
      <c r="VU53" s="2854"/>
      <c r="VV53" s="2854"/>
      <c r="VW53" s="2854"/>
      <c r="VX53" s="2854"/>
      <c r="VY53" s="2854"/>
      <c r="VZ53" s="2854"/>
      <c r="WA53" s="2854"/>
      <c r="WB53" s="2854"/>
      <c r="WC53" s="2854"/>
      <c r="WD53" s="2854"/>
      <c r="WE53" s="2854"/>
      <c r="WF53" s="2854"/>
      <c r="WG53" s="2854"/>
      <c r="WH53" s="2854"/>
      <c r="WI53" s="2854"/>
      <c r="WJ53" s="2854"/>
      <c r="WK53" s="2854"/>
      <c r="WL53" s="2854"/>
      <c r="WM53" s="2854"/>
      <c r="WN53" s="2854"/>
      <c r="WO53" s="2854"/>
      <c r="WP53" s="2854"/>
      <c r="WQ53" s="2854"/>
      <c r="WR53" s="2854"/>
      <c r="WS53" s="2854"/>
      <c r="WT53" s="2854"/>
      <c r="WU53" s="2854"/>
      <c r="WV53" s="2854"/>
      <c r="WW53" s="2854"/>
      <c r="WX53" s="2854"/>
      <c r="WY53" s="2854"/>
      <c r="WZ53" s="2854"/>
      <c r="XA53" s="2854"/>
      <c r="XB53" s="2854"/>
      <c r="XC53" s="2854"/>
      <c r="XD53" s="2854"/>
      <c r="XE53" s="2854"/>
      <c r="XF53" s="2854"/>
      <c r="XG53" s="2854"/>
      <c r="XH53" s="2854"/>
      <c r="XI53" s="2854"/>
      <c r="XJ53" s="2854"/>
      <c r="XK53" s="2854"/>
      <c r="XL53" s="2854"/>
      <c r="XM53" s="2854"/>
      <c r="XN53" s="2854"/>
      <c r="XO53" s="2854"/>
      <c r="XP53" s="2854"/>
      <c r="XQ53" s="2854"/>
      <c r="XR53" s="2854"/>
      <c r="XS53" s="2854"/>
      <c r="XT53" s="2854"/>
      <c r="XU53" s="2854"/>
      <c r="XV53" s="2854"/>
      <c r="XW53" s="2854"/>
      <c r="XX53" s="2854"/>
      <c r="XY53" s="2854"/>
      <c r="XZ53" s="2854"/>
      <c r="YA53" s="2854"/>
      <c r="YB53" s="2854"/>
      <c r="YC53" s="2854"/>
      <c r="YD53" s="2854"/>
      <c r="YE53" s="2854"/>
      <c r="YF53" s="2854"/>
      <c r="YG53" s="2854"/>
      <c r="YH53" s="2854"/>
      <c r="YI53" s="2854"/>
      <c r="YJ53" s="2854"/>
      <c r="YK53" s="2854"/>
      <c r="YL53" s="2854"/>
      <c r="YM53" s="2854"/>
      <c r="YN53" s="2854"/>
      <c r="YO53" s="2854"/>
      <c r="YP53" s="2854"/>
      <c r="YQ53" s="2854"/>
      <c r="YR53" s="2854"/>
      <c r="YS53" s="2854"/>
      <c r="YT53" s="2854"/>
      <c r="YU53" s="2854"/>
      <c r="YV53" s="2854"/>
      <c r="YW53" s="2854"/>
      <c r="YX53" s="2854"/>
      <c r="YY53" s="2854"/>
      <c r="YZ53" s="2854"/>
      <c r="ZA53" s="2854"/>
      <c r="ZB53" s="2854"/>
      <c r="ZC53" s="2854"/>
      <c r="ZD53" s="2854"/>
      <c r="ZE53" s="2854"/>
      <c r="ZF53" s="2854"/>
      <c r="ZG53" s="2854"/>
      <c r="ZH53" s="2854"/>
      <c r="ZI53" s="2854"/>
      <c r="ZJ53" s="2854"/>
      <c r="ZK53" s="2854"/>
      <c r="ZL53" s="2854"/>
      <c r="ZM53" s="2854"/>
      <c r="ZN53" s="2854"/>
      <c r="ZO53" s="2854"/>
      <c r="ZP53" s="2854"/>
      <c r="ZQ53" s="2854"/>
      <c r="ZR53" s="2854"/>
      <c r="ZS53" s="2854"/>
      <c r="ZT53" s="2854"/>
      <c r="ZU53" s="2854"/>
      <c r="ZV53" s="2854"/>
      <c r="ZW53" s="2854"/>
      <c r="ZX53" s="2854"/>
      <c r="ZY53" s="2854"/>
      <c r="ZZ53" s="2854"/>
      <c r="AAA53" s="2854"/>
      <c r="AAB53" s="2854"/>
      <c r="AAC53" s="2854"/>
      <c r="AAD53" s="2854"/>
      <c r="AAE53" s="2854"/>
      <c r="AAF53" s="2854"/>
      <c r="AAG53" s="2854"/>
      <c r="AAH53" s="2854"/>
      <c r="AAI53" s="2854"/>
      <c r="AAJ53" s="2854"/>
      <c r="AAK53" s="2854"/>
      <c r="AAL53" s="2854"/>
      <c r="AAM53" s="2854"/>
      <c r="AAN53" s="2854"/>
      <c r="AAO53" s="2854"/>
      <c r="AAP53" s="2854"/>
      <c r="AAQ53" s="2854"/>
      <c r="AAR53" s="2854"/>
      <c r="AAS53" s="2854"/>
      <c r="AAT53" s="2854"/>
      <c r="AAU53" s="2854"/>
      <c r="AAV53" s="2854"/>
      <c r="AAW53" s="2854"/>
      <c r="AAX53" s="2854"/>
      <c r="AAY53" s="2854"/>
      <c r="AAZ53" s="2854"/>
      <c r="ABA53" s="2854"/>
      <c r="ABB53" s="2854"/>
      <c r="ABC53" s="2854"/>
      <c r="ABD53" s="2854"/>
      <c r="ABE53" s="2854"/>
      <c r="ABF53" s="2854"/>
      <c r="ABG53" s="2854"/>
      <c r="ABH53" s="2854"/>
      <c r="ABI53" s="2854"/>
      <c r="ABJ53" s="2854"/>
      <c r="ABK53" s="2854"/>
      <c r="ABL53" s="2854"/>
      <c r="ABM53" s="2854"/>
      <c r="ABN53" s="2854"/>
      <c r="ABO53" s="2854"/>
      <c r="ABP53" s="2854"/>
      <c r="ABQ53" s="2854"/>
      <c r="ABR53" s="2854"/>
      <c r="ABS53" s="2854"/>
      <c r="ABT53" s="2854"/>
      <c r="ABU53" s="2854"/>
      <c r="ABV53" s="2854"/>
      <c r="ABW53" s="2854"/>
      <c r="ABX53" s="2854"/>
      <c r="ABY53" s="2854"/>
      <c r="ABZ53" s="2854"/>
      <c r="ACA53" s="2854"/>
      <c r="ACB53" s="2854"/>
      <c r="ACC53" s="2854"/>
      <c r="ACD53" s="2854"/>
      <c r="ACE53" s="2854"/>
      <c r="ACF53" s="2854"/>
      <c r="ACG53" s="2854"/>
      <c r="ACH53" s="2854"/>
      <c r="ACI53" s="2854"/>
      <c r="ACJ53" s="2854"/>
      <c r="ACK53" s="2854"/>
      <c r="ACL53" s="2854"/>
      <c r="ACM53" s="2854"/>
      <c r="ACN53" s="2854"/>
      <c r="ACO53" s="2854"/>
      <c r="ACP53" s="2854"/>
      <c r="ACQ53" s="2854"/>
      <c r="ACR53" s="2854"/>
      <c r="ACS53" s="2854"/>
      <c r="ACT53" s="2854"/>
      <c r="ACU53" s="2854"/>
      <c r="ACV53" s="2854"/>
      <c r="ACW53" s="2854"/>
      <c r="ACX53" s="2854"/>
      <c r="ACY53" s="2854"/>
      <c r="ACZ53" s="2854"/>
      <c r="ADA53" s="2854"/>
      <c r="ADB53" s="2854"/>
      <c r="ADC53" s="2854"/>
      <c r="ADD53" s="2854"/>
      <c r="ADE53" s="2854"/>
      <c r="ADF53" s="2854"/>
      <c r="ADG53" s="2854"/>
      <c r="ADH53" s="2854"/>
      <c r="ADI53" s="2854"/>
      <c r="ADJ53" s="2854"/>
      <c r="ADK53" s="2854"/>
      <c r="ADL53" s="2854"/>
      <c r="ADM53" s="2854"/>
      <c r="ADN53" s="2854"/>
      <c r="ADO53" s="2854"/>
      <c r="ADP53" s="2854"/>
      <c r="ADQ53" s="2854"/>
      <c r="ADR53" s="2854"/>
      <c r="ADS53" s="2854"/>
      <c r="ADT53" s="2854"/>
      <c r="ADU53" s="2854"/>
      <c r="ADV53" s="2854"/>
      <c r="ADW53" s="2854"/>
      <c r="ADX53" s="2854"/>
      <c r="ADY53" s="2854"/>
      <c r="ADZ53" s="2854"/>
      <c r="AEA53" s="2854"/>
      <c r="AEB53" s="2854"/>
      <c r="AEC53" s="2854"/>
      <c r="AED53" s="2854"/>
      <c r="AEE53" s="2854"/>
      <c r="AEF53" s="2854"/>
      <c r="AEG53" s="2854"/>
      <c r="AEH53" s="2854"/>
      <c r="AEI53" s="2854"/>
      <c r="AEJ53" s="2854"/>
      <c r="AEK53" s="2854"/>
      <c r="AEL53" s="2854"/>
      <c r="AEM53" s="2854"/>
      <c r="AEN53" s="2854"/>
      <c r="AEO53" s="2854"/>
      <c r="AEP53" s="2854"/>
      <c r="AEQ53" s="2854"/>
      <c r="AER53" s="2854"/>
      <c r="AES53" s="2854"/>
      <c r="AET53" s="2854"/>
      <c r="AEU53" s="2854"/>
      <c r="AEV53" s="2854"/>
      <c r="AEW53" s="2854"/>
      <c r="AEX53" s="2854"/>
      <c r="AEY53" s="2854"/>
      <c r="AEZ53" s="2854"/>
      <c r="AFA53" s="2854"/>
      <c r="AFB53" s="2854"/>
      <c r="AFC53" s="2854"/>
      <c r="AFD53" s="2854"/>
      <c r="AFE53" s="2854"/>
      <c r="AFF53" s="2854"/>
      <c r="AFG53" s="2854"/>
      <c r="AFH53" s="2854"/>
      <c r="AFI53" s="2854"/>
      <c r="AFJ53" s="2854"/>
      <c r="AFK53" s="2854"/>
      <c r="AFL53" s="2854"/>
      <c r="AFM53" s="2854"/>
      <c r="AFN53" s="2854"/>
      <c r="AFO53" s="2854"/>
      <c r="AFP53" s="2854"/>
      <c r="AFQ53" s="2854"/>
      <c r="AFR53" s="2854"/>
      <c r="AFS53" s="2854"/>
      <c r="AFT53" s="2854"/>
      <c r="AFU53" s="2854"/>
      <c r="AFV53" s="2854"/>
      <c r="AFW53" s="2854"/>
      <c r="AFX53" s="2854"/>
      <c r="AFY53" s="2854"/>
      <c r="AFZ53" s="2854"/>
      <c r="AGA53" s="2854"/>
      <c r="AGB53" s="2854"/>
      <c r="AGC53" s="2854"/>
      <c r="AGD53" s="2854"/>
      <c r="AGE53" s="2854"/>
      <c r="AGF53" s="2854"/>
      <c r="AGG53" s="2854"/>
      <c r="AGH53" s="2854"/>
      <c r="AGI53" s="2854"/>
      <c r="AGJ53" s="2854"/>
      <c r="AGK53" s="2854"/>
      <c r="AGL53" s="2854"/>
      <c r="AGM53" s="2854"/>
      <c r="AGN53" s="2854"/>
      <c r="AGO53" s="2854"/>
      <c r="AGP53" s="2854"/>
      <c r="AGQ53" s="2854"/>
      <c r="AGR53" s="2854"/>
      <c r="AGS53" s="2854"/>
      <c r="AGT53" s="2854"/>
      <c r="AGU53" s="2854"/>
      <c r="AGV53" s="2854"/>
      <c r="AGW53" s="2854"/>
      <c r="AGX53" s="2854"/>
      <c r="AGY53" s="2854"/>
      <c r="AGZ53" s="2854"/>
      <c r="AHA53" s="2854"/>
      <c r="AHB53" s="2854"/>
      <c r="AHC53" s="2854"/>
      <c r="AHD53" s="2854"/>
      <c r="AHE53" s="2854"/>
      <c r="AHF53" s="2854"/>
      <c r="AHG53" s="2854"/>
      <c r="AHH53" s="2854"/>
      <c r="AHI53" s="2854"/>
      <c r="AHJ53" s="2854"/>
      <c r="AHK53" s="2854"/>
      <c r="AHL53" s="2854"/>
      <c r="AHM53" s="2854"/>
      <c r="AHN53" s="2854"/>
      <c r="AHO53" s="2854"/>
      <c r="AHP53" s="2854"/>
      <c r="AHQ53" s="2854"/>
      <c r="AHR53" s="2854"/>
      <c r="AHS53" s="2854"/>
      <c r="AHT53" s="2854"/>
      <c r="AHU53" s="2854"/>
      <c r="AHV53" s="2854"/>
      <c r="AHW53" s="2854"/>
      <c r="AHX53" s="2854"/>
      <c r="AHY53" s="2854"/>
      <c r="AHZ53" s="2854"/>
      <c r="AIA53" s="2854"/>
      <c r="AIB53" s="2854"/>
      <c r="AIC53" s="2854"/>
      <c r="AID53" s="2854"/>
      <c r="AIE53" s="2854"/>
      <c r="AIF53" s="2854"/>
      <c r="AIG53" s="2854"/>
      <c r="AIH53" s="2854"/>
      <c r="AII53" s="2854"/>
      <c r="AIJ53" s="2854"/>
      <c r="AIK53" s="2854"/>
      <c r="AIL53" s="2854"/>
      <c r="AIM53" s="2854"/>
      <c r="AIN53" s="2854"/>
      <c r="AIO53" s="2854"/>
      <c r="AIP53" s="2854"/>
      <c r="AIQ53" s="2854"/>
      <c r="AIR53" s="2854"/>
      <c r="AIS53" s="2854"/>
      <c r="AIT53" s="2854"/>
      <c r="AIU53" s="2854"/>
      <c r="AIV53" s="2854"/>
      <c r="AIW53" s="2854"/>
      <c r="AIX53" s="2854"/>
      <c r="AIY53" s="2854"/>
      <c r="AIZ53" s="2854"/>
      <c r="AJA53" s="2854"/>
      <c r="AJB53" s="2854"/>
      <c r="AJC53" s="2854"/>
      <c r="AJD53" s="2854"/>
      <c r="AJE53" s="2854"/>
      <c r="AJF53" s="2854"/>
      <c r="AJG53" s="2854"/>
      <c r="AJH53" s="2854"/>
      <c r="AJI53" s="2854"/>
      <c r="AJJ53" s="2854"/>
      <c r="AJK53" s="2854"/>
      <c r="AJL53" s="2854"/>
      <c r="AJM53" s="2854"/>
      <c r="AJN53" s="2854"/>
      <c r="AJO53" s="2854"/>
      <c r="AJP53" s="2854"/>
      <c r="AJQ53" s="2854"/>
      <c r="AJR53" s="2854"/>
      <c r="AJS53" s="2854"/>
      <c r="AJT53" s="2854"/>
      <c r="AJU53" s="2854"/>
      <c r="AJV53" s="2854"/>
      <c r="AJW53" s="2854"/>
      <c r="AJX53" s="2854"/>
      <c r="AJY53" s="2854"/>
      <c r="AJZ53" s="2854"/>
      <c r="AKA53" s="2854"/>
      <c r="AKB53" s="2854"/>
      <c r="AKC53" s="2854"/>
      <c r="AKD53" s="2854"/>
      <c r="AKE53" s="2854"/>
      <c r="AKF53" s="2854"/>
      <c r="AKG53" s="2854"/>
      <c r="AKH53" s="2854"/>
      <c r="AKI53" s="2854"/>
      <c r="AKJ53" s="2854"/>
      <c r="AKK53" s="2854"/>
      <c r="AKL53" s="2854"/>
      <c r="AKM53" s="2854"/>
      <c r="AKN53" s="2854"/>
      <c r="AKO53" s="2854"/>
      <c r="AKP53" s="2854"/>
      <c r="AKQ53" s="2854"/>
      <c r="AKR53" s="2854"/>
      <c r="AKS53" s="2854"/>
      <c r="AKT53" s="2854"/>
      <c r="AKU53" s="2854"/>
      <c r="AKV53" s="2854"/>
      <c r="AKW53" s="2854"/>
      <c r="AKX53" s="2854"/>
      <c r="AKY53" s="2854"/>
      <c r="AKZ53" s="2854"/>
      <c r="ALA53" s="2854"/>
      <c r="ALB53" s="2854"/>
      <c r="ALC53" s="2854"/>
      <c r="ALD53" s="2854"/>
      <c r="ALE53" s="2854"/>
      <c r="ALF53" s="2854"/>
      <c r="ALG53" s="2854"/>
      <c r="ALH53" s="2854"/>
      <c r="ALI53" s="2854"/>
      <c r="ALJ53" s="2854"/>
      <c r="ALK53" s="2854"/>
      <c r="ALL53" s="2854"/>
      <c r="ALM53" s="2854"/>
      <c r="ALN53" s="2854"/>
      <c r="ALO53" s="2854"/>
      <c r="ALP53" s="2854"/>
      <c r="ALQ53" s="2854"/>
      <c r="ALR53" s="2854"/>
      <c r="ALS53" s="2854"/>
      <c r="ALT53" s="2854"/>
      <c r="ALU53" s="2854"/>
      <c r="ALV53" s="2854"/>
      <c r="ALW53" s="2854"/>
      <c r="ALX53" s="2854"/>
      <c r="ALY53" s="2854"/>
      <c r="ALZ53" s="2854"/>
      <c r="AMA53" s="2854"/>
      <c r="AMB53" s="2854"/>
      <c r="AMC53" s="2854"/>
      <c r="AMD53" s="2854"/>
      <c r="AME53" s="2854"/>
      <c r="AMF53" s="2854"/>
      <c r="AMG53" s="2854"/>
      <c r="AMH53" s="2854"/>
      <c r="AMI53" s="2854"/>
      <c r="AMJ53" s="2854"/>
      <c r="AMK53" s="2854"/>
      <c r="AML53" s="2854"/>
      <c r="AMM53" s="2854"/>
      <c r="AMN53" s="2854"/>
      <c r="AMO53" s="2854"/>
      <c r="AMP53" s="2854"/>
      <c r="AMQ53" s="2854"/>
      <c r="AMR53" s="2854"/>
      <c r="AMS53" s="2854"/>
      <c r="AMT53" s="2854"/>
      <c r="AMU53" s="2854"/>
      <c r="AMV53" s="2854"/>
      <c r="AMW53" s="2854"/>
      <c r="AMX53" s="2854"/>
      <c r="AMY53" s="2854"/>
      <c r="AMZ53" s="2854"/>
      <c r="ANA53" s="2854"/>
      <c r="ANB53" s="2854"/>
      <c r="ANC53" s="2854"/>
      <c r="AND53" s="2854"/>
      <c r="ANE53" s="2854"/>
      <c r="ANF53" s="2854"/>
      <c r="ANG53" s="2854"/>
      <c r="ANH53" s="2854"/>
      <c r="ANI53" s="2854"/>
      <c r="ANJ53" s="2854"/>
      <c r="ANK53" s="2854"/>
      <c r="ANL53" s="2854"/>
      <c r="ANM53" s="2854"/>
      <c r="ANN53" s="2854"/>
      <c r="ANO53" s="2854"/>
      <c r="ANP53" s="2854"/>
      <c r="ANQ53" s="2854"/>
      <c r="ANR53" s="2854"/>
      <c r="ANS53" s="2854"/>
      <c r="ANT53" s="2854"/>
      <c r="ANU53" s="2854"/>
      <c r="ANV53" s="2854"/>
      <c r="ANW53" s="2854"/>
      <c r="ANX53" s="2854"/>
      <c r="ANY53" s="2854"/>
      <c r="ANZ53" s="2854"/>
      <c r="AOA53" s="2854"/>
      <c r="AOB53" s="2854"/>
      <c r="AOC53" s="2854"/>
      <c r="AOD53" s="2854"/>
      <c r="AOE53" s="2854"/>
      <c r="AOF53" s="2854"/>
      <c r="AOG53" s="2854"/>
      <c r="AOH53" s="2854"/>
      <c r="AOI53" s="2854"/>
      <c r="AOJ53" s="2854"/>
      <c r="AOK53" s="2854"/>
      <c r="AOL53" s="2854"/>
      <c r="AOM53" s="2854"/>
      <c r="AON53" s="2854"/>
      <c r="AOO53" s="2854"/>
      <c r="AOP53" s="2854"/>
      <c r="AOQ53" s="2854"/>
      <c r="AOR53" s="2854"/>
      <c r="AOS53" s="2854"/>
      <c r="AOT53" s="2854"/>
      <c r="AOU53" s="2854"/>
      <c r="AOV53" s="2854"/>
      <c r="AOW53" s="2854"/>
      <c r="AOX53" s="2854"/>
      <c r="AOY53" s="2854"/>
      <c r="AOZ53" s="2854"/>
      <c r="APA53" s="2854"/>
      <c r="APB53" s="2854"/>
      <c r="APC53" s="2854"/>
      <c r="APD53" s="2854"/>
      <c r="APE53" s="2854"/>
      <c r="APF53" s="2854"/>
      <c r="APG53" s="2854"/>
      <c r="APH53" s="2854"/>
      <c r="API53" s="2854"/>
      <c r="APJ53" s="2854"/>
      <c r="APK53" s="2854"/>
      <c r="APL53" s="2854"/>
      <c r="APM53" s="2854"/>
      <c r="APN53" s="2854"/>
      <c r="APO53" s="2854"/>
      <c r="APP53" s="2854"/>
      <c r="APQ53" s="2854"/>
      <c r="APR53" s="2854"/>
      <c r="APS53" s="2854"/>
      <c r="APT53" s="2854"/>
      <c r="APU53" s="2854"/>
      <c r="APV53" s="2854"/>
      <c r="APW53" s="2854"/>
      <c r="APX53" s="2854"/>
      <c r="APY53" s="2854"/>
      <c r="APZ53" s="2854"/>
      <c r="AQA53" s="2854"/>
      <c r="AQB53" s="2854"/>
      <c r="AQC53" s="2854"/>
      <c r="AQD53" s="2854"/>
      <c r="AQE53" s="2854"/>
      <c r="AQF53" s="2854"/>
      <c r="AQG53" s="2854"/>
      <c r="AQH53" s="2854"/>
      <c r="AQI53" s="2854"/>
      <c r="AQJ53" s="2854"/>
      <c r="AQK53" s="2854"/>
      <c r="AQL53" s="2854"/>
      <c r="AQM53" s="2854"/>
      <c r="AQN53" s="2854"/>
      <c r="AQO53" s="2854"/>
      <c r="AQP53" s="2854"/>
      <c r="AQQ53" s="2854"/>
      <c r="AQR53" s="2854"/>
      <c r="AQS53" s="2854"/>
      <c r="AQT53" s="2854"/>
      <c r="AQU53" s="2854"/>
      <c r="AQV53" s="2854"/>
      <c r="AQW53" s="2854"/>
      <c r="AQX53" s="2854"/>
      <c r="AQY53" s="2854"/>
      <c r="AQZ53" s="2854"/>
      <c r="ARA53" s="2854"/>
      <c r="ARB53" s="2854"/>
      <c r="ARC53" s="2854"/>
      <c r="ARD53" s="2854"/>
      <c r="ARE53" s="2854"/>
      <c r="ARF53" s="2854"/>
      <c r="ARG53" s="2854"/>
      <c r="ARH53" s="2854"/>
      <c r="ARI53" s="2854"/>
      <c r="ARJ53" s="2854"/>
      <c r="ARK53" s="2854"/>
      <c r="ARL53" s="2854"/>
      <c r="ARM53" s="2854"/>
      <c r="ARN53" s="2854"/>
      <c r="ARO53" s="2854"/>
      <c r="ARP53" s="2854"/>
      <c r="ARQ53" s="2854"/>
      <c r="ARR53" s="2854"/>
      <c r="ARS53" s="2854"/>
      <c r="ART53" s="2854"/>
      <c r="ARU53" s="2854"/>
      <c r="ARV53" s="2854"/>
      <c r="ARW53" s="2854"/>
      <c r="ARX53" s="2854"/>
      <c r="ARY53" s="2854"/>
      <c r="ARZ53" s="2854"/>
      <c r="ASA53" s="2854"/>
      <c r="ASB53" s="2854"/>
      <c r="ASC53" s="2854"/>
      <c r="ASD53" s="2854"/>
      <c r="ASE53" s="2854"/>
      <c r="ASF53" s="2854"/>
      <c r="ASG53" s="2854"/>
      <c r="ASH53" s="2854"/>
      <c r="ASI53" s="2854"/>
      <c r="ASJ53" s="2854"/>
      <c r="ASK53" s="2854"/>
      <c r="ASL53" s="2854"/>
      <c r="ASM53" s="2854"/>
      <c r="ASN53" s="2854"/>
      <c r="ASO53" s="2854"/>
      <c r="ASP53" s="2854"/>
      <c r="ASQ53" s="2854"/>
      <c r="ASR53" s="2854"/>
      <c r="ASS53" s="2854"/>
      <c r="AST53" s="2854"/>
      <c r="ASU53" s="2854"/>
      <c r="ASV53" s="2854"/>
      <c r="ASW53" s="2854"/>
      <c r="ASX53" s="2854"/>
      <c r="ASY53" s="2854"/>
      <c r="ASZ53" s="2854"/>
      <c r="ATA53" s="2854"/>
      <c r="ATB53" s="2854"/>
      <c r="ATC53" s="2854"/>
      <c r="ATD53" s="2854"/>
      <c r="ATE53" s="2854"/>
      <c r="ATF53" s="2854"/>
      <c r="ATG53" s="2854"/>
      <c r="ATH53" s="2854"/>
      <c r="ATI53" s="2854"/>
      <c r="ATJ53" s="2854"/>
      <c r="ATK53" s="2854"/>
      <c r="ATL53" s="2854"/>
      <c r="ATM53" s="2854"/>
      <c r="ATN53" s="2854"/>
      <c r="ATO53" s="2854"/>
      <c r="ATP53" s="2854"/>
      <c r="ATQ53" s="2854"/>
      <c r="ATR53" s="2854"/>
      <c r="ATS53" s="2854"/>
      <c r="ATT53" s="2854"/>
      <c r="ATU53" s="2854"/>
      <c r="ATV53" s="2854"/>
      <c r="ATW53" s="2854"/>
      <c r="ATX53" s="2854"/>
      <c r="ATY53" s="2854"/>
      <c r="ATZ53" s="2854"/>
      <c r="AUA53" s="2854"/>
      <c r="AUB53" s="2854"/>
      <c r="AUC53" s="2854"/>
      <c r="AUD53" s="2854"/>
      <c r="AUE53" s="2854"/>
      <c r="AUF53" s="2854"/>
      <c r="AUG53" s="2854"/>
      <c r="AUH53" s="2854"/>
      <c r="AUI53" s="2854"/>
      <c r="AUJ53" s="2854"/>
      <c r="AUK53" s="2854"/>
      <c r="AUL53" s="2854"/>
      <c r="AUM53" s="2854"/>
      <c r="AUN53" s="2854"/>
      <c r="AUO53" s="2854"/>
      <c r="AUP53" s="2854"/>
      <c r="AUQ53" s="2854"/>
      <c r="AUR53" s="2854"/>
      <c r="AUS53" s="2854"/>
      <c r="AUT53" s="2854"/>
      <c r="AUU53" s="2854"/>
      <c r="AUV53" s="2854"/>
      <c r="AUW53" s="2854"/>
      <c r="AUX53" s="2854"/>
      <c r="AUY53" s="2854"/>
      <c r="AUZ53" s="2854"/>
      <c r="AVA53" s="2854"/>
      <c r="AVB53" s="2854"/>
      <c r="AVC53" s="2854"/>
      <c r="AVD53" s="2854"/>
      <c r="AVE53" s="2854"/>
      <c r="AVF53" s="2854"/>
      <c r="AVG53" s="2854"/>
      <c r="AVH53" s="2854"/>
      <c r="AVI53" s="2854"/>
      <c r="AVJ53" s="2854"/>
      <c r="AVK53" s="2854"/>
      <c r="AVL53" s="2854"/>
      <c r="AVM53" s="2854"/>
      <c r="AVN53" s="2854"/>
      <c r="AVO53" s="2854"/>
      <c r="AVP53" s="2854"/>
      <c r="AVQ53" s="2854"/>
      <c r="AVR53" s="2854"/>
      <c r="AVS53" s="2854"/>
      <c r="AVT53" s="2854"/>
      <c r="AVU53" s="2854"/>
      <c r="AVV53" s="2854"/>
      <c r="AVW53" s="2854"/>
      <c r="AVX53" s="2854"/>
      <c r="AVY53" s="2854"/>
      <c r="AVZ53" s="2854"/>
      <c r="AWA53" s="2854"/>
      <c r="AWB53" s="2854"/>
      <c r="AWC53" s="2854"/>
      <c r="AWD53" s="2854"/>
      <c r="AWE53" s="2854"/>
      <c r="AWF53" s="2854"/>
      <c r="AWG53" s="2854"/>
      <c r="AWH53" s="2854"/>
      <c r="AWI53" s="2854"/>
      <c r="AWJ53" s="2854"/>
      <c r="AWK53" s="2854"/>
      <c r="AWL53" s="2854"/>
      <c r="AWM53" s="2854"/>
      <c r="AWN53" s="2854"/>
      <c r="AWO53" s="2854"/>
      <c r="AWP53" s="2854"/>
      <c r="AWQ53" s="2854"/>
      <c r="AWR53" s="2854"/>
      <c r="AWS53" s="2854"/>
      <c r="AWT53" s="2854"/>
      <c r="AWU53" s="2854"/>
      <c r="AWV53" s="2854"/>
      <c r="AWW53" s="2854"/>
      <c r="AWX53" s="2854"/>
      <c r="AWY53" s="2854"/>
      <c r="AWZ53" s="2854"/>
      <c r="AXA53" s="2854"/>
      <c r="AXB53" s="2854"/>
      <c r="AXC53" s="2854"/>
      <c r="AXD53" s="2854"/>
      <c r="AXE53" s="2854"/>
      <c r="AXF53" s="2854"/>
      <c r="AXG53" s="2854"/>
      <c r="AXH53" s="2854"/>
      <c r="AXI53" s="2854"/>
      <c r="AXJ53" s="2854"/>
      <c r="AXK53" s="2854"/>
      <c r="AXL53" s="2854"/>
      <c r="AXM53" s="2854"/>
      <c r="AXN53" s="2854"/>
      <c r="AXO53" s="2854"/>
      <c r="AXP53" s="2854"/>
      <c r="AXQ53" s="2854"/>
      <c r="AXR53" s="2854"/>
      <c r="AXS53" s="2854"/>
      <c r="AXT53" s="2854"/>
      <c r="AXU53" s="2854"/>
      <c r="AXV53" s="2854"/>
      <c r="AXW53" s="2854"/>
      <c r="AXX53" s="2854"/>
      <c r="AXY53" s="2854"/>
      <c r="AXZ53" s="2854"/>
      <c r="AYA53" s="2854"/>
      <c r="AYB53" s="2854"/>
      <c r="AYC53" s="2854"/>
      <c r="AYD53" s="2854"/>
      <c r="AYE53" s="2854"/>
      <c r="AYF53" s="2854"/>
      <c r="AYG53" s="2854"/>
      <c r="AYH53" s="2854"/>
      <c r="AYI53" s="2854"/>
      <c r="AYJ53" s="2854"/>
      <c r="AYK53" s="2854"/>
      <c r="AYL53" s="2854"/>
      <c r="AYM53" s="2854"/>
      <c r="AYN53" s="2854"/>
      <c r="AYO53" s="2854"/>
      <c r="AYP53" s="2854"/>
      <c r="AYQ53" s="2854"/>
      <c r="AYR53" s="2854"/>
      <c r="AYS53" s="2854"/>
      <c r="AYT53" s="2854"/>
      <c r="AYU53" s="2854"/>
      <c r="AYV53" s="2854"/>
      <c r="AYW53" s="2854"/>
      <c r="AYX53" s="2854"/>
      <c r="AYY53" s="2854"/>
      <c r="AYZ53" s="2854"/>
      <c r="AZA53" s="2854"/>
      <c r="AZB53" s="2854"/>
      <c r="AZC53" s="2854"/>
      <c r="AZD53" s="2854"/>
      <c r="AZE53" s="2854"/>
      <c r="AZF53" s="2854"/>
      <c r="AZG53" s="2854"/>
      <c r="AZH53" s="2854"/>
      <c r="AZI53" s="2854"/>
      <c r="AZJ53" s="2854"/>
      <c r="AZK53" s="2854"/>
      <c r="AZL53" s="2854"/>
      <c r="AZM53" s="2854"/>
      <c r="AZN53" s="2854"/>
      <c r="AZO53" s="2854"/>
      <c r="AZP53" s="2854"/>
      <c r="AZQ53" s="2854"/>
      <c r="AZR53" s="2854"/>
      <c r="AZS53" s="2854"/>
      <c r="AZT53" s="2854"/>
      <c r="AZU53" s="2854"/>
      <c r="AZV53" s="2854"/>
      <c r="AZW53" s="2854"/>
      <c r="AZX53" s="2854"/>
      <c r="AZY53" s="2854"/>
      <c r="AZZ53" s="2854"/>
      <c r="BAA53" s="2854"/>
      <c r="BAB53" s="2854"/>
      <c r="BAC53" s="2854"/>
      <c r="BAD53" s="2854"/>
      <c r="BAE53" s="2854"/>
      <c r="BAF53" s="2854"/>
      <c r="BAG53" s="2854"/>
      <c r="BAH53" s="2854"/>
      <c r="BAI53" s="2854"/>
      <c r="BAJ53" s="2854"/>
      <c r="BAK53" s="2854"/>
      <c r="BAL53" s="2854"/>
      <c r="BAM53" s="2854"/>
      <c r="BAN53" s="2854"/>
      <c r="BAO53" s="2854"/>
      <c r="BAP53" s="2854"/>
      <c r="BAQ53" s="2854"/>
      <c r="BAR53" s="2854"/>
      <c r="BAS53" s="2854"/>
      <c r="BAT53" s="2854"/>
      <c r="BAU53" s="2854"/>
      <c r="BAV53" s="2854"/>
      <c r="BAW53" s="2854"/>
      <c r="BAX53" s="2854"/>
      <c r="BAY53" s="2854"/>
      <c r="BAZ53" s="2854"/>
      <c r="BBA53" s="2854"/>
      <c r="BBB53" s="2854"/>
      <c r="BBC53" s="2854"/>
      <c r="BBD53" s="2854"/>
      <c r="BBE53" s="2854"/>
      <c r="BBF53" s="2854"/>
      <c r="BBG53" s="2854"/>
      <c r="BBH53" s="2854"/>
      <c r="BBI53" s="2854"/>
      <c r="BBJ53" s="2854"/>
      <c r="BBK53" s="2854"/>
      <c r="BBL53" s="2854"/>
      <c r="BBM53" s="2854"/>
      <c r="BBN53" s="2854"/>
      <c r="BBO53" s="2854"/>
      <c r="BBP53" s="2854"/>
      <c r="BBQ53" s="2854"/>
      <c r="BBR53" s="2854"/>
      <c r="BBS53" s="2854"/>
      <c r="BBT53" s="2854"/>
      <c r="BBU53" s="2854"/>
      <c r="BBV53" s="2854"/>
      <c r="BBW53" s="2854"/>
      <c r="BBX53" s="2854"/>
      <c r="BBY53" s="2854"/>
      <c r="BBZ53" s="2854"/>
      <c r="BCA53" s="2854"/>
      <c r="BCB53" s="2854"/>
      <c r="BCC53" s="2854"/>
      <c r="BCD53" s="2854"/>
      <c r="BCE53" s="2854"/>
      <c r="BCF53" s="2854"/>
      <c r="BCG53" s="2854"/>
      <c r="BCH53" s="2854"/>
      <c r="BCI53" s="2854"/>
      <c r="BCJ53" s="2854"/>
      <c r="BCK53" s="2854"/>
      <c r="BCL53" s="2854"/>
      <c r="BCM53" s="2854"/>
      <c r="BCN53" s="2854"/>
      <c r="BCO53" s="2854"/>
      <c r="BCP53" s="2854"/>
      <c r="BCQ53" s="2854"/>
      <c r="BCR53" s="2854"/>
      <c r="BCS53" s="2854"/>
      <c r="BCT53" s="2854"/>
      <c r="BCU53" s="2854"/>
      <c r="BCV53" s="2854"/>
      <c r="BCW53" s="2854"/>
      <c r="BCX53" s="2854"/>
      <c r="BCY53" s="2854"/>
      <c r="BCZ53" s="2854"/>
      <c r="BDA53" s="2854"/>
      <c r="BDB53" s="2854"/>
      <c r="BDC53" s="2854"/>
      <c r="BDD53" s="2854"/>
      <c r="BDE53" s="2854"/>
      <c r="BDF53" s="2854"/>
      <c r="BDG53" s="2854"/>
      <c r="BDH53" s="2854"/>
      <c r="BDI53" s="2854"/>
      <c r="BDJ53" s="2854"/>
      <c r="BDK53" s="2854"/>
      <c r="BDL53" s="2854"/>
      <c r="BDM53" s="2854"/>
      <c r="BDN53" s="2854"/>
      <c r="BDO53" s="2854"/>
      <c r="BDP53" s="2854"/>
      <c r="BDQ53" s="2854"/>
      <c r="BDR53" s="2854"/>
      <c r="BDS53" s="2854"/>
      <c r="BDT53" s="2854"/>
      <c r="BDU53" s="2854"/>
      <c r="BDV53" s="2854"/>
      <c r="BDW53" s="2854"/>
      <c r="BDX53" s="2854"/>
      <c r="BDY53" s="2854"/>
      <c r="BDZ53" s="2854"/>
      <c r="BEA53" s="2854"/>
      <c r="BEB53" s="2854"/>
      <c r="BEC53" s="2854"/>
      <c r="BED53" s="2854"/>
      <c r="BEE53" s="2854"/>
      <c r="BEF53" s="2854"/>
      <c r="BEG53" s="2854"/>
      <c r="BEH53" s="2854"/>
      <c r="BEI53" s="2854"/>
      <c r="BEJ53" s="2854"/>
      <c r="BEK53" s="2854"/>
      <c r="BEL53" s="2854"/>
      <c r="BEM53" s="2854"/>
      <c r="BEN53" s="2854"/>
      <c r="BEO53" s="2854"/>
      <c r="BEP53" s="2854"/>
      <c r="BEQ53" s="2854"/>
      <c r="BER53" s="2854"/>
      <c r="BES53" s="2854"/>
      <c r="BET53" s="2854"/>
      <c r="BEU53" s="2854"/>
      <c r="BEV53" s="2854"/>
      <c r="BEW53" s="2854"/>
      <c r="BEX53" s="2854"/>
      <c r="BEY53" s="2854"/>
      <c r="BEZ53" s="2854"/>
      <c r="BFA53" s="2854"/>
      <c r="BFB53" s="2854"/>
      <c r="BFC53" s="2854"/>
      <c r="BFD53" s="2854"/>
      <c r="BFE53" s="2854"/>
      <c r="BFF53" s="2854"/>
      <c r="BFG53" s="2854"/>
      <c r="BFH53" s="2854"/>
      <c r="BFI53" s="2854"/>
      <c r="BFJ53" s="2854"/>
      <c r="BFK53" s="2854"/>
      <c r="BFL53" s="2854"/>
      <c r="BFM53" s="2854"/>
      <c r="BFN53" s="2854"/>
      <c r="BFO53" s="2854"/>
      <c r="BFP53" s="2854"/>
      <c r="BFQ53" s="2854"/>
      <c r="BFR53" s="2854"/>
      <c r="BFS53" s="2854"/>
      <c r="BFT53" s="2854"/>
      <c r="BFU53" s="2854"/>
      <c r="BFV53" s="2854"/>
      <c r="BFW53" s="2854"/>
      <c r="BFX53" s="2854"/>
      <c r="BFY53" s="2854"/>
      <c r="BFZ53" s="2854"/>
      <c r="BGA53" s="2854"/>
      <c r="BGB53" s="2854"/>
      <c r="BGC53" s="2854"/>
      <c r="BGD53" s="2854"/>
      <c r="BGE53" s="2854"/>
      <c r="BGF53" s="2854"/>
      <c r="BGG53" s="2854"/>
      <c r="BGH53" s="2854"/>
      <c r="BGI53" s="2854"/>
      <c r="BGJ53" s="2854"/>
      <c r="BGK53" s="2854"/>
      <c r="BGL53" s="2854"/>
      <c r="BGM53" s="2854"/>
      <c r="BGN53" s="2854"/>
      <c r="BGO53" s="2854"/>
      <c r="BGP53" s="2854"/>
      <c r="BGQ53" s="2854"/>
      <c r="BGR53" s="2854"/>
      <c r="BGS53" s="2854"/>
      <c r="BGT53" s="2854"/>
      <c r="BGU53" s="2854"/>
      <c r="BGV53" s="2854"/>
      <c r="BGW53" s="2854"/>
      <c r="BGX53" s="2854"/>
      <c r="BGY53" s="2854"/>
      <c r="BGZ53" s="2854"/>
      <c r="BHA53" s="2854"/>
      <c r="BHB53" s="2854"/>
      <c r="BHC53" s="2854"/>
      <c r="BHD53" s="2854"/>
      <c r="BHE53" s="2854"/>
      <c r="BHF53" s="2854"/>
      <c r="BHG53" s="2854"/>
      <c r="BHH53" s="2854"/>
      <c r="BHI53" s="2854"/>
      <c r="BHJ53" s="2854"/>
      <c r="BHK53" s="2854"/>
      <c r="BHL53" s="2854"/>
      <c r="BHM53" s="2854"/>
      <c r="BHN53" s="2854"/>
      <c r="BHO53" s="2854"/>
      <c r="BHP53" s="2854"/>
      <c r="BHQ53" s="2854"/>
      <c r="BHR53" s="2854"/>
      <c r="BHS53" s="2854"/>
      <c r="BHT53" s="2854"/>
      <c r="BHU53" s="2854"/>
      <c r="BHV53" s="2854"/>
      <c r="BHW53" s="2854"/>
      <c r="BHX53" s="2854"/>
      <c r="BHY53" s="2854"/>
      <c r="BHZ53" s="2854"/>
      <c r="BIA53" s="2854"/>
      <c r="BIB53" s="2854"/>
      <c r="BIC53" s="2854"/>
      <c r="BID53" s="2854"/>
      <c r="BIE53" s="2854"/>
      <c r="BIF53" s="2854"/>
      <c r="BIG53" s="2854"/>
      <c r="BIH53" s="2854"/>
      <c r="BII53" s="2854"/>
      <c r="BIJ53" s="2854"/>
      <c r="BIK53" s="2854"/>
      <c r="BIL53" s="2854"/>
      <c r="BIM53" s="2854"/>
      <c r="BIN53" s="2854"/>
      <c r="BIO53" s="2854"/>
      <c r="BIP53" s="2854"/>
      <c r="BIQ53" s="2854"/>
      <c r="BIR53" s="2854"/>
      <c r="BIS53" s="2854"/>
      <c r="BIT53" s="2854"/>
      <c r="BIU53" s="2854"/>
      <c r="BIV53" s="2854"/>
      <c r="BIW53" s="2854"/>
      <c r="BIX53" s="2854"/>
      <c r="BIY53" s="2854"/>
      <c r="BIZ53" s="2854"/>
      <c r="BJA53" s="2854"/>
      <c r="BJB53" s="2854"/>
      <c r="BJC53" s="2854"/>
      <c r="BJD53" s="2854"/>
      <c r="BJE53" s="2854"/>
      <c r="BJF53" s="2854"/>
      <c r="BJG53" s="2854"/>
      <c r="BJH53" s="2854"/>
      <c r="BJI53" s="2854"/>
      <c r="BJJ53" s="2854"/>
      <c r="BJK53" s="2854"/>
      <c r="BJL53" s="2854"/>
      <c r="BJM53" s="2854"/>
      <c r="BJN53" s="2854"/>
      <c r="BJO53" s="2854"/>
      <c r="BJP53" s="2854"/>
      <c r="BJQ53" s="2854"/>
      <c r="BJR53" s="2854"/>
      <c r="BJS53" s="2854"/>
      <c r="BJT53" s="2854"/>
      <c r="BJU53" s="2854"/>
      <c r="BJV53" s="2854"/>
      <c r="BJW53" s="2854"/>
      <c r="BJX53" s="2854"/>
      <c r="BJY53" s="2854"/>
      <c r="BJZ53" s="2854"/>
      <c r="BKA53" s="2854"/>
      <c r="BKB53" s="2854"/>
      <c r="BKC53" s="2854"/>
      <c r="BKD53" s="2854"/>
      <c r="BKE53" s="2854"/>
      <c r="BKF53" s="2854"/>
      <c r="BKG53" s="2854"/>
      <c r="BKH53" s="2854"/>
      <c r="BKI53" s="2854"/>
      <c r="BKJ53" s="2854"/>
      <c r="BKK53" s="2854"/>
      <c r="BKL53" s="2854"/>
      <c r="BKM53" s="2854"/>
      <c r="BKN53" s="2854"/>
      <c r="BKO53" s="2854"/>
      <c r="BKP53" s="2854"/>
      <c r="BKQ53" s="2854"/>
      <c r="BKR53" s="2854"/>
      <c r="BKS53" s="2854"/>
      <c r="BKT53" s="2854"/>
      <c r="BKU53" s="2854"/>
      <c r="BKV53" s="2854"/>
      <c r="BKW53" s="2854"/>
      <c r="BKX53" s="2854"/>
      <c r="BKY53" s="2854"/>
      <c r="BKZ53" s="2854"/>
      <c r="BLA53" s="2854"/>
      <c r="BLB53" s="2854"/>
      <c r="BLC53" s="2854"/>
      <c r="BLD53" s="2854"/>
      <c r="BLE53" s="2854"/>
      <c r="BLF53" s="2854"/>
      <c r="BLG53" s="2854"/>
      <c r="BLH53" s="2854"/>
      <c r="BLI53" s="2854"/>
      <c r="BLJ53" s="2854"/>
      <c r="BLK53" s="2854"/>
      <c r="BLL53" s="2854"/>
      <c r="BLM53" s="2854"/>
      <c r="BLN53" s="2854"/>
      <c r="BLO53" s="2854"/>
      <c r="BLP53" s="2854"/>
      <c r="BLQ53" s="2854"/>
      <c r="BLR53" s="2854"/>
      <c r="BLS53" s="2854"/>
      <c r="BLT53" s="2854"/>
      <c r="BLU53" s="2854"/>
      <c r="BLV53" s="2854"/>
      <c r="BLW53" s="2854"/>
      <c r="BLX53" s="2854"/>
      <c r="BLY53" s="2854"/>
      <c r="BLZ53" s="2854"/>
      <c r="BMA53" s="2854"/>
      <c r="BMB53" s="2854"/>
      <c r="BMC53" s="2854"/>
      <c r="BMD53" s="2854"/>
      <c r="BME53" s="2854"/>
      <c r="BMF53" s="2854"/>
      <c r="BMG53" s="2854"/>
      <c r="BMH53" s="2854"/>
      <c r="BMI53" s="2854"/>
      <c r="BMJ53" s="2854"/>
      <c r="BMK53" s="2854"/>
      <c r="BML53" s="2854"/>
      <c r="BMM53" s="2854"/>
      <c r="BMN53" s="2854"/>
      <c r="BMO53" s="2854"/>
      <c r="BMP53" s="2854"/>
      <c r="BMQ53" s="2854"/>
      <c r="BMR53" s="2854"/>
      <c r="BMS53" s="2854"/>
      <c r="BMT53" s="2854"/>
      <c r="BMU53" s="2854"/>
      <c r="BMV53" s="2854"/>
      <c r="BMW53" s="2854"/>
      <c r="BMX53" s="2854"/>
      <c r="BMY53" s="2854"/>
      <c r="BMZ53" s="2854"/>
      <c r="BNA53" s="2854"/>
      <c r="BNB53" s="2854"/>
      <c r="BNC53" s="2854"/>
      <c r="BND53" s="2854"/>
      <c r="BNE53" s="2854"/>
      <c r="BNF53" s="2854"/>
      <c r="BNG53" s="2854"/>
      <c r="BNH53" s="2854"/>
      <c r="BNI53" s="2854"/>
      <c r="BNJ53" s="2854"/>
      <c r="BNK53" s="2854"/>
      <c r="BNL53" s="2854"/>
      <c r="BNM53" s="2854"/>
      <c r="BNN53" s="2854"/>
      <c r="BNO53" s="2854"/>
      <c r="BNP53" s="2854"/>
      <c r="BNQ53" s="2854"/>
      <c r="BNR53" s="2854"/>
      <c r="BNS53" s="2854"/>
      <c r="BNT53" s="2854"/>
      <c r="BNU53" s="2854"/>
      <c r="BNV53" s="2854"/>
      <c r="BNW53" s="2854"/>
      <c r="BNX53" s="2854"/>
      <c r="BNY53" s="2854"/>
      <c r="BNZ53" s="2854"/>
      <c r="BOA53" s="2854"/>
      <c r="BOB53" s="2854"/>
      <c r="BOC53" s="2854"/>
      <c r="BOD53" s="2854"/>
      <c r="BOE53" s="2854"/>
      <c r="BOF53" s="2854"/>
      <c r="BOG53" s="2854"/>
      <c r="BOH53" s="2854"/>
      <c r="BOI53" s="2854"/>
      <c r="BOJ53" s="2854"/>
      <c r="BOK53" s="2854"/>
      <c r="BOL53" s="2854"/>
      <c r="BOM53" s="2854"/>
      <c r="BON53" s="2854"/>
      <c r="BOO53" s="2854"/>
      <c r="BOP53" s="2854"/>
      <c r="BOQ53" s="2854"/>
      <c r="BOR53" s="2854"/>
      <c r="BOS53" s="2854"/>
      <c r="BOT53" s="2854"/>
      <c r="BOU53" s="2854"/>
      <c r="BOV53" s="2854"/>
      <c r="BOW53" s="2854"/>
      <c r="BOX53" s="2854"/>
      <c r="BOY53" s="2854"/>
      <c r="BOZ53" s="2854"/>
      <c r="BPA53" s="2854"/>
      <c r="BPB53" s="2854"/>
      <c r="BPC53" s="2854"/>
      <c r="BPD53" s="2854"/>
      <c r="BPE53" s="2854"/>
      <c r="BPF53" s="2854"/>
      <c r="BPG53" s="2854"/>
      <c r="BPH53" s="2854"/>
      <c r="BPI53" s="2854"/>
      <c r="BPJ53" s="2854"/>
      <c r="BPK53" s="2854"/>
      <c r="BPL53" s="2854"/>
      <c r="BPM53" s="2854"/>
      <c r="BPN53" s="2854"/>
      <c r="BPO53" s="2854"/>
      <c r="BPP53" s="2854"/>
      <c r="BPQ53" s="2854"/>
      <c r="BPR53" s="2854"/>
      <c r="BPS53" s="2854"/>
      <c r="BPT53" s="2854"/>
      <c r="BPU53" s="2854"/>
      <c r="BPV53" s="2854"/>
      <c r="BPW53" s="2854"/>
      <c r="BPX53" s="2854"/>
      <c r="BPY53" s="2854"/>
      <c r="BPZ53" s="2854"/>
      <c r="BQA53" s="2854"/>
      <c r="BQB53" s="2854"/>
      <c r="BQC53" s="2854"/>
      <c r="BQD53" s="2854"/>
      <c r="BQE53" s="2854"/>
      <c r="BQF53" s="2854"/>
      <c r="BQG53" s="2854"/>
      <c r="BQH53" s="2854"/>
      <c r="BQI53" s="2854"/>
      <c r="BQJ53" s="2854"/>
      <c r="BQK53" s="2854"/>
      <c r="BQL53" s="2854"/>
      <c r="BQM53" s="2854"/>
      <c r="BQN53" s="2854"/>
      <c r="BQO53" s="2854"/>
      <c r="BQP53" s="2854"/>
      <c r="BQQ53" s="2854"/>
      <c r="BQR53" s="2854"/>
      <c r="BQS53" s="2854"/>
      <c r="BQT53" s="2854"/>
      <c r="BQU53" s="2854"/>
      <c r="BQV53" s="2854"/>
      <c r="BQW53" s="2854"/>
      <c r="BQX53" s="2854"/>
      <c r="BQY53" s="2854"/>
      <c r="BQZ53" s="2854"/>
      <c r="BRA53" s="2854"/>
      <c r="BRB53" s="2854"/>
      <c r="BRC53" s="2854"/>
      <c r="BRD53" s="2854"/>
      <c r="BRE53" s="2854"/>
      <c r="BRF53" s="2854"/>
      <c r="BRG53" s="2854"/>
      <c r="BRH53" s="2854"/>
      <c r="BRI53" s="2854"/>
      <c r="BRJ53" s="2854"/>
      <c r="BRK53" s="2854"/>
      <c r="BRL53" s="2854"/>
      <c r="BRM53" s="2854"/>
      <c r="BRN53" s="2854"/>
      <c r="BRO53" s="2854"/>
      <c r="BRP53" s="2854"/>
      <c r="BRQ53" s="2854"/>
      <c r="BRR53" s="2854"/>
      <c r="BRS53" s="2854"/>
      <c r="BRT53" s="2854"/>
      <c r="BRU53" s="2854"/>
      <c r="BRV53" s="2854"/>
      <c r="BRW53" s="2854"/>
      <c r="BRX53" s="2854"/>
      <c r="BRY53" s="2854"/>
      <c r="BRZ53" s="2854"/>
      <c r="BSA53" s="2854"/>
      <c r="BSB53" s="2854"/>
      <c r="BSC53" s="2854"/>
      <c r="BSD53" s="2854"/>
      <c r="BSE53" s="2854"/>
      <c r="BSF53" s="2854"/>
      <c r="BSG53" s="2854"/>
      <c r="BSH53" s="2854"/>
      <c r="BSI53" s="2854"/>
      <c r="BSJ53" s="2854"/>
      <c r="BSK53" s="2854"/>
      <c r="BSL53" s="2854"/>
      <c r="BSM53" s="2854"/>
      <c r="BSN53" s="2854"/>
      <c r="BSO53" s="2854"/>
      <c r="BSP53" s="2854"/>
      <c r="BSQ53" s="2854"/>
      <c r="BSR53" s="2854"/>
      <c r="BSS53" s="2854"/>
      <c r="BST53" s="2854"/>
      <c r="BSU53" s="2854"/>
      <c r="BSV53" s="2854"/>
      <c r="BSW53" s="2854"/>
      <c r="BSX53" s="2854"/>
      <c r="BSY53" s="2854"/>
      <c r="BSZ53" s="2854"/>
      <c r="BTA53" s="2854"/>
      <c r="BTB53" s="2854"/>
      <c r="BTC53" s="2854"/>
      <c r="BTD53" s="2854"/>
      <c r="BTE53" s="2854"/>
      <c r="BTF53" s="2854"/>
      <c r="BTG53" s="2854"/>
      <c r="BTH53" s="2854"/>
      <c r="BTI53" s="2854"/>
      <c r="BTJ53" s="2854"/>
      <c r="BTK53" s="2854"/>
      <c r="BTL53" s="2854"/>
      <c r="BTM53" s="2854"/>
      <c r="BTN53" s="2854"/>
      <c r="BTO53" s="2854"/>
      <c r="BTP53" s="2854"/>
      <c r="BTQ53" s="2854"/>
      <c r="BTR53" s="2854"/>
      <c r="BTS53" s="2854"/>
      <c r="BTT53" s="2854"/>
      <c r="BTU53" s="2854"/>
      <c r="BTV53" s="2854"/>
      <c r="BTW53" s="2854"/>
      <c r="BTX53" s="2854"/>
      <c r="BTY53" s="2854"/>
      <c r="BTZ53" s="2854"/>
      <c r="BUA53" s="2854"/>
      <c r="BUB53" s="2854"/>
      <c r="BUC53" s="2854"/>
      <c r="BUD53" s="2854"/>
      <c r="BUE53" s="2854"/>
      <c r="BUF53" s="2854"/>
      <c r="BUG53" s="2854"/>
      <c r="BUH53" s="2854"/>
      <c r="BUI53" s="2854"/>
      <c r="BUJ53" s="2854"/>
      <c r="BUK53" s="2854"/>
      <c r="BUL53" s="2854"/>
      <c r="BUM53" s="2854"/>
      <c r="BUN53" s="2854"/>
      <c r="BUO53" s="2854"/>
      <c r="BUP53" s="2854"/>
      <c r="BUQ53" s="2854"/>
      <c r="BUR53" s="2854"/>
      <c r="BUS53" s="2854"/>
      <c r="BUT53" s="2854"/>
      <c r="BUU53" s="2854"/>
      <c r="BUV53" s="2854"/>
      <c r="BUW53" s="2854"/>
      <c r="BUX53" s="2854"/>
      <c r="BUY53" s="2854"/>
      <c r="BUZ53" s="2854"/>
      <c r="BVA53" s="2854"/>
      <c r="BVB53" s="2854"/>
      <c r="BVC53" s="2854"/>
      <c r="BVD53" s="2854"/>
      <c r="BVE53" s="2854"/>
      <c r="BVF53" s="2854"/>
      <c r="BVG53" s="2854"/>
      <c r="BVH53" s="2854"/>
      <c r="BVI53" s="2854"/>
      <c r="BVJ53" s="2854"/>
      <c r="BVK53" s="2854"/>
      <c r="BVL53" s="2854"/>
      <c r="BVM53" s="2854"/>
      <c r="BVN53" s="2854"/>
      <c r="BVO53" s="2854"/>
      <c r="BVP53" s="2854"/>
      <c r="BVQ53" s="2854"/>
      <c r="BVR53" s="2854"/>
      <c r="BVS53" s="2854"/>
      <c r="BVT53" s="2854"/>
      <c r="BVU53" s="2854"/>
      <c r="BVV53" s="2854"/>
      <c r="BVW53" s="2854"/>
      <c r="BVX53" s="2854"/>
      <c r="BVY53" s="2854"/>
      <c r="BVZ53" s="2854"/>
      <c r="BWA53" s="2854"/>
      <c r="BWB53" s="2854"/>
      <c r="BWC53" s="2854"/>
      <c r="BWD53" s="2854"/>
      <c r="BWE53" s="2854"/>
      <c r="BWF53" s="2854"/>
      <c r="BWG53" s="2854"/>
      <c r="BWH53" s="2854"/>
      <c r="BWI53" s="2854"/>
      <c r="BWJ53" s="2854"/>
      <c r="BWK53" s="2854"/>
      <c r="BWL53" s="2854"/>
      <c r="BWM53" s="2854"/>
      <c r="BWN53" s="2854"/>
      <c r="BWO53" s="2854"/>
      <c r="BWP53" s="2854"/>
      <c r="BWQ53" s="2854"/>
      <c r="BWR53" s="2854"/>
      <c r="BWS53" s="2854"/>
      <c r="BWT53" s="2854"/>
      <c r="BWU53" s="2854"/>
      <c r="BWV53" s="2854"/>
      <c r="BWW53" s="2854"/>
      <c r="BWX53" s="2854"/>
      <c r="BWY53" s="2854"/>
      <c r="BWZ53" s="2854"/>
      <c r="BXA53" s="2854"/>
      <c r="BXB53" s="2854"/>
      <c r="BXC53" s="2854"/>
      <c r="BXD53" s="2854"/>
      <c r="BXE53" s="2854"/>
      <c r="BXF53" s="2854"/>
      <c r="BXG53" s="2854"/>
      <c r="BXH53" s="2854"/>
      <c r="BXI53" s="2854"/>
      <c r="BXJ53" s="2854"/>
      <c r="BXK53" s="2854"/>
      <c r="BXL53" s="2854"/>
      <c r="BXM53" s="2854"/>
      <c r="BXN53" s="2854"/>
      <c r="BXO53" s="2854"/>
      <c r="BXP53" s="2854"/>
      <c r="BXQ53" s="2854"/>
      <c r="BXR53" s="2854"/>
      <c r="BXS53" s="2854"/>
      <c r="BXT53" s="2854"/>
      <c r="BXU53" s="2854"/>
      <c r="BXV53" s="2854"/>
      <c r="BXW53" s="2854"/>
      <c r="BXX53" s="2854"/>
      <c r="BXY53" s="2854"/>
      <c r="BXZ53" s="2854"/>
      <c r="BYA53" s="2854"/>
      <c r="BYB53" s="2854"/>
      <c r="BYC53" s="2854"/>
      <c r="BYD53" s="2854"/>
      <c r="BYE53" s="2854"/>
      <c r="BYF53" s="2854"/>
      <c r="BYG53" s="2854"/>
      <c r="BYH53" s="2854"/>
      <c r="BYI53" s="2854"/>
      <c r="BYJ53" s="2854"/>
      <c r="BYK53" s="2854"/>
      <c r="BYL53" s="2854"/>
      <c r="BYM53" s="2854"/>
      <c r="BYN53" s="2854"/>
      <c r="BYO53" s="2854"/>
      <c r="BYP53" s="2854"/>
      <c r="BYQ53" s="2854"/>
      <c r="BYR53" s="2854"/>
      <c r="BYS53" s="2854"/>
      <c r="BYT53" s="2854"/>
      <c r="BYU53" s="2854"/>
      <c r="BYV53" s="2854"/>
      <c r="BYW53" s="2854"/>
      <c r="BYX53" s="2854"/>
      <c r="BYY53" s="2854"/>
      <c r="BYZ53" s="2854"/>
      <c r="BZA53" s="2854"/>
      <c r="BZB53" s="2854"/>
      <c r="BZC53" s="2854"/>
      <c r="BZD53" s="2854"/>
      <c r="BZE53" s="2854"/>
      <c r="BZF53" s="2854"/>
      <c r="BZG53" s="2854"/>
      <c r="BZH53" s="2854"/>
      <c r="BZI53" s="2854"/>
      <c r="BZJ53" s="2854"/>
      <c r="BZK53" s="2854"/>
      <c r="BZL53" s="2854"/>
      <c r="BZM53" s="2854"/>
      <c r="BZN53" s="2854"/>
      <c r="BZO53" s="2854"/>
      <c r="BZP53" s="2854"/>
      <c r="BZQ53" s="2854"/>
      <c r="BZR53" s="2854"/>
      <c r="BZS53" s="2854"/>
      <c r="BZT53" s="2854"/>
      <c r="BZU53" s="2854"/>
      <c r="BZV53" s="2854"/>
      <c r="BZW53" s="2854"/>
      <c r="BZX53" s="2854"/>
      <c r="BZY53" s="2854"/>
      <c r="BZZ53" s="2854"/>
      <c r="CAA53" s="2854"/>
      <c r="CAB53" s="2854"/>
      <c r="CAC53" s="2854"/>
      <c r="CAD53" s="2854"/>
      <c r="CAE53" s="2854"/>
      <c r="CAF53" s="2854"/>
      <c r="CAG53" s="2854"/>
      <c r="CAH53" s="2854"/>
      <c r="CAI53" s="2854"/>
      <c r="CAJ53" s="2854"/>
      <c r="CAK53" s="2854"/>
      <c r="CAL53" s="2854"/>
      <c r="CAM53" s="2854"/>
      <c r="CAN53" s="2854"/>
      <c r="CAO53" s="2854"/>
      <c r="CAP53" s="2854"/>
      <c r="CAQ53" s="2854"/>
      <c r="CAR53" s="2854"/>
      <c r="CAS53" s="2854"/>
      <c r="CAT53" s="2854"/>
      <c r="CAU53" s="2854"/>
      <c r="CAV53" s="2854"/>
      <c r="CAW53" s="2854"/>
      <c r="CAX53" s="2854"/>
      <c r="CAY53" s="2854"/>
      <c r="CAZ53" s="2854"/>
      <c r="CBA53" s="2854"/>
      <c r="CBB53" s="2854"/>
      <c r="CBC53" s="2854"/>
      <c r="CBD53" s="2854"/>
      <c r="CBE53" s="2854"/>
      <c r="CBF53" s="2854"/>
      <c r="CBG53" s="2854"/>
      <c r="CBH53" s="2854"/>
      <c r="CBI53" s="2854"/>
      <c r="CBJ53" s="2854"/>
      <c r="CBK53" s="2854"/>
      <c r="CBL53" s="2854"/>
      <c r="CBM53" s="2854"/>
      <c r="CBN53" s="2854"/>
      <c r="CBO53" s="2854"/>
      <c r="CBP53" s="2854"/>
      <c r="CBQ53" s="2854"/>
      <c r="CBR53" s="2854"/>
      <c r="CBS53" s="2854"/>
      <c r="CBT53" s="2854"/>
      <c r="CBU53" s="2854"/>
      <c r="CBV53" s="2854"/>
      <c r="CBW53" s="2854"/>
      <c r="CBX53" s="2854"/>
      <c r="CBY53" s="2854"/>
      <c r="CBZ53" s="2854"/>
      <c r="CCA53" s="2854"/>
      <c r="CCB53" s="2854"/>
      <c r="CCC53" s="2854"/>
      <c r="CCD53" s="2854"/>
      <c r="CCE53" s="2854"/>
      <c r="CCF53" s="2854"/>
      <c r="CCG53" s="2854"/>
      <c r="CCH53" s="2854"/>
      <c r="CCI53" s="2854"/>
      <c r="CCJ53" s="2854"/>
      <c r="CCK53" s="2854"/>
      <c r="CCL53" s="2854"/>
      <c r="CCM53" s="2854"/>
      <c r="CCN53" s="2854"/>
      <c r="CCO53" s="2854"/>
      <c r="CCP53" s="2854"/>
      <c r="CCQ53" s="2854"/>
      <c r="CCR53" s="2854"/>
      <c r="CCS53" s="2854"/>
      <c r="CCT53" s="2854"/>
      <c r="CCU53" s="2854"/>
      <c r="CCV53" s="2854"/>
      <c r="CCW53" s="2854"/>
      <c r="CCX53" s="2854"/>
      <c r="CCY53" s="2854"/>
      <c r="CCZ53" s="2854"/>
      <c r="CDA53" s="2854"/>
      <c r="CDB53" s="2854"/>
      <c r="CDC53" s="2854"/>
      <c r="CDD53" s="2854"/>
      <c r="CDE53" s="2854"/>
      <c r="CDF53" s="2854"/>
      <c r="CDG53" s="2854"/>
      <c r="CDH53" s="2854"/>
      <c r="CDI53" s="2854"/>
      <c r="CDJ53" s="2854"/>
      <c r="CDK53" s="2854"/>
      <c r="CDL53" s="2854"/>
      <c r="CDM53" s="2854"/>
      <c r="CDN53" s="2854"/>
      <c r="CDO53" s="2854"/>
      <c r="CDP53" s="2854"/>
      <c r="CDQ53" s="2854"/>
      <c r="CDR53" s="2854"/>
      <c r="CDS53" s="2854"/>
      <c r="CDT53" s="2854"/>
      <c r="CDU53" s="2854"/>
      <c r="CDV53" s="2854"/>
      <c r="CDW53" s="2854"/>
      <c r="CDX53" s="2854"/>
      <c r="CDY53" s="2854"/>
      <c r="CDZ53" s="2854"/>
      <c r="CEA53" s="2854"/>
      <c r="CEB53" s="2854"/>
      <c r="CEC53" s="2854"/>
      <c r="CED53" s="2854"/>
      <c r="CEE53" s="2854"/>
      <c r="CEF53" s="2854"/>
      <c r="CEG53" s="2854"/>
      <c r="CEH53" s="2854"/>
      <c r="CEI53" s="2854"/>
      <c r="CEJ53" s="2854"/>
      <c r="CEK53" s="2854"/>
      <c r="CEL53" s="2854"/>
      <c r="CEM53" s="2854"/>
      <c r="CEN53" s="2854"/>
      <c r="CEO53" s="2854"/>
      <c r="CEP53" s="2854"/>
      <c r="CEQ53" s="2854"/>
      <c r="CER53" s="2854"/>
      <c r="CES53" s="2854"/>
      <c r="CET53" s="2854"/>
      <c r="CEU53" s="2854"/>
      <c r="CEV53" s="2854"/>
      <c r="CEW53" s="2854"/>
      <c r="CEX53" s="2854"/>
      <c r="CEY53" s="2854"/>
      <c r="CEZ53" s="2854"/>
      <c r="CFA53" s="2854"/>
      <c r="CFB53" s="2854"/>
      <c r="CFC53" s="2854"/>
      <c r="CFD53" s="2854"/>
      <c r="CFE53" s="2854"/>
      <c r="CFF53" s="2854"/>
      <c r="CFG53" s="2854"/>
      <c r="CFH53" s="2854"/>
      <c r="CFI53" s="2854"/>
      <c r="CFJ53" s="2854"/>
      <c r="CFK53" s="2854"/>
      <c r="CFL53" s="2854"/>
      <c r="CFM53" s="2854"/>
      <c r="CFN53" s="2854"/>
      <c r="CFO53" s="2854"/>
      <c r="CFP53" s="2854"/>
      <c r="CFQ53" s="2854"/>
      <c r="CFR53" s="2854"/>
      <c r="CFS53" s="2854"/>
      <c r="CFT53" s="2854"/>
      <c r="CFU53" s="2854"/>
      <c r="CFV53" s="2854"/>
      <c r="CFW53" s="2854"/>
      <c r="CFX53" s="2854"/>
      <c r="CFY53" s="2854"/>
      <c r="CFZ53" s="2854"/>
      <c r="CGA53" s="2854"/>
      <c r="CGB53" s="2854"/>
      <c r="CGC53" s="2854"/>
      <c r="CGD53" s="2854"/>
      <c r="CGE53" s="2854"/>
      <c r="CGF53" s="2854"/>
      <c r="CGG53" s="2854"/>
      <c r="CGH53" s="2854"/>
      <c r="CGI53" s="2854"/>
      <c r="CGJ53" s="2854"/>
      <c r="CGK53" s="2854"/>
      <c r="CGL53" s="2854"/>
      <c r="CGM53" s="2854"/>
      <c r="CGN53" s="2854"/>
      <c r="CGO53" s="2854"/>
      <c r="CGP53" s="2854"/>
      <c r="CGQ53" s="2854"/>
      <c r="CGR53" s="2854"/>
      <c r="CGS53" s="2854"/>
      <c r="CGT53" s="2854"/>
      <c r="CGU53" s="2854"/>
      <c r="CGV53" s="2854"/>
      <c r="CGW53" s="2854"/>
      <c r="CGX53" s="2854"/>
      <c r="CGY53" s="2854"/>
      <c r="CGZ53" s="2854"/>
      <c r="CHA53" s="2854"/>
      <c r="CHB53" s="2854"/>
      <c r="CHC53" s="2854"/>
      <c r="CHD53" s="2854"/>
      <c r="CHE53" s="2854"/>
      <c r="CHF53" s="2854"/>
      <c r="CHG53" s="2854"/>
      <c r="CHH53" s="2854"/>
      <c r="CHI53" s="2854"/>
      <c r="CHJ53" s="2854"/>
      <c r="CHK53" s="2854"/>
      <c r="CHL53" s="2854"/>
      <c r="CHM53" s="2854"/>
      <c r="CHN53" s="2854"/>
      <c r="CHO53" s="2854"/>
      <c r="CHP53" s="2854"/>
      <c r="CHQ53" s="2854"/>
      <c r="CHR53" s="2854"/>
      <c r="CHS53" s="2854"/>
      <c r="CHT53" s="2854"/>
      <c r="CHU53" s="2854"/>
      <c r="CHV53" s="2854"/>
      <c r="CHW53" s="2854"/>
      <c r="CHX53" s="2854"/>
      <c r="CHY53" s="2854"/>
      <c r="CHZ53" s="2854"/>
      <c r="CIA53" s="2854"/>
      <c r="CIB53" s="2854"/>
      <c r="CIC53" s="2854"/>
      <c r="CID53" s="2854"/>
      <c r="CIE53" s="2854"/>
      <c r="CIF53" s="2854"/>
      <c r="CIG53" s="2854"/>
      <c r="CIH53" s="2854"/>
      <c r="CII53" s="2854"/>
      <c r="CIJ53" s="2854"/>
      <c r="CIK53" s="2854"/>
      <c r="CIL53" s="2854"/>
      <c r="CIM53" s="2854"/>
      <c r="CIN53" s="2854"/>
      <c r="CIO53" s="2854"/>
      <c r="CIP53" s="2854"/>
      <c r="CIQ53" s="2854"/>
      <c r="CIR53" s="2854"/>
      <c r="CIS53" s="2854"/>
      <c r="CIT53" s="2854"/>
      <c r="CIU53" s="2854"/>
      <c r="CIV53" s="2854"/>
      <c r="CIW53" s="2854"/>
      <c r="CIX53" s="2854"/>
      <c r="CIY53" s="2854"/>
      <c r="CIZ53" s="2854"/>
      <c r="CJA53" s="2854"/>
      <c r="CJB53" s="2854"/>
      <c r="CJC53" s="2854"/>
      <c r="CJD53" s="2854"/>
      <c r="CJE53" s="2854"/>
      <c r="CJF53" s="2854"/>
      <c r="CJG53" s="2854"/>
      <c r="CJH53" s="2854"/>
      <c r="CJI53" s="2854"/>
      <c r="CJJ53" s="2854"/>
      <c r="CJK53" s="2854"/>
      <c r="CJL53" s="2854"/>
      <c r="CJM53" s="2854"/>
      <c r="CJN53" s="2854"/>
      <c r="CJO53" s="2854"/>
      <c r="CJP53" s="2854"/>
      <c r="CJQ53" s="2854"/>
      <c r="CJR53" s="2854"/>
      <c r="CJS53" s="2854"/>
      <c r="CJT53" s="2854"/>
      <c r="CJU53" s="2854"/>
      <c r="CJV53" s="2854"/>
      <c r="CJW53" s="2854"/>
      <c r="CJX53" s="2854"/>
      <c r="CJY53" s="2854"/>
      <c r="CJZ53" s="2854"/>
      <c r="CKA53" s="2854"/>
      <c r="CKB53" s="2854"/>
      <c r="CKC53" s="2854"/>
      <c r="CKD53" s="2854"/>
      <c r="CKE53" s="2854"/>
      <c r="CKF53" s="2854"/>
      <c r="CKG53" s="2854"/>
      <c r="CKH53" s="2854"/>
      <c r="CKI53" s="2854"/>
      <c r="CKJ53" s="2854"/>
      <c r="CKK53" s="2854"/>
      <c r="CKL53" s="2854"/>
      <c r="CKM53" s="2854"/>
      <c r="CKN53" s="2854"/>
      <c r="CKO53" s="2854"/>
      <c r="CKP53" s="2854"/>
      <c r="CKQ53" s="2854"/>
      <c r="CKR53" s="2854"/>
      <c r="CKS53" s="2854"/>
      <c r="CKT53" s="2854"/>
      <c r="CKU53" s="2854"/>
      <c r="CKV53" s="2854"/>
      <c r="CKW53" s="2854"/>
      <c r="CKX53" s="2854"/>
      <c r="CKY53" s="2854"/>
      <c r="CKZ53" s="2854"/>
      <c r="CLA53" s="2854"/>
      <c r="CLB53" s="2854"/>
      <c r="CLC53" s="2854"/>
      <c r="CLD53" s="2854"/>
      <c r="CLE53" s="2854"/>
      <c r="CLF53" s="2854"/>
      <c r="CLG53" s="2854"/>
      <c r="CLH53" s="2854"/>
      <c r="CLI53" s="2854"/>
      <c r="CLJ53" s="2854"/>
      <c r="CLK53" s="2854"/>
      <c r="CLL53" s="2854"/>
      <c r="CLM53" s="2854"/>
      <c r="CLN53" s="2854"/>
      <c r="CLO53" s="2854"/>
      <c r="CLP53" s="2854"/>
      <c r="CLQ53" s="2854"/>
      <c r="CLR53" s="2854"/>
      <c r="CLS53" s="2854"/>
      <c r="CLT53" s="2854"/>
      <c r="CLU53" s="2854"/>
      <c r="CLV53" s="2854"/>
      <c r="CLW53" s="2854"/>
    </row>
    <row r="54" spans="1:2363" ht="15.75" hidden="1" customHeight="1" x14ac:dyDescent="0.25">
      <c r="A54" s="3773" t="s">
        <v>573</v>
      </c>
      <c r="B54" s="3864" t="s">
        <v>548</v>
      </c>
      <c r="C54" s="1903">
        <v>1</v>
      </c>
      <c r="D54" s="2735" t="s">
        <v>553</v>
      </c>
      <c r="E54" s="2730">
        <v>38</v>
      </c>
      <c r="F54" s="2251">
        <v>4903.1899999999996</v>
      </c>
      <c r="G54" s="2243">
        <f>F54/E54</f>
        <v>129.03131578947367</v>
      </c>
      <c r="H54" s="2252">
        <v>0</v>
      </c>
      <c r="I54" s="2251">
        <v>0</v>
      </c>
      <c r="J54" s="1982">
        <v>0</v>
      </c>
      <c r="K54" s="2252">
        <v>0</v>
      </c>
      <c r="L54" s="2251">
        <v>0</v>
      </c>
      <c r="M54" s="1982">
        <v>0</v>
      </c>
      <c r="N54" s="1982">
        <v>4903.1899999999996</v>
      </c>
      <c r="O54" s="2282">
        <v>4903.1899999999996</v>
      </c>
      <c r="P54" s="2105" t="s">
        <v>335</v>
      </c>
      <c r="Q54" s="2303"/>
      <c r="R54" s="2243">
        <f>O54*5808</f>
        <v>28477727.519999996</v>
      </c>
      <c r="S54" s="1876"/>
      <c r="T54" s="1876"/>
      <c r="U54" s="3378" t="s">
        <v>335</v>
      </c>
      <c r="V54" s="2358">
        <f>R54</f>
        <v>28477727.519999996</v>
      </c>
      <c r="W54" s="1982"/>
      <c r="X54" s="2640"/>
      <c r="Y54" s="2640"/>
      <c r="Z54" s="2820">
        <f>4247527.17</f>
        <v>4247527.17</v>
      </c>
      <c r="AA54" s="2148">
        <f>Y54+Z54</f>
        <v>4247527.17</v>
      </c>
      <c r="AB54" s="2149">
        <v>4247527.17</v>
      </c>
      <c r="AC54" s="2330">
        <v>0</v>
      </c>
      <c r="AD54" s="1898">
        <v>0</v>
      </c>
      <c r="AE54" s="3120"/>
      <c r="AF54" s="1860">
        <v>4247460.1500000004</v>
      </c>
      <c r="AG54" s="2868"/>
      <c r="AH54" s="2131">
        <f>AD54+AF54</f>
        <v>4247460.1500000004</v>
      </c>
      <c r="AI54" s="2148">
        <v>0</v>
      </c>
      <c r="AJ54" s="2127">
        <v>4247527.17</v>
      </c>
      <c r="AK54" s="2834">
        <f>AI54+AJ54</f>
        <v>4247527.17</v>
      </c>
      <c r="AL54" s="2517"/>
      <c r="AM54" s="2517"/>
      <c r="AN54" s="2518"/>
      <c r="AO54" s="3406">
        <v>0</v>
      </c>
      <c r="AP54" s="3407">
        <v>0</v>
      </c>
      <c r="AQ54" s="2407">
        <v>0</v>
      </c>
      <c r="AR54" s="2407"/>
      <c r="AS54" s="2408">
        <f t="shared" ref="AS54:AS59" si="102">AO54+AQ54</f>
        <v>0</v>
      </c>
      <c r="AT54" s="2409"/>
      <c r="AU54" s="2178">
        <v>0</v>
      </c>
      <c r="AV54" s="2178">
        <v>0</v>
      </c>
      <c r="AW54" s="2410">
        <f t="shared" ref="AW54:AW63" si="103">AU54+AV54</f>
        <v>0</v>
      </c>
      <c r="AX54" s="2517"/>
      <c r="AY54" s="2517"/>
      <c r="AZ54" s="2518"/>
      <c r="BA54" s="2160">
        <v>0</v>
      </c>
      <c r="BB54" s="2407">
        <v>0</v>
      </c>
      <c r="BC54" s="2407">
        <v>0</v>
      </c>
      <c r="BD54" s="2407"/>
      <c r="BE54" s="2408">
        <f t="shared" ref="BE54:BE59" si="104">BA54+BC54</f>
        <v>0</v>
      </c>
      <c r="BF54" s="2409"/>
      <c r="BG54" s="2178">
        <v>0</v>
      </c>
      <c r="BH54" s="2178">
        <v>0</v>
      </c>
      <c r="BI54" s="2410">
        <f t="shared" ref="BI54:BI63" si="105">BG54+BH54</f>
        <v>0</v>
      </c>
      <c r="BJ54" s="2770">
        <f t="shared" ref="BJ54:BK59" si="106">AA54+AL54</f>
        <v>4247527.17</v>
      </c>
      <c r="BK54" s="2148">
        <f t="shared" si="106"/>
        <v>4247527.17</v>
      </c>
      <c r="BL54" s="2149">
        <v>0</v>
      </c>
      <c r="BM54" s="2559">
        <f t="shared" ref="BM54:BM59" si="107">AD54+AO54</f>
        <v>0</v>
      </c>
      <c r="BN54" s="1860">
        <f t="shared" ref="BN54:BN59" si="108">AF54+AQ54</f>
        <v>4247460.1500000004</v>
      </c>
      <c r="BO54" s="1860"/>
      <c r="BP54" s="1860"/>
      <c r="BQ54" s="1860">
        <f t="shared" ref="BQ54:BQ60" si="109">BM54+BN54</f>
        <v>4247460.1500000004</v>
      </c>
      <c r="BR54" s="2085">
        <f t="shared" ref="BR54:BR59" si="110">AI54+AU54</f>
        <v>0</v>
      </c>
      <c r="BS54" s="2127">
        <f t="shared" ref="BS54:BS59" si="111">AJ54+AV54</f>
        <v>4247527.17</v>
      </c>
      <c r="BT54" s="2895">
        <f t="shared" ref="BT54:BT60" si="112">BR54+BS54</f>
        <v>4247527.17</v>
      </c>
      <c r="BU54" s="1969"/>
      <c r="BV54" s="3058"/>
      <c r="BW54" s="3058"/>
      <c r="BX54" s="3058"/>
      <c r="BY54" s="1969"/>
      <c r="BZ54" s="1969"/>
      <c r="CA54" s="1969"/>
      <c r="CB54" s="1969"/>
      <c r="CC54" s="1163"/>
      <c r="CD54" s="1163"/>
      <c r="CE54" s="1163"/>
      <c r="CF54" s="1163"/>
      <c r="CG54" s="1163"/>
      <c r="CH54" s="1163"/>
      <c r="CI54" s="1144"/>
      <c r="CJ54" s="1144"/>
      <c r="CK54" s="1144"/>
      <c r="CL54" s="1144"/>
      <c r="CM54" s="1144"/>
      <c r="CN54" s="1144"/>
      <c r="CO54" s="1144"/>
      <c r="CP54" s="1144"/>
      <c r="CQ54" s="1144"/>
      <c r="CR54" s="1144"/>
      <c r="CS54" s="1144"/>
      <c r="CT54" s="1144"/>
      <c r="CU54" s="1144"/>
      <c r="CV54" s="1144"/>
    </row>
    <row r="55" spans="1:2363" s="1170" customFormat="1" ht="15.75" hidden="1" customHeight="1" x14ac:dyDescent="0.25">
      <c r="A55" s="3775"/>
      <c r="B55" s="3865"/>
      <c r="C55" s="1792" t="s">
        <v>474</v>
      </c>
      <c r="D55" s="2736" t="s">
        <v>476</v>
      </c>
      <c r="E55" s="2731" t="s">
        <v>335</v>
      </c>
      <c r="F55" s="1809" t="s">
        <v>335</v>
      </c>
      <c r="G55" s="1809" t="s">
        <v>335</v>
      </c>
      <c r="H55" s="1809" t="s">
        <v>335</v>
      </c>
      <c r="I55" s="1809" t="s">
        <v>335</v>
      </c>
      <c r="J55" s="1809" t="s">
        <v>335</v>
      </c>
      <c r="K55" s="1809" t="s">
        <v>335</v>
      </c>
      <c r="L55" s="1809" t="s">
        <v>335</v>
      </c>
      <c r="M55" s="1809" t="s">
        <v>335</v>
      </c>
      <c r="N55" s="1820" t="s">
        <v>335</v>
      </c>
      <c r="O55" s="2283"/>
      <c r="P55" s="1880" t="s">
        <v>335</v>
      </c>
      <c r="Q55" s="1843"/>
      <c r="R55" s="1820" t="s">
        <v>335</v>
      </c>
      <c r="S55" s="1820"/>
      <c r="T55" s="1820"/>
      <c r="U55" s="1820" t="s">
        <v>335</v>
      </c>
      <c r="V55" s="2359">
        <v>0</v>
      </c>
      <c r="W55" s="1983"/>
      <c r="X55" s="2641"/>
      <c r="Y55" s="2641"/>
      <c r="Z55" s="2821" t="s">
        <v>335</v>
      </c>
      <c r="AA55" s="2331">
        <v>0</v>
      </c>
      <c r="AB55" s="1894">
        <v>0</v>
      </c>
      <c r="AC55" s="2332">
        <v>0</v>
      </c>
      <c r="AD55" s="1850">
        <v>5738341.5999999996</v>
      </c>
      <c r="AE55" s="1897"/>
      <c r="AF55" s="1893">
        <v>0</v>
      </c>
      <c r="AG55" s="2871"/>
      <c r="AH55" s="2117">
        <f t="shared" ref="AH55:AH59" si="113">AD55+AF55</f>
        <v>5738341.5999999996</v>
      </c>
      <c r="AI55" s="1894">
        <f>AH55</f>
        <v>5738341.5999999996</v>
      </c>
      <c r="AJ55" s="1894">
        <v>0</v>
      </c>
      <c r="AK55" s="2835">
        <f>AI55+AJ55</f>
        <v>5738341.5999999996</v>
      </c>
      <c r="AL55" s="2504"/>
      <c r="AM55" s="2504"/>
      <c r="AN55" s="2130"/>
      <c r="AO55" s="3268">
        <v>0</v>
      </c>
      <c r="AP55" s="3286">
        <v>0</v>
      </c>
      <c r="AQ55" s="2166">
        <v>0</v>
      </c>
      <c r="AR55" s="2166"/>
      <c r="AS55" s="2157">
        <f t="shared" si="102"/>
        <v>0</v>
      </c>
      <c r="AT55" s="2122"/>
      <c r="AU55" s="2158">
        <v>0</v>
      </c>
      <c r="AV55" s="2168">
        <v>0</v>
      </c>
      <c r="AW55" s="2159">
        <f t="shared" si="103"/>
        <v>0</v>
      </c>
      <c r="AX55" s="2504"/>
      <c r="AY55" s="2504"/>
      <c r="AZ55" s="2130"/>
      <c r="BA55" s="2161">
        <v>0</v>
      </c>
      <c r="BB55" s="2166">
        <v>0</v>
      </c>
      <c r="BC55" s="2166">
        <v>0</v>
      </c>
      <c r="BD55" s="2166"/>
      <c r="BE55" s="2157">
        <f t="shared" si="104"/>
        <v>0</v>
      </c>
      <c r="BF55" s="2122"/>
      <c r="BG55" s="2158">
        <v>0</v>
      </c>
      <c r="BH55" s="2168">
        <v>0</v>
      </c>
      <c r="BI55" s="2159">
        <f t="shared" si="105"/>
        <v>0</v>
      </c>
      <c r="BJ55" s="1851">
        <f t="shared" si="106"/>
        <v>0</v>
      </c>
      <c r="BK55" s="1851">
        <f t="shared" si="106"/>
        <v>0</v>
      </c>
      <c r="BL55" s="1884">
        <v>0</v>
      </c>
      <c r="BM55" s="2558">
        <f t="shared" si="107"/>
        <v>5738341.5999999996</v>
      </c>
      <c r="BN55" s="1893">
        <f t="shared" si="108"/>
        <v>0</v>
      </c>
      <c r="BO55" s="1893"/>
      <c r="BP55" s="1893"/>
      <c r="BQ55" s="1893">
        <f t="shared" si="109"/>
        <v>5738341.5999999996</v>
      </c>
      <c r="BR55" s="1889">
        <f t="shared" si="110"/>
        <v>5738341.5999999996</v>
      </c>
      <c r="BS55" s="1848">
        <f t="shared" si="111"/>
        <v>0</v>
      </c>
      <c r="BT55" s="2454">
        <f t="shared" si="112"/>
        <v>5738341.5999999996</v>
      </c>
      <c r="BU55" s="1969"/>
      <c r="BV55" s="3058"/>
      <c r="BW55" s="3058"/>
      <c r="BX55" s="3058"/>
      <c r="BY55" s="1969"/>
      <c r="BZ55" s="1969"/>
      <c r="CA55" s="1969"/>
      <c r="CB55" s="1969"/>
      <c r="CC55" s="1144"/>
      <c r="CD55" s="1144"/>
      <c r="CE55" s="1144"/>
      <c r="CF55" s="1144"/>
      <c r="CG55" s="1144"/>
      <c r="CH55" s="1144"/>
      <c r="CI55" s="1144"/>
      <c r="CJ55" s="1144"/>
      <c r="CK55" s="1144"/>
      <c r="CL55" s="1144"/>
      <c r="CM55" s="1144"/>
      <c r="CN55" s="1144"/>
      <c r="CO55" s="1144"/>
      <c r="CP55" s="1144"/>
      <c r="CQ55" s="1144"/>
      <c r="CR55" s="1144"/>
      <c r="CS55" s="1144"/>
      <c r="CT55" s="1144"/>
      <c r="CU55" s="1144"/>
      <c r="CV55" s="1144"/>
    </row>
    <row r="56" spans="1:2363" s="1369" customFormat="1" ht="15.75" hidden="1" customHeight="1" x14ac:dyDescent="0.25">
      <c r="A56" s="3775"/>
      <c r="B56" s="3865"/>
      <c r="C56" s="1792">
        <v>2</v>
      </c>
      <c r="D56" s="2736" t="s">
        <v>554</v>
      </c>
      <c r="E56" s="2732">
        <v>14</v>
      </c>
      <c r="F56" s="1799">
        <v>2371.69</v>
      </c>
      <c r="G56" s="1800">
        <f>F56/E56</f>
        <v>169.40642857142856</v>
      </c>
      <c r="H56" s="1801">
        <v>0</v>
      </c>
      <c r="I56" s="1799">
        <v>0</v>
      </c>
      <c r="J56" s="1800">
        <v>0</v>
      </c>
      <c r="K56" s="1801">
        <v>0</v>
      </c>
      <c r="L56" s="1799">
        <v>0</v>
      </c>
      <c r="M56" s="1800">
        <v>0</v>
      </c>
      <c r="N56" s="2001">
        <v>2371.69</v>
      </c>
      <c r="O56" s="2283">
        <v>2371.69</v>
      </c>
      <c r="P56" s="1881" t="s">
        <v>335</v>
      </c>
      <c r="Q56" s="1844"/>
      <c r="R56" s="1983">
        <f>O56*5808</f>
        <v>13774775.52</v>
      </c>
      <c r="S56" s="1821"/>
      <c r="T56" s="1821"/>
      <c r="U56" s="1821" t="s">
        <v>335</v>
      </c>
      <c r="V56" s="2103">
        <f>R56</f>
        <v>13774775.52</v>
      </c>
      <c r="W56" s="1799"/>
      <c r="X56" s="2642"/>
      <c r="Y56" s="2642"/>
      <c r="Z56" s="2128">
        <f>HT56</f>
        <v>0</v>
      </c>
      <c r="AA56" s="1852">
        <f>AF56</f>
        <v>1294078.6499999999</v>
      </c>
      <c r="AB56" s="1894">
        <f>AF56</f>
        <v>1294078.6499999999</v>
      </c>
      <c r="AC56" s="2068">
        <v>0</v>
      </c>
      <c r="AD56" s="1850">
        <v>0</v>
      </c>
      <c r="AE56" s="1897"/>
      <c r="AF56" s="1893">
        <v>1294078.6499999999</v>
      </c>
      <c r="AG56" s="2870"/>
      <c r="AH56" s="2112">
        <f t="shared" si="113"/>
        <v>1294078.6499999999</v>
      </c>
      <c r="AI56" s="1851">
        <v>0</v>
      </c>
      <c r="AJ56" s="1894">
        <v>2857010.99</v>
      </c>
      <c r="AK56" s="2835">
        <f>AI56+AJ56</f>
        <v>2857010.99</v>
      </c>
      <c r="AL56" s="2504"/>
      <c r="AM56" s="2504">
        <v>1013020.62</v>
      </c>
      <c r="AN56" s="2130"/>
      <c r="AO56" s="3268">
        <v>0</v>
      </c>
      <c r="AP56" s="3286">
        <v>0</v>
      </c>
      <c r="AQ56" s="2166">
        <v>1251276.97</v>
      </c>
      <c r="AR56" s="2166"/>
      <c r="AS56" s="2157">
        <f t="shared" si="102"/>
        <v>1251276.97</v>
      </c>
      <c r="AT56" s="2122"/>
      <c r="AU56" s="2158"/>
      <c r="AV56" s="2173">
        <v>602058.39</v>
      </c>
      <c r="AW56" s="2159">
        <f t="shared" si="103"/>
        <v>602058.39</v>
      </c>
      <c r="AX56" s="2504"/>
      <c r="AY56" s="2504">
        <v>1013020.62</v>
      </c>
      <c r="AZ56" s="2130"/>
      <c r="BA56" s="2161">
        <v>0</v>
      </c>
      <c r="BB56" s="2166">
        <v>0</v>
      </c>
      <c r="BC56" s="2166">
        <v>1251276.97</v>
      </c>
      <c r="BD56" s="2166"/>
      <c r="BE56" s="2157">
        <f t="shared" si="104"/>
        <v>1251276.97</v>
      </c>
      <c r="BF56" s="2122"/>
      <c r="BG56" s="2158"/>
      <c r="BH56" s="2173">
        <v>602058.39</v>
      </c>
      <c r="BI56" s="2159">
        <f t="shared" si="105"/>
        <v>602058.39</v>
      </c>
      <c r="BJ56" s="1929">
        <f t="shared" si="106"/>
        <v>1294078.6499999999</v>
      </c>
      <c r="BK56" s="1851">
        <f t="shared" si="106"/>
        <v>2307099.27</v>
      </c>
      <c r="BL56" s="1884">
        <v>0</v>
      </c>
      <c r="BM56" s="1849">
        <f t="shared" si="107"/>
        <v>0</v>
      </c>
      <c r="BN56" s="1893">
        <f t="shared" si="108"/>
        <v>2545355.62</v>
      </c>
      <c r="BO56" s="1893"/>
      <c r="BP56" s="1893"/>
      <c r="BQ56" s="1893">
        <f t="shared" si="109"/>
        <v>2545355.62</v>
      </c>
      <c r="BR56" s="1889">
        <f t="shared" si="110"/>
        <v>0</v>
      </c>
      <c r="BS56" s="1848">
        <f t="shared" si="111"/>
        <v>3459069.3800000004</v>
      </c>
      <c r="BT56" s="2454">
        <f t="shared" si="112"/>
        <v>3459069.3800000004</v>
      </c>
      <c r="BU56" s="1969"/>
      <c r="BV56" s="3058"/>
      <c r="BW56" s="3058"/>
      <c r="BX56" s="3058"/>
      <c r="BY56" s="1969"/>
      <c r="BZ56" s="1969"/>
      <c r="CA56" s="1969"/>
      <c r="CB56" s="1969"/>
      <c r="CC56" s="1144"/>
      <c r="CD56" s="1144"/>
      <c r="CE56" s="1144"/>
      <c r="CF56" s="1144"/>
      <c r="CG56" s="1144"/>
      <c r="CH56" s="1144"/>
      <c r="CI56" s="1144"/>
      <c r="CJ56" s="1144"/>
      <c r="CK56" s="1144"/>
      <c r="CL56" s="1144"/>
      <c r="CM56" s="1144"/>
      <c r="CN56" s="1144"/>
      <c r="CO56" s="1144"/>
      <c r="CP56" s="1144"/>
      <c r="CQ56" s="1144"/>
      <c r="CR56" s="1144"/>
      <c r="CS56" s="1144"/>
      <c r="CT56" s="1144"/>
      <c r="CU56" s="1144"/>
      <c r="CV56" s="1144"/>
    </row>
    <row r="57" spans="1:2363" s="1369" customFormat="1" ht="15.75" hidden="1" customHeight="1" x14ac:dyDescent="0.25">
      <c r="A57" s="3775"/>
      <c r="B57" s="3865"/>
      <c r="C57" s="2212" t="s">
        <v>594</v>
      </c>
      <c r="D57" s="2737" t="s">
        <v>477</v>
      </c>
      <c r="E57" s="2733" t="s">
        <v>335</v>
      </c>
      <c r="F57" s="2254" t="s">
        <v>335</v>
      </c>
      <c r="G57" s="2254" t="s">
        <v>335</v>
      </c>
      <c r="H57" s="2254" t="s">
        <v>335</v>
      </c>
      <c r="I57" s="2254" t="s">
        <v>335</v>
      </c>
      <c r="J57" s="2254" t="s">
        <v>335</v>
      </c>
      <c r="K57" s="2254" t="s">
        <v>335</v>
      </c>
      <c r="L57" s="2254" t="s">
        <v>335</v>
      </c>
      <c r="M57" s="2254" t="s">
        <v>335</v>
      </c>
      <c r="N57" s="2254" t="s">
        <v>335</v>
      </c>
      <c r="O57" s="2283"/>
      <c r="P57" s="2253" t="s">
        <v>335</v>
      </c>
      <c r="Q57" s="2304"/>
      <c r="R57" s="1983">
        <f t="shared" ref="R57:R58" si="114">O57*5808</f>
        <v>0</v>
      </c>
      <c r="S57" s="2254"/>
      <c r="T57" s="2254"/>
      <c r="U57" s="2254" t="s">
        <v>335</v>
      </c>
      <c r="V57" s="2360">
        <v>0</v>
      </c>
      <c r="W57" s="2363"/>
      <c r="X57" s="2643"/>
      <c r="Y57" s="2643"/>
      <c r="Z57" s="2822" t="s">
        <v>335</v>
      </c>
      <c r="AA57" s="2333">
        <v>0</v>
      </c>
      <c r="AB57" s="1848">
        <v>0</v>
      </c>
      <c r="AC57" s="2333">
        <v>0</v>
      </c>
      <c r="AD57" s="1849">
        <v>1550079.36</v>
      </c>
      <c r="AE57" s="2113"/>
      <c r="AF57" s="1968">
        <v>0</v>
      </c>
      <c r="AG57" s="2870"/>
      <c r="AH57" s="1993">
        <f t="shared" si="113"/>
        <v>1550079.36</v>
      </c>
      <c r="AI57" s="1848">
        <f>AH57</f>
        <v>1550079.36</v>
      </c>
      <c r="AJ57" s="1848">
        <v>0</v>
      </c>
      <c r="AK57" s="2454">
        <f>AI57+AJ57</f>
        <v>1550079.36</v>
      </c>
      <c r="AL57" s="2504"/>
      <c r="AM57" s="2504"/>
      <c r="AN57" s="2130"/>
      <c r="AO57" s="3268">
        <v>908972.96</v>
      </c>
      <c r="AP57" s="3286">
        <v>0</v>
      </c>
      <c r="AQ57" s="2166">
        <v>0</v>
      </c>
      <c r="AR57" s="2166"/>
      <c r="AS57" s="2157">
        <f t="shared" si="102"/>
        <v>908972.96</v>
      </c>
      <c r="AT57" s="2122"/>
      <c r="AU57" s="2158">
        <v>341906.87</v>
      </c>
      <c r="AV57" s="2168">
        <v>0</v>
      </c>
      <c r="AW57" s="2159">
        <f t="shared" si="103"/>
        <v>341906.87</v>
      </c>
      <c r="AX57" s="2504"/>
      <c r="AY57" s="2504"/>
      <c r="AZ57" s="2130"/>
      <c r="BA57" s="2161">
        <v>908972.96</v>
      </c>
      <c r="BB57" s="2166">
        <v>0</v>
      </c>
      <c r="BC57" s="2166">
        <v>0</v>
      </c>
      <c r="BD57" s="2166"/>
      <c r="BE57" s="2157">
        <f t="shared" si="104"/>
        <v>908972.96</v>
      </c>
      <c r="BF57" s="2122"/>
      <c r="BG57" s="2158">
        <v>341906.87</v>
      </c>
      <c r="BH57" s="2168">
        <v>0</v>
      </c>
      <c r="BI57" s="2159">
        <f t="shared" si="105"/>
        <v>341906.87</v>
      </c>
      <c r="BJ57" s="1851">
        <f t="shared" si="106"/>
        <v>0</v>
      </c>
      <c r="BK57" s="1851">
        <f t="shared" si="106"/>
        <v>0</v>
      </c>
      <c r="BL57" s="1884">
        <v>0</v>
      </c>
      <c r="BM57" s="2558">
        <f t="shared" si="107"/>
        <v>2459052.3200000003</v>
      </c>
      <c r="BN57" s="1893">
        <f t="shared" si="108"/>
        <v>0</v>
      </c>
      <c r="BO57" s="1893"/>
      <c r="BP57" s="1893"/>
      <c r="BQ57" s="1893">
        <f t="shared" si="109"/>
        <v>2459052.3200000003</v>
      </c>
      <c r="BR57" s="1889">
        <f t="shared" si="110"/>
        <v>1891986.23</v>
      </c>
      <c r="BS57" s="1848">
        <f t="shared" si="111"/>
        <v>0</v>
      </c>
      <c r="BT57" s="2454">
        <f t="shared" si="112"/>
        <v>1891986.23</v>
      </c>
      <c r="BU57" s="1969"/>
      <c r="BV57" s="3058"/>
      <c r="BW57" s="3058"/>
      <c r="BX57" s="3058"/>
      <c r="BY57" s="1969"/>
      <c r="BZ57" s="1969"/>
      <c r="CA57" s="1969"/>
      <c r="CB57" s="1969"/>
      <c r="CC57" s="1144"/>
      <c r="CD57" s="1144"/>
      <c r="CE57" s="1144"/>
      <c r="CF57" s="1144"/>
      <c r="CG57" s="1144"/>
      <c r="CH57" s="1144"/>
      <c r="CI57" s="1144"/>
      <c r="CJ57" s="1144"/>
      <c r="CK57" s="1144"/>
      <c r="CL57" s="1144"/>
      <c r="CM57" s="1144"/>
      <c r="CN57" s="1144"/>
      <c r="CO57" s="1144"/>
      <c r="CP57" s="1144"/>
      <c r="CQ57" s="1144"/>
      <c r="CR57" s="1144"/>
      <c r="CS57" s="1144"/>
      <c r="CT57" s="1144"/>
      <c r="CU57" s="1144"/>
      <c r="CV57" s="1144"/>
    </row>
    <row r="58" spans="1:2363" s="1144" customFormat="1" ht="15.75" hidden="1" customHeight="1" x14ac:dyDescent="0.25">
      <c r="A58" s="3775"/>
      <c r="B58" s="3865"/>
      <c r="C58" s="2213">
        <v>3</v>
      </c>
      <c r="D58" s="2738" t="s">
        <v>580</v>
      </c>
      <c r="E58" s="2734">
        <v>40</v>
      </c>
      <c r="F58" s="2254">
        <f>E58*G58</f>
        <v>3780</v>
      </c>
      <c r="G58" s="2254">
        <v>94.5</v>
      </c>
      <c r="H58" s="2254">
        <v>0</v>
      </c>
      <c r="I58" s="2255">
        <v>0</v>
      </c>
      <c r="J58" s="2255">
        <v>0</v>
      </c>
      <c r="K58" s="2254" t="s">
        <v>335</v>
      </c>
      <c r="L58" s="2254" t="s">
        <v>335</v>
      </c>
      <c r="M58" s="2254" t="s">
        <v>335</v>
      </c>
      <c r="N58" s="2255">
        <f>F56+I58</f>
        <v>2371.69</v>
      </c>
      <c r="O58" s="2283">
        <f>F56+I58</f>
        <v>2371.69</v>
      </c>
      <c r="P58" s="2305"/>
      <c r="Q58" s="1809"/>
      <c r="R58" s="1983">
        <f t="shared" si="114"/>
        <v>13774775.52</v>
      </c>
      <c r="S58" s="1809"/>
      <c r="T58" s="1809"/>
      <c r="U58" s="1809"/>
      <c r="V58" s="2361">
        <f>R58</f>
        <v>13774775.52</v>
      </c>
      <c r="W58" s="2008"/>
      <c r="X58" s="2644"/>
      <c r="Y58" s="2644"/>
      <c r="Z58" s="2823">
        <f>HP58</f>
        <v>0</v>
      </c>
      <c r="AA58" s="2333">
        <v>0</v>
      </c>
      <c r="AB58" s="1848">
        <v>0</v>
      </c>
      <c r="AC58" s="2334">
        <v>0</v>
      </c>
      <c r="AD58" s="1897">
        <v>0</v>
      </c>
      <c r="AE58" s="1897"/>
      <c r="AF58" s="1893">
        <v>0</v>
      </c>
      <c r="AG58" s="2870"/>
      <c r="AH58" s="2112">
        <f t="shared" si="113"/>
        <v>0</v>
      </c>
      <c r="AI58" s="1894">
        <v>0</v>
      </c>
      <c r="AJ58" s="1894">
        <v>0</v>
      </c>
      <c r="AK58" s="2451">
        <v>0</v>
      </c>
      <c r="AL58" s="1836"/>
      <c r="AM58" s="1836"/>
      <c r="AN58" s="2104"/>
      <c r="AO58" s="3268">
        <v>0</v>
      </c>
      <c r="AP58" s="3286">
        <v>0</v>
      </c>
      <c r="AQ58" s="2166">
        <v>0</v>
      </c>
      <c r="AR58" s="2166"/>
      <c r="AS58" s="2157">
        <f t="shared" si="102"/>
        <v>0</v>
      </c>
      <c r="AT58" s="2122"/>
      <c r="AU58" s="2158">
        <v>0</v>
      </c>
      <c r="AV58" s="2173">
        <v>0</v>
      </c>
      <c r="AW58" s="2159">
        <f t="shared" si="103"/>
        <v>0</v>
      </c>
      <c r="AX58" s="1836"/>
      <c r="AY58" s="1836"/>
      <c r="AZ58" s="2104"/>
      <c r="BA58" s="2161">
        <v>0</v>
      </c>
      <c r="BB58" s="2166">
        <v>0</v>
      </c>
      <c r="BC58" s="2166">
        <v>0</v>
      </c>
      <c r="BD58" s="2166"/>
      <c r="BE58" s="2157">
        <f t="shared" si="104"/>
        <v>0</v>
      </c>
      <c r="BF58" s="2122"/>
      <c r="BG58" s="2158">
        <v>0</v>
      </c>
      <c r="BH58" s="2173">
        <v>0</v>
      </c>
      <c r="BI58" s="2159">
        <f t="shared" si="105"/>
        <v>0</v>
      </c>
      <c r="BJ58" s="1929">
        <f t="shared" si="106"/>
        <v>0</v>
      </c>
      <c r="BK58" s="1851">
        <f t="shared" si="106"/>
        <v>0</v>
      </c>
      <c r="BL58" s="1884">
        <v>0</v>
      </c>
      <c r="BM58" s="1849">
        <f t="shared" si="107"/>
        <v>0</v>
      </c>
      <c r="BN58" s="1893">
        <f t="shared" si="108"/>
        <v>0</v>
      </c>
      <c r="BO58" s="1893"/>
      <c r="BP58" s="1893"/>
      <c r="BQ58" s="1893">
        <f t="shared" si="109"/>
        <v>0</v>
      </c>
      <c r="BR58" s="1889">
        <f t="shared" si="110"/>
        <v>0</v>
      </c>
      <c r="BS58" s="1848">
        <f t="shared" si="111"/>
        <v>0</v>
      </c>
      <c r="BT58" s="2454">
        <f t="shared" si="112"/>
        <v>0</v>
      </c>
      <c r="BU58" s="1969"/>
      <c r="BV58" s="3058"/>
      <c r="BW58" s="3058"/>
      <c r="BX58" s="3058"/>
      <c r="BY58" s="1969"/>
      <c r="BZ58" s="1969"/>
      <c r="CA58" s="1969"/>
      <c r="CB58" s="1969"/>
    </row>
    <row r="59" spans="1:2363" s="1144" customFormat="1" ht="15.75" hidden="1" customHeight="1" x14ac:dyDescent="0.25">
      <c r="A59" s="3775"/>
      <c r="B59" s="3865"/>
      <c r="C59" s="2212" t="s">
        <v>551</v>
      </c>
      <c r="D59" s="2739" t="s">
        <v>581</v>
      </c>
      <c r="E59" s="2600"/>
      <c r="F59" s="2256"/>
      <c r="G59" s="2256"/>
      <c r="H59" s="2256"/>
      <c r="I59" s="2256"/>
      <c r="J59" s="2256"/>
      <c r="K59" s="2256"/>
      <c r="L59" s="2256"/>
      <c r="M59" s="2256"/>
      <c r="N59" s="2256"/>
      <c r="O59" s="2284"/>
      <c r="P59" s="2306"/>
      <c r="Q59" s="2306"/>
      <c r="R59" s="1922"/>
      <c r="S59" s="1922"/>
      <c r="T59" s="1922"/>
      <c r="U59" s="1922"/>
      <c r="V59" s="2362"/>
      <c r="W59" s="2198"/>
      <c r="X59" s="2645"/>
      <c r="Y59" s="2645"/>
      <c r="Z59" s="2824">
        <v>0</v>
      </c>
      <c r="AA59" s="2333">
        <v>0</v>
      </c>
      <c r="AB59" s="1828">
        <v>0</v>
      </c>
      <c r="AC59" s="2335">
        <v>0</v>
      </c>
      <c r="AD59" s="2113">
        <v>0</v>
      </c>
      <c r="AE59" s="2113"/>
      <c r="AF59" s="2372">
        <v>0</v>
      </c>
      <c r="AG59" s="2872"/>
      <c r="AH59" s="1994">
        <f t="shared" si="113"/>
        <v>0</v>
      </c>
      <c r="AI59" s="2185">
        <v>0</v>
      </c>
      <c r="AJ59" s="2185">
        <v>0</v>
      </c>
      <c r="AK59" s="2832">
        <v>0</v>
      </c>
      <c r="AL59" s="2189"/>
      <c r="AM59" s="2189"/>
      <c r="AN59" s="2190"/>
      <c r="AO59" s="3408">
        <v>0</v>
      </c>
      <c r="AP59" s="3409">
        <v>0</v>
      </c>
      <c r="AQ59" s="2176">
        <v>0</v>
      </c>
      <c r="AR59" s="2176"/>
      <c r="AS59" s="2177">
        <f t="shared" si="102"/>
        <v>0</v>
      </c>
      <c r="AT59" s="2123"/>
      <c r="AU59" s="2179">
        <v>0</v>
      </c>
      <c r="AV59" s="2179">
        <v>0</v>
      </c>
      <c r="AW59" s="2411">
        <f t="shared" si="103"/>
        <v>0</v>
      </c>
      <c r="AX59" s="2189"/>
      <c r="AY59" s="2189"/>
      <c r="AZ59" s="2190"/>
      <c r="BA59" s="2163">
        <v>0</v>
      </c>
      <c r="BB59" s="2176">
        <v>0</v>
      </c>
      <c r="BC59" s="2176">
        <v>0</v>
      </c>
      <c r="BD59" s="2176"/>
      <c r="BE59" s="2177">
        <f t="shared" si="104"/>
        <v>0</v>
      </c>
      <c r="BF59" s="2123"/>
      <c r="BG59" s="2179">
        <v>0</v>
      </c>
      <c r="BH59" s="2179">
        <v>0</v>
      </c>
      <c r="BI59" s="2411">
        <f t="shared" si="105"/>
        <v>0</v>
      </c>
      <c r="BJ59" s="1829">
        <f t="shared" si="106"/>
        <v>0</v>
      </c>
      <c r="BK59" s="1829">
        <f t="shared" si="106"/>
        <v>0</v>
      </c>
      <c r="BL59" s="2124">
        <v>0</v>
      </c>
      <c r="BM59" s="2560">
        <f t="shared" si="107"/>
        <v>0</v>
      </c>
      <c r="BN59" s="1895">
        <f t="shared" si="108"/>
        <v>0</v>
      </c>
      <c r="BO59" s="1895"/>
      <c r="BP59" s="1895"/>
      <c r="BQ59" s="1895">
        <f t="shared" si="109"/>
        <v>0</v>
      </c>
      <c r="BR59" s="1838">
        <f t="shared" si="110"/>
        <v>0</v>
      </c>
      <c r="BS59" s="1828">
        <f t="shared" si="111"/>
        <v>0</v>
      </c>
      <c r="BT59" s="2896">
        <f t="shared" si="112"/>
        <v>0</v>
      </c>
      <c r="BU59" s="1969"/>
      <c r="BV59" s="3058"/>
      <c r="BW59" s="3058"/>
      <c r="BX59" s="3058"/>
      <c r="BY59" s="1969"/>
      <c r="BZ59" s="1969"/>
      <c r="CA59" s="1969"/>
      <c r="CB59" s="1969"/>
      <c r="CC59" s="99"/>
      <c r="CD59" s="99"/>
      <c r="CE59" s="99"/>
      <c r="CF59" s="99"/>
      <c r="CG59" s="99"/>
      <c r="CH59" s="99"/>
      <c r="CI59" s="99"/>
      <c r="CJ59" s="99"/>
      <c r="CK59" s="99"/>
      <c r="CL59" s="99"/>
      <c r="CM59" s="99"/>
      <c r="CN59" s="99"/>
      <c r="CO59" s="99"/>
      <c r="CP59" s="99"/>
      <c r="CQ59" s="99"/>
      <c r="CR59" s="99"/>
      <c r="CS59" s="99"/>
      <c r="CT59" s="99"/>
      <c r="CU59" s="99"/>
      <c r="CV59" s="99"/>
    </row>
    <row r="60" spans="1:2363" s="1144" customFormat="1" ht="15.75" hidden="1" customHeight="1" x14ac:dyDescent="0.2">
      <c r="A60" s="3775"/>
      <c r="B60" s="3866"/>
      <c r="C60" s="2214" t="s">
        <v>478</v>
      </c>
      <c r="D60" s="2728" t="s">
        <v>555</v>
      </c>
      <c r="E60" s="2604">
        <f>E54+E56</f>
        <v>52</v>
      </c>
      <c r="F60" s="1908">
        <f>F54+F56</f>
        <v>7274.8799999999992</v>
      </c>
      <c r="G60" s="1908">
        <f t="shared" ref="G60:M60" si="115">G54+G56</f>
        <v>298.43774436090223</v>
      </c>
      <c r="H60" s="1908">
        <f t="shared" si="115"/>
        <v>0</v>
      </c>
      <c r="I60" s="1908">
        <f t="shared" si="115"/>
        <v>0</v>
      </c>
      <c r="J60" s="1908">
        <f t="shared" si="115"/>
        <v>0</v>
      </c>
      <c r="K60" s="1908">
        <f t="shared" si="115"/>
        <v>0</v>
      </c>
      <c r="L60" s="1908">
        <f t="shared" si="115"/>
        <v>0</v>
      </c>
      <c r="M60" s="1908">
        <f t="shared" si="115"/>
        <v>0</v>
      </c>
      <c r="N60" s="1908">
        <f>N54+N56</f>
        <v>7274.8799999999992</v>
      </c>
      <c r="O60" s="1908"/>
      <c r="P60" s="1965"/>
      <c r="Q60" s="2003"/>
      <c r="R60" s="2609">
        <f>R54+R56+R58</f>
        <v>56027278.559999987</v>
      </c>
      <c r="S60" s="2003"/>
      <c r="T60" s="2003"/>
      <c r="U60" s="2610" t="s">
        <v>335</v>
      </c>
      <c r="V60" s="1992">
        <f>V54+V56+V58</f>
        <v>56027278.559999987</v>
      </c>
      <c r="W60" s="1992"/>
      <c r="X60" s="1992"/>
      <c r="Y60" s="1992"/>
      <c r="Z60" s="2825">
        <f t="shared" ref="Z60" si="116">Z54+Z56</f>
        <v>4247527.17</v>
      </c>
      <c r="AA60" s="2154">
        <f>SUM(AA54:AA59)</f>
        <v>5541605.8200000003</v>
      </c>
      <c r="AB60" s="1931">
        <f>AB54+AB56</f>
        <v>5541605.8200000003</v>
      </c>
      <c r="AC60" s="1928">
        <v>0</v>
      </c>
      <c r="AD60" s="2373">
        <f>SUM(AD54:AD59)</f>
        <v>7288420.96</v>
      </c>
      <c r="AE60" s="3121"/>
      <c r="AF60" s="1931">
        <f>SUM(AF54:AF59)</f>
        <v>5541538.8000000007</v>
      </c>
      <c r="AG60" s="1931"/>
      <c r="AH60" s="1954">
        <f>AD60+AF60</f>
        <v>12829959.760000002</v>
      </c>
      <c r="AI60" s="2066">
        <f>SUM(AI54:AI59)</f>
        <v>7288420.96</v>
      </c>
      <c r="AJ60" s="2067">
        <f>SUM(AJ54:AJ59)</f>
        <v>7104538.1600000001</v>
      </c>
      <c r="AK60" s="2420">
        <f>AI60+AJ60</f>
        <v>14392959.120000001</v>
      </c>
      <c r="AL60" s="1887">
        <f>SUM(AL54:AL59)</f>
        <v>0</v>
      </c>
      <c r="AM60" s="1887">
        <f>SUM(AM54:AM59)</f>
        <v>1013020.62</v>
      </c>
      <c r="AN60" s="1887">
        <f>AL60-AM60</f>
        <v>-1013020.62</v>
      </c>
      <c r="AO60" s="1948">
        <f>SUM(AO54:AO59)</f>
        <v>908972.96</v>
      </c>
      <c r="AP60" s="1948">
        <f>SUM(AP54:AP59)</f>
        <v>0</v>
      </c>
      <c r="AQ60" s="1948">
        <f>SUM(AQ54:AQ59)</f>
        <v>1251276.97</v>
      </c>
      <c r="AR60" s="1948"/>
      <c r="AS60" s="1948">
        <f>AQ60+AR60</f>
        <v>1251276.97</v>
      </c>
      <c r="AT60" s="1887">
        <f t="shared" ref="AT60" si="117">AR60+AS60</f>
        <v>1251276.97</v>
      </c>
      <c r="AU60" s="1948">
        <f>SUM(AU54:AU59)</f>
        <v>341906.87</v>
      </c>
      <c r="AV60" s="1948">
        <f>SUM(AV54:AV59)</f>
        <v>602058.39</v>
      </c>
      <c r="AW60" s="2466">
        <f t="shared" si="103"/>
        <v>943965.26</v>
      </c>
      <c r="AX60" s="1887">
        <f>SUM(AX54:AX59)</f>
        <v>0</v>
      </c>
      <c r="AY60" s="1887">
        <f>SUM(AY54:AY59)</f>
        <v>1013020.62</v>
      </c>
      <c r="AZ60" s="1887">
        <f>AX60-AY60</f>
        <v>-1013020.62</v>
      </c>
      <c r="BA60" s="1948">
        <f>SUM(BA54:BA59)</f>
        <v>908972.96</v>
      </c>
      <c r="BB60" s="1948">
        <f>SUM(BB54:BB59)</f>
        <v>0</v>
      </c>
      <c r="BC60" s="1948">
        <f>SUM(BC54:BC59)</f>
        <v>1251276.97</v>
      </c>
      <c r="BD60" s="1948"/>
      <c r="BE60" s="1948">
        <f>BC60+BD60</f>
        <v>1251276.97</v>
      </c>
      <c r="BF60" s="1887">
        <f t="shared" ref="BF60" si="118">BD60+BE60</f>
        <v>1251276.97</v>
      </c>
      <c r="BG60" s="1948">
        <f>SUM(BG54:BG59)</f>
        <v>341906.87</v>
      </c>
      <c r="BH60" s="1948">
        <f>SUM(BH54:BH59)</f>
        <v>602058.39</v>
      </c>
      <c r="BI60" s="2466">
        <f t="shared" si="105"/>
        <v>943965.26</v>
      </c>
      <c r="BJ60" s="1948">
        <f>SUM(BJ54:BJ59)</f>
        <v>5541605.8200000003</v>
      </c>
      <c r="BK60" s="1948">
        <f>SUM(BK54:BK59)</f>
        <v>6554626.4399999995</v>
      </c>
      <c r="BL60" s="1948">
        <f>BJ60-BK60</f>
        <v>-1013020.6199999992</v>
      </c>
      <c r="BM60" s="1948">
        <f>SUM(BM54:BM59)</f>
        <v>8197393.9199999999</v>
      </c>
      <c r="BN60" s="1948">
        <f>SUM(BN54:BN59)</f>
        <v>6792815.7700000005</v>
      </c>
      <c r="BO60" s="1948"/>
      <c r="BP60" s="1948"/>
      <c r="BQ60" s="1948">
        <f t="shared" si="109"/>
        <v>14990209.690000001</v>
      </c>
      <c r="BR60" s="1948">
        <f>SUM(BR54:BR59)</f>
        <v>7630327.8300000001</v>
      </c>
      <c r="BS60" s="1948">
        <f>SUM(BS54:BS59)</f>
        <v>7706596.5500000007</v>
      </c>
      <c r="BT60" s="2466">
        <f t="shared" si="112"/>
        <v>15336924.380000001</v>
      </c>
      <c r="BU60" s="1969"/>
      <c r="BV60" s="3058"/>
      <c r="BW60" s="3058"/>
      <c r="BX60" s="3058"/>
      <c r="BY60" s="1969"/>
      <c r="BZ60" s="1969"/>
      <c r="CA60" s="1969"/>
      <c r="CB60" s="1969"/>
      <c r="CC60" s="99"/>
      <c r="CD60" s="99"/>
      <c r="CE60" s="99"/>
      <c r="CF60" s="99"/>
      <c r="CG60" s="99"/>
      <c r="CH60" s="99"/>
      <c r="CI60" s="99"/>
      <c r="CJ60" s="99"/>
      <c r="CK60" s="99"/>
      <c r="CL60" s="99"/>
      <c r="CM60" s="99"/>
      <c r="CN60" s="99"/>
      <c r="CO60" s="99"/>
      <c r="CP60" s="99"/>
      <c r="CQ60" s="99"/>
      <c r="CR60" s="99"/>
      <c r="CS60" s="99"/>
      <c r="CT60" s="99"/>
      <c r="CU60" s="99"/>
      <c r="CV60" s="99"/>
    </row>
    <row r="61" spans="1:2363" s="1144" customFormat="1" ht="15.75" hidden="1" customHeight="1" x14ac:dyDescent="0.25">
      <c r="A61" s="3775"/>
      <c r="B61" s="1909" t="s">
        <v>276</v>
      </c>
      <c r="C61" s="2215" t="s">
        <v>551</v>
      </c>
      <c r="D61" s="2740" t="s">
        <v>556</v>
      </c>
      <c r="E61" s="2306"/>
      <c r="F61" s="1922"/>
      <c r="G61" s="1922"/>
      <c r="H61" s="1922"/>
      <c r="I61" s="1922"/>
      <c r="J61" s="1922"/>
      <c r="K61" s="1922"/>
      <c r="L61" s="1922"/>
      <c r="M61" s="1922"/>
      <c r="N61" s="2003"/>
      <c r="O61" s="2002"/>
      <c r="P61" s="1926"/>
      <c r="Q61" s="1927"/>
      <c r="R61" s="2307">
        <v>649725.31000000006</v>
      </c>
      <c r="S61" s="1927"/>
      <c r="T61" s="1927"/>
      <c r="U61" s="1921" t="s">
        <v>335</v>
      </c>
      <c r="V61" s="2308">
        <f>R61</f>
        <v>649725.31000000006</v>
      </c>
      <c r="W61" s="2308"/>
      <c r="X61" s="2308"/>
      <c r="Y61" s="2308"/>
      <c r="Z61" s="2826">
        <v>649725.31000000006</v>
      </c>
      <c r="AA61" s="2336">
        <f>Y61+Z61</f>
        <v>649725.31000000006</v>
      </c>
      <c r="AB61" s="2336">
        <v>649725.31000000006</v>
      </c>
      <c r="AC61" s="1924">
        <v>0</v>
      </c>
      <c r="AD61" s="2374">
        <v>0</v>
      </c>
      <c r="AE61" s="3122"/>
      <c r="AF61" s="2064">
        <v>0</v>
      </c>
      <c r="AG61" s="2873"/>
      <c r="AH61" s="2375">
        <v>649725.31000000006</v>
      </c>
      <c r="AI61" s="2015">
        <v>0</v>
      </c>
      <c r="AJ61" s="2016">
        <v>649725.31000000006</v>
      </c>
      <c r="AK61" s="2836">
        <f>AI61+AJ61</f>
        <v>649725.31000000006</v>
      </c>
      <c r="AL61" s="2709"/>
      <c r="AM61" s="2519"/>
      <c r="AN61" s="2519"/>
      <c r="AO61" s="3268">
        <v>0</v>
      </c>
      <c r="AP61" s="3286">
        <v>0</v>
      </c>
      <c r="AQ61" s="2166">
        <v>0</v>
      </c>
      <c r="AR61" s="2166"/>
      <c r="AS61" s="2157">
        <f t="shared" ref="AS61:AS62" si="119">AO61+AQ61</f>
        <v>0</v>
      </c>
      <c r="AT61" s="2122"/>
      <c r="AU61" s="2158">
        <v>0</v>
      </c>
      <c r="AV61" s="2173">
        <v>0</v>
      </c>
      <c r="AW61" s="2159">
        <f t="shared" si="103"/>
        <v>0</v>
      </c>
      <c r="AX61" s="2709"/>
      <c r="AY61" s="2519"/>
      <c r="AZ61" s="2519"/>
      <c r="BA61" s="2161">
        <v>0</v>
      </c>
      <c r="BB61" s="2166">
        <v>0</v>
      </c>
      <c r="BC61" s="2166">
        <v>0</v>
      </c>
      <c r="BD61" s="2166"/>
      <c r="BE61" s="2157">
        <f t="shared" ref="BE61:BE62" si="120">BA61+BC61</f>
        <v>0</v>
      </c>
      <c r="BF61" s="2122"/>
      <c r="BG61" s="2158">
        <v>0</v>
      </c>
      <c r="BH61" s="2173">
        <v>0</v>
      </c>
      <c r="BI61" s="2159">
        <f t="shared" si="105"/>
        <v>0</v>
      </c>
      <c r="BJ61" s="1929">
        <f>AA61+AL61</f>
        <v>649725.31000000006</v>
      </c>
      <c r="BK61" s="1851">
        <f>AB61+AM61</f>
        <v>649725.31000000006</v>
      </c>
      <c r="BL61" s="1884">
        <v>0</v>
      </c>
      <c r="BM61" s="2559">
        <f>AD61+AO61</f>
        <v>0</v>
      </c>
      <c r="BN61" s="1893"/>
      <c r="BO61" s="1893"/>
      <c r="BP61" s="1893"/>
      <c r="BQ61" s="1893">
        <v>649725.31000000006</v>
      </c>
      <c r="BR61" s="1889">
        <f t="shared" ref="BR61:BS63" si="121">AI61+AU61</f>
        <v>0</v>
      </c>
      <c r="BS61" s="1848">
        <f t="shared" si="121"/>
        <v>649725.31000000006</v>
      </c>
      <c r="BT61" s="2454">
        <f t="shared" ref="BT61:BT62" si="122">BR61+BS61</f>
        <v>649725.31000000006</v>
      </c>
      <c r="BU61" s="1969"/>
      <c r="BV61" s="3058"/>
      <c r="BW61" s="3058"/>
      <c r="BX61" s="3058"/>
      <c r="BY61" s="1969"/>
      <c r="BZ61" s="1969"/>
      <c r="CA61" s="1969"/>
      <c r="CB61" s="1969"/>
      <c r="CC61" s="99"/>
      <c r="CD61" s="99"/>
      <c r="CE61" s="99"/>
      <c r="CF61" s="99"/>
      <c r="CG61" s="99"/>
      <c r="CH61" s="99"/>
      <c r="CI61" s="99"/>
      <c r="CJ61" s="99"/>
      <c r="CK61" s="99"/>
      <c r="CL61" s="99"/>
      <c r="CM61" s="99"/>
      <c r="CN61" s="99"/>
      <c r="CO61" s="99"/>
      <c r="CP61" s="99"/>
      <c r="CQ61" s="99"/>
      <c r="CR61" s="99"/>
      <c r="CS61" s="99"/>
      <c r="CT61" s="99"/>
      <c r="CU61" s="99"/>
      <c r="CV61" s="99"/>
    </row>
    <row r="62" spans="1:2363" s="1144" customFormat="1" ht="15.75" hidden="1" customHeight="1" x14ac:dyDescent="0.25">
      <c r="A62" s="3775"/>
      <c r="B62" s="2197" t="s">
        <v>549</v>
      </c>
      <c r="C62" s="2216" t="s">
        <v>552</v>
      </c>
      <c r="D62" s="2741" t="s">
        <v>557</v>
      </c>
      <c r="E62" s="1906"/>
      <c r="F62" s="1863"/>
      <c r="G62" s="1863"/>
      <c r="H62" s="1906"/>
      <c r="I62" s="1906"/>
      <c r="J62" s="1906"/>
      <c r="K62" s="1906"/>
      <c r="L62" s="1906"/>
      <c r="M62" s="1906"/>
      <c r="N62" s="2004"/>
      <c r="O62" s="1907"/>
      <c r="P62" s="1926"/>
      <c r="Q62" s="1927"/>
      <c r="R62" s="2307">
        <v>1276978.73</v>
      </c>
      <c r="S62" s="1927"/>
      <c r="T62" s="1927"/>
      <c r="U62" s="1921" t="s">
        <v>335</v>
      </c>
      <c r="V62" s="2308">
        <f>R62</f>
        <v>1276978.73</v>
      </c>
      <c r="W62" s="2308"/>
      <c r="X62" s="2308"/>
      <c r="Y62" s="2308"/>
      <c r="Z62" s="2826">
        <v>1276978.73</v>
      </c>
      <c r="AA62" s="1924">
        <f>Y62+Z62</f>
        <v>1276978.73</v>
      </c>
      <c r="AB62" s="1924">
        <v>1276978.73</v>
      </c>
      <c r="AC62" s="1924">
        <v>0</v>
      </c>
      <c r="AD62" s="2063">
        <v>0</v>
      </c>
      <c r="AE62" s="3122"/>
      <c r="AF62" s="2064">
        <v>0</v>
      </c>
      <c r="AG62" s="2065"/>
      <c r="AH62" s="2065">
        <v>1276978.73</v>
      </c>
      <c r="AI62" s="2017">
        <v>0</v>
      </c>
      <c r="AJ62" s="2016">
        <v>1276978.73</v>
      </c>
      <c r="AK62" s="2836">
        <f>AI62+AJ62</f>
        <v>1276978.73</v>
      </c>
      <c r="AL62" s="2709"/>
      <c r="AM62" s="2519"/>
      <c r="AN62" s="2519"/>
      <c r="AO62" s="3268">
        <v>0</v>
      </c>
      <c r="AP62" s="3286">
        <v>0</v>
      </c>
      <c r="AQ62" s="2166">
        <v>0</v>
      </c>
      <c r="AR62" s="2166"/>
      <c r="AS62" s="2157">
        <f t="shared" si="119"/>
        <v>0</v>
      </c>
      <c r="AT62" s="2122"/>
      <c r="AU62" s="2158">
        <v>0</v>
      </c>
      <c r="AV62" s="2168">
        <v>0</v>
      </c>
      <c r="AW62" s="2159">
        <f t="shared" si="103"/>
        <v>0</v>
      </c>
      <c r="AX62" s="2709"/>
      <c r="AY62" s="2519"/>
      <c r="AZ62" s="2519"/>
      <c r="BA62" s="2161">
        <v>0</v>
      </c>
      <c r="BB62" s="2166">
        <v>0</v>
      </c>
      <c r="BC62" s="2166">
        <v>0</v>
      </c>
      <c r="BD62" s="2166"/>
      <c r="BE62" s="2157">
        <f t="shared" si="120"/>
        <v>0</v>
      </c>
      <c r="BF62" s="2122"/>
      <c r="BG62" s="2158">
        <v>0</v>
      </c>
      <c r="BH62" s="2168">
        <v>0</v>
      </c>
      <c r="BI62" s="2159">
        <f t="shared" si="105"/>
        <v>0</v>
      </c>
      <c r="BJ62" s="1970">
        <f>AA62+AL62</f>
        <v>1276978.73</v>
      </c>
      <c r="BK62" s="1851">
        <f>AB62+AM62</f>
        <v>1276978.73</v>
      </c>
      <c r="BL62" s="1884">
        <v>0</v>
      </c>
      <c r="BM62" s="2561">
        <f>AD62+AO62</f>
        <v>0</v>
      </c>
      <c r="BN62" s="1893"/>
      <c r="BO62" s="1893"/>
      <c r="BP62" s="1893"/>
      <c r="BQ62" s="1893">
        <v>1276978.73</v>
      </c>
      <c r="BR62" s="1889">
        <f t="shared" si="121"/>
        <v>0</v>
      </c>
      <c r="BS62" s="1848">
        <f t="shared" si="121"/>
        <v>1276978.73</v>
      </c>
      <c r="BT62" s="2454">
        <f t="shared" si="122"/>
        <v>1276978.73</v>
      </c>
      <c r="BU62" s="1969"/>
      <c r="BV62" s="3058"/>
      <c r="BW62" s="3058"/>
      <c r="BX62" s="3058"/>
      <c r="BY62" s="1969"/>
      <c r="BZ62" s="1969"/>
      <c r="CA62" s="1969"/>
      <c r="CB62" s="1969"/>
    </row>
    <row r="63" spans="1:2363" s="1144" customFormat="1" ht="15.75" hidden="1" customHeight="1" thickBot="1" x14ac:dyDescent="0.25">
      <c r="A63" s="3891"/>
      <c r="B63" s="1973"/>
      <c r="C63" s="2217"/>
      <c r="D63" s="2742" t="s">
        <v>558</v>
      </c>
      <c r="E63" s="1974"/>
      <c r="F63" s="1975"/>
      <c r="G63" s="1974"/>
      <c r="H63" s="1974"/>
      <c r="I63" s="1974"/>
      <c r="J63" s="1974"/>
      <c r="K63" s="1974"/>
      <c r="L63" s="1974"/>
      <c r="M63" s="1974"/>
      <c r="N63" s="2050"/>
      <c r="O63" s="1975">
        <f t="shared" ref="O63:T63" si="123">O60+O61+O62</f>
        <v>0</v>
      </c>
      <c r="P63" s="1975">
        <f t="shared" si="123"/>
        <v>0</v>
      </c>
      <c r="Q63" s="1975">
        <f t="shared" si="123"/>
        <v>0</v>
      </c>
      <c r="R63" s="1975">
        <f t="shared" si="123"/>
        <v>57953982.599999987</v>
      </c>
      <c r="S63" s="1975">
        <f t="shared" si="123"/>
        <v>0</v>
      </c>
      <c r="T63" s="1975">
        <f t="shared" si="123"/>
        <v>0</v>
      </c>
      <c r="U63" s="1975"/>
      <c r="V63" s="1975">
        <f t="shared" ref="V63" si="124">V60+V61+V62</f>
        <v>57953982.599999987</v>
      </c>
      <c r="W63" s="1975"/>
      <c r="X63" s="1975"/>
      <c r="Y63" s="1975"/>
      <c r="Z63" s="2827">
        <f>Z60+Z61+Z62</f>
        <v>6174231.2100000009</v>
      </c>
      <c r="AA63" s="1975">
        <f>AA60+AA61+AA62</f>
        <v>7468309.8600000013</v>
      </c>
      <c r="AB63" s="1975">
        <f>AB60+AB61+AB62</f>
        <v>7468309.8600000013</v>
      </c>
      <c r="AC63" s="1975">
        <f t="shared" ref="AC63" si="125">AC60+AC61+AC62</f>
        <v>0</v>
      </c>
      <c r="AD63" s="1975">
        <f>AD60+AD61+AD62</f>
        <v>7288420.96</v>
      </c>
      <c r="AE63" s="1975"/>
      <c r="AF63" s="1975">
        <f>AF60+AF61+AF62</f>
        <v>5541538.8000000007</v>
      </c>
      <c r="AG63" s="1975"/>
      <c r="AH63" s="1975">
        <f>AH60+AH61+AH62</f>
        <v>14756663.800000003</v>
      </c>
      <c r="AI63" s="1975">
        <f>AI60+AI61+AI62</f>
        <v>7288420.96</v>
      </c>
      <c r="AJ63" s="1975">
        <f>AJ60+AJ61+AJ62</f>
        <v>9031242.2000000011</v>
      </c>
      <c r="AK63" s="2421">
        <f>AI63+AJ63</f>
        <v>16319663.16</v>
      </c>
      <c r="AL63" s="1975">
        <f>AL60+AL61+AL62</f>
        <v>0</v>
      </c>
      <c r="AM63" s="1975">
        <f>AM60+AM61+AM62</f>
        <v>1013020.62</v>
      </c>
      <c r="AN63" s="1975">
        <f t="shared" ref="AN63" si="126">AN60+AN61+AN62</f>
        <v>-1013020.62</v>
      </c>
      <c r="AO63" s="1975">
        <f>AO60+AO61+AO62</f>
        <v>908972.96</v>
      </c>
      <c r="AP63" s="1975">
        <f>AN63+AO63</f>
        <v>-104047.66000000003</v>
      </c>
      <c r="AQ63" s="1975">
        <f>SUM(AQ61:AQ62)</f>
        <v>0</v>
      </c>
      <c r="AR63" s="1975"/>
      <c r="AS63" s="1975">
        <f>AO63+AQ63</f>
        <v>908972.96</v>
      </c>
      <c r="AT63" s="1975">
        <f t="shared" ref="AT63" si="127">AR63+AS63</f>
        <v>908972.96</v>
      </c>
      <c r="AU63" s="1975">
        <f>AU60+AU61+AU62</f>
        <v>341906.87</v>
      </c>
      <c r="AV63" s="1975">
        <f>SUM(AV61:AV62)</f>
        <v>0</v>
      </c>
      <c r="AW63" s="2421">
        <f t="shared" si="103"/>
        <v>341906.87</v>
      </c>
      <c r="AX63" s="1975">
        <f>AX60+AX61+AX62</f>
        <v>0</v>
      </c>
      <c r="AY63" s="1975">
        <f>AY60+AY61+AY62</f>
        <v>1013020.62</v>
      </c>
      <c r="AZ63" s="1975">
        <f t="shared" ref="AZ63" si="128">AZ60+AZ61+AZ62</f>
        <v>-1013020.62</v>
      </c>
      <c r="BA63" s="1975">
        <f>BA60+BA61+BA62</f>
        <v>908972.96</v>
      </c>
      <c r="BB63" s="1975">
        <f>AZ63+BA63</f>
        <v>-104047.66000000003</v>
      </c>
      <c r="BC63" s="1975">
        <f>SUM(BC61:BC62)</f>
        <v>0</v>
      </c>
      <c r="BD63" s="1975"/>
      <c r="BE63" s="1975">
        <f>BA63+BC63</f>
        <v>908972.96</v>
      </c>
      <c r="BF63" s="1975">
        <f t="shared" ref="BF63" si="129">BD63+BE63</f>
        <v>908972.96</v>
      </c>
      <c r="BG63" s="1975">
        <f>BG60+BG61+BG62</f>
        <v>341906.87</v>
      </c>
      <c r="BH63" s="1975">
        <f>SUM(BH61:BH62)</f>
        <v>0</v>
      </c>
      <c r="BI63" s="2421">
        <f t="shared" si="105"/>
        <v>341906.87</v>
      </c>
      <c r="BJ63" s="1975">
        <f>SUM(BJ60:BJ62)</f>
        <v>7468309.8600000013</v>
      </c>
      <c r="BK63" s="1975">
        <f>SUM(BK60:BK62)</f>
        <v>8481330.4800000004</v>
      </c>
      <c r="BL63" s="1975">
        <f>SUM(BL61:BL62)</f>
        <v>0</v>
      </c>
      <c r="BM63" s="1975">
        <f>AD63+AO63</f>
        <v>8197393.9199999999</v>
      </c>
      <c r="BN63" s="1975">
        <f>AF63+AP63</f>
        <v>5437491.1400000006</v>
      </c>
      <c r="BO63" s="1975"/>
      <c r="BP63" s="1975"/>
      <c r="BQ63" s="1975">
        <f t="shared" ref="BQ63" si="130">BM63+BN63</f>
        <v>13634885.060000001</v>
      </c>
      <c r="BR63" s="1975">
        <f t="shared" si="121"/>
        <v>7630327.8300000001</v>
      </c>
      <c r="BS63" s="1975">
        <f t="shared" si="121"/>
        <v>9031242.2000000011</v>
      </c>
      <c r="BT63" s="2421">
        <f>BR63+BS63</f>
        <v>16661570.030000001</v>
      </c>
      <c r="BU63" s="1969"/>
      <c r="BV63" s="3058"/>
      <c r="BW63" s="3058"/>
      <c r="BX63" s="3058"/>
      <c r="BY63" s="1969"/>
      <c r="BZ63" s="1969"/>
      <c r="CA63" s="1969"/>
      <c r="CB63" s="1969"/>
    </row>
    <row r="64" spans="1:2363" ht="9" hidden="1" customHeight="1" thickTop="1" thickBot="1" x14ac:dyDescent="0.25">
      <c r="A64" s="1977"/>
      <c r="B64" s="1978"/>
      <c r="C64" s="1979"/>
      <c r="D64" s="2743" t="s">
        <v>582</v>
      </c>
      <c r="E64" s="1925">
        <f>E53+E60</f>
        <v>551</v>
      </c>
      <c r="F64" s="2632">
        <f>F53+F60</f>
        <v>42525.62</v>
      </c>
      <c r="G64" s="2632">
        <f>F64/E64</f>
        <v>77.178983666061711</v>
      </c>
      <c r="H64" s="1925">
        <f>H53+H63</f>
        <v>289</v>
      </c>
      <c r="I64" s="2632">
        <f>I53</f>
        <v>3798.25</v>
      </c>
      <c r="J64" s="2632">
        <f>I64/H64</f>
        <v>13.142733564013842</v>
      </c>
      <c r="K64" s="1925">
        <f>K53+K34</f>
        <v>4</v>
      </c>
      <c r="L64" s="1925">
        <f>L53+L63</f>
        <v>415</v>
      </c>
      <c r="M64" s="2632">
        <f>L64/K64</f>
        <v>103.75</v>
      </c>
      <c r="N64" s="2633">
        <f t="shared" ref="N64:V64" si="131">N53+N63</f>
        <v>39463.990000000005</v>
      </c>
      <c r="O64" s="2632">
        <f t="shared" si="131"/>
        <v>39048.990000000005</v>
      </c>
      <c r="P64" s="2258">
        <f t="shared" si="131"/>
        <v>443212.42</v>
      </c>
      <c r="Q64" s="2258">
        <f t="shared" si="131"/>
        <v>781305.38</v>
      </c>
      <c r="R64" s="2258">
        <f t="shared" si="131"/>
        <v>91925383.779999971</v>
      </c>
      <c r="S64" s="2258">
        <f t="shared" si="131"/>
        <v>119507.76999999999</v>
      </c>
      <c r="T64" s="2258">
        <f t="shared" si="131"/>
        <v>164068.74</v>
      </c>
      <c r="U64" s="2258">
        <f t="shared" si="131"/>
        <v>5299168.8600000003</v>
      </c>
      <c r="V64" s="2258">
        <f t="shared" si="131"/>
        <v>98737646.949999988</v>
      </c>
      <c r="W64" s="2258"/>
      <c r="X64" s="2258"/>
      <c r="Y64" s="2258"/>
      <c r="Z64" s="2828">
        <f>Z53+Z63</f>
        <v>13829671.035114981</v>
      </c>
      <c r="AA64" s="1980">
        <f>AA53+AA63</f>
        <v>52133379.460000001</v>
      </c>
      <c r="AB64" s="1980">
        <f>AB53+AB63</f>
        <v>52133379.460000001</v>
      </c>
      <c r="AC64" s="1980">
        <f>AC53+AC63</f>
        <v>0</v>
      </c>
      <c r="AD64" s="1980">
        <f>AD63+AD53</f>
        <v>205348989.38000003</v>
      </c>
      <c r="AE64" s="2630"/>
      <c r="AF64" s="2630">
        <f>AF63+AF53</f>
        <v>5541538.8000000007</v>
      </c>
      <c r="AG64" s="2630"/>
      <c r="AH64" s="1980">
        <f>AH63+AH53</f>
        <v>237975970.76000002</v>
      </c>
      <c r="AI64" s="1980">
        <f t="shared" ref="AI64:AQ64" si="132">AI53+AI63</f>
        <v>184680770.44</v>
      </c>
      <c r="AJ64" s="1980">
        <f t="shared" si="132"/>
        <v>52510036.140000008</v>
      </c>
      <c r="AK64" s="2422">
        <f t="shared" si="132"/>
        <v>237190806.57999998</v>
      </c>
      <c r="AL64" s="1980">
        <f t="shared" si="132"/>
        <v>70000</v>
      </c>
      <c r="AM64" s="2612">
        <f t="shared" si="132"/>
        <v>1083020.6200000001</v>
      </c>
      <c r="AN64" s="1980">
        <f t="shared" si="132"/>
        <v>-1013020.62</v>
      </c>
      <c r="AO64" s="1980">
        <f t="shared" si="132"/>
        <v>978972.96</v>
      </c>
      <c r="AP64" s="1980">
        <f t="shared" si="132"/>
        <v>-104047.66000000003</v>
      </c>
      <c r="AQ64" s="1980">
        <f t="shared" si="132"/>
        <v>0</v>
      </c>
      <c r="AR64" s="1980"/>
      <c r="AS64" s="1980">
        <f>AO64+AQ64</f>
        <v>978972.96</v>
      </c>
      <c r="AT64" s="1980">
        <f t="shared" ref="AT64:BL64" si="133">AT53+AT63</f>
        <v>3687223.48</v>
      </c>
      <c r="AU64" s="1980">
        <f t="shared" si="133"/>
        <v>341906.87</v>
      </c>
      <c r="AV64" s="1980">
        <f t="shared" si="133"/>
        <v>755300</v>
      </c>
      <c r="AW64" s="2422">
        <f t="shared" si="133"/>
        <v>1097206.8700000001</v>
      </c>
      <c r="AX64" s="1980">
        <f t="shared" si="133"/>
        <v>7107389.830000001</v>
      </c>
      <c r="AY64" s="2612">
        <f t="shared" si="133"/>
        <v>8120410.4500000011</v>
      </c>
      <c r="AZ64" s="1980">
        <f t="shared" si="133"/>
        <v>-1013020.62</v>
      </c>
      <c r="BA64" s="1980">
        <f t="shared" si="133"/>
        <v>34266482.009999998</v>
      </c>
      <c r="BB64" s="1980">
        <f t="shared" si="133"/>
        <v>3758773.91</v>
      </c>
      <c r="BC64" s="1980">
        <f t="shared" si="133"/>
        <v>1156916.2</v>
      </c>
      <c r="BD64" s="1980"/>
      <c r="BE64" s="1980">
        <f>BA64+BC64</f>
        <v>35423398.210000001</v>
      </c>
      <c r="BF64" s="1980">
        <f t="shared" ref="BF64:BI64" si="134">BF53+BF63</f>
        <v>908972.96</v>
      </c>
      <c r="BG64" s="1980">
        <f t="shared" si="134"/>
        <v>30625417.260000002</v>
      </c>
      <c r="BH64" s="1980">
        <f t="shared" si="134"/>
        <v>8998512.7899999991</v>
      </c>
      <c r="BI64" s="2422">
        <f t="shared" si="134"/>
        <v>39623930.050000004</v>
      </c>
      <c r="BJ64" s="1980">
        <f t="shared" si="133"/>
        <v>8016359.8600000013</v>
      </c>
      <c r="BK64" s="1980">
        <f t="shared" si="133"/>
        <v>9029380.4800000004</v>
      </c>
      <c r="BL64" s="1980">
        <f t="shared" si="133"/>
        <v>0</v>
      </c>
      <c r="BM64" s="1980">
        <f>BM53+BM63+BM60</f>
        <v>18442837.84</v>
      </c>
      <c r="BN64" s="1980">
        <f>BN53+BN63+BN60</f>
        <v>12311556.91</v>
      </c>
      <c r="BO64" s="1980"/>
      <c r="BP64" s="1980"/>
      <c r="BQ64" s="1980">
        <f>BM64+BN64</f>
        <v>30754394.75</v>
      </c>
      <c r="BR64" s="1980">
        <f>BR53+BR63</f>
        <v>10117654.35</v>
      </c>
      <c r="BS64" s="1980">
        <f>BS53+BS63</f>
        <v>9845792.2000000011</v>
      </c>
      <c r="BT64" s="2422">
        <f>BT53+BT63</f>
        <v>19963446.550000001</v>
      </c>
      <c r="BU64" s="1969"/>
      <c r="BV64" s="3058"/>
      <c r="BW64" s="3058"/>
      <c r="BX64" s="3058"/>
      <c r="BY64" s="1969"/>
      <c r="BZ64" s="1969"/>
      <c r="CA64" s="1969"/>
      <c r="CB64" s="1969"/>
    </row>
    <row r="65" spans="1:766" ht="27.75" thickTop="1" x14ac:dyDescent="0.2">
      <c r="A65" s="1971"/>
      <c r="B65" s="1976"/>
      <c r="C65" s="1794"/>
      <c r="D65" s="2741"/>
      <c r="E65" s="2744"/>
      <c r="F65" s="1908"/>
      <c r="G65" s="1908"/>
      <c r="H65" s="2257"/>
      <c r="I65" s="2257"/>
      <c r="J65" s="2257"/>
      <c r="K65" s="2257"/>
      <c r="L65" s="2257"/>
      <c r="M65" s="2257"/>
      <c r="N65" s="2634"/>
      <c r="O65" s="2788"/>
      <c r="P65" s="1794"/>
      <c r="Q65" s="1794"/>
      <c r="R65" s="1794"/>
      <c r="S65" s="1794"/>
      <c r="T65" s="1794"/>
      <c r="U65" s="2889"/>
      <c r="V65" s="1863"/>
      <c r="W65" s="1863"/>
      <c r="X65" s="1863"/>
      <c r="Y65" s="1863"/>
      <c r="Z65" s="2829"/>
      <c r="AA65" s="1863"/>
      <c r="AB65" s="1863"/>
      <c r="AC65" s="1863"/>
      <c r="AD65" s="1863"/>
      <c r="AE65" s="1863"/>
      <c r="AF65" s="1908"/>
      <c r="AG65" s="1863"/>
      <c r="AH65" s="1863"/>
      <c r="AI65" s="2018"/>
      <c r="AJ65" s="2018"/>
      <c r="AK65" s="2423"/>
      <c r="AL65" s="2018"/>
      <c r="AM65" s="2018"/>
      <c r="AN65" s="2018"/>
      <c r="AO65" s="2018"/>
      <c r="AP65" s="2018"/>
      <c r="AQ65" s="2018"/>
      <c r="AR65" s="2018"/>
      <c r="AS65" s="2018"/>
      <c r="AT65" s="2018"/>
      <c r="AU65" s="2018"/>
      <c r="AV65" s="2018"/>
      <c r="AW65" s="2423"/>
      <c r="AX65" s="2018"/>
      <c r="AY65" s="2018"/>
      <c r="AZ65" s="2018"/>
      <c r="BA65" s="2018"/>
      <c r="BB65" s="2018"/>
      <c r="BC65" s="2018"/>
      <c r="BD65" s="2018"/>
      <c r="BE65" s="2018"/>
      <c r="BF65" s="2018"/>
      <c r="BG65" s="2018"/>
      <c r="BH65" s="2018"/>
      <c r="BI65" s="2423"/>
      <c r="BJ65" s="2018"/>
      <c r="BK65" s="2018"/>
      <c r="BL65" s="2018"/>
      <c r="BM65" s="2018"/>
      <c r="BN65" s="2018"/>
      <c r="BO65" s="2018"/>
      <c r="BP65" s="2018"/>
      <c r="BQ65" s="2018"/>
      <c r="BR65" s="2018"/>
      <c r="BS65" s="2018"/>
      <c r="BT65" s="2423"/>
      <c r="BV65" s="3058"/>
      <c r="BW65" s="3058"/>
      <c r="BX65" s="3058"/>
      <c r="BY65" s="1969"/>
      <c r="BZ65" s="1969"/>
      <c r="CA65" s="1969"/>
      <c r="CB65" s="1969"/>
    </row>
    <row r="66" spans="1:766" ht="15" customHeight="1" x14ac:dyDescent="0.25">
      <c r="A66" s="3773" t="s">
        <v>598</v>
      </c>
      <c r="B66" s="3774"/>
      <c r="C66" s="1910">
        <v>1</v>
      </c>
      <c r="D66" s="2218"/>
      <c r="E66" s="1911"/>
      <c r="F66" s="1890"/>
      <c r="G66" s="1890"/>
      <c r="H66" s="1890"/>
      <c r="I66" s="1890"/>
      <c r="J66" s="1890"/>
      <c r="K66" s="1890"/>
      <c r="L66" s="1890"/>
      <c r="M66" s="1890"/>
      <c r="N66" s="1857"/>
      <c r="O66" s="2005"/>
      <c r="P66" s="1856"/>
      <c r="Q66" s="1856"/>
      <c r="R66" s="1857"/>
      <c r="S66" s="1857"/>
      <c r="T66" s="1891"/>
      <c r="U66" s="2890"/>
      <c r="V66" s="1891"/>
      <c r="W66" s="1891"/>
      <c r="X66" s="1891"/>
      <c r="Y66" s="1891"/>
      <c r="Z66" s="1987"/>
      <c r="AA66" s="1894">
        <v>0</v>
      </c>
      <c r="AB66" s="1894">
        <v>0</v>
      </c>
      <c r="AC66" s="2082">
        <f t="shared" ref="AC66:AC67" si="135">AA66-AB66</f>
        <v>0</v>
      </c>
      <c r="AD66" s="1897">
        <v>0</v>
      </c>
      <c r="AE66" s="1897"/>
      <c r="AF66" s="1893">
        <v>0</v>
      </c>
      <c r="AG66" s="2869"/>
      <c r="AH66" s="2687"/>
      <c r="AI66" s="1851">
        <v>0</v>
      </c>
      <c r="AJ66" s="1894">
        <v>0</v>
      </c>
      <c r="AK66" s="2453">
        <f>AI66+AJ66</f>
        <v>0</v>
      </c>
      <c r="AL66" s="2513">
        <v>0</v>
      </c>
      <c r="AM66" s="2513">
        <v>0</v>
      </c>
      <c r="AN66" s="2513">
        <f t="shared" ref="AN66:AN67" si="136">AL66+AM66</f>
        <v>0</v>
      </c>
      <c r="AO66" s="2161">
        <v>0</v>
      </c>
      <c r="AP66" s="2166">
        <v>0</v>
      </c>
      <c r="AQ66" s="2166">
        <v>0</v>
      </c>
      <c r="AR66" s="2166"/>
      <c r="AS66" s="2157">
        <f t="shared" ref="AS66:AS67" si="137">AO66+AQ66</f>
        <v>0</v>
      </c>
      <c r="AT66" s="2122"/>
      <c r="AU66" s="2158">
        <v>0</v>
      </c>
      <c r="AV66" s="2173">
        <v>0</v>
      </c>
      <c r="AW66" s="2159">
        <f>AU66+AV66</f>
        <v>0</v>
      </c>
      <c r="AX66" s="2513">
        <v>0</v>
      </c>
      <c r="AY66" s="2513">
        <v>0</v>
      </c>
      <c r="AZ66" s="2513">
        <f t="shared" ref="AZ66:AZ67" si="138">AX66+AY66</f>
        <v>0</v>
      </c>
      <c r="BA66" s="3073">
        <v>0</v>
      </c>
      <c r="BB66" s="3086">
        <v>0</v>
      </c>
      <c r="BC66" s="3086">
        <v>0</v>
      </c>
      <c r="BD66" s="3086"/>
      <c r="BE66" s="3087">
        <f t="shared" ref="BE66:BE67" si="139">BA66+BC66</f>
        <v>0</v>
      </c>
      <c r="BF66" s="2122"/>
      <c r="BG66" s="2158">
        <v>0</v>
      </c>
      <c r="BH66" s="2173">
        <v>0</v>
      </c>
      <c r="BI66" s="2159">
        <f>BG66+BH66</f>
        <v>0</v>
      </c>
      <c r="BJ66" s="2051">
        <f>AA66+AL66</f>
        <v>0</v>
      </c>
      <c r="BK66" s="1851">
        <f>AB66+AM66</f>
        <v>0</v>
      </c>
      <c r="BL66" s="1884">
        <f t="shared" ref="BL66:BL67" si="140">BJ66-BK66</f>
        <v>0</v>
      </c>
      <c r="BM66" s="2559">
        <f>AD66+AO66</f>
        <v>0</v>
      </c>
      <c r="BN66" s="1893">
        <f t="shared" ref="BN66:BN67" si="141">AF66+AQ66</f>
        <v>0</v>
      </c>
      <c r="BO66" s="1893">
        <f>BM66-BN66</f>
        <v>0</v>
      </c>
      <c r="BP66" s="1893">
        <f t="shared" ref="BP66:BP67" si="142">BM66+BO66</f>
        <v>0</v>
      </c>
      <c r="BQ66" s="1893">
        <f t="shared" ref="BQ66:BQ67" si="143">BM66+BN66</f>
        <v>0</v>
      </c>
      <c r="BR66" s="1889">
        <f>AI66+AU66</f>
        <v>0</v>
      </c>
      <c r="BS66" s="1848">
        <f>AJ66+AV66</f>
        <v>0</v>
      </c>
      <c r="BT66" s="2454">
        <f t="shared" ref="BT66:BT67" si="144">BR66+BS66</f>
        <v>0</v>
      </c>
      <c r="BV66" s="3058"/>
      <c r="BW66" s="3058"/>
      <c r="BX66" s="3058"/>
      <c r="BY66" s="1969"/>
      <c r="BZ66" s="1969"/>
      <c r="CA66" s="1969"/>
      <c r="CB66" s="1969"/>
    </row>
    <row r="67" spans="1:766" ht="15" customHeight="1" x14ac:dyDescent="0.25">
      <c r="A67" s="3775"/>
      <c r="B67" s="3776"/>
      <c r="C67" s="2219">
        <v>2</v>
      </c>
      <c r="D67" s="2615"/>
      <c r="E67" s="1911"/>
      <c r="F67" s="1890"/>
      <c r="G67" s="1890"/>
      <c r="H67" s="1890"/>
      <c r="I67" s="1890"/>
      <c r="J67" s="1890"/>
      <c r="K67" s="1890"/>
      <c r="L67" s="1890"/>
      <c r="M67" s="1890"/>
      <c r="N67" s="1857"/>
      <c r="O67" s="2005"/>
      <c r="P67" s="1856"/>
      <c r="Q67" s="1856"/>
      <c r="R67" s="1857"/>
      <c r="S67" s="1857"/>
      <c r="T67" s="1891"/>
      <c r="U67" s="2891"/>
      <c r="V67" s="1891"/>
      <c r="W67" s="1891"/>
      <c r="X67" s="1891"/>
      <c r="Y67" s="1891"/>
      <c r="Z67" s="2818"/>
      <c r="AA67" s="1851">
        <v>0</v>
      </c>
      <c r="AB67" s="1894">
        <v>0</v>
      </c>
      <c r="AC67" s="1855">
        <f t="shared" si="135"/>
        <v>0</v>
      </c>
      <c r="AD67" s="1897">
        <v>0</v>
      </c>
      <c r="AE67" s="1897"/>
      <c r="AF67" s="1893">
        <v>0</v>
      </c>
      <c r="AG67" s="2871"/>
      <c r="AH67" s="2688"/>
      <c r="AI67" s="1851">
        <v>0</v>
      </c>
      <c r="AJ67" s="1894">
        <v>0</v>
      </c>
      <c r="AK67" s="2457">
        <f>AI67+AJ67</f>
        <v>0</v>
      </c>
      <c r="AL67" s="2520">
        <v>0</v>
      </c>
      <c r="AM67" s="2520">
        <v>0</v>
      </c>
      <c r="AN67" s="2520">
        <f t="shared" si="136"/>
        <v>0</v>
      </c>
      <c r="AO67" s="2161">
        <v>0</v>
      </c>
      <c r="AP67" s="2166">
        <v>0</v>
      </c>
      <c r="AQ67" s="2166">
        <v>0</v>
      </c>
      <c r="AR67" s="2166"/>
      <c r="AS67" s="2157">
        <f t="shared" si="137"/>
        <v>0</v>
      </c>
      <c r="AT67" s="2122"/>
      <c r="AU67" s="2158">
        <v>0</v>
      </c>
      <c r="AV67" s="2168">
        <v>0</v>
      </c>
      <c r="AW67" s="2159">
        <f>AU67+AV67</f>
        <v>0</v>
      </c>
      <c r="AX67" s="2520">
        <v>0</v>
      </c>
      <c r="AY67" s="2520">
        <v>0</v>
      </c>
      <c r="AZ67" s="2520">
        <f t="shared" si="138"/>
        <v>0</v>
      </c>
      <c r="BA67" s="3073">
        <v>0</v>
      </c>
      <c r="BB67" s="3086">
        <v>0</v>
      </c>
      <c r="BC67" s="3086">
        <v>0</v>
      </c>
      <c r="BD67" s="3086"/>
      <c r="BE67" s="3087">
        <f t="shared" si="139"/>
        <v>0</v>
      </c>
      <c r="BF67" s="2122"/>
      <c r="BG67" s="2158">
        <v>0</v>
      </c>
      <c r="BH67" s="2168">
        <v>0</v>
      </c>
      <c r="BI67" s="2159">
        <f>BG67+BH67</f>
        <v>0</v>
      </c>
      <c r="BJ67" s="2048">
        <f>AA67+AL67</f>
        <v>0</v>
      </c>
      <c r="BK67" s="1851">
        <f>AB67+AM67</f>
        <v>0</v>
      </c>
      <c r="BL67" s="1884">
        <f t="shared" si="140"/>
        <v>0</v>
      </c>
      <c r="BM67" s="2561">
        <f>AD67+AO67</f>
        <v>0</v>
      </c>
      <c r="BN67" s="1893">
        <f t="shared" si="141"/>
        <v>0</v>
      </c>
      <c r="BO67" s="1893">
        <f>BM67-BN67</f>
        <v>0</v>
      </c>
      <c r="BP67" s="1893">
        <f t="shared" si="142"/>
        <v>0</v>
      </c>
      <c r="BQ67" s="1893">
        <f t="shared" si="143"/>
        <v>0</v>
      </c>
      <c r="BR67" s="1889">
        <f>AI67+AU67</f>
        <v>0</v>
      </c>
      <c r="BS67" s="1848">
        <f>AJ67+AV67</f>
        <v>0</v>
      </c>
      <c r="BT67" s="2896">
        <f t="shared" si="144"/>
        <v>0</v>
      </c>
      <c r="BV67" s="3058"/>
      <c r="BW67" s="3058"/>
      <c r="BX67" s="3058"/>
      <c r="BY67" s="1969"/>
      <c r="BZ67" s="1969"/>
      <c r="CA67" s="1969"/>
      <c r="CB67" s="1969"/>
    </row>
    <row r="68" spans="1:766" s="102" customFormat="1" ht="15" customHeight="1" x14ac:dyDescent="0.2">
      <c r="A68" s="3777"/>
      <c r="B68" s="3778"/>
      <c r="C68" s="1972"/>
      <c r="D68" s="1995" t="s">
        <v>574</v>
      </c>
      <c r="E68" s="3339"/>
      <c r="F68" s="1905"/>
      <c r="G68" s="1905"/>
      <c r="H68" s="1905"/>
      <c r="I68" s="1905"/>
      <c r="J68" s="1905"/>
      <c r="K68" s="1905"/>
      <c r="L68" s="1905"/>
      <c r="M68" s="1905"/>
      <c r="N68" s="1905"/>
      <c r="O68" s="2155"/>
      <c r="P68" s="1905"/>
      <c r="Q68" s="1905"/>
      <c r="R68" s="1905"/>
      <c r="S68" s="1905"/>
      <c r="T68" s="1905"/>
      <c r="U68" s="2805"/>
      <c r="V68" s="2933"/>
      <c r="W68" s="1905"/>
      <c r="X68" s="1905"/>
      <c r="Y68" s="1905"/>
      <c r="Z68" s="3414"/>
      <c r="AA68" s="1905">
        <f>SUM(AA66:AA67)</f>
        <v>0</v>
      </c>
      <c r="AB68" s="1905">
        <f>SUM(AB66:AB67)</f>
        <v>0</v>
      </c>
      <c r="AC68" s="1905">
        <f>SUM(AC66:AC67)</f>
        <v>0</v>
      </c>
      <c r="AD68" s="1905">
        <f>SUM(AD66:AD67)</f>
        <v>0</v>
      </c>
      <c r="AE68" s="1905"/>
      <c r="AF68" s="1905">
        <v>0</v>
      </c>
      <c r="AG68" s="1905"/>
      <c r="AH68" s="1905">
        <v>0</v>
      </c>
      <c r="AI68" s="1905">
        <v>0</v>
      </c>
      <c r="AJ68" s="1905">
        <v>0</v>
      </c>
      <c r="AK68" s="2155">
        <f>SUM(AK66:AK67)</f>
        <v>0</v>
      </c>
      <c r="AL68" s="1905"/>
      <c r="AM68" s="1905"/>
      <c r="AN68" s="1905"/>
      <c r="AO68" s="1905">
        <f>SUM(AO66:AO67)</f>
        <v>0</v>
      </c>
      <c r="AP68" s="1905">
        <f>SUM(AP66:AP67)</f>
        <v>0</v>
      </c>
      <c r="AQ68" s="1905">
        <f>AO68+AP68</f>
        <v>0</v>
      </c>
      <c r="AR68" s="1905"/>
      <c r="AS68" s="1905">
        <f>AO68+AQ68</f>
        <v>0</v>
      </c>
      <c r="AT68" s="1905">
        <f>SUM(AT66:AT67)</f>
        <v>0</v>
      </c>
      <c r="AU68" s="1905">
        <f>SUM(AU66:AU67)</f>
        <v>0</v>
      </c>
      <c r="AV68" s="1905">
        <f>SUM(AV66:AV67)</f>
        <v>0</v>
      </c>
      <c r="AW68" s="2155">
        <f>AU68+AV68</f>
        <v>0</v>
      </c>
      <c r="AX68" s="1905"/>
      <c r="AY68" s="1905"/>
      <c r="AZ68" s="1905"/>
      <c r="BA68" s="1905">
        <f>SUM(BA66:BA67)</f>
        <v>0</v>
      </c>
      <c r="BB68" s="1905">
        <f>SUM(BB66:BB67)</f>
        <v>0</v>
      </c>
      <c r="BC68" s="1905">
        <f>BA68+BB68</f>
        <v>0</v>
      </c>
      <c r="BD68" s="1905"/>
      <c r="BE68" s="1905">
        <f>BA68+BC68</f>
        <v>0</v>
      </c>
      <c r="BF68" s="1905">
        <f>SUM(BF66:BF67)</f>
        <v>0</v>
      </c>
      <c r="BG68" s="1905">
        <f>SUM(BG66:BG67)</f>
        <v>0</v>
      </c>
      <c r="BH68" s="1905">
        <f>SUM(BH66:BH67)</f>
        <v>0</v>
      </c>
      <c r="BI68" s="2155">
        <f>BG68+BH68</f>
        <v>0</v>
      </c>
      <c r="BJ68" s="1905">
        <f>SUM(BJ66:BJ67)</f>
        <v>0</v>
      </c>
      <c r="BK68" s="1905">
        <f>SUM(BK66:BK67)</f>
        <v>0</v>
      </c>
      <c r="BL68" s="1905">
        <f>BJ68+BK68</f>
        <v>0</v>
      </c>
      <c r="BM68" s="1905">
        <f>SUM(BM66:BM67)</f>
        <v>0</v>
      </c>
      <c r="BN68" s="1905">
        <f>SUM(BN66:BN67)</f>
        <v>0</v>
      </c>
      <c r="BO68" s="1905">
        <f>SUM(BO66:BO67)</f>
        <v>0</v>
      </c>
      <c r="BP68" s="1905">
        <f>SUM(BP66:BP67)</f>
        <v>0</v>
      </c>
      <c r="BQ68" s="1905">
        <f>BM68+BN68</f>
        <v>0</v>
      </c>
      <c r="BR68" s="1905">
        <f>SUM(BR66:BR67)</f>
        <v>0</v>
      </c>
      <c r="BS68" s="1905">
        <f>SUM(BS66:BS67)</f>
        <v>0</v>
      </c>
      <c r="BT68" s="2155">
        <f>SUM(BT66:BT67)</f>
        <v>0</v>
      </c>
      <c r="BU68" s="99"/>
      <c r="BV68" s="3058"/>
      <c r="BW68" s="3058"/>
      <c r="BX68" s="3058"/>
      <c r="BY68" s="99"/>
      <c r="BZ68" s="99"/>
    </row>
    <row r="69" spans="1:766" s="102" customFormat="1" ht="15" customHeight="1" x14ac:dyDescent="0.2">
      <c r="A69" s="2023"/>
      <c r="B69" s="2024"/>
      <c r="C69" s="1972"/>
      <c r="D69" s="1995"/>
      <c r="E69" s="3340"/>
      <c r="F69" s="1905"/>
      <c r="G69" s="1905"/>
      <c r="H69" s="1905"/>
      <c r="I69" s="1905"/>
      <c r="J69" s="1905"/>
      <c r="K69" s="1905"/>
      <c r="L69" s="1905"/>
      <c r="M69" s="1905"/>
      <c r="N69" s="2013"/>
      <c r="O69" s="2155"/>
      <c r="P69" s="1905"/>
      <c r="Q69" s="1905"/>
      <c r="R69" s="1905"/>
      <c r="S69" s="1905"/>
      <c r="T69" s="1905"/>
      <c r="U69" s="2805"/>
      <c r="V69" s="2933"/>
      <c r="W69" s="1905"/>
      <c r="X69" s="1905"/>
      <c r="Y69" s="1905"/>
      <c r="Z69" s="3413"/>
      <c r="AA69" s="1905"/>
      <c r="AB69" s="1905"/>
      <c r="AC69" s="1905"/>
      <c r="AD69" s="1905"/>
      <c r="AE69" s="1905"/>
      <c r="AF69" s="1905"/>
      <c r="AG69" s="1905"/>
      <c r="AH69" s="1905"/>
      <c r="AI69" s="1988"/>
      <c r="AJ69" s="1988"/>
      <c r="AK69" s="2424"/>
      <c r="AL69" s="1988"/>
      <c r="AM69" s="1988"/>
      <c r="AN69" s="1988"/>
      <c r="AO69" s="1988"/>
      <c r="AP69" s="1988"/>
      <c r="AQ69" s="1988"/>
      <c r="AR69" s="1988"/>
      <c r="AS69" s="1988"/>
      <c r="AT69" s="1988"/>
      <c r="AU69" s="1988"/>
      <c r="AV69" s="1988"/>
      <c r="AW69" s="2424"/>
      <c r="AX69" s="1988"/>
      <c r="AY69" s="1988"/>
      <c r="AZ69" s="1988"/>
      <c r="BA69" s="1988"/>
      <c r="BB69" s="1988"/>
      <c r="BC69" s="1988"/>
      <c r="BD69" s="1988"/>
      <c r="BE69" s="1988"/>
      <c r="BF69" s="1988"/>
      <c r="BG69" s="1988"/>
      <c r="BH69" s="1988"/>
      <c r="BI69" s="2424"/>
      <c r="BJ69" s="1988"/>
      <c r="BK69" s="1988"/>
      <c r="BL69" s="1988"/>
      <c r="BM69" s="1988"/>
      <c r="BN69" s="1988"/>
      <c r="BO69" s="1988"/>
      <c r="BP69" s="1988"/>
      <c r="BQ69" s="1988"/>
      <c r="BR69" s="1988"/>
      <c r="BS69" s="1988"/>
      <c r="BT69" s="2424"/>
      <c r="BV69" s="3058"/>
      <c r="BW69" s="3058"/>
      <c r="BX69" s="3058"/>
    </row>
    <row r="70" spans="1:766" s="102" customFormat="1" ht="15" customHeight="1" x14ac:dyDescent="0.25">
      <c r="A70" s="2996"/>
      <c r="B70" s="1861"/>
      <c r="C70" s="1986"/>
      <c r="D70" s="2745"/>
      <c r="E70" s="2901"/>
      <c r="F70" s="1790"/>
      <c r="G70" s="1791"/>
      <c r="H70" s="1791"/>
      <c r="I70" s="1790"/>
      <c r="J70" s="1790"/>
      <c r="K70" s="1791"/>
      <c r="L70" s="1790"/>
      <c r="M70" s="1790"/>
      <c r="N70" s="2259"/>
      <c r="O70" s="2789"/>
      <c r="P70" s="1986"/>
      <c r="Q70" s="1986"/>
      <c r="R70" s="1986"/>
      <c r="S70" s="1986"/>
      <c r="T70" s="2425"/>
      <c r="U70" s="1986"/>
      <c r="V70" s="2934"/>
      <c r="W70" s="1908"/>
      <c r="X70" s="1908"/>
      <c r="Y70" s="1908"/>
      <c r="Z70" s="2894"/>
      <c r="AA70" s="1964"/>
      <c r="AB70" s="1964"/>
      <c r="AC70" s="1964"/>
      <c r="AD70" s="2292"/>
      <c r="AE70" s="2292"/>
      <c r="AF70" s="2292"/>
      <c r="AG70" s="2292"/>
      <c r="AH70" s="2292"/>
      <c r="AI70" s="2136"/>
      <c r="AJ70" s="2136"/>
      <c r="AK70" s="2425"/>
      <c r="AL70" s="2136"/>
      <c r="AM70" s="2136"/>
      <c r="AN70" s="2136"/>
      <c r="AO70" s="2136"/>
      <c r="AP70" s="2136"/>
      <c r="AQ70" s="2136"/>
      <c r="AR70" s="2136"/>
      <c r="AS70" s="2136"/>
      <c r="AT70" s="2136"/>
      <c r="AU70" s="2136"/>
      <c r="AV70" s="2136"/>
      <c r="AW70" s="2425"/>
      <c r="AX70" s="2136"/>
      <c r="AY70" s="2136"/>
      <c r="AZ70" s="2136"/>
      <c r="BA70" s="2136"/>
      <c r="BB70" s="2136"/>
      <c r="BC70" s="2136"/>
      <c r="BD70" s="2136"/>
      <c r="BE70" s="2136"/>
      <c r="BF70" s="2136"/>
      <c r="BG70" s="2136"/>
      <c r="BH70" s="2136"/>
      <c r="BI70" s="2425"/>
      <c r="BJ70" s="2136"/>
      <c r="BK70" s="2136"/>
      <c r="BL70" s="2136"/>
      <c r="BM70" s="2136"/>
      <c r="BN70" s="2136"/>
      <c r="BO70" s="2136"/>
      <c r="BP70" s="2136"/>
      <c r="BQ70" s="2136"/>
      <c r="BR70" s="2136"/>
      <c r="BS70" s="2136"/>
      <c r="BT70" s="2425"/>
      <c r="BV70" s="3058"/>
      <c r="BW70" s="3058"/>
      <c r="BX70" s="3058"/>
    </row>
    <row r="71" spans="1:766" s="102" customFormat="1" ht="15" customHeight="1" x14ac:dyDescent="0.25">
      <c r="A71" s="3858" t="s">
        <v>599</v>
      </c>
      <c r="B71" s="3859"/>
      <c r="C71" s="2993">
        <v>1</v>
      </c>
      <c r="D71" s="2746"/>
      <c r="E71" s="1868" t="s">
        <v>335</v>
      </c>
      <c r="F71" s="1984" t="s">
        <v>335</v>
      </c>
      <c r="G71" s="1984" t="s">
        <v>335</v>
      </c>
      <c r="H71" s="1984" t="s">
        <v>335</v>
      </c>
      <c r="I71" s="1984" t="s">
        <v>335</v>
      </c>
      <c r="J71" s="1984" t="s">
        <v>335</v>
      </c>
      <c r="K71" s="1984" t="s">
        <v>335</v>
      </c>
      <c r="L71" s="1984" t="s">
        <v>335</v>
      </c>
      <c r="M71" s="1984" t="s">
        <v>335</v>
      </c>
      <c r="N71" s="1984" t="s">
        <v>335</v>
      </c>
      <c r="O71" s="2285" t="s">
        <v>335</v>
      </c>
      <c r="P71" s="2309" t="s">
        <v>335</v>
      </c>
      <c r="Q71" s="2309"/>
      <c r="R71" s="1984" t="s">
        <v>335</v>
      </c>
      <c r="S71" s="1984"/>
      <c r="T71" s="2310"/>
      <c r="U71" s="2892" t="s">
        <v>335</v>
      </c>
      <c r="V71" s="2935" t="s">
        <v>335</v>
      </c>
      <c r="W71" s="2804" t="s">
        <v>335</v>
      </c>
      <c r="X71" s="2310"/>
      <c r="Y71" s="2310" t="s">
        <v>335</v>
      </c>
      <c r="Z71" s="2343"/>
      <c r="AA71" s="1894">
        <v>0</v>
      </c>
      <c r="AB71" s="1894">
        <v>0</v>
      </c>
      <c r="AC71" s="2415">
        <f>AA71-AB71</f>
        <v>0</v>
      </c>
      <c r="AD71" s="1897">
        <v>0</v>
      </c>
      <c r="AE71" s="1897"/>
      <c r="AF71" s="1893">
        <v>0</v>
      </c>
      <c r="AG71" s="2869"/>
      <c r="AH71" s="2684">
        <f t="shared" ref="AH71:AH77" si="145">AD71+AF71</f>
        <v>0</v>
      </c>
      <c r="AI71" s="1851">
        <v>0</v>
      </c>
      <c r="AJ71" s="1877" t="s">
        <v>335</v>
      </c>
      <c r="AK71" s="2458">
        <f>AI71</f>
        <v>0</v>
      </c>
      <c r="AL71" s="2521">
        <v>0</v>
      </c>
      <c r="AM71" s="2521">
        <v>0</v>
      </c>
      <c r="AN71" s="2521">
        <f t="shared" ref="AN71:AN74" si="146">AL71+AM71</f>
        <v>0</v>
      </c>
      <c r="AO71" s="2161">
        <v>0</v>
      </c>
      <c r="AP71" s="2166">
        <v>0</v>
      </c>
      <c r="AQ71" s="2166">
        <v>0</v>
      </c>
      <c r="AR71" s="2166"/>
      <c r="AS71" s="2157">
        <f>AO71+AP71</f>
        <v>0</v>
      </c>
      <c r="AT71" s="2122"/>
      <c r="AU71" s="2158">
        <v>0</v>
      </c>
      <c r="AV71" s="2173">
        <v>0</v>
      </c>
      <c r="AW71" s="2159">
        <f>AU71+AV71</f>
        <v>0</v>
      </c>
      <c r="AX71" s="2521">
        <v>0</v>
      </c>
      <c r="AY71" s="2521">
        <v>0</v>
      </c>
      <c r="AZ71" s="2521">
        <f t="shared" ref="AZ71:AZ74" si="147">AX71+AY71</f>
        <v>0</v>
      </c>
      <c r="BA71" s="3073">
        <v>0</v>
      </c>
      <c r="BB71" s="3086">
        <v>0</v>
      </c>
      <c r="BC71" s="3086">
        <v>0</v>
      </c>
      <c r="BD71" s="3086"/>
      <c r="BE71" s="3087">
        <f>BA71+BB71</f>
        <v>0</v>
      </c>
      <c r="BF71" s="2122"/>
      <c r="BG71" s="2158">
        <v>0</v>
      </c>
      <c r="BH71" s="2173">
        <v>0</v>
      </c>
      <c r="BI71" s="2159">
        <f>BG71+BH71</f>
        <v>0</v>
      </c>
      <c r="BJ71" s="2051">
        <v>0</v>
      </c>
      <c r="BK71" s="1851">
        <v>0</v>
      </c>
      <c r="BL71" s="1884">
        <f t="shared" ref="BL71:BL73" si="148">BJ71-BK71</f>
        <v>0</v>
      </c>
      <c r="BM71" s="2559">
        <f>AD71+AO71</f>
        <v>0</v>
      </c>
      <c r="BN71" s="1893">
        <f>AF71+AQ71</f>
        <v>0</v>
      </c>
      <c r="BO71" s="1893">
        <f t="shared" ref="BO71:BO73" si="149">BM71-BN71</f>
        <v>0</v>
      </c>
      <c r="BP71" s="1893">
        <f t="shared" ref="BP71:BP73" si="150">BM71+BO71</f>
        <v>0</v>
      </c>
      <c r="BQ71" s="1893">
        <f t="shared" ref="BQ71:BQ73" si="151">BM71+BN71</f>
        <v>0</v>
      </c>
      <c r="BR71" s="1889">
        <f>AI71+AU71</f>
        <v>0</v>
      </c>
      <c r="BS71" s="1848"/>
      <c r="BT71" s="2454">
        <f t="shared" ref="BT71:BT73" si="152">BR71+BS71</f>
        <v>0</v>
      </c>
      <c r="BV71" s="3058"/>
      <c r="BW71" s="3058"/>
      <c r="BX71" s="3058"/>
    </row>
    <row r="72" spans="1:766" s="102" customFormat="1" ht="15" customHeight="1" x14ac:dyDescent="0.25">
      <c r="A72" s="3860"/>
      <c r="B72" s="3861"/>
      <c r="C72" s="2994">
        <v>2</v>
      </c>
      <c r="D72" s="2747"/>
      <c r="E72" s="1845" t="s">
        <v>335</v>
      </c>
      <c r="F72" s="1812" t="s">
        <v>335</v>
      </c>
      <c r="G72" s="1812" t="s">
        <v>335</v>
      </c>
      <c r="H72" s="1812" t="s">
        <v>335</v>
      </c>
      <c r="I72" s="1812" t="s">
        <v>335</v>
      </c>
      <c r="J72" s="1812" t="s">
        <v>335</v>
      </c>
      <c r="K72" s="1812" t="s">
        <v>335</v>
      </c>
      <c r="L72" s="1812" t="s">
        <v>335</v>
      </c>
      <c r="M72" s="1812" t="s">
        <v>335</v>
      </c>
      <c r="N72" s="2260" t="s">
        <v>335</v>
      </c>
      <c r="O72" s="2286" t="s">
        <v>335</v>
      </c>
      <c r="P72" s="1845" t="s">
        <v>335</v>
      </c>
      <c r="Q72" s="1845"/>
      <c r="R72" s="1812" t="s">
        <v>335</v>
      </c>
      <c r="S72" s="1812"/>
      <c r="T72" s="2311"/>
      <c r="U72" s="1822" t="s">
        <v>335</v>
      </c>
      <c r="V72" s="2311" t="s">
        <v>335</v>
      </c>
      <c r="W72" s="2311" t="s">
        <v>335</v>
      </c>
      <c r="X72" s="2311"/>
      <c r="Y72" s="2311" t="s">
        <v>335</v>
      </c>
      <c r="Z72" s="2344"/>
      <c r="AA72" s="1894">
        <v>0</v>
      </c>
      <c r="AB72" s="1894">
        <v>0</v>
      </c>
      <c r="AC72" s="2683">
        <f t="shared" ref="AC72:AC73" si="153">AA72-AB72</f>
        <v>0</v>
      </c>
      <c r="AD72" s="1897">
        <v>0</v>
      </c>
      <c r="AE72" s="1897"/>
      <c r="AF72" s="1893">
        <v>0</v>
      </c>
      <c r="AG72" s="2866"/>
      <c r="AH72" s="2685">
        <f t="shared" si="145"/>
        <v>0</v>
      </c>
      <c r="AI72" s="1851">
        <v>0</v>
      </c>
      <c r="AJ72" s="1830" t="s">
        <v>335</v>
      </c>
      <c r="AK72" s="2459">
        <f>AI72</f>
        <v>0</v>
      </c>
      <c r="AL72" s="2522">
        <v>0</v>
      </c>
      <c r="AM72" s="2522">
        <v>0</v>
      </c>
      <c r="AN72" s="2522">
        <f t="shared" si="146"/>
        <v>0</v>
      </c>
      <c r="AO72" s="2161">
        <v>0</v>
      </c>
      <c r="AP72" s="2166">
        <v>0</v>
      </c>
      <c r="AQ72" s="2166">
        <v>0</v>
      </c>
      <c r="AR72" s="2166"/>
      <c r="AS72" s="2157">
        <f t="shared" ref="AS72:AS73" si="154">AO72+AP72</f>
        <v>0</v>
      </c>
      <c r="AT72" s="2122"/>
      <c r="AU72" s="2158">
        <v>0</v>
      </c>
      <c r="AV72" s="2168">
        <v>0</v>
      </c>
      <c r="AW72" s="2159">
        <f>AU72+AV72</f>
        <v>0</v>
      </c>
      <c r="AX72" s="2522">
        <v>0</v>
      </c>
      <c r="AY72" s="2522">
        <v>0</v>
      </c>
      <c r="AZ72" s="2522">
        <f t="shared" si="147"/>
        <v>0</v>
      </c>
      <c r="BA72" s="3073">
        <v>0</v>
      </c>
      <c r="BB72" s="3086">
        <v>0</v>
      </c>
      <c r="BC72" s="3086">
        <v>0</v>
      </c>
      <c r="BD72" s="3086"/>
      <c r="BE72" s="3087">
        <f t="shared" ref="BE72:BE73" si="155">BA72+BB72</f>
        <v>0</v>
      </c>
      <c r="BF72" s="2122"/>
      <c r="BG72" s="2158">
        <v>0</v>
      </c>
      <c r="BH72" s="2168">
        <v>0</v>
      </c>
      <c r="BI72" s="2159">
        <f>BG72+BH72</f>
        <v>0</v>
      </c>
      <c r="BJ72" s="2048">
        <f t="shared" ref="BJ72" si="156">AA72+AL72</f>
        <v>0</v>
      </c>
      <c r="BK72" s="1851">
        <f t="shared" ref="BK72" si="157">AB72+AM72</f>
        <v>0</v>
      </c>
      <c r="BL72" s="1884">
        <f t="shared" si="148"/>
        <v>0</v>
      </c>
      <c r="BM72" s="2561">
        <f>AD72+AO72</f>
        <v>0</v>
      </c>
      <c r="BN72" s="1893">
        <f>AF72+AQ72</f>
        <v>0</v>
      </c>
      <c r="BO72" s="1893">
        <f t="shared" si="149"/>
        <v>0</v>
      </c>
      <c r="BP72" s="1893">
        <f t="shared" si="150"/>
        <v>0</v>
      </c>
      <c r="BQ72" s="1893">
        <f t="shared" si="151"/>
        <v>0</v>
      </c>
      <c r="BR72" s="1889">
        <f>AI72+AU72</f>
        <v>0</v>
      </c>
      <c r="BS72" s="1848"/>
      <c r="BT72" s="2451">
        <f t="shared" si="152"/>
        <v>0</v>
      </c>
      <c r="BV72" s="3058"/>
      <c r="BW72" s="3058"/>
      <c r="BX72" s="3058"/>
    </row>
    <row r="73" spans="1:766" s="102" customFormat="1" ht="13.15" customHeight="1" x14ac:dyDescent="0.25">
      <c r="A73" s="3860"/>
      <c r="B73" s="3861"/>
      <c r="C73" s="2995">
        <v>3</v>
      </c>
      <c r="D73" s="2220"/>
      <c r="E73" s="1823" t="s">
        <v>335</v>
      </c>
      <c r="F73" s="1811" t="s">
        <v>335</v>
      </c>
      <c r="G73" s="1811" t="s">
        <v>335</v>
      </c>
      <c r="H73" s="1811" t="s">
        <v>335</v>
      </c>
      <c r="I73" s="1811" t="s">
        <v>335</v>
      </c>
      <c r="J73" s="1811" t="s">
        <v>335</v>
      </c>
      <c r="K73" s="1811" t="s">
        <v>335</v>
      </c>
      <c r="L73" s="1811" t="s">
        <v>335</v>
      </c>
      <c r="M73" s="1811" t="s">
        <v>335</v>
      </c>
      <c r="N73" s="1811" t="s">
        <v>335</v>
      </c>
      <c r="O73" s="2092" t="s">
        <v>335</v>
      </c>
      <c r="P73" s="1810" t="s">
        <v>335</v>
      </c>
      <c r="Q73" s="1810"/>
      <c r="R73" s="1811" t="s">
        <v>335</v>
      </c>
      <c r="S73" s="1811"/>
      <c r="T73" s="1811"/>
      <c r="U73" s="1811" t="s">
        <v>335</v>
      </c>
      <c r="V73" s="2091" t="s">
        <v>335</v>
      </c>
      <c r="W73" s="2091" t="s">
        <v>335</v>
      </c>
      <c r="X73" s="2091"/>
      <c r="Y73" s="2091" t="s">
        <v>335</v>
      </c>
      <c r="Z73" s="2345"/>
      <c r="AA73" s="1894">
        <v>0</v>
      </c>
      <c r="AB73" s="1894">
        <v>0</v>
      </c>
      <c r="AC73" s="2416">
        <f t="shared" si="153"/>
        <v>0</v>
      </c>
      <c r="AD73" s="1897">
        <v>0</v>
      </c>
      <c r="AE73" s="1897"/>
      <c r="AF73" s="1893">
        <v>0</v>
      </c>
      <c r="AG73" s="2870"/>
      <c r="AH73" s="2686">
        <f t="shared" si="145"/>
        <v>0</v>
      </c>
      <c r="AI73" s="1851">
        <v>0</v>
      </c>
      <c r="AJ73" s="1923" t="s">
        <v>335</v>
      </c>
      <c r="AK73" s="2460">
        <f>AI73</f>
        <v>0</v>
      </c>
      <c r="AL73" s="2523">
        <v>0</v>
      </c>
      <c r="AM73" s="2523">
        <v>0</v>
      </c>
      <c r="AN73" s="2523">
        <f t="shared" si="146"/>
        <v>0</v>
      </c>
      <c r="AO73" s="2161">
        <v>0</v>
      </c>
      <c r="AP73" s="2166">
        <v>0</v>
      </c>
      <c r="AQ73" s="2166">
        <v>0</v>
      </c>
      <c r="AR73" s="2166"/>
      <c r="AS73" s="2157">
        <f t="shared" si="154"/>
        <v>0</v>
      </c>
      <c r="AT73" s="2122"/>
      <c r="AU73" s="2158">
        <v>0</v>
      </c>
      <c r="AV73" s="2168">
        <v>0</v>
      </c>
      <c r="AW73" s="2159">
        <f>AU73+AV73</f>
        <v>0</v>
      </c>
      <c r="AX73" s="2523">
        <v>0</v>
      </c>
      <c r="AY73" s="2523">
        <v>0</v>
      </c>
      <c r="AZ73" s="2523">
        <f t="shared" si="147"/>
        <v>0</v>
      </c>
      <c r="BA73" s="3073">
        <v>0</v>
      </c>
      <c r="BB73" s="3086">
        <v>0</v>
      </c>
      <c r="BC73" s="3086">
        <v>0</v>
      </c>
      <c r="BD73" s="3086"/>
      <c r="BE73" s="3087">
        <f t="shared" si="155"/>
        <v>0</v>
      </c>
      <c r="BF73" s="2122"/>
      <c r="BG73" s="2158">
        <v>0</v>
      </c>
      <c r="BH73" s="2168">
        <v>0</v>
      </c>
      <c r="BI73" s="2159">
        <f>BG73+BH73</f>
        <v>0</v>
      </c>
      <c r="BJ73" s="2048">
        <v>0</v>
      </c>
      <c r="BK73" s="1851">
        <v>0</v>
      </c>
      <c r="BL73" s="1884">
        <f t="shared" si="148"/>
        <v>0</v>
      </c>
      <c r="BM73" s="2558">
        <f>AD73+AO73</f>
        <v>0</v>
      </c>
      <c r="BN73" s="1893">
        <f>AF73+AQ73</f>
        <v>0</v>
      </c>
      <c r="BO73" s="1893">
        <f t="shared" si="149"/>
        <v>0</v>
      </c>
      <c r="BP73" s="1893">
        <f t="shared" si="150"/>
        <v>0</v>
      </c>
      <c r="BQ73" s="1893">
        <f t="shared" si="151"/>
        <v>0</v>
      </c>
      <c r="BR73" s="1889">
        <f>AI73+AU73</f>
        <v>0</v>
      </c>
      <c r="BS73" s="1848"/>
      <c r="BT73" s="2454">
        <f t="shared" si="152"/>
        <v>0</v>
      </c>
      <c r="BV73" s="3058"/>
      <c r="BW73" s="3058"/>
      <c r="BX73" s="3058"/>
    </row>
    <row r="74" spans="1:766" s="102" customFormat="1" ht="15" customHeight="1" x14ac:dyDescent="0.2">
      <c r="A74" s="3862"/>
      <c r="B74" s="3863"/>
      <c r="C74" s="2156"/>
      <c r="D74" s="2748" t="s">
        <v>583</v>
      </c>
      <c r="E74" s="1956"/>
      <c r="F74" s="1956"/>
      <c r="G74" s="1956"/>
      <c r="H74" s="1956"/>
      <c r="I74" s="1956"/>
      <c r="J74" s="1955"/>
      <c r="K74" s="2261"/>
      <c r="L74" s="2261"/>
      <c r="M74" s="2261"/>
      <c r="N74" s="1961"/>
      <c r="O74" s="2790"/>
      <c r="P74" s="1955"/>
      <c r="Q74" s="1961"/>
      <c r="R74" s="1956"/>
      <c r="S74" s="1956"/>
      <c r="T74" s="1956"/>
      <c r="U74" s="1956"/>
      <c r="V74" s="1981"/>
      <c r="W74" s="1981"/>
      <c r="X74" s="1981"/>
      <c r="Y74" s="1981"/>
      <c r="Z74" s="2814">
        <f>Z71+Z72+Z73</f>
        <v>0</v>
      </c>
      <c r="AA74" s="1920">
        <f>Y74+Z74</f>
        <v>0</v>
      </c>
      <c r="AB74" s="1920">
        <f>AB71+AB72</f>
        <v>0</v>
      </c>
      <c r="AC74" s="1920">
        <f>SUM(AC71:AC73)</f>
        <v>0</v>
      </c>
      <c r="AD74" s="1920">
        <f>SUM(AD71:AD73)</f>
        <v>0</v>
      </c>
      <c r="AE74" s="1920"/>
      <c r="AF74" s="1920">
        <v>0</v>
      </c>
      <c r="AG74" s="1920"/>
      <c r="AH74" s="1920">
        <f t="shared" si="145"/>
        <v>0</v>
      </c>
      <c r="AI74" s="1920">
        <v>0</v>
      </c>
      <c r="AJ74" s="1920">
        <v>0</v>
      </c>
      <c r="AK74" s="2419">
        <v>0</v>
      </c>
      <c r="AL74" s="1920">
        <f>SUM(AL71:AL73)</f>
        <v>0</v>
      </c>
      <c r="AM74" s="1920">
        <f>SUM(AM71:AM73)</f>
        <v>0</v>
      </c>
      <c r="AN74" s="1920">
        <f t="shared" si="146"/>
        <v>0</v>
      </c>
      <c r="AO74" s="1920">
        <f>SUM(AO71:AO73)</f>
        <v>0</v>
      </c>
      <c r="AP74" s="1920">
        <v>9</v>
      </c>
      <c r="AQ74" s="1920">
        <f>SUM(AQ71:AQ73)</f>
        <v>0</v>
      </c>
      <c r="AR74" s="1920"/>
      <c r="AS74" s="1920">
        <f>AO74+AQ74</f>
        <v>0</v>
      </c>
      <c r="AT74" s="1920"/>
      <c r="AU74" s="1920">
        <f>SUM(AU71:AU73)</f>
        <v>0</v>
      </c>
      <c r="AV74" s="1920">
        <f>SUM(AV71:AV73)</f>
        <v>0</v>
      </c>
      <c r="AW74" s="2419">
        <f>AU74+AV74</f>
        <v>0</v>
      </c>
      <c r="AX74" s="1920">
        <f>SUM(AX71:AX73)</f>
        <v>0</v>
      </c>
      <c r="AY74" s="1920">
        <f>SUM(AY71:AY73)</f>
        <v>0</v>
      </c>
      <c r="AZ74" s="1920">
        <f t="shared" si="147"/>
        <v>0</v>
      </c>
      <c r="BA74" s="1920">
        <f>SUM(BA71:BA73)</f>
        <v>0</v>
      </c>
      <c r="BB74" s="1920"/>
      <c r="BC74" s="1920">
        <f>SUM(BC71:BC73)</f>
        <v>0</v>
      </c>
      <c r="BD74" s="1920"/>
      <c r="BE74" s="1920">
        <f>BA74+BC74</f>
        <v>0</v>
      </c>
      <c r="BF74" s="1920"/>
      <c r="BG74" s="1920">
        <f>SUM(BG71:BG73)</f>
        <v>0</v>
      </c>
      <c r="BH74" s="1920">
        <f>SUM(BH71:BH73)</f>
        <v>0</v>
      </c>
      <c r="BI74" s="2419">
        <f>BG74+BH74</f>
        <v>0</v>
      </c>
      <c r="BJ74" s="1920">
        <f>SUM(BJ71:BJ73)</f>
        <v>0</v>
      </c>
      <c r="BK74" s="1920">
        <f>SUM(BK71:BK73)</f>
        <v>0</v>
      </c>
      <c r="BL74" s="1920">
        <f>SUM(BL71:BL73)</f>
        <v>0</v>
      </c>
      <c r="BM74" s="1920">
        <f>SUM(BM71:BM73)</f>
        <v>0</v>
      </c>
      <c r="BN74" s="1920">
        <f>SUM(BN71:BN73)</f>
        <v>0</v>
      </c>
      <c r="BO74" s="1920">
        <f t="shared" ref="BO74:BP74" si="158">SUM(BO71:BO73)</f>
        <v>0</v>
      </c>
      <c r="BP74" s="1920">
        <f t="shared" si="158"/>
        <v>0</v>
      </c>
      <c r="BQ74" s="1920">
        <f>BM74+BN74</f>
        <v>0</v>
      </c>
      <c r="BR74" s="1920">
        <f>SUM(BR71:BR73)</f>
        <v>0</v>
      </c>
      <c r="BS74" s="1920">
        <f>SUM(BS71:BS73)</f>
        <v>0</v>
      </c>
      <c r="BT74" s="2419">
        <f>BR74+BS74</f>
        <v>0</v>
      </c>
      <c r="BV74" s="3058"/>
      <c r="BW74" s="3058"/>
      <c r="BX74" s="3058"/>
    </row>
    <row r="75" spans="1:766" s="102" customFormat="1" ht="15" customHeight="1" x14ac:dyDescent="0.2">
      <c r="A75" s="2090"/>
      <c r="B75" s="2024"/>
      <c r="C75" s="2221"/>
      <c r="D75" s="2748"/>
      <c r="E75" s="1957"/>
      <c r="F75" s="1957"/>
      <c r="G75" s="1957"/>
      <c r="H75" s="1957"/>
      <c r="I75" s="1957"/>
      <c r="J75" s="1958"/>
      <c r="K75" s="1959"/>
      <c r="L75" s="1959"/>
      <c r="M75" s="1959"/>
      <c r="N75" s="1960"/>
      <c r="O75" s="2791"/>
      <c r="P75" s="1955"/>
      <c r="Q75" s="1961"/>
      <c r="R75" s="1956"/>
      <c r="S75" s="1956"/>
      <c r="T75" s="1956"/>
      <c r="U75" s="1956"/>
      <c r="V75" s="1981"/>
      <c r="W75" s="1981"/>
      <c r="X75" s="1981"/>
      <c r="Y75" s="1981"/>
      <c r="Z75" s="2815"/>
      <c r="AA75" s="1920"/>
      <c r="AB75" s="1920"/>
      <c r="AC75" s="1920"/>
      <c r="AD75" s="1920"/>
      <c r="AE75" s="1920"/>
      <c r="AF75" s="1920"/>
      <c r="AG75" s="1920"/>
      <c r="AH75" s="1920"/>
      <c r="AI75" s="1920"/>
      <c r="AJ75" s="1962"/>
      <c r="AK75" s="2426"/>
      <c r="AL75" s="1962"/>
      <c r="AM75" s="1962"/>
      <c r="AN75" s="1962"/>
      <c r="AO75" s="1962"/>
      <c r="AP75" s="1962"/>
      <c r="AQ75" s="1962"/>
      <c r="AR75" s="1962"/>
      <c r="AS75" s="1962"/>
      <c r="AT75" s="1962"/>
      <c r="AU75" s="1962"/>
      <c r="AV75" s="1962"/>
      <c r="AW75" s="2426"/>
      <c r="AX75" s="1962"/>
      <c r="AY75" s="1962"/>
      <c r="AZ75" s="1962"/>
      <c r="BA75" s="1962"/>
      <c r="BB75" s="1962"/>
      <c r="BC75" s="1962"/>
      <c r="BD75" s="1962"/>
      <c r="BE75" s="1962"/>
      <c r="BF75" s="1962"/>
      <c r="BG75" s="1962"/>
      <c r="BH75" s="1962"/>
      <c r="BI75" s="2426"/>
      <c r="BJ75" s="1920"/>
      <c r="BK75" s="1920"/>
      <c r="BL75" s="1920"/>
      <c r="BM75" s="1962"/>
      <c r="BN75" s="1962"/>
      <c r="BO75" s="1962"/>
      <c r="BP75" s="1962"/>
      <c r="BQ75" s="1962"/>
      <c r="BR75" s="1962"/>
      <c r="BS75" s="1962"/>
      <c r="BT75" s="2426"/>
      <c r="BV75" s="3058"/>
      <c r="BW75" s="3058"/>
      <c r="BX75" s="3058"/>
    </row>
    <row r="76" spans="1:766" s="102" customFormat="1" ht="15" customHeight="1" x14ac:dyDescent="0.25">
      <c r="A76" s="3773" t="s">
        <v>600</v>
      </c>
      <c r="B76" s="3774"/>
      <c r="C76" s="1910">
        <v>1</v>
      </c>
      <c r="D76" s="2746" t="s">
        <v>674</v>
      </c>
      <c r="E76" s="1868" t="s">
        <v>335</v>
      </c>
      <c r="F76" s="1866" t="s">
        <v>335</v>
      </c>
      <c r="G76" s="1866" t="s">
        <v>335</v>
      </c>
      <c r="H76" s="1866" t="s">
        <v>335</v>
      </c>
      <c r="I76" s="1866" t="s">
        <v>335</v>
      </c>
      <c r="J76" s="1866" t="s">
        <v>335</v>
      </c>
      <c r="K76" s="1866" t="s">
        <v>335</v>
      </c>
      <c r="L76" s="1866" t="s">
        <v>335</v>
      </c>
      <c r="M76" s="1866" t="s">
        <v>335</v>
      </c>
      <c r="N76" s="3483" t="s">
        <v>335</v>
      </c>
      <c r="O76" s="2285" t="s">
        <v>335</v>
      </c>
      <c r="P76" s="1867" t="s">
        <v>335</v>
      </c>
      <c r="Q76" s="1868"/>
      <c r="R76" s="1866" t="s">
        <v>335</v>
      </c>
      <c r="S76" s="1866"/>
      <c r="T76" s="1866"/>
      <c r="U76" s="1866" t="s">
        <v>335</v>
      </c>
      <c r="V76" s="2310" t="s">
        <v>335</v>
      </c>
      <c r="W76" s="2310" t="s">
        <v>335</v>
      </c>
      <c r="X76" s="2310"/>
      <c r="Y76" s="2310" t="s">
        <v>335</v>
      </c>
      <c r="Z76" s="3484"/>
      <c r="AA76" s="3485">
        <v>0</v>
      </c>
      <c r="AB76" s="1869">
        <v>0</v>
      </c>
      <c r="AC76" s="2415">
        <f t="shared" ref="AC76:AC77" si="159">AA76-AB76</f>
        <v>0</v>
      </c>
      <c r="AD76" s="1897">
        <v>0</v>
      </c>
      <c r="AE76" s="1897"/>
      <c r="AF76" s="1893">
        <v>0</v>
      </c>
      <c r="AG76" s="2869">
        <v>0</v>
      </c>
      <c r="AH76" s="3486">
        <f>+AD76+AE76+AF76+AG76</f>
        <v>0</v>
      </c>
      <c r="AI76" s="1851">
        <v>0</v>
      </c>
      <c r="AJ76" s="1870">
        <v>0</v>
      </c>
      <c r="AK76" s="2430">
        <f>AI76+AJ76</f>
        <v>0</v>
      </c>
      <c r="AL76" s="3474">
        <v>0</v>
      </c>
      <c r="AM76" s="3474">
        <v>0</v>
      </c>
      <c r="AN76" s="3474">
        <f t="shared" ref="AN76:AN77" si="160">AL76+AM76</f>
        <v>0</v>
      </c>
      <c r="AO76" s="3406">
        <v>0</v>
      </c>
      <c r="AP76" s="3407">
        <v>0</v>
      </c>
      <c r="AQ76" s="3407">
        <v>0</v>
      </c>
      <c r="AR76" s="3407">
        <v>0</v>
      </c>
      <c r="AS76" s="3471">
        <f>+AO76+AP76+AQ76+AR76</f>
        <v>0</v>
      </c>
      <c r="AT76" s="2517"/>
      <c r="AU76" s="3487">
        <v>70000</v>
      </c>
      <c r="AV76" s="3487">
        <f>+AR76</f>
        <v>0</v>
      </c>
      <c r="AW76" s="3488">
        <f>AU76+AV76</f>
        <v>70000</v>
      </c>
      <c r="AX76" s="3474">
        <v>0</v>
      </c>
      <c r="AY76" s="3474">
        <v>0</v>
      </c>
      <c r="AZ76" s="3474">
        <f t="shared" ref="AZ76:AZ77" si="161">AX76+AY76</f>
        <v>0</v>
      </c>
      <c r="BA76" s="3475">
        <v>0</v>
      </c>
      <c r="BB76" s="3476">
        <v>0</v>
      </c>
      <c r="BC76" s="3476">
        <v>0</v>
      </c>
      <c r="BD76" s="3476">
        <v>0</v>
      </c>
      <c r="BE76" s="3477">
        <f>+BA76+BB76+BC76+BD76</f>
        <v>0</v>
      </c>
      <c r="BF76" s="2517"/>
      <c r="BG76" s="3487">
        <f>+AU76</f>
        <v>70000</v>
      </c>
      <c r="BH76" s="3487">
        <f>+BD76</f>
        <v>0</v>
      </c>
      <c r="BI76" s="3488">
        <f>BG76+BH76</f>
        <v>70000</v>
      </c>
      <c r="BJ76" s="2051">
        <v>0</v>
      </c>
      <c r="BK76" s="1851">
        <v>0</v>
      </c>
      <c r="BL76" s="1884"/>
      <c r="BM76" s="2559">
        <f>AD76+AO76</f>
        <v>0</v>
      </c>
      <c r="BN76" s="1893">
        <f>AF76+AQ76</f>
        <v>0</v>
      </c>
      <c r="BO76" s="1893">
        <f t="shared" ref="BO76:BO77" si="162">BM76-BN76</f>
        <v>0</v>
      </c>
      <c r="BP76" s="1893">
        <v>0</v>
      </c>
      <c r="BQ76" s="2866">
        <f>+BM76+BN76+BO76+BP76</f>
        <v>0</v>
      </c>
      <c r="BR76" s="1889">
        <v>548050</v>
      </c>
      <c r="BS76" s="1848">
        <v>0</v>
      </c>
      <c r="BT76" s="2454">
        <f>BR76+BS76</f>
        <v>548050</v>
      </c>
      <c r="BU76" s="3425"/>
      <c r="BV76" s="3058"/>
      <c r="BW76" s="3058"/>
      <c r="BX76" s="3058"/>
    </row>
    <row r="77" spans="1:766" ht="15" customHeight="1" x14ac:dyDescent="0.25">
      <c r="A77" s="3775"/>
      <c r="B77" s="3776"/>
      <c r="C77" s="1932">
        <v>2</v>
      </c>
      <c r="D77" s="2755"/>
      <c r="E77" s="1810" t="s">
        <v>335</v>
      </c>
      <c r="F77" s="1811" t="s">
        <v>335</v>
      </c>
      <c r="G77" s="1811" t="s">
        <v>335</v>
      </c>
      <c r="H77" s="1811" t="s">
        <v>335</v>
      </c>
      <c r="I77" s="1811" t="s">
        <v>335</v>
      </c>
      <c r="J77" s="1811" t="s">
        <v>335</v>
      </c>
      <c r="K77" s="1811" t="s">
        <v>335</v>
      </c>
      <c r="L77" s="1811" t="s">
        <v>335</v>
      </c>
      <c r="M77" s="1811" t="s">
        <v>335</v>
      </c>
      <c r="N77" s="2091" t="s">
        <v>335</v>
      </c>
      <c r="O77" s="2092" t="s">
        <v>335</v>
      </c>
      <c r="P77" s="1823" t="s">
        <v>335</v>
      </c>
      <c r="Q77" s="1810"/>
      <c r="R77" s="1811" t="s">
        <v>335</v>
      </c>
      <c r="S77" s="1811"/>
      <c r="T77" s="1811"/>
      <c r="U77" s="1811" t="s">
        <v>335</v>
      </c>
      <c r="V77" s="2091" t="s">
        <v>335</v>
      </c>
      <c r="W77" s="2091" t="s">
        <v>335</v>
      </c>
      <c r="X77" s="2091"/>
      <c r="Y77" s="2091" t="s">
        <v>335</v>
      </c>
      <c r="Z77" s="2346"/>
      <c r="AA77" s="1934">
        <v>0</v>
      </c>
      <c r="AB77" s="1934">
        <v>0</v>
      </c>
      <c r="AC77" s="2416">
        <f t="shared" si="159"/>
        <v>0</v>
      </c>
      <c r="AD77" s="1897">
        <v>0</v>
      </c>
      <c r="AE77" s="1897"/>
      <c r="AF77" s="1893">
        <v>0</v>
      </c>
      <c r="AG77" s="1895"/>
      <c r="AH77" s="2370">
        <f t="shared" si="145"/>
        <v>0</v>
      </c>
      <c r="AI77" s="1851">
        <v>0</v>
      </c>
      <c r="AJ77" s="1831">
        <f t="shared" ref="AJ77" si="163">AD77+AF77</f>
        <v>0</v>
      </c>
      <c r="AK77" s="2431">
        <f>AI77+AJ77</f>
        <v>0</v>
      </c>
      <c r="AL77" s="2512">
        <v>0</v>
      </c>
      <c r="AM77" s="2512">
        <v>0</v>
      </c>
      <c r="AN77" s="2512">
        <f t="shared" si="160"/>
        <v>0</v>
      </c>
      <c r="AO77" s="2163">
        <v>0</v>
      </c>
      <c r="AP77" s="2176">
        <v>0</v>
      </c>
      <c r="AQ77" s="2176">
        <v>0</v>
      </c>
      <c r="AR77" s="2176"/>
      <c r="AS77" s="2192">
        <f>AO77+AP77</f>
        <v>0</v>
      </c>
      <c r="AT77" s="2123"/>
      <c r="AU77" s="2179">
        <v>0</v>
      </c>
      <c r="AV77" s="2179">
        <v>0</v>
      </c>
      <c r="AW77" s="2411">
        <f>AU77+AV77</f>
        <v>0</v>
      </c>
      <c r="AX77" s="2512">
        <v>0</v>
      </c>
      <c r="AY77" s="2512">
        <v>0</v>
      </c>
      <c r="AZ77" s="2512">
        <f t="shared" si="161"/>
        <v>0</v>
      </c>
      <c r="BA77" s="3478">
        <v>0</v>
      </c>
      <c r="BB77" s="3479">
        <v>0</v>
      </c>
      <c r="BC77" s="3479">
        <v>0</v>
      </c>
      <c r="BD77" s="3479">
        <v>0</v>
      </c>
      <c r="BE77" s="3480">
        <f>+BD77+BC77+BA77+BB77</f>
        <v>0</v>
      </c>
      <c r="BF77" s="2123"/>
      <c r="BG77" s="2179">
        <v>0</v>
      </c>
      <c r="BH77" s="2179">
        <v>0</v>
      </c>
      <c r="BI77" s="2411">
        <f>BG77+BH77</f>
        <v>0</v>
      </c>
      <c r="BJ77" s="1840">
        <v>0</v>
      </c>
      <c r="BK77" s="1829">
        <v>0</v>
      </c>
      <c r="BL77" s="2124"/>
      <c r="BM77" s="2560">
        <f>AD77+AO77</f>
        <v>0</v>
      </c>
      <c r="BN77" s="1895">
        <f>AF77+AQ77</f>
        <v>0</v>
      </c>
      <c r="BO77" s="1895">
        <f t="shared" si="162"/>
        <v>0</v>
      </c>
      <c r="BP77" s="1895">
        <f t="shared" ref="BP77" si="164">BM77+BO77</f>
        <v>0</v>
      </c>
      <c r="BQ77" s="1895">
        <f t="shared" ref="BQ77" si="165">BM77+BN77</f>
        <v>0</v>
      </c>
      <c r="BR77" s="1838">
        <f>AI77+AU77</f>
        <v>0</v>
      </c>
      <c r="BS77" s="1828">
        <f>AJ77+AV77</f>
        <v>0</v>
      </c>
      <c r="BT77" s="2896">
        <f t="shared" ref="BT77" si="166">BR77+BS77</f>
        <v>0</v>
      </c>
      <c r="BU77" s="3425"/>
      <c r="BV77" s="3058"/>
      <c r="BW77" s="3058"/>
      <c r="BX77" s="3058"/>
      <c r="BY77" s="102"/>
      <c r="BZ77" s="102"/>
      <c r="CA77" s="102"/>
      <c r="CB77" s="102"/>
      <c r="CC77" s="102"/>
      <c r="CD77" s="102"/>
      <c r="CE77" s="102"/>
      <c r="CF77" s="102"/>
      <c r="CG77" s="102"/>
      <c r="CH77" s="102"/>
      <c r="CI77" s="102"/>
      <c r="CJ77" s="102"/>
      <c r="CK77" s="102"/>
      <c r="CL77" s="102"/>
      <c r="CM77" s="102"/>
      <c r="CN77" s="102"/>
      <c r="CO77" s="102"/>
      <c r="CP77" s="102"/>
      <c r="CQ77" s="102"/>
      <c r="CR77" s="102"/>
      <c r="CS77" s="102"/>
      <c r="CT77" s="102"/>
      <c r="CU77" s="102"/>
      <c r="CV77" s="102"/>
      <c r="CW77" s="102"/>
      <c r="CX77" s="102"/>
      <c r="CY77" s="102"/>
      <c r="CZ77" s="102"/>
      <c r="DA77" s="102"/>
      <c r="DB77" s="102"/>
      <c r="DC77" s="102"/>
      <c r="DD77" s="102"/>
      <c r="DE77" s="102"/>
      <c r="DF77" s="102"/>
      <c r="DG77" s="102"/>
      <c r="DH77" s="102"/>
      <c r="DI77" s="102"/>
      <c r="DJ77" s="102"/>
      <c r="DK77" s="102"/>
      <c r="DL77" s="102"/>
      <c r="DM77" s="102"/>
      <c r="DN77" s="102"/>
      <c r="DO77" s="102"/>
      <c r="DP77" s="102"/>
      <c r="DQ77" s="102"/>
      <c r="DR77" s="102"/>
      <c r="DS77" s="102"/>
      <c r="DT77" s="102"/>
      <c r="DU77" s="102"/>
      <c r="DV77" s="102"/>
      <c r="DW77" s="102"/>
      <c r="DX77" s="102"/>
      <c r="DY77" s="102"/>
      <c r="DZ77" s="102"/>
      <c r="EA77" s="102"/>
      <c r="EB77" s="102"/>
      <c r="EC77" s="102"/>
      <c r="ED77" s="102"/>
      <c r="EE77" s="102"/>
      <c r="EF77" s="102"/>
      <c r="EG77" s="102"/>
      <c r="EH77" s="102"/>
      <c r="EI77" s="102"/>
      <c r="EJ77" s="102"/>
      <c r="EK77" s="102"/>
      <c r="EL77" s="102"/>
      <c r="EM77" s="102"/>
      <c r="EN77" s="102"/>
      <c r="EO77" s="102"/>
      <c r="EP77" s="102"/>
    </row>
    <row r="78" spans="1:766" ht="15" customHeight="1" x14ac:dyDescent="0.2">
      <c r="A78" s="3777"/>
      <c r="B78" s="3778"/>
      <c r="C78" s="1863"/>
      <c r="D78" s="2727" t="s">
        <v>646</v>
      </c>
      <c r="E78" s="2262"/>
      <c r="F78" s="3489"/>
      <c r="G78" s="3489"/>
      <c r="H78" s="3489"/>
      <c r="I78" s="3489"/>
      <c r="J78" s="3489"/>
      <c r="K78" s="3489"/>
      <c r="L78" s="3489"/>
      <c r="M78" s="3489"/>
      <c r="N78" s="3490"/>
      <c r="O78" s="2571"/>
      <c r="P78" s="2262"/>
      <c r="Q78" s="2071"/>
      <c r="R78" s="3489"/>
      <c r="S78" s="3489"/>
      <c r="T78" s="3489"/>
      <c r="U78" s="3489"/>
      <c r="V78" s="3491"/>
      <c r="W78" s="2154"/>
      <c r="X78" s="3492"/>
      <c r="Y78" s="3492"/>
      <c r="Z78" s="2571">
        <f>SUM(Z76:Z77)</f>
        <v>0</v>
      </c>
      <c r="AA78" s="1928">
        <v>0</v>
      </c>
      <c r="AB78" s="2154">
        <v>0</v>
      </c>
      <c r="AC78" s="2154">
        <v>0</v>
      </c>
      <c r="AD78" s="2154">
        <f>SUM(AD76:AD77)</f>
        <v>0</v>
      </c>
      <c r="AE78" s="2154"/>
      <c r="AF78" s="2154"/>
      <c r="AG78" s="1928">
        <f>+AG76+AG77</f>
        <v>0</v>
      </c>
      <c r="AH78" s="1928">
        <f>AD78+AF78+AE78+AG78</f>
        <v>0</v>
      </c>
      <c r="AI78" s="2154">
        <f>SUM(AI76:AI77)</f>
        <v>0</v>
      </c>
      <c r="AJ78" s="2154">
        <f>SUM(AJ76:AJ77)</f>
        <v>0</v>
      </c>
      <c r="AK78" s="2571">
        <f>AI78+AJ78</f>
        <v>0</v>
      </c>
      <c r="AL78" s="1928">
        <f>SUM(AL76:AL77)</f>
        <v>0</v>
      </c>
      <c r="AM78" s="1928">
        <f>SUM(AM76:AM77)</f>
        <v>0</v>
      </c>
      <c r="AN78" s="1928">
        <f>AL78-AM78</f>
        <v>0</v>
      </c>
      <c r="AO78" s="1928">
        <f>SUM(AO76:AO77)</f>
        <v>0</v>
      </c>
      <c r="AP78" s="1928"/>
      <c r="AQ78" s="1928">
        <f>SUM(AQ76:AQ77)</f>
        <v>0</v>
      </c>
      <c r="AR78" s="1928"/>
      <c r="AS78" s="1928">
        <f>AO78+AP78</f>
        <v>0</v>
      </c>
      <c r="AT78" s="1928"/>
      <c r="AU78" s="1928">
        <f>SUM(AU76:AU77)</f>
        <v>70000</v>
      </c>
      <c r="AV78" s="1928">
        <f>SUM(AV76:AV77)</f>
        <v>0</v>
      </c>
      <c r="AW78" s="2571">
        <f>AU78+AV78</f>
        <v>70000</v>
      </c>
      <c r="AX78" s="1928">
        <f>SUM(AX76:AX77)</f>
        <v>0</v>
      </c>
      <c r="AY78" s="1928">
        <f>SUM(AY76:AY77)</f>
        <v>0</v>
      </c>
      <c r="AZ78" s="1928">
        <f>AX78-AY78</f>
        <v>0</v>
      </c>
      <c r="BA78" s="1928">
        <f>SUM(BA76:BA77)</f>
        <v>0</v>
      </c>
      <c r="BB78" s="1928"/>
      <c r="BC78" s="1928">
        <f>SUM(BC76:BC77)</f>
        <v>0</v>
      </c>
      <c r="BD78" s="1928"/>
      <c r="BE78" s="1928">
        <f>BA78+BB78</f>
        <v>0</v>
      </c>
      <c r="BF78" s="1928"/>
      <c r="BG78" s="1928">
        <f>SUM(BG76:BG77)</f>
        <v>70000</v>
      </c>
      <c r="BH78" s="1928">
        <f>SUM(BH76:BH77)</f>
        <v>0</v>
      </c>
      <c r="BI78" s="2571">
        <f>BG78+BH78</f>
        <v>70000</v>
      </c>
      <c r="BJ78" s="2154"/>
      <c r="BK78" s="1928"/>
      <c r="BL78" s="1928"/>
      <c r="BM78" s="1928">
        <f>SUM(BM76:BM77)</f>
        <v>0</v>
      </c>
      <c r="BN78" s="1928">
        <f>SUM(BN76:BN77)</f>
        <v>0</v>
      </c>
      <c r="BO78" s="1928">
        <f t="shared" ref="BO78:BP78" si="167">SUM(BO76:BO77)</f>
        <v>0</v>
      </c>
      <c r="BP78" s="1928">
        <f t="shared" si="167"/>
        <v>0</v>
      </c>
      <c r="BQ78" s="1928">
        <f>BM78+BN78+BO78+BP78</f>
        <v>0</v>
      </c>
      <c r="BR78" s="1928">
        <f>SUM(BR76:BR77)</f>
        <v>548050</v>
      </c>
      <c r="BS78" s="1928">
        <f>SUM(BS76:BS77)</f>
        <v>0</v>
      </c>
      <c r="BT78" s="3493">
        <f>BR78+BS78</f>
        <v>548050</v>
      </c>
      <c r="BU78" s="3425"/>
      <c r="BV78" s="3058"/>
      <c r="BW78" s="3058"/>
      <c r="BX78" s="3058"/>
      <c r="BY78" s="102"/>
      <c r="BZ78" s="102"/>
      <c r="CA78" s="102"/>
      <c r="CB78" s="102"/>
      <c r="CC78" s="102"/>
      <c r="CD78" s="102"/>
      <c r="CE78" s="102"/>
      <c r="CF78" s="102"/>
      <c r="CG78" s="102"/>
      <c r="CH78" s="102"/>
      <c r="CI78" s="102"/>
      <c r="CJ78" s="102"/>
      <c r="CK78" s="102"/>
      <c r="CL78" s="102"/>
      <c r="CM78" s="102"/>
      <c r="CN78" s="102"/>
      <c r="CO78" s="102"/>
      <c r="CP78" s="102"/>
      <c r="CQ78" s="102"/>
      <c r="CR78" s="102"/>
      <c r="CS78" s="102"/>
      <c r="CT78" s="102"/>
      <c r="CU78" s="102"/>
      <c r="CV78" s="102"/>
      <c r="CW78" s="102"/>
      <c r="CX78" s="102"/>
      <c r="CY78" s="102"/>
      <c r="CZ78" s="102"/>
      <c r="DA78" s="102"/>
      <c r="DB78" s="102"/>
      <c r="DC78" s="102"/>
      <c r="DD78" s="102"/>
      <c r="DE78" s="102"/>
      <c r="DF78" s="102"/>
      <c r="DG78" s="102"/>
      <c r="DH78" s="102"/>
      <c r="DI78" s="102"/>
      <c r="DJ78" s="102"/>
      <c r="DK78" s="102"/>
      <c r="DL78" s="102"/>
      <c r="DM78" s="102"/>
      <c r="DN78" s="102"/>
      <c r="DO78" s="102"/>
      <c r="DP78" s="102"/>
      <c r="DQ78" s="102"/>
      <c r="DR78" s="102"/>
      <c r="DS78" s="102"/>
      <c r="DT78" s="102"/>
      <c r="DU78" s="102"/>
      <c r="DV78" s="102"/>
      <c r="DW78" s="102"/>
      <c r="DX78" s="102"/>
      <c r="DY78" s="102"/>
      <c r="DZ78" s="102"/>
      <c r="EA78" s="102"/>
      <c r="EB78" s="102"/>
      <c r="EC78" s="102"/>
      <c r="ED78" s="102"/>
      <c r="EE78" s="102"/>
      <c r="EF78" s="102"/>
      <c r="EG78" s="102"/>
      <c r="EH78" s="102"/>
      <c r="EI78" s="102"/>
      <c r="EJ78" s="102"/>
      <c r="EK78" s="102"/>
      <c r="EL78" s="102"/>
      <c r="EM78" s="102"/>
      <c r="EN78" s="102"/>
      <c r="EO78" s="102"/>
      <c r="EP78" s="102"/>
      <c r="ES78" s="3422"/>
      <c r="ET78" s="3422"/>
      <c r="EU78" s="3422"/>
      <c r="EV78" s="3422"/>
      <c r="EW78" s="3422"/>
      <c r="EX78" s="3422"/>
      <c r="EY78" s="3422"/>
      <c r="EZ78" s="3422"/>
      <c r="FA78" s="3422"/>
      <c r="FB78" s="3422"/>
      <c r="FC78" s="3422"/>
      <c r="FD78" s="3422"/>
      <c r="FE78" s="3422"/>
      <c r="FF78" s="3422"/>
      <c r="FG78" s="3422"/>
      <c r="FH78" s="3422"/>
      <c r="FI78" s="3422"/>
      <c r="FJ78" s="3422"/>
      <c r="FK78" s="3422"/>
      <c r="FL78" s="3422"/>
      <c r="FM78" s="3422"/>
      <c r="FN78" s="3422"/>
      <c r="FO78" s="3422"/>
      <c r="FP78" s="3422"/>
      <c r="FQ78" s="3422"/>
      <c r="FR78" s="3422"/>
      <c r="FS78" s="3422"/>
      <c r="FT78" s="3422"/>
      <c r="FU78" s="3422"/>
      <c r="FV78" s="3422"/>
      <c r="FW78" s="3422"/>
      <c r="FX78" s="3422"/>
      <c r="FY78" s="3422"/>
      <c r="FZ78" s="3422"/>
      <c r="GA78" s="3422"/>
      <c r="GB78" s="3422"/>
      <c r="GC78" s="3422"/>
      <c r="GD78" s="3422"/>
      <c r="GE78" s="3422"/>
      <c r="GF78" s="3422"/>
      <c r="GG78" s="3422"/>
      <c r="GH78" s="3422"/>
      <c r="GI78" s="3422"/>
      <c r="GJ78" s="3422"/>
      <c r="GK78" s="3422"/>
      <c r="GL78" s="3422"/>
      <c r="GM78" s="3422"/>
      <c r="GN78" s="3422"/>
      <c r="GO78" s="3422"/>
      <c r="GP78" s="3422"/>
      <c r="GQ78" s="3422"/>
      <c r="GR78" s="3422"/>
      <c r="GS78" s="3422"/>
      <c r="GT78" s="3422"/>
      <c r="GU78" s="3422"/>
      <c r="GV78" s="3422"/>
      <c r="GW78" s="3422"/>
      <c r="GX78" s="3422"/>
      <c r="GY78" s="3422"/>
      <c r="GZ78" s="3422"/>
      <c r="HA78" s="3422"/>
      <c r="HB78" s="3422"/>
      <c r="HC78" s="3422"/>
      <c r="HD78" s="3422"/>
      <c r="HE78" s="3422"/>
      <c r="HF78" s="3422"/>
      <c r="HG78" s="3422"/>
      <c r="HH78" s="3422"/>
      <c r="HI78" s="3422"/>
      <c r="HJ78" s="3422"/>
      <c r="HK78" s="3422"/>
      <c r="HL78" s="3422"/>
      <c r="HM78" s="3422"/>
      <c r="HN78" s="3422"/>
      <c r="HO78" s="3422"/>
      <c r="HP78" s="3422"/>
      <c r="HQ78" s="3422"/>
      <c r="HR78" s="3422"/>
      <c r="HS78" s="3422"/>
      <c r="HT78" s="3422"/>
      <c r="HU78" s="3422"/>
      <c r="HV78" s="3422"/>
      <c r="HW78" s="3422"/>
      <c r="HX78" s="3422"/>
      <c r="HY78" s="3422"/>
      <c r="HZ78" s="3422"/>
      <c r="IA78" s="3422"/>
      <c r="IB78" s="3422"/>
      <c r="IC78" s="3422"/>
      <c r="ID78" s="3422"/>
      <c r="IE78" s="3422"/>
      <c r="IF78" s="3422"/>
      <c r="IG78" s="3422"/>
      <c r="IH78" s="3422"/>
      <c r="II78" s="3422"/>
      <c r="IJ78" s="3422"/>
      <c r="IK78" s="3422"/>
      <c r="IL78" s="3422"/>
      <c r="IM78" s="3422"/>
      <c r="IN78" s="3422"/>
      <c r="IO78" s="3422"/>
      <c r="IP78" s="3422"/>
      <c r="IQ78" s="3422"/>
      <c r="IR78" s="3422"/>
      <c r="IS78" s="3422"/>
      <c r="IT78" s="3422"/>
      <c r="IU78" s="3422"/>
      <c r="IV78" s="3422"/>
      <c r="IW78" s="3422"/>
      <c r="IX78" s="3422"/>
      <c r="IY78" s="3422"/>
      <c r="IZ78" s="3422"/>
      <c r="JA78" s="3422"/>
      <c r="JB78" s="3422"/>
      <c r="JC78" s="3422"/>
      <c r="JD78" s="3422"/>
      <c r="JE78" s="3422"/>
      <c r="JF78" s="3422"/>
      <c r="JG78" s="3422"/>
      <c r="JH78" s="3422"/>
      <c r="JI78" s="3422"/>
      <c r="JJ78" s="3422"/>
      <c r="JK78" s="3422"/>
      <c r="JL78" s="3422"/>
      <c r="JM78" s="3422"/>
      <c r="JN78" s="3422"/>
      <c r="JO78" s="3422"/>
      <c r="JP78" s="3422"/>
      <c r="JQ78" s="3422"/>
      <c r="JR78" s="3422"/>
      <c r="JS78" s="3422"/>
      <c r="JT78" s="3422"/>
      <c r="JU78" s="3422"/>
      <c r="JV78" s="3422"/>
      <c r="JW78" s="3422"/>
      <c r="JX78" s="3422"/>
      <c r="JY78" s="3422"/>
      <c r="JZ78" s="3422"/>
      <c r="KA78" s="3422"/>
      <c r="KB78" s="3422"/>
      <c r="KC78" s="3422"/>
      <c r="KD78" s="3422"/>
      <c r="KE78" s="3422"/>
      <c r="KF78" s="3422"/>
      <c r="KG78" s="3422"/>
      <c r="KH78" s="3422"/>
      <c r="KI78" s="3422"/>
      <c r="KJ78" s="3422"/>
      <c r="KK78" s="3422"/>
      <c r="KL78" s="3422"/>
      <c r="KM78" s="3422"/>
      <c r="KN78" s="3422"/>
      <c r="KO78" s="3422"/>
      <c r="KP78" s="3422"/>
      <c r="KQ78" s="3422"/>
      <c r="KR78" s="3422"/>
      <c r="KS78" s="3422"/>
      <c r="KT78" s="3422"/>
      <c r="KU78" s="3422"/>
      <c r="KV78" s="3422"/>
      <c r="KW78" s="3422"/>
      <c r="KX78" s="3422"/>
      <c r="KY78" s="3422"/>
      <c r="KZ78" s="3422"/>
      <c r="LA78" s="3422"/>
      <c r="LB78" s="3422"/>
      <c r="LC78" s="3422"/>
      <c r="LD78" s="3422"/>
      <c r="LE78" s="3422"/>
      <c r="LF78" s="3422"/>
      <c r="LG78" s="3422"/>
      <c r="LH78" s="3422"/>
      <c r="LI78" s="3422"/>
      <c r="LJ78" s="3422"/>
      <c r="LK78" s="3422"/>
      <c r="LL78" s="3422"/>
      <c r="LM78" s="3422"/>
      <c r="LN78" s="3422"/>
      <c r="LO78" s="3422"/>
      <c r="LP78" s="3422"/>
      <c r="LQ78" s="3422"/>
      <c r="LR78" s="3422"/>
      <c r="LS78" s="3422"/>
      <c r="LT78" s="3422"/>
      <c r="LU78" s="3422"/>
      <c r="LV78" s="3422"/>
      <c r="LW78" s="3422"/>
      <c r="LX78" s="3422"/>
      <c r="LY78" s="3422"/>
      <c r="LZ78" s="3422"/>
      <c r="MA78" s="3422"/>
      <c r="MB78" s="3422"/>
      <c r="MC78" s="3422"/>
      <c r="MD78" s="3422"/>
      <c r="ME78" s="3422"/>
      <c r="MF78" s="3422"/>
      <c r="MG78" s="3422"/>
      <c r="MH78" s="3422"/>
      <c r="MI78" s="3422"/>
      <c r="MJ78" s="3422"/>
      <c r="MK78" s="3422"/>
      <c r="ML78" s="3422"/>
      <c r="MM78" s="3422"/>
      <c r="MN78" s="3422"/>
      <c r="MO78" s="3422"/>
      <c r="MP78" s="3422"/>
      <c r="MQ78" s="3422"/>
      <c r="MR78" s="3422"/>
      <c r="MS78" s="3422"/>
      <c r="MT78" s="3422"/>
      <c r="MU78" s="3422"/>
      <c r="MV78" s="3422"/>
      <c r="MW78" s="3422"/>
      <c r="MX78" s="3422"/>
      <c r="MY78" s="3422"/>
      <c r="MZ78" s="3422"/>
      <c r="NA78" s="3422"/>
      <c r="NB78" s="3422"/>
      <c r="NC78" s="3422"/>
      <c r="ND78" s="3422"/>
      <c r="NE78" s="3422"/>
      <c r="NF78" s="3422"/>
      <c r="NG78" s="3422"/>
      <c r="NH78" s="3422"/>
      <c r="NI78" s="3422"/>
      <c r="NJ78" s="3422"/>
      <c r="NK78" s="3422"/>
      <c r="NL78" s="3422"/>
      <c r="NM78" s="3422"/>
      <c r="NN78" s="3422"/>
      <c r="NO78" s="3422"/>
      <c r="NP78" s="3422"/>
      <c r="NQ78" s="3422"/>
      <c r="NR78" s="3422"/>
      <c r="NS78" s="3422"/>
      <c r="NT78" s="3422"/>
      <c r="NU78" s="3422"/>
      <c r="NV78" s="3422"/>
      <c r="NW78" s="3422"/>
      <c r="NX78" s="3422"/>
      <c r="NY78" s="3422"/>
      <c r="NZ78" s="3422"/>
      <c r="OA78" s="3422"/>
      <c r="OB78" s="3422"/>
      <c r="OC78" s="3422"/>
      <c r="OD78" s="3422"/>
      <c r="OE78" s="3422"/>
      <c r="OF78" s="3422"/>
      <c r="OG78" s="3422"/>
      <c r="OH78" s="3422"/>
      <c r="OI78" s="3422"/>
      <c r="OJ78" s="3422"/>
      <c r="OK78" s="3422"/>
      <c r="OL78" s="3422"/>
      <c r="OM78" s="3422"/>
      <c r="ON78" s="3422"/>
      <c r="OO78" s="3422"/>
      <c r="OP78" s="3422"/>
      <c r="OQ78" s="3422"/>
      <c r="OR78" s="3422"/>
      <c r="OS78" s="3422"/>
      <c r="OT78" s="3422"/>
      <c r="OU78" s="3422"/>
      <c r="OV78" s="3422"/>
      <c r="OW78" s="3422"/>
      <c r="OX78" s="3422"/>
      <c r="OY78" s="3422"/>
      <c r="OZ78" s="3422"/>
      <c r="PA78" s="3422"/>
      <c r="PB78" s="3422"/>
      <c r="PC78" s="3422"/>
      <c r="PD78" s="3422"/>
      <c r="PE78" s="3422"/>
      <c r="PF78" s="3422"/>
      <c r="PG78" s="3422"/>
      <c r="PH78" s="3422"/>
      <c r="PI78" s="3422"/>
      <c r="PJ78" s="3422"/>
      <c r="PK78" s="3422"/>
      <c r="PL78" s="3422"/>
      <c r="PM78" s="3422"/>
      <c r="PN78" s="3422"/>
      <c r="PO78" s="3422"/>
      <c r="PP78" s="3422"/>
      <c r="PQ78" s="3422"/>
      <c r="PR78" s="3422"/>
      <c r="PS78" s="3422"/>
      <c r="PT78" s="3422"/>
      <c r="PU78" s="3422"/>
      <c r="PV78" s="3422"/>
      <c r="PW78" s="3422"/>
      <c r="PX78" s="3422"/>
      <c r="PY78" s="3422"/>
      <c r="PZ78" s="3422"/>
      <c r="QA78" s="3422"/>
      <c r="QB78" s="3422"/>
      <c r="QC78" s="3422"/>
      <c r="QD78" s="3422"/>
      <c r="QE78" s="3422"/>
      <c r="QF78" s="3422"/>
      <c r="QG78" s="3422"/>
      <c r="QH78" s="3422"/>
      <c r="QI78" s="3422"/>
      <c r="QJ78" s="3422"/>
      <c r="QK78" s="3422"/>
      <c r="QL78" s="3422"/>
      <c r="QM78" s="3422"/>
      <c r="QN78" s="3422"/>
      <c r="QO78" s="3422"/>
      <c r="QP78" s="3422"/>
      <c r="QQ78" s="3422"/>
      <c r="QR78" s="3422"/>
      <c r="QS78" s="3422"/>
      <c r="QT78" s="3422"/>
      <c r="QU78" s="3422"/>
      <c r="QV78" s="3422"/>
      <c r="QW78" s="3422"/>
      <c r="QX78" s="3422"/>
      <c r="QY78" s="3422"/>
      <c r="QZ78" s="3422"/>
      <c r="RA78" s="3422"/>
      <c r="RB78" s="3422"/>
      <c r="RC78" s="3422"/>
      <c r="RD78" s="3422"/>
      <c r="RE78" s="3422"/>
      <c r="RF78" s="3422"/>
      <c r="RG78" s="3422"/>
      <c r="RH78" s="3422"/>
      <c r="RI78" s="3422"/>
      <c r="RJ78" s="3422"/>
      <c r="RK78" s="3422"/>
      <c r="RL78" s="3422"/>
      <c r="RM78" s="3422"/>
      <c r="RN78" s="3422"/>
      <c r="RO78" s="3422"/>
      <c r="RP78" s="3422"/>
      <c r="RQ78" s="3422"/>
      <c r="RR78" s="3422"/>
      <c r="RS78" s="3422"/>
      <c r="RT78" s="3422"/>
      <c r="RU78" s="3422"/>
      <c r="RV78" s="3422"/>
      <c r="RW78" s="3422"/>
      <c r="RX78" s="3422"/>
      <c r="RY78" s="3422"/>
      <c r="RZ78" s="3422"/>
      <c r="SA78" s="3422"/>
      <c r="SB78" s="3422"/>
      <c r="SC78" s="3422"/>
      <c r="SD78" s="3422"/>
      <c r="SE78" s="3422"/>
      <c r="SF78" s="3422"/>
      <c r="SG78" s="3422"/>
      <c r="SH78" s="3422"/>
      <c r="SI78" s="3422"/>
      <c r="SJ78" s="3422"/>
      <c r="SK78" s="3422"/>
      <c r="SL78" s="3422"/>
      <c r="SM78" s="3422"/>
      <c r="SN78" s="3422"/>
      <c r="SO78" s="3422"/>
      <c r="SP78" s="3422"/>
      <c r="SQ78" s="3422"/>
      <c r="SR78" s="3422"/>
      <c r="SS78" s="3422"/>
      <c r="ST78" s="3422"/>
      <c r="SU78" s="3422"/>
      <c r="SV78" s="3422"/>
      <c r="SW78" s="3422"/>
      <c r="SX78" s="3422"/>
      <c r="SY78" s="3422"/>
      <c r="SZ78" s="3422"/>
      <c r="TA78" s="3422"/>
      <c r="TB78" s="3422"/>
      <c r="TC78" s="3422"/>
      <c r="TD78" s="3422"/>
      <c r="TE78" s="3422"/>
      <c r="TF78" s="3422"/>
      <c r="TG78" s="3422"/>
      <c r="TH78" s="3422"/>
      <c r="TI78" s="3422"/>
      <c r="TJ78" s="3422"/>
      <c r="TK78" s="3422"/>
      <c r="TL78" s="3422"/>
      <c r="TM78" s="3422"/>
      <c r="TN78" s="3422"/>
      <c r="TO78" s="3422"/>
      <c r="TP78" s="3422"/>
      <c r="TQ78" s="3422"/>
      <c r="TR78" s="3422"/>
      <c r="TS78" s="3422"/>
      <c r="TT78" s="3422"/>
      <c r="TU78" s="3422"/>
      <c r="TV78" s="3422"/>
      <c r="TW78" s="3422"/>
      <c r="TX78" s="3422"/>
      <c r="TY78" s="3422"/>
      <c r="TZ78" s="3422"/>
      <c r="UA78" s="3422"/>
      <c r="UB78" s="3422"/>
      <c r="UC78" s="3422"/>
      <c r="UD78" s="3422"/>
      <c r="UE78" s="3422"/>
      <c r="UF78" s="3422"/>
      <c r="UG78" s="3422"/>
      <c r="UH78" s="3422"/>
      <c r="UI78" s="3422"/>
      <c r="UJ78" s="3422"/>
      <c r="UK78" s="3422"/>
      <c r="UL78" s="3422"/>
      <c r="UM78" s="3422"/>
      <c r="UN78" s="3422"/>
      <c r="UO78" s="3422"/>
      <c r="UP78" s="3422"/>
      <c r="UQ78" s="3422"/>
      <c r="UR78" s="3422"/>
      <c r="US78" s="3422"/>
      <c r="UT78" s="3422"/>
      <c r="UU78" s="3422"/>
      <c r="UV78" s="3422"/>
      <c r="UW78" s="3422"/>
      <c r="UX78" s="3422"/>
      <c r="UY78" s="3422"/>
      <c r="UZ78" s="3422"/>
      <c r="VA78" s="3422"/>
      <c r="VB78" s="3422"/>
      <c r="VC78" s="3422"/>
      <c r="VD78" s="3422"/>
      <c r="VE78" s="3422"/>
      <c r="VF78" s="3422"/>
      <c r="VG78" s="3422"/>
      <c r="VH78" s="3422"/>
      <c r="VI78" s="3422"/>
      <c r="VJ78" s="3422"/>
      <c r="VK78" s="3422"/>
      <c r="VL78" s="3422"/>
      <c r="VM78" s="3422"/>
      <c r="VN78" s="3422"/>
      <c r="VO78" s="3422"/>
      <c r="VP78" s="3422"/>
      <c r="VQ78" s="3422"/>
      <c r="VR78" s="3422"/>
      <c r="VS78" s="3422"/>
      <c r="VT78" s="3422"/>
      <c r="VU78" s="3422"/>
      <c r="VV78" s="3422"/>
      <c r="VW78" s="3422"/>
      <c r="VX78" s="3422"/>
      <c r="VY78" s="3422"/>
      <c r="VZ78" s="3422"/>
      <c r="WA78" s="3422"/>
      <c r="WB78" s="3422"/>
      <c r="WC78" s="3422"/>
      <c r="WD78" s="3422"/>
      <c r="WE78" s="3422"/>
      <c r="WF78" s="3422"/>
      <c r="WG78" s="3422"/>
      <c r="WH78" s="3422"/>
      <c r="WI78" s="3422"/>
      <c r="WJ78" s="3422"/>
      <c r="WK78" s="3422"/>
      <c r="WL78" s="3422"/>
      <c r="WM78" s="3422"/>
      <c r="WN78" s="3422"/>
      <c r="WO78" s="3422"/>
      <c r="WP78" s="3422"/>
      <c r="WQ78" s="3422"/>
      <c r="WR78" s="3422"/>
      <c r="WS78" s="3422"/>
      <c r="WT78" s="3422"/>
      <c r="WU78" s="3422"/>
      <c r="WV78" s="3422"/>
      <c r="WW78" s="3422"/>
      <c r="WX78" s="3422"/>
      <c r="WY78" s="3422"/>
      <c r="WZ78" s="3422"/>
      <c r="XA78" s="3422"/>
      <c r="XB78" s="3422"/>
      <c r="XC78" s="3422"/>
      <c r="XD78" s="3422"/>
      <c r="XE78" s="3422"/>
      <c r="XF78" s="3422"/>
      <c r="XG78" s="3422"/>
      <c r="XH78" s="3422"/>
      <c r="XI78" s="3422"/>
      <c r="XJ78" s="3422"/>
      <c r="XK78" s="3422"/>
      <c r="XL78" s="3422"/>
      <c r="XM78" s="3422"/>
      <c r="XN78" s="3422"/>
      <c r="XO78" s="3422"/>
      <c r="XP78" s="3422"/>
      <c r="XQ78" s="3422"/>
      <c r="XR78" s="3422"/>
      <c r="XS78" s="3422"/>
      <c r="XT78" s="3422"/>
      <c r="XU78" s="3422"/>
      <c r="XV78" s="3422"/>
      <c r="XW78" s="3422"/>
      <c r="XX78" s="3422"/>
      <c r="XY78" s="3422"/>
      <c r="XZ78" s="3422"/>
      <c r="YA78" s="3422"/>
      <c r="YB78" s="3422"/>
      <c r="YC78" s="3422"/>
      <c r="YD78" s="3422"/>
      <c r="YE78" s="3422"/>
      <c r="YF78" s="3422"/>
      <c r="YG78" s="3422"/>
      <c r="YH78" s="3422"/>
      <c r="YI78" s="3422"/>
      <c r="YJ78" s="3422"/>
      <c r="YK78" s="3422"/>
      <c r="YL78" s="3422"/>
      <c r="YM78" s="3422"/>
      <c r="YN78" s="3422"/>
      <c r="YO78" s="3422"/>
      <c r="YP78" s="3422"/>
      <c r="YQ78" s="3422"/>
      <c r="YR78" s="3422"/>
      <c r="YS78" s="3422"/>
      <c r="YT78" s="3422"/>
      <c r="YU78" s="3422"/>
      <c r="YV78" s="3422"/>
      <c r="YW78" s="3422"/>
      <c r="YX78" s="3422"/>
      <c r="YY78" s="3422"/>
      <c r="YZ78" s="3422"/>
      <c r="ZA78" s="3422"/>
      <c r="ZB78" s="3422"/>
      <c r="ZC78" s="3422"/>
      <c r="ZD78" s="3422"/>
      <c r="ZE78" s="3422"/>
      <c r="ZF78" s="3422"/>
      <c r="ZG78" s="3422"/>
      <c r="ZH78" s="3422"/>
      <c r="ZI78" s="3422"/>
      <c r="ZJ78" s="3422"/>
      <c r="ZK78" s="3422"/>
      <c r="ZL78" s="3422"/>
      <c r="ZM78" s="3422"/>
      <c r="ZN78" s="3422"/>
      <c r="ZO78" s="3422"/>
      <c r="ZP78" s="3422"/>
      <c r="ZQ78" s="3422"/>
      <c r="ZR78" s="3422"/>
      <c r="ZS78" s="3422"/>
      <c r="ZT78" s="3422"/>
      <c r="ZU78" s="3422"/>
      <c r="ZV78" s="3422"/>
      <c r="ZW78" s="3422"/>
      <c r="ZX78" s="3422"/>
      <c r="ZY78" s="3422"/>
      <c r="ZZ78" s="3422"/>
      <c r="AAA78" s="3422"/>
      <c r="AAB78" s="3422"/>
      <c r="AAC78" s="3422"/>
      <c r="AAD78" s="3422"/>
      <c r="AAE78" s="3422"/>
      <c r="AAF78" s="3422"/>
      <c r="AAG78" s="3422"/>
      <c r="AAH78" s="3422"/>
      <c r="AAI78" s="3422"/>
      <c r="AAJ78" s="3422"/>
      <c r="AAK78" s="3422"/>
      <c r="AAL78" s="3422"/>
      <c r="AAM78" s="3422"/>
      <c r="AAN78" s="3422"/>
      <c r="AAO78" s="3422"/>
      <c r="AAP78" s="3422"/>
      <c r="AAQ78" s="3422"/>
      <c r="AAR78" s="3422"/>
      <c r="AAS78" s="3422"/>
      <c r="AAT78" s="3422"/>
      <c r="AAU78" s="3422"/>
      <c r="AAV78" s="3422"/>
      <c r="AAW78" s="3422"/>
      <c r="AAX78" s="3422"/>
      <c r="AAY78" s="3422"/>
      <c r="AAZ78" s="3422"/>
      <c r="ABA78" s="3422"/>
      <c r="ABB78" s="3422"/>
      <c r="ABC78" s="3422"/>
      <c r="ABD78" s="3422"/>
      <c r="ABE78" s="3422"/>
      <c r="ABF78" s="3422"/>
      <c r="ABG78" s="3422"/>
      <c r="ABH78" s="3422"/>
      <c r="ABI78" s="3422"/>
      <c r="ABJ78" s="3422"/>
      <c r="ABK78" s="3422"/>
      <c r="ABL78" s="3422"/>
      <c r="ABM78" s="3422"/>
      <c r="ABN78" s="3422"/>
      <c r="ABO78" s="3422"/>
      <c r="ABP78" s="3422"/>
      <c r="ABQ78" s="3422"/>
      <c r="ABR78" s="3422"/>
      <c r="ABS78" s="3422"/>
      <c r="ABT78" s="3422"/>
      <c r="ABU78" s="3422"/>
      <c r="ABV78" s="3422"/>
      <c r="ABW78" s="3422"/>
      <c r="ABX78" s="3422"/>
      <c r="ABY78" s="3422"/>
      <c r="ABZ78" s="3422"/>
      <c r="ACA78" s="3422"/>
      <c r="ACB78" s="3422"/>
      <c r="ACC78" s="3422"/>
      <c r="ACD78" s="3422"/>
      <c r="ACE78" s="3422"/>
      <c r="ACF78" s="3422"/>
      <c r="ACG78" s="3422"/>
      <c r="ACH78" s="3422"/>
      <c r="ACI78" s="3422"/>
      <c r="ACJ78" s="3422"/>
      <c r="ACK78" s="3422"/>
      <c r="ACL78" s="3422"/>
    </row>
    <row r="79" spans="1:766" s="628" customFormat="1" ht="15" customHeight="1" x14ac:dyDescent="0.2">
      <c r="A79" s="3779" t="s">
        <v>584</v>
      </c>
      <c r="B79" s="3780"/>
      <c r="C79" s="2999">
        <v>1</v>
      </c>
      <c r="D79" s="2997"/>
      <c r="E79" s="2262"/>
      <c r="F79" s="2499"/>
      <c r="G79" s="2499"/>
      <c r="H79" s="2499"/>
      <c r="I79" s="2499"/>
      <c r="J79" s="2499"/>
      <c r="K79" s="2499"/>
      <c r="L79" s="2499"/>
      <c r="M79" s="2499"/>
      <c r="N79" s="2499"/>
      <c r="O79" s="2464"/>
      <c r="P79" s="2312"/>
      <c r="Q79" s="2263"/>
      <c r="R79" s="2263"/>
      <c r="S79" s="2263"/>
      <c r="T79" s="2263"/>
      <c r="U79" s="2263"/>
      <c r="V79" s="2800"/>
      <c r="W79" s="2499"/>
      <c r="X79" s="2347"/>
      <c r="Y79" s="2347"/>
      <c r="Z79" s="2464"/>
      <c r="AA79" s="2499"/>
      <c r="AB79" s="2497"/>
      <c r="AC79" s="2337"/>
      <c r="AD79" s="2495"/>
      <c r="AE79" s="2499"/>
      <c r="AF79" s="2497"/>
      <c r="AG79" s="2347"/>
      <c r="AH79" s="2347"/>
      <c r="AI79" s="2499"/>
      <c r="AJ79" s="2497"/>
      <c r="AK79" s="2464"/>
      <c r="AL79" s="2499"/>
      <c r="AM79" s="2497"/>
      <c r="AN79" s="2337"/>
      <c r="AO79" s="2503"/>
      <c r="AP79" s="2497"/>
      <c r="AQ79" s="2497"/>
      <c r="AR79" s="2347"/>
      <c r="AS79" s="2501"/>
      <c r="AT79" s="2263"/>
      <c r="AU79" s="2495"/>
      <c r="AV79" s="2497"/>
      <c r="AW79" s="2840"/>
      <c r="AX79" s="2499"/>
      <c r="AY79" s="2497"/>
      <c r="AZ79" s="2337"/>
      <c r="BA79" s="2503"/>
      <c r="BB79" s="2497"/>
      <c r="BC79" s="2497"/>
      <c r="BD79" s="2347"/>
      <c r="BE79" s="2501"/>
      <c r="BF79" s="2263"/>
      <c r="BG79" s="2495"/>
      <c r="BH79" s="2497"/>
      <c r="BI79" s="2840"/>
      <c r="BJ79" s="2347"/>
      <c r="BK79" s="2497"/>
      <c r="BL79" s="2347"/>
      <c r="BM79" s="2417"/>
      <c r="BN79" s="2497"/>
      <c r="BO79" s="2347"/>
      <c r="BP79" s="2347"/>
      <c r="BQ79" s="2337"/>
      <c r="BR79" s="2417"/>
      <c r="BS79" s="2497"/>
      <c r="BT79" s="2464"/>
      <c r="BU79" s="3425"/>
      <c r="BV79" s="3058"/>
      <c r="BW79" s="3058"/>
      <c r="BX79" s="3058"/>
      <c r="BY79" s="102"/>
      <c r="BZ79" s="102"/>
      <c r="CA79" s="102"/>
      <c r="CB79" s="102"/>
      <c r="CC79" s="102"/>
      <c r="CD79" s="102"/>
      <c r="CE79" s="102"/>
      <c r="CF79" s="102"/>
      <c r="CG79" s="102"/>
      <c r="CH79" s="102"/>
      <c r="CI79" s="102"/>
      <c r="CJ79" s="102"/>
      <c r="CK79" s="102"/>
      <c r="CL79" s="102"/>
      <c r="CM79" s="102"/>
      <c r="CN79" s="102"/>
      <c r="CO79" s="102"/>
      <c r="CP79" s="102"/>
      <c r="CQ79" s="102"/>
      <c r="CR79" s="102"/>
      <c r="CS79" s="102"/>
      <c r="CT79" s="102"/>
      <c r="CU79" s="102"/>
      <c r="CV79" s="102"/>
      <c r="CW79" s="102"/>
      <c r="CX79" s="102"/>
      <c r="CY79" s="102"/>
      <c r="CZ79" s="102"/>
      <c r="DA79" s="102"/>
      <c r="DB79" s="102"/>
      <c r="DC79" s="102"/>
      <c r="DD79" s="102"/>
      <c r="DE79" s="102"/>
      <c r="DF79" s="102"/>
      <c r="DG79" s="102"/>
      <c r="DH79" s="102"/>
      <c r="DI79" s="102"/>
      <c r="DJ79" s="102"/>
      <c r="DK79" s="102"/>
      <c r="DL79" s="102"/>
      <c r="DM79" s="102"/>
      <c r="DN79" s="102"/>
      <c r="DO79" s="102"/>
      <c r="DP79" s="102"/>
      <c r="DQ79" s="102"/>
      <c r="DR79" s="102"/>
      <c r="DS79" s="102"/>
      <c r="DT79" s="102"/>
      <c r="DU79" s="102"/>
      <c r="DV79" s="102"/>
      <c r="DW79" s="102"/>
      <c r="DX79" s="102"/>
      <c r="DY79" s="102"/>
      <c r="DZ79" s="102"/>
      <c r="EA79" s="102"/>
      <c r="EB79" s="102"/>
      <c r="EC79" s="102"/>
      <c r="ED79" s="102"/>
      <c r="EE79" s="102"/>
      <c r="EF79" s="102"/>
      <c r="EG79" s="102"/>
      <c r="EH79" s="102"/>
      <c r="EI79" s="102"/>
      <c r="EJ79" s="102"/>
      <c r="EK79" s="102"/>
      <c r="EL79" s="102"/>
      <c r="EM79" s="102"/>
      <c r="EN79" s="102"/>
      <c r="EO79" s="102"/>
      <c r="EP79" s="102"/>
      <c r="ES79" s="3422"/>
      <c r="ET79" s="3422"/>
      <c r="EU79" s="3422"/>
      <c r="EV79" s="3422"/>
      <c r="EW79" s="3422"/>
      <c r="EX79" s="3422"/>
      <c r="EY79" s="3422"/>
      <c r="EZ79" s="3422"/>
      <c r="FA79" s="3422"/>
      <c r="FB79" s="3422"/>
      <c r="FC79" s="3422"/>
      <c r="FD79" s="3422"/>
      <c r="FE79" s="3422"/>
      <c r="FF79" s="3422"/>
      <c r="FG79" s="3422"/>
      <c r="FH79" s="3422"/>
      <c r="FI79" s="3422"/>
      <c r="FJ79" s="3422"/>
      <c r="FK79" s="3422"/>
      <c r="FL79" s="3422"/>
      <c r="FM79" s="3422"/>
      <c r="FN79" s="3422"/>
      <c r="FO79" s="3422"/>
      <c r="FP79" s="3422"/>
      <c r="FQ79" s="3422"/>
      <c r="FR79" s="3422"/>
      <c r="FS79" s="3422"/>
      <c r="FT79" s="3422"/>
      <c r="FU79" s="3422"/>
      <c r="FV79" s="3422"/>
      <c r="FW79" s="3422"/>
      <c r="FX79" s="3422"/>
      <c r="FY79" s="3422"/>
      <c r="FZ79" s="3422"/>
      <c r="GA79" s="3422"/>
      <c r="GB79" s="3422"/>
      <c r="GC79" s="3422"/>
      <c r="GD79" s="3422"/>
      <c r="GE79" s="3422"/>
      <c r="GF79" s="3422"/>
      <c r="GG79" s="3422"/>
      <c r="GH79" s="3422"/>
      <c r="GI79" s="3422"/>
      <c r="GJ79" s="3422"/>
      <c r="GK79" s="3422"/>
      <c r="GL79" s="3422"/>
      <c r="GM79" s="3422"/>
      <c r="GN79" s="3422"/>
      <c r="GO79" s="3422"/>
      <c r="GP79" s="3422"/>
      <c r="GQ79" s="3422"/>
      <c r="GR79" s="3422"/>
      <c r="GS79" s="3422"/>
      <c r="GT79" s="3422"/>
      <c r="GU79" s="3422"/>
      <c r="GV79" s="3422"/>
      <c r="GW79" s="3422"/>
      <c r="GX79" s="3422"/>
      <c r="GY79" s="3422"/>
      <c r="GZ79" s="3422"/>
      <c r="HA79" s="3422"/>
      <c r="HB79" s="3422"/>
      <c r="HC79" s="3422"/>
      <c r="HD79" s="3422"/>
      <c r="HE79" s="3422"/>
      <c r="HF79" s="3422"/>
      <c r="HG79" s="3422"/>
      <c r="HH79" s="3422"/>
      <c r="HI79" s="3422"/>
      <c r="HJ79" s="3422"/>
      <c r="HK79" s="3422"/>
      <c r="HL79" s="3422"/>
      <c r="HM79" s="3422"/>
      <c r="HN79" s="3422"/>
      <c r="HO79" s="3422"/>
      <c r="HP79" s="3422"/>
      <c r="HQ79" s="3422"/>
      <c r="HR79" s="3422"/>
      <c r="HS79" s="3422"/>
      <c r="HT79" s="3422"/>
      <c r="HU79" s="3422"/>
      <c r="HV79" s="3422"/>
      <c r="HW79" s="3422"/>
      <c r="HX79" s="3422"/>
      <c r="HY79" s="3422"/>
      <c r="HZ79" s="3422"/>
      <c r="IA79" s="3422"/>
      <c r="IB79" s="3422"/>
      <c r="IC79" s="3422"/>
      <c r="ID79" s="3422"/>
      <c r="IE79" s="3422"/>
      <c r="IF79" s="3422"/>
      <c r="IG79" s="3422"/>
      <c r="IH79" s="3422"/>
      <c r="II79" s="3422"/>
      <c r="IJ79" s="3422"/>
      <c r="IK79" s="3422"/>
      <c r="IL79" s="3422"/>
      <c r="IM79" s="3422"/>
      <c r="IN79" s="3422"/>
      <c r="IO79" s="3422"/>
      <c r="IP79" s="3422"/>
      <c r="IQ79" s="3422"/>
      <c r="IR79" s="3422"/>
      <c r="IS79" s="3422"/>
      <c r="IT79" s="3422"/>
      <c r="IU79" s="3422"/>
      <c r="IV79" s="3422"/>
      <c r="IW79" s="3422"/>
      <c r="IX79" s="3422"/>
      <c r="IY79" s="3422"/>
      <c r="IZ79" s="3422"/>
      <c r="JA79" s="3422"/>
      <c r="JB79" s="3422"/>
      <c r="JC79" s="3422"/>
      <c r="JD79" s="3422"/>
      <c r="JE79" s="3422"/>
      <c r="JF79" s="3422"/>
      <c r="JG79" s="3422"/>
      <c r="JH79" s="3422"/>
      <c r="JI79" s="3422"/>
      <c r="JJ79" s="3422"/>
      <c r="JK79" s="3422"/>
      <c r="JL79" s="3422"/>
      <c r="JM79" s="3422"/>
      <c r="JN79" s="3422"/>
      <c r="JO79" s="3422"/>
      <c r="JP79" s="3422"/>
      <c r="JQ79" s="3422"/>
      <c r="JR79" s="3422"/>
      <c r="JS79" s="3422"/>
      <c r="JT79" s="3422"/>
      <c r="JU79" s="3422"/>
      <c r="JV79" s="3422"/>
      <c r="JW79" s="3422"/>
      <c r="JX79" s="3422"/>
      <c r="JY79" s="3422"/>
      <c r="JZ79" s="3422"/>
      <c r="KA79" s="3422"/>
      <c r="KB79" s="3422"/>
      <c r="KC79" s="3422"/>
      <c r="KD79" s="3422"/>
      <c r="KE79" s="3422"/>
      <c r="KF79" s="3422"/>
      <c r="KG79" s="3422"/>
      <c r="KH79" s="3422"/>
      <c r="KI79" s="3422"/>
      <c r="KJ79" s="3422"/>
      <c r="KK79" s="3422"/>
      <c r="KL79" s="3422"/>
      <c r="KM79" s="3422"/>
      <c r="KN79" s="3422"/>
      <c r="KO79" s="3422"/>
      <c r="KP79" s="3422"/>
      <c r="KQ79" s="3422"/>
      <c r="KR79" s="3422"/>
      <c r="KS79" s="3422"/>
      <c r="KT79" s="3422"/>
      <c r="KU79" s="3422"/>
      <c r="KV79" s="3422"/>
      <c r="KW79" s="3422"/>
      <c r="KX79" s="3422"/>
      <c r="KY79" s="3422"/>
      <c r="KZ79" s="3422"/>
      <c r="LA79" s="3422"/>
      <c r="LB79" s="3422"/>
      <c r="LC79" s="3422"/>
      <c r="LD79" s="3422"/>
      <c r="LE79" s="3422"/>
      <c r="LF79" s="3422"/>
      <c r="LG79" s="3422"/>
      <c r="LH79" s="3422"/>
      <c r="LI79" s="3422"/>
      <c r="LJ79" s="3422"/>
      <c r="LK79" s="3422"/>
      <c r="LL79" s="3422"/>
      <c r="LM79" s="3422"/>
      <c r="LN79" s="3422"/>
      <c r="LO79" s="3422"/>
      <c r="LP79" s="3422"/>
      <c r="LQ79" s="3422"/>
      <c r="LR79" s="3422"/>
      <c r="LS79" s="3422"/>
      <c r="LT79" s="3422"/>
      <c r="LU79" s="3422"/>
      <c r="LV79" s="3422"/>
      <c r="LW79" s="3422"/>
      <c r="LX79" s="3422"/>
      <c r="LY79" s="3422"/>
      <c r="LZ79" s="3422"/>
      <c r="MA79" s="3422"/>
      <c r="MB79" s="3422"/>
      <c r="MC79" s="3422"/>
      <c r="MD79" s="3422"/>
      <c r="ME79" s="3422"/>
      <c r="MF79" s="3422"/>
      <c r="MG79" s="3422"/>
      <c r="MH79" s="3422"/>
      <c r="MI79" s="3422"/>
      <c r="MJ79" s="3422"/>
      <c r="MK79" s="3422"/>
      <c r="ML79" s="3422"/>
      <c r="MM79" s="3422"/>
      <c r="MN79" s="3422"/>
      <c r="MO79" s="3422"/>
      <c r="MP79" s="3422"/>
      <c r="MQ79" s="3422"/>
      <c r="MR79" s="3422"/>
      <c r="MS79" s="3422"/>
      <c r="MT79" s="3422"/>
      <c r="MU79" s="3422"/>
      <c r="MV79" s="3422"/>
      <c r="MW79" s="3422"/>
      <c r="MX79" s="3422"/>
      <c r="MY79" s="3422"/>
      <c r="MZ79" s="3422"/>
      <c r="NA79" s="3422"/>
      <c r="NB79" s="3422"/>
      <c r="NC79" s="3422"/>
      <c r="ND79" s="3422"/>
      <c r="NE79" s="3422"/>
      <c r="NF79" s="3422"/>
      <c r="NG79" s="3422"/>
      <c r="NH79" s="3422"/>
      <c r="NI79" s="3422"/>
      <c r="NJ79" s="3422"/>
      <c r="NK79" s="3422"/>
      <c r="NL79" s="3422"/>
      <c r="NM79" s="3422"/>
      <c r="NN79" s="3422"/>
      <c r="NO79" s="3422"/>
      <c r="NP79" s="3422"/>
      <c r="NQ79" s="3422"/>
      <c r="NR79" s="3422"/>
      <c r="NS79" s="3422"/>
      <c r="NT79" s="3422"/>
      <c r="NU79" s="3422"/>
      <c r="NV79" s="3422"/>
      <c r="NW79" s="3422"/>
      <c r="NX79" s="3422"/>
      <c r="NY79" s="3422"/>
      <c r="NZ79" s="3422"/>
      <c r="OA79" s="3422"/>
      <c r="OB79" s="3422"/>
      <c r="OC79" s="3422"/>
      <c r="OD79" s="3422"/>
      <c r="OE79" s="3422"/>
      <c r="OF79" s="3422"/>
      <c r="OG79" s="3422"/>
      <c r="OH79" s="3422"/>
      <c r="OI79" s="3422"/>
      <c r="OJ79" s="3422"/>
      <c r="OK79" s="3422"/>
      <c r="OL79" s="3422"/>
      <c r="OM79" s="3422"/>
      <c r="ON79" s="3422"/>
      <c r="OO79" s="3422"/>
      <c r="OP79" s="3422"/>
      <c r="OQ79" s="3422"/>
      <c r="OR79" s="3422"/>
      <c r="OS79" s="3422"/>
      <c r="OT79" s="3422"/>
      <c r="OU79" s="3422"/>
      <c r="OV79" s="3422"/>
      <c r="OW79" s="3422"/>
      <c r="OX79" s="3422"/>
      <c r="OY79" s="3422"/>
      <c r="OZ79" s="3422"/>
      <c r="PA79" s="3422"/>
      <c r="PB79" s="3422"/>
      <c r="PC79" s="3422"/>
      <c r="PD79" s="3422"/>
      <c r="PE79" s="3422"/>
      <c r="PF79" s="3422"/>
      <c r="PG79" s="3422"/>
      <c r="PH79" s="3422"/>
      <c r="PI79" s="3422"/>
      <c r="PJ79" s="3422"/>
      <c r="PK79" s="3422"/>
      <c r="PL79" s="3422"/>
      <c r="PM79" s="3422"/>
      <c r="PN79" s="3422"/>
      <c r="PO79" s="3422"/>
      <c r="PP79" s="3422"/>
      <c r="PQ79" s="3422"/>
      <c r="PR79" s="3422"/>
      <c r="PS79" s="3422"/>
      <c r="PT79" s="3422"/>
      <c r="PU79" s="3422"/>
      <c r="PV79" s="3422"/>
      <c r="PW79" s="3422"/>
      <c r="PX79" s="3422"/>
      <c r="PY79" s="3422"/>
      <c r="PZ79" s="3422"/>
      <c r="QA79" s="3422"/>
      <c r="QB79" s="3422"/>
      <c r="QC79" s="3422"/>
      <c r="QD79" s="3422"/>
      <c r="QE79" s="3422"/>
      <c r="QF79" s="3422"/>
      <c r="QG79" s="3422"/>
      <c r="QH79" s="3422"/>
      <c r="QI79" s="3422"/>
      <c r="QJ79" s="3422"/>
      <c r="QK79" s="3422"/>
      <c r="QL79" s="3422"/>
      <c r="QM79" s="3422"/>
      <c r="QN79" s="3422"/>
      <c r="QO79" s="3422"/>
      <c r="QP79" s="3422"/>
      <c r="QQ79" s="3422"/>
      <c r="QR79" s="3422"/>
      <c r="QS79" s="3422"/>
      <c r="QT79" s="3422"/>
      <c r="QU79" s="3422"/>
      <c r="QV79" s="3422"/>
      <c r="QW79" s="3422"/>
      <c r="QX79" s="3422"/>
      <c r="QY79" s="3422"/>
      <c r="QZ79" s="3422"/>
      <c r="RA79" s="3422"/>
      <c r="RB79" s="3422"/>
      <c r="RC79" s="3422"/>
      <c r="RD79" s="3422"/>
      <c r="RE79" s="3422"/>
      <c r="RF79" s="3422"/>
      <c r="RG79" s="3422"/>
      <c r="RH79" s="3422"/>
      <c r="RI79" s="3422"/>
      <c r="RJ79" s="3422"/>
      <c r="RK79" s="3422"/>
      <c r="RL79" s="3422"/>
      <c r="RM79" s="3422"/>
      <c r="RN79" s="3422"/>
      <c r="RO79" s="3422"/>
      <c r="RP79" s="3422"/>
      <c r="RQ79" s="3422"/>
      <c r="RR79" s="3422"/>
      <c r="RS79" s="3422"/>
      <c r="RT79" s="3422"/>
      <c r="RU79" s="3422"/>
      <c r="RV79" s="3422"/>
      <c r="RW79" s="3422"/>
      <c r="RX79" s="3422"/>
      <c r="RY79" s="3422"/>
      <c r="RZ79" s="3422"/>
      <c r="SA79" s="3422"/>
      <c r="SB79" s="3422"/>
      <c r="SC79" s="3422"/>
      <c r="SD79" s="3422"/>
      <c r="SE79" s="3422"/>
      <c r="SF79" s="3422"/>
      <c r="SG79" s="3422"/>
      <c r="SH79" s="3422"/>
      <c r="SI79" s="3422"/>
      <c r="SJ79" s="3422"/>
      <c r="SK79" s="3422"/>
      <c r="SL79" s="3422"/>
      <c r="SM79" s="3422"/>
      <c r="SN79" s="3422"/>
      <c r="SO79" s="3422"/>
      <c r="SP79" s="3422"/>
      <c r="SQ79" s="3422"/>
      <c r="SR79" s="3422"/>
      <c r="SS79" s="3422"/>
      <c r="ST79" s="3422"/>
      <c r="SU79" s="3422"/>
      <c r="SV79" s="3422"/>
      <c r="SW79" s="3422"/>
      <c r="SX79" s="3422"/>
      <c r="SY79" s="3422"/>
      <c r="SZ79" s="3422"/>
      <c r="TA79" s="3422"/>
      <c r="TB79" s="3422"/>
      <c r="TC79" s="3422"/>
      <c r="TD79" s="3422"/>
      <c r="TE79" s="3422"/>
      <c r="TF79" s="3422"/>
      <c r="TG79" s="3422"/>
      <c r="TH79" s="3422"/>
      <c r="TI79" s="3422"/>
      <c r="TJ79" s="3422"/>
      <c r="TK79" s="3422"/>
      <c r="TL79" s="3422"/>
      <c r="TM79" s="3422"/>
      <c r="TN79" s="3422"/>
      <c r="TO79" s="3422"/>
      <c r="TP79" s="3422"/>
      <c r="TQ79" s="3422"/>
      <c r="TR79" s="3422"/>
      <c r="TS79" s="3422"/>
      <c r="TT79" s="3422"/>
      <c r="TU79" s="3422"/>
      <c r="TV79" s="3422"/>
      <c r="TW79" s="3422"/>
      <c r="TX79" s="3422"/>
      <c r="TY79" s="3422"/>
      <c r="TZ79" s="3422"/>
      <c r="UA79" s="3422"/>
      <c r="UB79" s="3422"/>
      <c r="UC79" s="3422"/>
      <c r="UD79" s="3422"/>
      <c r="UE79" s="3422"/>
      <c r="UF79" s="3422"/>
      <c r="UG79" s="3422"/>
      <c r="UH79" s="3422"/>
      <c r="UI79" s="3422"/>
      <c r="UJ79" s="3422"/>
      <c r="UK79" s="3422"/>
      <c r="UL79" s="3422"/>
      <c r="UM79" s="3422"/>
      <c r="UN79" s="3422"/>
      <c r="UO79" s="3422"/>
      <c r="UP79" s="3422"/>
      <c r="UQ79" s="3422"/>
      <c r="UR79" s="3422"/>
      <c r="US79" s="3422"/>
      <c r="UT79" s="3422"/>
      <c r="UU79" s="3422"/>
      <c r="UV79" s="3422"/>
      <c r="UW79" s="3422"/>
      <c r="UX79" s="3422"/>
      <c r="UY79" s="3422"/>
      <c r="UZ79" s="3422"/>
      <c r="VA79" s="3422"/>
      <c r="VB79" s="3422"/>
      <c r="VC79" s="3422"/>
      <c r="VD79" s="3422"/>
      <c r="VE79" s="3422"/>
      <c r="VF79" s="3422"/>
      <c r="VG79" s="3422"/>
      <c r="VH79" s="3422"/>
      <c r="VI79" s="3422"/>
      <c r="VJ79" s="3422"/>
      <c r="VK79" s="3422"/>
      <c r="VL79" s="3422"/>
      <c r="VM79" s="3422"/>
      <c r="VN79" s="3422"/>
      <c r="VO79" s="3422"/>
      <c r="VP79" s="3422"/>
      <c r="VQ79" s="3422"/>
      <c r="VR79" s="3422"/>
      <c r="VS79" s="3422"/>
      <c r="VT79" s="3422"/>
      <c r="VU79" s="3422"/>
      <c r="VV79" s="3422"/>
      <c r="VW79" s="3422"/>
      <c r="VX79" s="3422"/>
      <c r="VY79" s="3422"/>
      <c r="VZ79" s="3422"/>
      <c r="WA79" s="3422"/>
      <c r="WB79" s="3422"/>
      <c r="WC79" s="3422"/>
      <c r="WD79" s="3422"/>
      <c r="WE79" s="3422"/>
      <c r="WF79" s="3422"/>
      <c r="WG79" s="3422"/>
      <c r="WH79" s="3422"/>
      <c r="WI79" s="3422"/>
      <c r="WJ79" s="3422"/>
      <c r="WK79" s="3422"/>
      <c r="WL79" s="3422"/>
      <c r="WM79" s="3422"/>
      <c r="WN79" s="3422"/>
      <c r="WO79" s="3422"/>
      <c r="WP79" s="3422"/>
      <c r="WQ79" s="3422"/>
      <c r="WR79" s="3422"/>
      <c r="WS79" s="3422"/>
      <c r="WT79" s="3422"/>
      <c r="WU79" s="3422"/>
      <c r="WV79" s="3422"/>
      <c r="WW79" s="3422"/>
      <c r="WX79" s="3422"/>
      <c r="WY79" s="3422"/>
      <c r="WZ79" s="3422"/>
      <c r="XA79" s="3422"/>
      <c r="XB79" s="3422"/>
      <c r="XC79" s="3422"/>
      <c r="XD79" s="3422"/>
      <c r="XE79" s="3422"/>
      <c r="XF79" s="3422"/>
      <c r="XG79" s="3422"/>
      <c r="XH79" s="3422"/>
      <c r="XI79" s="3422"/>
      <c r="XJ79" s="3422"/>
      <c r="XK79" s="3422"/>
      <c r="XL79" s="3422"/>
      <c r="XM79" s="3422"/>
      <c r="XN79" s="3422"/>
      <c r="XO79" s="3422"/>
      <c r="XP79" s="3422"/>
      <c r="XQ79" s="3422"/>
      <c r="XR79" s="3422"/>
      <c r="XS79" s="3422"/>
      <c r="XT79" s="3422"/>
      <c r="XU79" s="3422"/>
      <c r="XV79" s="3422"/>
      <c r="XW79" s="3422"/>
      <c r="XX79" s="3422"/>
      <c r="XY79" s="3422"/>
      <c r="XZ79" s="3422"/>
      <c r="YA79" s="3422"/>
      <c r="YB79" s="3422"/>
      <c r="YC79" s="3422"/>
      <c r="YD79" s="3422"/>
      <c r="YE79" s="3422"/>
      <c r="YF79" s="3422"/>
      <c r="YG79" s="3422"/>
      <c r="YH79" s="3422"/>
      <c r="YI79" s="3422"/>
      <c r="YJ79" s="3422"/>
      <c r="YK79" s="3422"/>
      <c r="YL79" s="3422"/>
      <c r="YM79" s="3422"/>
      <c r="YN79" s="3422"/>
      <c r="YO79" s="3422"/>
      <c r="YP79" s="3422"/>
      <c r="YQ79" s="3422"/>
      <c r="YR79" s="3422"/>
      <c r="YS79" s="3422"/>
      <c r="YT79" s="3422"/>
      <c r="YU79" s="3422"/>
      <c r="YV79" s="3422"/>
      <c r="YW79" s="3422"/>
      <c r="YX79" s="3422"/>
      <c r="YY79" s="3422"/>
      <c r="YZ79" s="3422"/>
      <c r="ZA79" s="3422"/>
      <c r="ZB79" s="3422"/>
      <c r="ZC79" s="3422"/>
      <c r="ZD79" s="3422"/>
      <c r="ZE79" s="3422"/>
      <c r="ZF79" s="3422"/>
      <c r="ZG79" s="3422"/>
      <c r="ZH79" s="3422"/>
      <c r="ZI79" s="3422"/>
      <c r="ZJ79" s="3422"/>
      <c r="ZK79" s="3422"/>
      <c r="ZL79" s="3422"/>
      <c r="ZM79" s="3422"/>
      <c r="ZN79" s="3422"/>
      <c r="ZO79" s="3422"/>
      <c r="ZP79" s="3422"/>
      <c r="ZQ79" s="3422"/>
      <c r="ZR79" s="3422"/>
      <c r="ZS79" s="3422"/>
      <c r="ZT79" s="3422"/>
      <c r="ZU79" s="3422"/>
      <c r="ZV79" s="3422"/>
      <c r="ZW79" s="3422"/>
      <c r="ZX79" s="3422"/>
      <c r="ZY79" s="3422"/>
      <c r="ZZ79" s="3422"/>
      <c r="AAA79" s="3422"/>
      <c r="AAB79" s="3422"/>
      <c r="AAC79" s="3422"/>
      <c r="AAD79" s="3422"/>
      <c r="AAE79" s="3422"/>
      <c r="AAF79" s="3422"/>
      <c r="AAG79" s="3422"/>
      <c r="AAH79" s="3422"/>
      <c r="AAI79" s="3422"/>
      <c r="AAJ79" s="3422"/>
      <c r="AAK79" s="3422"/>
      <c r="AAL79" s="3422"/>
      <c r="AAM79" s="3422"/>
      <c r="AAN79" s="3422"/>
      <c r="AAO79" s="3422"/>
      <c r="AAP79" s="3422"/>
      <c r="AAQ79" s="3422"/>
      <c r="AAR79" s="3422"/>
      <c r="AAS79" s="3422"/>
      <c r="AAT79" s="3422"/>
      <c r="AAU79" s="3422"/>
      <c r="AAV79" s="3422"/>
      <c r="AAW79" s="3422"/>
      <c r="AAX79" s="3422"/>
      <c r="AAY79" s="3422"/>
      <c r="AAZ79" s="3422"/>
      <c r="ABA79" s="3422"/>
      <c r="ABB79" s="3422"/>
      <c r="ABC79" s="3422"/>
      <c r="ABD79" s="3422"/>
      <c r="ABE79" s="3422"/>
      <c r="ABF79" s="3422"/>
      <c r="ABG79" s="3422"/>
      <c r="ABH79" s="3422"/>
      <c r="ABI79" s="3422"/>
      <c r="ABJ79" s="3422"/>
      <c r="ABK79" s="3422"/>
      <c r="ABL79" s="3422"/>
      <c r="ABM79" s="3422"/>
      <c r="ABN79" s="3422"/>
      <c r="ABO79" s="3422"/>
      <c r="ABP79" s="3422"/>
      <c r="ABQ79" s="3422"/>
      <c r="ABR79" s="3422"/>
      <c r="ABS79" s="3422"/>
      <c r="ABT79" s="3422"/>
      <c r="ABU79" s="3422"/>
      <c r="ABV79" s="3422"/>
      <c r="ABW79" s="3422"/>
      <c r="ABX79" s="3422"/>
      <c r="ABY79" s="3422"/>
      <c r="ABZ79" s="3422"/>
      <c r="ACA79" s="3422"/>
      <c r="ACB79" s="3422"/>
      <c r="ACC79" s="3422"/>
      <c r="ACD79" s="3422"/>
      <c r="ACE79" s="3422"/>
      <c r="ACF79" s="3422"/>
      <c r="ACG79" s="3422"/>
      <c r="ACH79" s="3422"/>
      <c r="ACI79" s="3422"/>
      <c r="ACJ79" s="3422"/>
      <c r="ACK79" s="3422"/>
      <c r="ACL79" s="3422"/>
    </row>
    <row r="80" spans="1:766" s="102" customFormat="1" ht="15" customHeight="1" x14ac:dyDescent="0.2">
      <c r="A80" s="3781"/>
      <c r="B80" s="3782"/>
      <c r="C80" s="3000">
        <v>2</v>
      </c>
      <c r="D80" s="2998"/>
      <c r="E80" s="2071"/>
      <c r="F80" s="2500"/>
      <c r="G80" s="2500"/>
      <c r="H80" s="2500"/>
      <c r="I80" s="2500"/>
      <c r="J80" s="2500"/>
      <c r="K80" s="2500"/>
      <c r="L80" s="2500"/>
      <c r="M80" s="2500"/>
      <c r="N80" s="2500"/>
      <c r="O80" s="2465"/>
      <c r="P80" s="2313"/>
      <c r="Q80" s="2264"/>
      <c r="R80" s="2264"/>
      <c r="S80" s="2264"/>
      <c r="T80" s="2264"/>
      <c r="U80" s="2264"/>
      <c r="V80" s="2801"/>
      <c r="W80" s="2500"/>
      <c r="X80" s="2348"/>
      <c r="Y80" s="2348"/>
      <c r="Z80" s="2465"/>
      <c r="AA80" s="2500"/>
      <c r="AB80" s="2498"/>
      <c r="AC80" s="2313"/>
      <c r="AD80" s="2496"/>
      <c r="AE80" s="2500"/>
      <c r="AF80" s="2498"/>
      <c r="AG80" s="2348"/>
      <c r="AH80" s="2348"/>
      <c r="AI80" s="2500"/>
      <c r="AJ80" s="2498"/>
      <c r="AK80" s="2465"/>
      <c r="AL80" s="2500"/>
      <c r="AM80" s="2498"/>
      <c r="AN80" s="2313"/>
      <c r="AO80" s="2418"/>
      <c r="AP80" s="2498"/>
      <c r="AQ80" s="2498"/>
      <c r="AR80" s="2348"/>
      <c r="AS80" s="2502"/>
      <c r="AT80" s="2264"/>
      <c r="AU80" s="2496"/>
      <c r="AV80" s="2498"/>
      <c r="AW80" s="2841"/>
      <c r="AX80" s="2500"/>
      <c r="AY80" s="2498"/>
      <c r="AZ80" s="2313"/>
      <c r="BA80" s="2418"/>
      <c r="BB80" s="2498"/>
      <c r="BC80" s="2498"/>
      <c r="BD80" s="2348"/>
      <c r="BE80" s="2502"/>
      <c r="BF80" s="2264"/>
      <c r="BG80" s="2496"/>
      <c r="BH80" s="2498"/>
      <c r="BI80" s="2841"/>
      <c r="BJ80" s="2348"/>
      <c r="BK80" s="2498"/>
      <c r="BL80" s="2348"/>
      <c r="BM80" s="2562"/>
      <c r="BN80" s="2498"/>
      <c r="BO80" s="2348"/>
      <c r="BP80" s="2348"/>
      <c r="BQ80" s="2313"/>
      <c r="BR80" s="2418"/>
      <c r="BS80" s="2498"/>
      <c r="BT80" s="2465"/>
      <c r="BU80" s="3425"/>
      <c r="BV80" s="3058"/>
      <c r="BW80" s="3058"/>
      <c r="BX80" s="3058"/>
      <c r="ES80" s="3422"/>
      <c r="ET80" s="3422"/>
      <c r="EU80" s="3422"/>
      <c r="EV80" s="3422"/>
      <c r="EW80" s="3422"/>
      <c r="EX80" s="3422"/>
      <c r="EY80" s="3422"/>
      <c r="EZ80" s="3422"/>
      <c r="FA80" s="3422"/>
      <c r="FB80" s="3422"/>
      <c r="FC80" s="3422"/>
      <c r="FD80" s="3422"/>
      <c r="FE80" s="3422"/>
      <c r="FF80" s="3422"/>
      <c r="FG80" s="3422"/>
      <c r="FH80" s="3422"/>
      <c r="FI80" s="3422"/>
      <c r="FJ80" s="3422"/>
      <c r="FK80" s="3422"/>
      <c r="FL80" s="3422"/>
      <c r="FM80" s="3422"/>
      <c r="FN80" s="3422"/>
      <c r="FO80" s="3422"/>
      <c r="FP80" s="3422"/>
      <c r="FQ80" s="3422"/>
      <c r="FR80" s="3422"/>
      <c r="FS80" s="3422"/>
      <c r="FT80" s="3422"/>
      <c r="FU80" s="3422"/>
      <c r="FV80" s="3422"/>
      <c r="FW80" s="3422"/>
      <c r="FX80" s="3422"/>
      <c r="FY80" s="3422"/>
      <c r="FZ80" s="3422"/>
      <c r="GA80" s="3422"/>
      <c r="GB80" s="3422"/>
      <c r="GC80" s="3422"/>
      <c r="GD80" s="3422"/>
      <c r="GE80" s="3422"/>
      <c r="GF80" s="3422"/>
      <c r="GG80" s="3422"/>
      <c r="GH80" s="3422"/>
      <c r="GI80" s="3422"/>
      <c r="GJ80" s="3422"/>
      <c r="GK80" s="3422"/>
      <c r="GL80" s="3422"/>
      <c r="GM80" s="3422"/>
      <c r="GN80" s="3422"/>
      <c r="GO80" s="3422"/>
      <c r="GP80" s="3422"/>
      <c r="GQ80" s="3422"/>
      <c r="GR80" s="3422"/>
      <c r="GS80" s="3422"/>
      <c r="GT80" s="3422"/>
      <c r="GU80" s="3422"/>
      <c r="GV80" s="3422"/>
      <c r="GW80" s="3422"/>
      <c r="GX80" s="3422"/>
      <c r="GY80" s="3422"/>
      <c r="GZ80" s="3422"/>
      <c r="HA80" s="3422"/>
      <c r="HB80" s="3422"/>
      <c r="HC80" s="3422"/>
      <c r="HD80" s="3422"/>
      <c r="HE80" s="3422"/>
      <c r="HF80" s="3422"/>
      <c r="HG80" s="3422"/>
      <c r="HH80" s="3422"/>
      <c r="HI80" s="3422"/>
      <c r="HJ80" s="3422"/>
      <c r="HK80" s="3422"/>
      <c r="HL80" s="3422"/>
      <c r="HM80" s="3422"/>
      <c r="HN80" s="3422"/>
      <c r="HO80" s="3422"/>
      <c r="HP80" s="3422"/>
      <c r="HQ80" s="3422"/>
      <c r="HR80" s="3422"/>
      <c r="HS80" s="3422"/>
      <c r="HT80" s="3422"/>
      <c r="HU80" s="3422"/>
      <c r="HV80" s="3422"/>
      <c r="HW80" s="3422"/>
      <c r="HX80" s="3422"/>
      <c r="HY80" s="3422"/>
      <c r="HZ80" s="3422"/>
      <c r="IA80" s="3422"/>
      <c r="IB80" s="3422"/>
      <c r="IC80" s="3422"/>
      <c r="ID80" s="3422"/>
      <c r="IE80" s="3422"/>
      <c r="IF80" s="3422"/>
      <c r="IG80" s="3422"/>
      <c r="IH80" s="3422"/>
      <c r="II80" s="3422"/>
      <c r="IJ80" s="3422"/>
      <c r="IK80" s="3422"/>
      <c r="IL80" s="3422"/>
      <c r="IM80" s="3422"/>
      <c r="IN80" s="3422"/>
      <c r="IO80" s="3422"/>
      <c r="IP80" s="3422"/>
      <c r="IQ80" s="3422"/>
      <c r="IR80" s="3422"/>
      <c r="IS80" s="3422"/>
      <c r="IT80" s="3422"/>
      <c r="IU80" s="3422"/>
      <c r="IV80" s="3422"/>
      <c r="IW80" s="3422"/>
      <c r="IX80" s="3422"/>
      <c r="IY80" s="3422"/>
      <c r="IZ80" s="3422"/>
      <c r="JA80" s="3422"/>
      <c r="JB80" s="3422"/>
      <c r="JC80" s="3422"/>
      <c r="JD80" s="3422"/>
      <c r="JE80" s="3422"/>
      <c r="JF80" s="3422"/>
      <c r="JG80" s="3422"/>
      <c r="JH80" s="3422"/>
      <c r="JI80" s="3422"/>
      <c r="JJ80" s="3422"/>
      <c r="JK80" s="3422"/>
      <c r="JL80" s="3422"/>
      <c r="JM80" s="3422"/>
      <c r="JN80" s="3422"/>
      <c r="JO80" s="3422"/>
      <c r="JP80" s="3422"/>
      <c r="JQ80" s="3422"/>
      <c r="JR80" s="3422"/>
      <c r="JS80" s="3422"/>
      <c r="JT80" s="3422"/>
      <c r="JU80" s="3422"/>
      <c r="JV80" s="3422"/>
      <c r="JW80" s="3422"/>
      <c r="JX80" s="3422"/>
      <c r="JY80" s="3422"/>
      <c r="JZ80" s="3422"/>
      <c r="KA80" s="3422"/>
      <c r="KB80" s="3422"/>
      <c r="KC80" s="3422"/>
      <c r="KD80" s="3422"/>
      <c r="KE80" s="3422"/>
      <c r="KF80" s="3422"/>
      <c r="KG80" s="3422"/>
      <c r="KH80" s="3422"/>
      <c r="KI80" s="3422"/>
      <c r="KJ80" s="3422"/>
      <c r="KK80" s="3422"/>
      <c r="KL80" s="3422"/>
      <c r="KM80" s="3422"/>
      <c r="KN80" s="3422"/>
      <c r="KO80" s="3422"/>
      <c r="KP80" s="3422"/>
      <c r="KQ80" s="3422"/>
      <c r="KR80" s="3422"/>
      <c r="KS80" s="3422"/>
      <c r="KT80" s="3422"/>
      <c r="KU80" s="3422"/>
      <c r="KV80" s="3422"/>
      <c r="KW80" s="3422"/>
      <c r="KX80" s="3422"/>
      <c r="KY80" s="3422"/>
      <c r="KZ80" s="3422"/>
      <c r="LA80" s="3422"/>
      <c r="LB80" s="3422"/>
      <c r="LC80" s="3422"/>
      <c r="LD80" s="3422"/>
      <c r="LE80" s="3422"/>
      <c r="LF80" s="3422"/>
      <c r="LG80" s="3422"/>
      <c r="LH80" s="3422"/>
      <c r="LI80" s="3422"/>
      <c r="LJ80" s="3422"/>
      <c r="LK80" s="3422"/>
      <c r="LL80" s="3422"/>
      <c r="LM80" s="3422"/>
      <c r="LN80" s="3422"/>
      <c r="LO80" s="3422"/>
      <c r="LP80" s="3422"/>
      <c r="LQ80" s="3422"/>
      <c r="LR80" s="3422"/>
      <c r="LS80" s="3422"/>
      <c r="LT80" s="3422"/>
      <c r="LU80" s="3422"/>
      <c r="LV80" s="3422"/>
      <c r="LW80" s="3422"/>
      <c r="LX80" s="3422"/>
      <c r="LY80" s="3422"/>
      <c r="LZ80" s="3422"/>
      <c r="MA80" s="3422"/>
      <c r="MB80" s="3422"/>
      <c r="MC80" s="3422"/>
      <c r="MD80" s="3422"/>
      <c r="ME80" s="3422"/>
      <c r="MF80" s="3422"/>
      <c r="MG80" s="3422"/>
      <c r="MH80" s="3422"/>
      <c r="MI80" s="3422"/>
      <c r="MJ80" s="3422"/>
      <c r="MK80" s="3422"/>
      <c r="ML80" s="3422"/>
      <c r="MM80" s="3422"/>
      <c r="MN80" s="3422"/>
      <c r="MO80" s="3422"/>
      <c r="MP80" s="3422"/>
      <c r="MQ80" s="3422"/>
      <c r="MR80" s="3422"/>
      <c r="MS80" s="3422"/>
      <c r="MT80" s="3422"/>
      <c r="MU80" s="3422"/>
      <c r="MV80" s="3422"/>
      <c r="MW80" s="3422"/>
      <c r="MX80" s="3422"/>
      <c r="MY80" s="3422"/>
      <c r="MZ80" s="3422"/>
      <c r="NA80" s="3422"/>
      <c r="NB80" s="3422"/>
      <c r="NC80" s="3422"/>
      <c r="ND80" s="3422"/>
      <c r="NE80" s="3422"/>
      <c r="NF80" s="3422"/>
      <c r="NG80" s="3422"/>
      <c r="NH80" s="3422"/>
      <c r="NI80" s="3422"/>
      <c r="NJ80" s="3422"/>
      <c r="NK80" s="3422"/>
      <c r="NL80" s="3422"/>
      <c r="NM80" s="3422"/>
      <c r="NN80" s="3422"/>
      <c r="NO80" s="3422"/>
      <c r="NP80" s="3422"/>
      <c r="NQ80" s="3422"/>
      <c r="NR80" s="3422"/>
      <c r="NS80" s="3422"/>
      <c r="NT80" s="3422"/>
      <c r="NU80" s="3422"/>
      <c r="NV80" s="3422"/>
      <c r="NW80" s="3422"/>
      <c r="NX80" s="3422"/>
      <c r="NY80" s="3422"/>
      <c r="NZ80" s="3422"/>
      <c r="OA80" s="3422"/>
      <c r="OB80" s="3422"/>
      <c r="OC80" s="3422"/>
      <c r="OD80" s="3422"/>
      <c r="OE80" s="3422"/>
      <c r="OF80" s="3422"/>
      <c r="OG80" s="3422"/>
      <c r="OH80" s="3422"/>
      <c r="OI80" s="3422"/>
      <c r="OJ80" s="3422"/>
      <c r="OK80" s="3422"/>
      <c r="OL80" s="3422"/>
      <c r="OM80" s="3422"/>
      <c r="ON80" s="3422"/>
      <c r="OO80" s="3422"/>
      <c r="OP80" s="3422"/>
      <c r="OQ80" s="3422"/>
      <c r="OR80" s="3422"/>
      <c r="OS80" s="3422"/>
      <c r="OT80" s="3422"/>
      <c r="OU80" s="3422"/>
      <c r="OV80" s="3422"/>
      <c r="OW80" s="3422"/>
      <c r="OX80" s="3422"/>
      <c r="OY80" s="3422"/>
      <c r="OZ80" s="3422"/>
      <c r="PA80" s="3422"/>
      <c r="PB80" s="3422"/>
      <c r="PC80" s="3422"/>
      <c r="PD80" s="3422"/>
      <c r="PE80" s="3422"/>
      <c r="PF80" s="3422"/>
      <c r="PG80" s="3422"/>
      <c r="PH80" s="3422"/>
      <c r="PI80" s="3422"/>
      <c r="PJ80" s="3422"/>
      <c r="PK80" s="3422"/>
      <c r="PL80" s="3422"/>
      <c r="PM80" s="3422"/>
      <c r="PN80" s="3422"/>
      <c r="PO80" s="3422"/>
      <c r="PP80" s="3422"/>
      <c r="PQ80" s="3422"/>
      <c r="PR80" s="3422"/>
      <c r="PS80" s="3422"/>
      <c r="PT80" s="3422"/>
      <c r="PU80" s="3422"/>
      <c r="PV80" s="3422"/>
      <c r="PW80" s="3422"/>
      <c r="PX80" s="3422"/>
      <c r="PY80" s="3422"/>
      <c r="PZ80" s="3422"/>
      <c r="QA80" s="3422"/>
      <c r="QB80" s="3422"/>
      <c r="QC80" s="3422"/>
      <c r="QD80" s="3422"/>
      <c r="QE80" s="3422"/>
      <c r="QF80" s="3422"/>
      <c r="QG80" s="3422"/>
      <c r="QH80" s="3422"/>
      <c r="QI80" s="3422"/>
      <c r="QJ80" s="3422"/>
      <c r="QK80" s="3422"/>
      <c r="QL80" s="3422"/>
      <c r="QM80" s="3422"/>
      <c r="QN80" s="3422"/>
      <c r="QO80" s="3422"/>
      <c r="QP80" s="3422"/>
      <c r="QQ80" s="3422"/>
      <c r="QR80" s="3422"/>
      <c r="QS80" s="3422"/>
      <c r="QT80" s="3422"/>
      <c r="QU80" s="3422"/>
      <c r="QV80" s="3422"/>
      <c r="QW80" s="3422"/>
      <c r="QX80" s="3422"/>
      <c r="QY80" s="3422"/>
      <c r="QZ80" s="3422"/>
      <c r="RA80" s="3422"/>
      <c r="RB80" s="3422"/>
      <c r="RC80" s="3422"/>
      <c r="RD80" s="3422"/>
      <c r="RE80" s="3422"/>
      <c r="RF80" s="3422"/>
      <c r="RG80" s="3422"/>
      <c r="RH80" s="3422"/>
      <c r="RI80" s="3422"/>
      <c r="RJ80" s="3422"/>
      <c r="RK80" s="3422"/>
      <c r="RL80" s="3422"/>
      <c r="RM80" s="3422"/>
      <c r="RN80" s="3422"/>
      <c r="RO80" s="3422"/>
      <c r="RP80" s="3422"/>
      <c r="RQ80" s="3422"/>
      <c r="RR80" s="3422"/>
      <c r="RS80" s="3422"/>
      <c r="RT80" s="3422"/>
      <c r="RU80" s="3422"/>
      <c r="RV80" s="3422"/>
      <c r="RW80" s="3422"/>
      <c r="RX80" s="3422"/>
      <c r="RY80" s="3422"/>
      <c r="RZ80" s="3422"/>
      <c r="SA80" s="3422"/>
      <c r="SB80" s="3422"/>
      <c r="SC80" s="3422"/>
      <c r="SD80" s="3422"/>
      <c r="SE80" s="3422"/>
      <c r="SF80" s="3422"/>
      <c r="SG80" s="3422"/>
      <c r="SH80" s="3422"/>
      <c r="SI80" s="3422"/>
      <c r="SJ80" s="3422"/>
      <c r="SK80" s="3422"/>
      <c r="SL80" s="3422"/>
      <c r="SM80" s="3422"/>
      <c r="SN80" s="3422"/>
      <c r="SO80" s="3422"/>
      <c r="SP80" s="3422"/>
      <c r="SQ80" s="3422"/>
      <c r="SR80" s="3422"/>
      <c r="SS80" s="3422"/>
      <c r="ST80" s="3422"/>
      <c r="SU80" s="3422"/>
      <c r="SV80" s="3422"/>
      <c r="SW80" s="3422"/>
      <c r="SX80" s="3422"/>
      <c r="SY80" s="3422"/>
      <c r="SZ80" s="3422"/>
      <c r="TA80" s="3422"/>
      <c r="TB80" s="3422"/>
      <c r="TC80" s="3422"/>
      <c r="TD80" s="3422"/>
      <c r="TE80" s="3422"/>
      <c r="TF80" s="3422"/>
      <c r="TG80" s="3422"/>
      <c r="TH80" s="3422"/>
      <c r="TI80" s="3422"/>
      <c r="TJ80" s="3422"/>
      <c r="TK80" s="3422"/>
      <c r="TL80" s="3422"/>
      <c r="TM80" s="3422"/>
      <c r="TN80" s="3422"/>
      <c r="TO80" s="3422"/>
      <c r="TP80" s="3422"/>
      <c r="TQ80" s="3422"/>
      <c r="TR80" s="3422"/>
      <c r="TS80" s="3422"/>
      <c r="TT80" s="3422"/>
      <c r="TU80" s="3422"/>
      <c r="TV80" s="3422"/>
      <c r="TW80" s="3422"/>
      <c r="TX80" s="3422"/>
      <c r="TY80" s="3422"/>
      <c r="TZ80" s="3422"/>
      <c r="UA80" s="3422"/>
      <c r="UB80" s="3422"/>
      <c r="UC80" s="3422"/>
      <c r="UD80" s="3422"/>
      <c r="UE80" s="3422"/>
      <c r="UF80" s="3422"/>
      <c r="UG80" s="3422"/>
      <c r="UH80" s="3422"/>
      <c r="UI80" s="3422"/>
      <c r="UJ80" s="3422"/>
      <c r="UK80" s="3422"/>
      <c r="UL80" s="3422"/>
      <c r="UM80" s="3422"/>
      <c r="UN80" s="3422"/>
      <c r="UO80" s="3422"/>
      <c r="UP80" s="3422"/>
      <c r="UQ80" s="3422"/>
      <c r="UR80" s="3422"/>
      <c r="US80" s="3422"/>
      <c r="UT80" s="3422"/>
      <c r="UU80" s="3422"/>
      <c r="UV80" s="3422"/>
      <c r="UW80" s="3422"/>
      <c r="UX80" s="3422"/>
      <c r="UY80" s="3422"/>
      <c r="UZ80" s="3422"/>
      <c r="VA80" s="3422"/>
      <c r="VB80" s="3422"/>
      <c r="VC80" s="3422"/>
      <c r="VD80" s="3422"/>
      <c r="VE80" s="3422"/>
      <c r="VF80" s="3422"/>
      <c r="VG80" s="3422"/>
      <c r="VH80" s="3422"/>
      <c r="VI80" s="3422"/>
      <c r="VJ80" s="3422"/>
      <c r="VK80" s="3422"/>
      <c r="VL80" s="3422"/>
      <c r="VM80" s="3422"/>
      <c r="VN80" s="3422"/>
      <c r="VO80" s="3422"/>
      <c r="VP80" s="3422"/>
      <c r="VQ80" s="3422"/>
      <c r="VR80" s="3422"/>
      <c r="VS80" s="3422"/>
      <c r="VT80" s="3422"/>
      <c r="VU80" s="3422"/>
      <c r="VV80" s="3422"/>
      <c r="VW80" s="3422"/>
      <c r="VX80" s="3422"/>
      <c r="VY80" s="3422"/>
      <c r="VZ80" s="3422"/>
      <c r="WA80" s="3422"/>
      <c r="WB80" s="3422"/>
      <c r="WC80" s="3422"/>
      <c r="WD80" s="3422"/>
      <c r="WE80" s="3422"/>
      <c r="WF80" s="3422"/>
      <c r="WG80" s="3422"/>
      <c r="WH80" s="3422"/>
      <c r="WI80" s="3422"/>
      <c r="WJ80" s="3422"/>
      <c r="WK80" s="3422"/>
      <c r="WL80" s="3422"/>
      <c r="WM80" s="3422"/>
      <c r="WN80" s="3422"/>
      <c r="WO80" s="3422"/>
      <c r="WP80" s="3422"/>
      <c r="WQ80" s="3422"/>
      <c r="WR80" s="3422"/>
      <c r="WS80" s="3422"/>
      <c r="WT80" s="3422"/>
      <c r="WU80" s="3422"/>
      <c r="WV80" s="3422"/>
      <c r="WW80" s="3422"/>
      <c r="WX80" s="3422"/>
      <c r="WY80" s="3422"/>
      <c r="WZ80" s="3422"/>
      <c r="XA80" s="3422"/>
      <c r="XB80" s="3422"/>
      <c r="XC80" s="3422"/>
      <c r="XD80" s="3422"/>
      <c r="XE80" s="3422"/>
      <c r="XF80" s="3422"/>
      <c r="XG80" s="3422"/>
      <c r="XH80" s="3422"/>
      <c r="XI80" s="3422"/>
      <c r="XJ80" s="3422"/>
      <c r="XK80" s="3422"/>
      <c r="XL80" s="3422"/>
      <c r="XM80" s="3422"/>
      <c r="XN80" s="3422"/>
      <c r="XO80" s="3422"/>
      <c r="XP80" s="3422"/>
      <c r="XQ80" s="3422"/>
      <c r="XR80" s="3422"/>
      <c r="XS80" s="3422"/>
      <c r="XT80" s="3422"/>
      <c r="XU80" s="3422"/>
      <c r="XV80" s="3422"/>
      <c r="XW80" s="3422"/>
      <c r="XX80" s="3422"/>
      <c r="XY80" s="3422"/>
      <c r="XZ80" s="3422"/>
      <c r="YA80" s="3422"/>
      <c r="YB80" s="3422"/>
      <c r="YC80" s="3422"/>
      <c r="YD80" s="3422"/>
      <c r="YE80" s="3422"/>
      <c r="YF80" s="3422"/>
      <c r="YG80" s="3422"/>
      <c r="YH80" s="3422"/>
      <c r="YI80" s="3422"/>
      <c r="YJ80" s="3422"/>
      <c r="YK80" s="3422"/>
      <c r="YL80" s="3422"/>
      <c r="YM80" s="3422"/>
      <c r="YN80" s="3422"/>
      <c r="YO80" s="3422"/>
      <c r="YP80" s="3422"/>
      <c r="YQ80" s="3422"/>
      <c r="YR80" s="3422"/>
      <c r="YS80" s="3422"/>
      <c r="YT80" s="3422"/>
      <c r="YU80" s="3422"/>
      <c r="YV80" s="3422"/>
      <c r="YW80" s="3422"/>
      <c r="YX80" s="3422"/>
      <c r="YY80" s="3422"/>
      <c r="YZ80" s="3422"/>
      <c r="ZA80" s="3422"/>
      <c r="ZB80" s="3422"/>
      <c r="ZC80" s="3422"/>
      <c r="ZD80" s="3422"/>
      <c r="ZE80" s="3422"/>
      <c r="ZF80" s="3422"/>
      <c r="ZG80" s="3422"/>
      <c r="ZH80" s="3422"/>
      <c r="ZI80" s="3422"/>
      <c r="ZJ80" s="3422"/>
      <c r="ZK80" s="3422"/>
      <c r="ZL80" s="3422"/>
      <c r="ZM80" s="3422"/>
      <c r="ZN80" s="3422"/>
      <c r="ZO80" s="3422"/>
      <c r="ZP80" s="3422"/>
      <c r="ZQ80" s="3422"/>
      <c r="ZR80" s="3422"/>
      <c r="ZS80" s="3422"/>
      <c r="ZT80" s="3422"/>
      <c r="ZU80" s="3422"/>
      <c r="ZV80" s="3422"/>
      <c r="ZW80" s="3422"/>
      <c r="ZX80" s="3422"/>
      <c r="ZY80" s="3422"/>
      <c r="ZZ80" s="3422"/>
      <c r="AAA80" s="3422"/>
      <c r="AAB80" s="3422"/>
      <c r="AAC80" s="3422"/>
      <c r="AAD80" s="3422"/>
      <c r="AAE80" s="3422"/>
      <c r="AAF80" s="3422"/>
      <c r="AAG80" s="3422"/>
      <c r="AAH80" s="3422"/>
      <c r="AAI80" s="3422"/>
      <c r="AAJ80" s="3422"/>
      <c r="AAK80" s="3422"/>
      <c r="AAL80" s="3422"/>
      <c r="AAM80" s="3422"/>
      <c r="AAN80" s="3422"/>
      <c r="AAO80" s="3422"/>
      <c r="AAP80" s="3422"/>
      <c r="AAQ80" s="3422"/>
      <c r="AAR80" s="3422"/>
      <c r="AAS80" s="3422"/>
      <c r="AAT80" s="3422"/>
      <c r="AAU80" s="3422"/>
      <c r="AAV80" s="3422"/>
      <c r="AAW80" s="3422"/>
      <c r="AAX80" s="3422"/>
      <c r="AAY80" s="3422"/>
      <c r="AAZ80" s="3422"/>
      <c r="ABA80" s="3422"/>
      <c r="ABB80" s="3422"/>
      <c r="ABC80" s="3422"/>
      <c r="ABD80" s="3422"/>
      <c r="ABE80" s="3422"/>
      <c r="ABF80" s="3422"/>
      <c r="ABG80" s="3422"/>
      <c r="ABH80" s="3422"/>
      <c r="ABI80" s="3422"/>
      <c r="ABJ80" s="3422"/>
      <c r="ABK80" s="3422"/>
      <c r="ABL80" s="3422"/>
      <c r="ABM80" s="3422"/>
      <c r="ABN80" s="3422"/>
      <c r="ABO80" s="3422"/>
      <c r="ABP80" s="3422"/>
      <c r="ABQ80" s="3422"/>
      <c r="ABR80" s="3422"/>
      <c r="ABS80" s="3422"/>
      <c r="ABT80" s="3422"/>
      <c r="ABU80" s="3422"/>
      <c r="ABV80" s="3422"/>
      <c r="ABW80" s="3422"/>
      <c r="ABX80" s="3422"/>
      <c r="ABY80" s="3422"/>
      <c r="ABZ80" s="3422"/>
      <c r="ACA80" s="3422"/>
      <c r="ACB80" s="3422"/>
      <c r="ACC80" s="3422"/>
      <c r="ACD80" s="3422"/>
      <c r="ACE80" s="3422"/>
      <c r="ACF80" s="3422"/>
      <c r="ACG80" s="3422"/>
      <c r="ACH80" s="3422"/>
      <c r="ACI80" s="3422"/>
      <c r="ACJ80" s="3422"/>
      <c r="ACK80" s="3422"/>
      <c r="ACL80" s="3422"/>
    </row>
    <row r="81" spans="1:1215" s="628" customFormat="1" ht="15" customHeight="1" x14ac:dyDescent="0.25">
      <c r="A81" s="2021"/>
      <c r="B81" s="2022"/>
      <c r="C81" s="2222"/>
      <c r="D81" s="2998" t="s">
        <v>684</v>
      </c>
      <c r="E81" s="1862"/>
      <c r="F81" s="1787"/>
      <c r="G81" s="1786"/>
      <c r="H81" s="1788"/>
      <c r="I81" s="1787"/>
      <c r="J81" s="1787"/>
      <c r="K81" s="1788"/>
      <c r="L81" s="1787"/>
      <c r="M81" s="1787"/>
      <c r="N81" s="1786"/>
      <c r="O81" s="2792"/>
      <c r="P81" s="1862"/>
      <c r="Q81" s="1786"/>
      <c r="R81" s="1861"/>
      <c r="S81" s="1861"/>
      <c r="T81" s="1861"/>
      <c r="U81" s="1786"/>
      <c r="V81" s="2802"/>
      <c r="W81" s="1786"/>
      <c r="X81" s="1786"/>
      <c r="Y81" s="1786"/>
      <c r="Z81" s="2816"/>
      <c r="AA81" s="2710"/>
      <c r="AB81" s="1790"/>
      <c r="AC81" s="1790"/>
      <c r="AD81" s="1861"/>
      <c r="AE81" s="1861"/>
      <c r="AF81" s="1861"/>
      <c r="AG81" s="1861"/>
      <c r="AH81" s="1861"/>
      <c r="AI81" s="1861"/>
      <c r="AJ81" s="1861"/>
      <c r="AK81" s="2802"/>
      <c r="AL81" s="1861"/>
      <c r="AM81" s="1861"/>
      <c r="AN81" s="1861"/>
      <c r="AO81" s="1861"/>
      <c r="AP81" s="1861"/>
      <c r="AQ81" s="1861"/>
      <c r="AR81" s="1861"/>
      <c r="AS81" s="1861"/>
      <c r="AT81" s="1861"/>
      <c r="AU81" s="1861"/>
      <c r="AV81" s="1861"/>
      <c r="AW81" s="2802"/>
      <c r="AX81" s="1861"/>
      <c r="AY81" s="1861"/>
      <c r="AZ81" s="1861"/>
      <c r="BA81" s="1861"/>
      <c r="BB81" s="1861"/>
      <c r="BC81" s="1861"/>
      <c r="BD81" s="1861"/>
      <c r="BE81" s="1861"/>
      <c r="BF81" s="1861"/>
      <c r="BG81" s="1861"/>
      <c r="BH81" s="1861"/>
      <c r="BI81" s="2802"/>
      <c r="BJ81" s="1862"/>
      <c r="BK81" s="1861"/>
      <c r="BL81" s="1861"/>
      <c r="BM81" s="1861"/>
      <c r="BN81" s="1861"/>
      <c r="BO81" s="1861"/>
      <c r="BP81" s="1861"/>
      <c r="BQ81" s="1861"/>
      <c r="BR81" s="1861"/>
      <c r="BS81" s="1861"/>
      <c r="BT81" s="2792"/>
      <c r="BU81" s="3425"/>
      <c r="BV81" s="3058"/>
      <c r="BW81" s="3058"/>
      <c r="BX81" s="3058"/>
      <c r="BY81" s="102"/>
      <c r="BZ81" s="102"/>
      <c r="CA81" s="102"/>
      <c r="CB81" s="102"/>
      <c r="CC81" s="102"/>
      <c r="CD81" s="102"/>
      <c r="CE81" s="102"/>
      <c r="CF81" s="102"/>
      <c r="CG81" s="102"/>
      <c r="CH81" s="102"/>
      <c r="CI81" s="102"/>
      <c r="CJ81" s="102"/>
      <c r="CK81" s="102"/>
      <c r="CL81" s="102"/>
      <c r="CM81" s="102"/>
      <c r="CN81" s="102"/>
      <c r="CO81" s="102"/>
      <c r="CP81" s="102"/>
      <c r="CQ81" s="102"/>
      <c r="CR81" s="102"/>
      <c r="CS81" s="102"/>
      <c r="CT81" s="102"/>
      <c r="CU81" s="102"/>
      <c r="CV81" s="102"/>
      <c r="CW81" s="102"/>
      <c r="CX81" s="102"/>
      <c r="CY81" s="102"/>
      <c r="CZ81" s="102"/>
      <c r="DA81" s="102"/>
      <c r="DB81" s="102"/>
      <c r="DC81" s="102"/>
      <c r="DD81" s="102"/>
      <c r="DE81" s="102"/>
      <c r="DF81" s="102"/>
      <c r="DG81" s="102"/>
      <c r="DH81" s="102"/>
      <c r="DI81" s="102"/>
      <c r="DJ81" s="102"/>
      <c r="DK81" s="102"/>
      <c r="DL81" s="102"/>
      <c r="DM81" s="102"/>
      <c r="DN81" s="102"/>
      <c r="DO81" s="102"/>
      <c r="DP81" s="102"/>
      <c r="DQ81" s="102"/>
      <c r="DR81" s="102"/>
      <c r="DS81" s="102"/>
      <c r="DT81" s="102"/>
      <c r="DU81" s="102"/>
      <c r="DV81" s="102"/>
      <c r="DW81" s="102"/>
      <c r="DX81" s="102"/>
      <c r="DY81" s="102"/>
      <c r="DZ81" s="102"/>
      <c r="EA81" s="102"/>
      <c r="EB81" s="102"/>
      <c r="EC81" s="102"/>
      <c r="ED81" s="102"/>
      <c r="EE81" s="102"/>
      <c r="EF81" s="102"/>
      <c r="EG81" s="102"/>
      <c r="EH81" s="102"/>
      <c r="EI81" s="102"/>
      <c r="EJ81" s="102"/>
      <c r="EK81" s="102"/>
      <c r="EL81" s="102"/>
      <c r="EM81" s="102"/>
      <c r="EN81" s="102"/>
      <c r="EO81" s="102"/>
      <c r="EP81" s="102"/>
      <c r="EQ81" s="1917"/>
      <c r="ER81" s="1917"/>
      <c r="ES81" s="3422"/>
      <c r="ET81" s="3422"/>
      <c r="EU81" s="3422"/>
      <c r="EV81" s="3422"/>
      <c r="EW81" s="3422"/>
      <c r="EX81" s="3422"/>
      <c r="EY81" s="3422"/>
      <c r="EZ81" s="3422"/>
      <c r="FA81" s="3422"/>
      <c r="FB81" s="3422"/>
      <c r="FC81" s="3422"/>
      <c r="FD81" s="3422"/>
      <c r="FE81" s="3422"/>
      <c r="FF81" s="3422"/>
      <c r="FG81" s="3422"/>
      <c r="FH81" s="3422"/>
      <c r="FI81" s="3422"/>
      <c r="FJ81" s="3422"/>
      <c r="FK81" s="3422"/>
      <c r="FL81" s="3422"/>
      <c r="FM81" s="3422"/>
      <c r="FN81" s="3422"/>
      <c r="FO81" s="3422"/>
      <c r="FP81" s="3422"/>
      <c r="FQ81" s="3422"/>
      <c r="FR81" s="3422"/>
      <c r="FS81" s="3422"/>
      <c r="FT81" s="3422"/>
      <c r="FU81" s="3422"/>
      <c r="FV81" s="3422"/>
      <c r="FW81" s="3422"/>
      <c r="FX81" s="3422"/>
      <c r="FY81" s="3422"/>
      <c r="FZ81" s="3422"/>
      <c r="GA81" s="3422"/>
      <c r="GB81" s="3422"/>
      <c r="GC81" s="3422"/>
      <c r="GD81" s="3422"/>
      <c r="GE81" s="3422"/>
      <c r="GF81" s="3422"/>
      <c r="GG81" s="3422"/>
      <c r="GH81" s="3422"/>
      <c r="GI81" s="3422"/>
      <c r="GJ81" s="3422"/>
      <c r="GK81" s="3422"/>
      <c r="GL81" s="3422"/>
      <c r="GM81" s="3422"/>
      <c r="GN81" s="3422"/>
      <c r="GO81" s="3422"/>
      <c r="GP81" s="3422"/>
      <c r="GQ81" s="3422"/>
      <c r="GR81" s="3422"/>
      <c r="GS81" s="3422"/>
      <c r="GT81" s="3422"/>
      <c r="GU81" s="3422"/>
      <c r="GV81" s="3422"/>
      <c r="GW81" s="3422"/>
      <c r="GX81" s="3422"/>
      <c r="GY81" s="3422"/>
      <c r="GZ81" s="3422"/>
      <c r="HA81" s="3422"/>
      <c r="HB81" s="3422"/>
      <c r="HC81" s="3422"/>
      <c r="HD81" s="3422"/>
      <c r="HE81" s="3422"/>
      <c r="HF81" s="3422"/>
      <c r="HG81" s="3422"/>
      <c r="HH81" s="3422"/>
      <c r="HI81" s="3422"/>
      <c r="HJ81" s="3422"/>
      <c r="HK81" s="3422"/>
      <c r="HL81" s="3422"/>
      <c r="HM81" s="3422"/>
      <c r="HN81" s="3422"/>
      <c r="HO81" s="3422"/>
      <c r="HP81" s="3422"/>
      <c r="HQ81" s="3422"/>
      <c r="HR81" s="3422"/>
      <c r="HS81" s="3422"/>
      <c r="HT81" s="3422"/>
      <c r="HU81" s="3422"/>
      <c r="HV81" s="3422"/>
      <c r="HW81" s="3422"/>
      <c r="HX81" s="3422"/>
      <c r="HY81" s="3422"/>
      <c r="HZ81" s="3422"/>
      <c r="IA81" s="3422"/>
      <c r="IB81" s="3422"/>
      <c r="IC81" s="3422"/>
      <c r="ID81" s="3422"/>
      <c r="IE81" s="3422"/>
      <c r="IF81" s="3422"/>
      <c r="IG81" s="3422"/>
      <c r="IH81" s="3422"/>
      <c r="II81" s="3422"/>
      <c r="IJ81" s="3422"/>
      <c r="IK81" s="3422"/>
      <c r="IL81" s="3422"/>
      <c r="IM81" s="3422"/>
      <c r="IN81" s="3422"/>
      <c r="IO81" s="3422"/>
      <c r="IP81" s="3422"/>
      <c r="IQ81" s="3422"/>
      <c r="IR81" s="3422"/>
      <c r="IS81" s="3422"/>
      <c r="IT81" s="3422"/>
      <c r="IU81" s="3422"/>
      <c r="IV81" s="3422"/>
      <c r="IW81" s="3422"/>
      <c r="IX81" s="3422"/>
      <c r="IY81" s="3422"/>
      <c r="IZ81" s="3422"/>
      <c r="JA81" s="3422"/>
      <c r="JB81" s="3422"/>
      <c r="JC81" s="3422"/>
      <c r="JD81" s="3422"/>
      <c r="JE81" s="3422"/>
      <c r="JF81" s="3422"/>
      <c r="JG81" s="3422"/>
      <c r="JH81" s="3422"/>
      <c r="JI81" s="3422"/>
      <c r="JJ81" s="3422"/>
      <c r="JK81" s="3422"/>
      <c r="JL81" s="3422"/>
      <c r="JM81" s="3422"/>
      <c r="JN81" s="3422"/>
      <c r="JO81" s="3422"/>
      <c r="JP81" s="3422"/>
      <c r="JQ81" s="3422"/>
      <c r="JR81" s="3422"/>
      <c r="JS81" s="3422"/>
      <c r="JT81" s="3422"/>
      <c r="JU81" s="3422"/>
      <c r="JV81" s="3422"/>
      <c r="JW81" s="3422"/>
      <c r="JX81" s="3422"/>
      <c r="JY81" s="3422"/>
      <c r="JZ81" s="3422"/>
      <c r="KA81" s="3422"/>
      <c r="KB81" s="3422"/>
      <c r="KC81" s="3422"/>
      <c r="KD81" s="3422"/>
      <c r="KE81" s="3422"/>
      <c r="KF81" s="3422"/>
      <c r="KG81" s="3422"/>
      <c r="KH81" s="3422"/>
      <c r="KI81" s="3422"/>
      <c r="KJ81" s="3422"/>
      <c r="KK81" s="3422"/>
      <c r="KL81" s="3422"/>
      <c r="KM81" s="3422"/>
      <c r="KN81" s="3422"/>
      <c r="KO81" s="3422"/>
      <c r="KP81" s="3422"/>
      <c r="KQ81" s="3422"/>
      <c r="KR81" s="3422"/>
      <c r="KS81" s="3422"/>
      <c r="KT81" s="3422"/>
      <c r="KU81" s="3422"/>
      <c r="KV81" s="3422"/>
      <c r="KW81" s="3422"/>
      <c r="KX81" s="3422"/>
      <c r="KY81" s="3422"/>
      <c r="KZ81" s="3422"/>
      <c r="LA81" s="3422"/>
      <c r="LB81" s="3422"/>
      <c r="LC81" s="3422"/>
      <c r="LD81" s="3422"/>
      <c r="LE81" s="3422"/>
      <c r="LF81" s="3422"/>
      <c r="LG81" s="3422"/>
      <c r="LH81" s="3422"/>
      <c r="LI81" s="3422"/>
      <c r="LJ81" s="3422"/>
      <c r="LK81" s="3422"/>
      <c r="LL81" s="3422"/>
      <c r="LM81" s="3422"/>
      <c r="LN81" s="3422"/>
      <c r="LO81" s="3422"/>
      <c r="LP81" s="3422"/>
      <c r="LQ81" s="3422"/>
      <c r="LR81" s="3422"/>
      <c r="LS81" s="3422"/>
      <c r="LT81" s="3422"/>
      <c r="LU81" s="3422"/>
      <c r="LV81" s="3422"/>
      <c r="LW81" s="3422"/>
      <c r="LX81" s="3422"/>
      <c r="LY81" s="3422"/>
      <c r="LZ81" s="3422"/>
      <c r="MA81" s="3422"/>
      <c r="MB81" s="3422"/>
      <c r="MC81" s="3422"/>
      <c r="MD81" s="3422"/>
      <c r="ME81" s="3422"/>
      <c r="MF81" s="3422"/>
      <c r="MG81" s="3422"/>
      <c r="MH81" s="3422"/>
      <c r="MI81" s="3422"/>
      <c r="MJ81" s="3422"/>
      <c r="MK81" s="3422"/>
      <c r="ML81" s="3422"/>
      <c r="MM81" s="3422"/>
      <c r="MN81" s="3422"/>
      <c r="MO81" s="3422"/>
      <c r="MP81" s="3422"/>
      <c r="MQ81" s="3422"/>
      <c r="MR81" s="3422"/>
      <c r="MS81" s="3422"/>
      <c r="MT81" s="3422"/>
      <c r="MU81" s="3422"/>
      <c r="MV81" s="3422"/>
      <c r="MW81" s="3422"/>
      <c r="MX81" s="3422"/>
      <c r="MY81" s="3422"/>
      <c r="MZ81" s="3422"/>
      <c r="NA81" s="3422"/>
      <c r="NB81" s="3422"/>
      <c r="NC81" s="3422"/>
      <c r="ND81" s="3422"/>
      <c r="NE81" s="3422"/>
      <c r="NF81" s="3422"/>
      <c r="NG81" s="3422"/>
      <c r="NH81" s="3422"/>
      <c r="NI81" s="3422"/>
      <c r="NJ81" s="3422"/>
      <c r="NK81" s="3422"/>
      <c r="NL81" s="3422"/>
      <c r="NM81" s="3422"/>
      <c r="NN81" s="3422"/>
      <c r="NO81" s="3422"/>
      <c r="NP81" s="3422"/>
      <c r="NQ81" s="3422"/>
      <c r="NR81" s="3422"/>
      <c r="NS81" s="3422"/>
      <c r="NT81" s="3422"/>
      <c r="NU81" s="3422"/>
      <c r="NV81" s="3422"/>
      <c r="NW81" s="3422"/>
      <c r="NX81" s="3422"/>
      <c r="NY81" s="3422"/>
      <c r="NZ81" s="3422"/>
      <c r="OA81" s="3422"/>
      <c r="OB81" s="3422"/>
      <c r="OC81" s="3422"/>
      <c r="OD81" s="3422"/>
      <c r="OE81" s="3422"/>
      <c r="OF81" s="3422"/>
      <c r="OG81" s="3422"/>
      <c r="OH81" s="3422"/>
      <c r="OI81" s="3422"/>
      <c r="OJ81" s="3422"/>
      <c r="OK81" s="3422"/>
      <c r="OL81" s="3422"/>
      <c r="OM81" s="3422"/>
      <c r="ON81" s="3422"/>
      <c r="OO81" s="3422"/>
      <c r="OP81" s="3422"/>
      <c r="OQ81" s="3422"/>
      <c r="OR81" s="3422"/>
      <c r="OS81" s="3422"/>
      <c r="OT81" s="3422"/>
      <c r="OU81" s="3422"/>
      <c r="OV81" s="3422"/>
      <c r="OW81" s="3422"/>
      <c r="OX81" s="3422"/>
      <c r="OY81" s="3422"/>
      <c r="OZ81" s="3422"/>
      <c r="PA81" s="3422"/>
      <c r="PB81" s="3422"/>
      <c r="PC81" s="3422"/>
      <c r="PD81" s="3422"/>
      <c r="PE81" s="3422"/>
      <c r="PF81" s="3422"/>
      <c r="PG81" s="3422"/>
      <c r="PH81" s="3422"/>
      <c r="PI81" s="3422"/>
      <c r="PJ81" s="3422"/>
      <c r="PK81" s="3422"/>
      <c r="PL81" s="3422"/>
      <c r="PM81" s="3422"/>
      <c r="PN81" s="3422"/>
      <c r="PO81" s="3422"/>
      <c r="PP81" s="3422"/>
      <c r="PQ81" s="3422"/>
      <c r="PR81" s="3422"/>
      <c r="PS81" s="3422"/>
      <c r="PT81" s="3422"/>
      <c r="PU81" s="3422"/>
      <c r="PV81" s="3422"/>
      <c r="PW81" s="3422"/>
      <c r="PX81" s="3422"/>
      <c r="PY81" s="3422"/>
      <c r="PZ81" s="3422"/>
      <c r="QA81" s="3422"/>
      <c r="QB81" s="3422"/>
      <c r="QC81" s="3422"/>
      <c r="QD81" s="3422"/>
      <c r="QE81" s="3422"/>
      <c r="QF81" s="3422"/>
      <c r="QG81" s="3422"/>
      <c r="QH81" s="3422"/>
      <c r="QI81" s="3422"/>
      <c r="QJ81" s="3422"/>
      <c r="QK81" s="3422"/>
      <c r="QL81" s="3422"/>
      <c r="QM81" s="3422"/>
      <c r="QN81" s="3422"/>
      <c r="QO81" s="3422"/>
      <c r="QP81" s="3422"/>
      <c r="QQ81" s="3422"/>
      <c r="QR81" s="3422"/>
      <c r="QS81" s="3422"/>
      <c r="QT81" s="3422"/>
      <c r="QU81" s="3422"/>
      <c r="QV81" s="3422"/>
      <c r="QW81" s="3422"/>
      <c r="QX81" s="3422"/>
      <c r="QY81" s="3422"/>
      <c r="QZ81" s="3422"/>
      <c r="RA81" s="3422"/>
      <c r="RB81" s="3422"/>
      <c r="RC81" s="3422"/>
      <c r="RD81" s="3422"/>
      <c r="RE81" s="3422"/>
      <c r="RF81" s="3422"/>
      <c r="RG81" s="3422"/>
      <c r="RH81" s="3422"/>
      <c r="RI81" s="3422"/>
      <c r="RJ81" s="3422"/>
      <c r="RK81" s="3422"/>
      <c r="RL81" s="3422"/>
      <c r="RM81" s="3422"/>
      <c r="RN81" s="3422"/>
      <c r="RO81" s="3422"/>
      <c r="RP81" s="3422"/>
      <c r="RQ81" s="3422"/>
      <c r="RR81" s="3422"/>
      <c r="RS81" s="3422"/>
      <c r="RT81" s="3422"/>
      <c r="RU81" s="3422"/>
      <c r="RV81" s="3422"/>
      <c r="RW81" s="3422"/>
      <c r="RX81" s="3422"/>
      <c r="RY81" s="3422"/>
      <c r="RZ81" s="3422"/>
      <c r="SA81" s="3422"/>
      <c r="SB81" s="3422"/>
      <c r="SC81" s="3422"/>
      <c r="SD81" s="3422"/>
      <c r="SE81" s="3422"/>
      <c r="SF81" s="3422"/>
      <c r="SG81" s="3422"/>
      <c r="SH81" s="3422"/>
      <c r="SI81" s="3422"/>
      <c r="SJ81" s="3422"/>
      <c r="SK81" s="3422"/>
      <c r="SL81" s="3422"/>
      <c r="SM81" s="3422"/>
      <c r="SN81" s="3422"/>
      <c r="SO81" s="3422"/>
      <c r="SP81" s="3422"/>
      <c r="SQ81" s="3422"/>
      <c r="SR81" s="3422"/>
      <c r="SS81" s="3422"/>
      <c r="ST81" s="3422"/>
      <c r="SU81" s="3422"/>
      <c r="SV81" s="3422"/>
      <c r="SW81" s="3422"/>
      <c r="SX81" s="3422"/>
      <c r="SY81" s="3422"/>
      <c r="SZ81" s="3422"/>
      <c r="TA81" s="3422"/>
      <c r="TB81" s="3422"/>
      <c r="TC81" s="3422"/>
      <c r="TD81" s="3422"/>
      <c r="TE81" s="3422"/>
      <c r="TF81" s="3422"/>
      <c r="TG81" s="3422"/>
      <c r="TH81" s="3422"/>
      <c r="TI81" s="3422"/>
      <c r="TJ81" s="3422"/>
      <c r="TK81" s="3422"/>
      <c r="TL81" s="3422"/>
      <c r="TM81" s="3422"/>
      <c r="TN81" s="3422"/>
      <c r="TO81" s="3422"/>
      <c r="TP81" s="3422"/>
      <c r="TQ81" s="3422"/>
      <c r="TR81" s="3422"/>
      <c r="TS81" s="3422"/>
      <c r="TT81" s="3422"/>
      <c r="TU81" s="3422"/>
      <c r="TV81" s="3422"/>
      <c r="TW81" s="3422"/>
      <c r="TX81" s="3422"/>
      <c r="TY81" s="3422"/>
      <c r="TZ81" s="3422"/>
      <c r="UA81" s="3422"/>
      <c r="UB81" s="3422"/>
      <c r="UC81" s="3422"/>
      <c r="UD81" s="3422"/>
      <c r="UE81" s="3422"/>
      <c r="UF81" s="3422"/>
      <c r="UG81" s="3422"/>
      <c r="UH81" s="3422"/>
      <c r="UI81" s="3422"/>
      <c r="UJ81" s="3422"/>
      <c r="UK81" s="3422"/>
      <c r="UL81" s="3422"/>
      <c r="UM81" s="3422"/>
      <c r="UN81" s="3422"/>
      <c r="UO81" s="3422"/>
      <c r="UP81" s="3422"/>
      <c r="UQ81" s="3422"/>
      <c r="UR81" s="3422"/>
      <c r="US81" s="3422"/>
      <c r="UT81" s="3422"/>
      <c r="UU81" s="3422"/>
      <c r="UV81" s="3422"/>
      <c r="UW81" s="3422"/>
      <c r="UX81" s="3422"/>
      <c r="UY81" s="3422"/>
      <c r="UZ81" s="3422"/>
      <c r="VA81" s="3422"/>
      <c r="VB81" s="3422"/>
      <c r="VC81" s="3422"/>
      <c r="VD81" s="3422"/>
      <c r="VE81" s="3422"/>
      <c r="VF81" s="3422"/>
      <c r="VG81" s="3422"/>
      <c r="VH81" s="3422"/>
      <c r="VI81" s="3422"/>
      <c r="VJ81" s="3422"/>
      <c r="VK81" s="3422"/>
      <c r="VL81" s="3422"/>
      <c r="VM81" s="3422"/>
      <c r="VN81" s="3422"/>
      <c r="VO81" s="3422"/>
      <c r="VP81" s="3422"/>
      <c r="VQ81" s="3422"/>
      <c r="VR81" s="3422"/>
      <c r="VS81" s="3422"/>
      <c r="VT81" s="3422"/>
      <c r="VU81" s="3422"/>
      <c r="VV81" s="3422"/>
      <c r="VW81" s="3422"/>
      <c r="VX81" s="3422"/>
      <c r="VY81" s="3422"/>
      <c r="VZ81" s="3422"/>
      <c r="WA81" s="3422"/>
      <c r="WB81" s="3422"/>
      <c r="WC81" s="3422"/>
      <c r="WD81" s="3422"/>
      <c r="WE81" s="3422"/>
      <c r="WF81" s="3422"/>
      <c r="WG81" s="3422"/>
      <c r="WH81" s="3422"/>
      <c r="WI81" s="3422"/>
      <c r="WJ81" s="3422"/>
      <c r="WK81" s="3422"/>
      <c r="WL81" s="3422"/>
      <c r="WM81" s="3422"/>
      <c r="WN81" s="3422"/>
      <c r="WO81" s="3422"/>
      <c r="WP81" s="3422"/>
      <c r="WQ81" s="3422"/>
      <c r="WR81" s="3422"/>
      <c r="WS81" s="3422"/>
      <c r="WT81" s="3422"/>
      <c r="WU81" s="3422"/>
      <c r="WV81" s="3422"/>
      <c r="WW81" s="3422"/>
      <c r="WX81" s="3422"/>
      <c r="WY81" s="3422"/>
      <c r="WZ81" s="3422"/>
      <c r="XA81" s="3422"/>
      <c r="XB81" s="3422"/>
      <c r="XC81" s="3422"/>
      <c r="XD81" s="3422"/>
      <c r="XE81" s="3422"/>
      <c r="XF81" s="3422"/>
      <c r="XG81" s="3422"/>
      <c r="XH81" s="3422"/>
      <c r="XI81" s="3422"/>
      <c r="XJ81" s="3422"/>
      <c r="XK81" s="3422"/>
      <c r="XL81" s="3422"/>
      <c r="XM81" s="3422"/>
      <c r="XN81" s="3422"/>
      <c r="XO81" s="3422"/>
      <c r="XP81" s="3422"/>
      <c r="XQ81" s="3422"/>
      <c r="XR81" s="3422"/>
      <c r="XS81" s="3422"/>
      <c r="XT81" s="3422"/>
      <c r="XU81" s="3422"/>
      <c r="XV81" s="3422"/>
      <c r="XW81" s="3422"/>
      <c r="XX81" s="3422"/>
      <c r="XY81" s="3422"/>
      <c r="XZ81" s="3422"/>
      <c r="YA81" s="3422"/>
      <c r="YB81" s="3422"/>
      <c r="YC81" s="3422"/>
      <c r="YD81" s="3422"/>
      <c r="YE81" s="3422"/>
      <c r="YF81" s="3422"/>
      <c r="YG81" s="3422"/>
      <c r="YH81" s="3422"/>
      <c r="YI81" s="3422"/>
      <c r="YJ81" s="3422"/>
      <c r="YK81" s="3422"/>
      <c r="YL81" s="3422"/>
      <c r="YM81" s="3422"/>
      <c r="YN81" s="3422"/>
      <c r="YO81" s="3422"/>
      <c r="YP81" s="3422"/>
      <c r="YQ81" s="3422"/>
      <c r="YR81" s="3422"/>
      <c r="YS81" s="3422"/>
      <c r="YT81" s="3422"/>
      <c r="YU81" s="3422"/>
      <c r="YV81" s="3422"/>
      <c r="YW81" s="3422"/>
      <c r="YX81" s="3422"/>
      <c r="YY81" s="3422"/>
      <c r="YZ81" s="3422"/>
      <c r="ZA81" s="3422"/>
      <c r="ZB81" s="3422"/>
      <c r="ZC81" s="3422"/>
      <c r="ZD81" s="3422"/>
      <c r="ZE81" s="3422"/>
      <c r="ZF81" s="3422"/>
      <c r="ZG81" s="3422"/>
      <c r="ZH81" s="3422"/>
      <c r="ZI81" s="3422"/>
      <c r="ZJ81" s="3422"/>
      <c r="ZK81" s="3422"/>
      <c r="ZL81" s="3422"/>
      <c r="ZM81" s="3422"/>
      <c r="ZN81" s="3422"/>
      <c r="ZO81" s="3422"/>
      <c r="ZP81" s="3422"/>
      <c r="ZQ81" s="3422"/>
      <c r="ZR81" s="3422"/>
      <c r="ZS81" s="3422"/>
      <c r="ZT81" s="3422"/>
      <c r="ZU81" s="3422"/>
      <c r="ZV81" s="3422"/>
      <c r="ZW81" s="3422"/>
      <c r="ZX81" s="3422"/>
      <c r="ZY81" s="3422"/>
      <c r="ZZ81" s="3422"/>
      <c r="AAA81" s="3422"/>
      <c r="AAB81" s="3422"/>
      <c r="AAC81" s="3422"/>
      <c r="AAD81" s="3422"/>
      <c r="AAE81" s="3422"/>
      <c r="AAF81" s="3422"/>
      <c r="AAG81" s="3422"/>
      <c r="AAH81" s="3422"/>
      <c r="AAI81" s="3422"/>
      <c r="AAJ81" s="3422"/>
      <c r="AAK81" s="3422"/>
      <c r="AAL81" s="3422"/>
      <c r="AAM81" s="3422"/>
      <c r="AAN81" s="3422"/>
      <c r="AAO81" s="3422"/>
      <c r="AAP81" s="3422"/>
      <c r="AAQ81" s="3422"/>
      <c r="AAR81" s="3422"/>
      <c r="AAS81" s="3422"/>
      <c r="AAT81" s="3422"/>
      <c r="AAU81" s="3422"/>
      <c r="AAV81" s="3422"/>
      <c r="AAW81" s="3422"/>
      <c r="AAX81" s="3422"/>
      <c r="AAY81" s="3422"/>
      <c r="AAZ81" s="3422"/>
      <c r="ABA81" s="3422"/>
      <c r="ABB81" s="3422"/>
      <c r="ABC81" s="3422"/>
      <c r="ABD81" s="3422"/>
      <c r="ABE81" s="3422"/>
      <c r="ABF81" s="3422"/>
      <c r="ABG81" s="3422"/>
      <c r="ABH81" s="3422"/>
      <c r="ABI81" s="3422"/>
      <c r="ABJ81" s="3422"/>
      <c r="ABK81" s="3422"/>
      <c r="ABL81" s="3422"/>
      <c r="ABM81" s="3422"/>
      <c r="ABN81" s="3422"/>
      <c r="ABO81" s="3422"/>
      <c r="ABP81" s="3422"/>
      <c r="ABQ81" s="3422"/>
      <c r="ABR81" s="3422"/>
      <c r="ABS81" s="3422"/>
      <c r="ABT81" s="3422"/>
      <c r="ABU81" s="3422"/>
      <c r="ABV81" s="3422"/>
      <c r="ABW81" s="3422"/>
      <c r="ABX81" s="3422"/>
      <c r="ABY81" s="3422"/>
      <c r="ABZ81" s="3422"/>
      <c r="ACA81" s="3422"/>
      <c r="ACB81" s="3422"/>
      <c r="ACC81" s="3422"/>
      <c r="ACD81" s="3422"/>
      <c r="ACE81" s="3422"/>
      <c r="ACF81" s="3422"/>
      <c r="ACG81" s="3422"/>
      <c r="ACH81" s="3422"/>
      <c r="ACI81" s="3422"/>
      <c r="ACJ81" s="3422"/>
      <c r="ACK81" s="3422"/>
      <c r="ACL81" s="3422"/>
      <c r="ACV81" s="1785"/>
      <c r="ACW81" s="1785"/>
      <c r="ACX81" s="1785"/>
      <c r="ACY81" s="1785"/>
      <c r="ACZ81" s="1785"/>
      <c r="ADA81" s="1785"/>
      <c r="ADB81" s="1785"/>
      <c r="ADC81" s="1785"/>
      <c r="ADD81" s="1785"/>
      <c r="ADE81" s="1785"/>
      <c r="ADF81" s="1785"/>
      <c r="ADG81" s="1785"/>
      <c r="ADH81" s="1785"/>
      <c r="ADI81" s="1785"/>
      <c r="ADJ81" s="1785"/>
      <c r="ADK81" s="1785"/>
      <c r="ADL81" s="1785"/>
      <c r="ADM81" s="1785"/>
      <c r="ADN81" s="1785"/>
      <c r="ADO81" s="1785"/>
      <c r="ADP81" s="1785"/>
      <c r="ADQ81" s="1785"/>
      <c r="ADR81" s="1785"/>
      <c r="ADS81" s="1785"/>
      <c r="ADT81" s="1785"/>
      <c r="ADU81" s="1785"/>
      <c r="ADV81" s="1785"/>
      <c r="ADW81" s="1785"/>
      <c r="ADX81" s="1785"/>
      <c r="ADY81" s="1785"/>
      <c r="ADZ81" s="1785"/>
      <c r="AEA81" s="1785"/>
      <c r="AEB81" s="1785"/>
      <c r="AEC81" s="1785"/>
      <c r="AED81" s="1785"/>
      <c r="AEE81" s="1785"/>
      <c r="AEF81" s="1785"/>
      <c r="AEG81" s="1785"/>
      <c r="AEH81" s="1785"/>
      <c r="AEI81" s="1785"/>
      <c r="AEJ81" s="1785"/>
      <c r="AEK81" s="1785"/>
      <c r="AEL81" s="1785"/>
      <c r="AEM81" s="1785"/>
      <c r="AEN81" s="1785"/>
      <c r="AEO81" s="1785"/>
      <c r="AEP81" s="1785"/>
      <c r="AEQ81" s="1785"/>
      <c r="AER81" s="1785"/>
      <c r="AES81" s="1785"/>
      <c r="AET81" s="1785"/>
      <c r="AEU81" s="1785"/>
      <c r="AEV81" s="1785"/>
      <c r="AEW81" s="1785"/>
      <c r="AEX81" s="1785"/>
      <c r="AEY81" s="1785"/>
      <c r="AEZ81" s="1785"/>
      <c r="AFA81" s="1785"/>
      <c r="AFB81" s="1785"/>
      <c r="AFC81" s="1785"/>
      <c r="AFD81" s="1785"/>
      <c r="AFE81" s="1785"/>
      <c r="AFF81" s="1785"/>
      <c r="AFG81" s="1785"/>
      <c r="AFH81" s="1785"/>
      <c r="AFI81" s="1785"/>
      <c r="AFJ81" s="1785"/>
      <c r="AFK81" s="1785"/>
      <c r="AFL81" s="1785"/>
      <c r="AFM81" s="1785"/>
      <c r="AFN81" s="1785"/>
      <c r="AFO81" s="1785"/>
      <c r="AFP81" s="1785"/>
      <c r="AFQ81" s="1785"/>
      <c r="AFR81" s="1785"/>
      <c r="AFS81" s="1785"/>
      <c r="AFT81" s="1785"/>
      <c r="AFU81" s="1785"/>
      <c r="AFV81" s="1785"/>
      <c r="AFW81" s="1785"/>
      <c r="AFX81" s="1785"/>
      <c r="AFY81" s="1785"/>
      <c r="AFZ81" s="1785"/>
      <c r="AGA81" s="1785"/>
      <c r="AGB81" s="1785"/>
      <c r="AGC81" s="1785"/>
      <c r="AGD81" s="1785"/>
      <c r="AGE81" s="1785"/>
      <c r="AGF81" s="1785"/>
      <c r="AGG81" s="1785"/>
      <c r="AGH81" s="1785"/>
      <c r="AGI81" s="1785"/>
      <c r="AGJ81" s="1785"/>
      <c r="AGK81" s="1785"/>
      <c r="AGL81" s="1785"/>
      <c r="AGM81" s="1785"/>
      <c r="AGN81" s="1785"/>
      <c r="AGO81" s="1785"/>
      <c r="AGP81" s="1785"/>
      <c r="AGQ81" s="1785"/>
      <c r="AGR81" s="1785"/>
      <c r="AGS81" s="1785"/>
      <c r="AGT81" s="1785"/>
      <c r="AGU81" s="1785"/>
      <c r="AGV81" s="1785"/>
      <c r="AGW81" s="1785"/>
      <c r="AGX81" s="1785"/>
      <c r="AGY81" s="1785"/>
      <c r="AGZ81" s="1785"/>
      <c r="AHA81" s="1785"/>
      <c r="AHB81" s="1785"/>
      <c r="AHC81" s="1785"/>
      <c r="AHD81" s="1785"/>
      <c r="AHE81" s="1785"/>
      <c r="AHF81" s="1785"/>
      <c r="AHG81" s="1785"/>
      <c r="AHH81" s="1785"/>
      <c r="AHI81" s="1785"/>
      <c r="AHJ81" s="1785"/>
      <c r="AHK81" s="1785"/>
      <c r="AHL81" s="1785"/>
      <c r="AHM81" s="1785"/>
      <c r="AHN81" s="1785"/>
      <c r="AHO81" s="1785"/>
      <c r="AHP81" s="1785"/>
      <c r="AHQ81" s="1785"/>
      <c r="AHR81" s="1785"/>
      <c r="AHS81" s="1785"/>
      <c r="AHT81" s="1785"/>
      <c r="AHU81" s="1785"/>
      <c r="AHV81" s="1785"/>
      <c r="AHW81" s="1785"/>
      <c r="AHX81" s="1785"/>
      <c r="AHY81" s="1785"/>
      <c r="AHZ81" s="1785"/>
      <c r="AIA81" s="1785"/>
      <c r="AIB81" s="1785"/>
      <c r="AIC81" s="1785"/>
      <c r="AID81" s="1785"/>
      <c r="AIE81" s="1785"/>
      <c r="AIF81" s="1785"/>
      <c r="AIG81" s="1785"/>
      <c r="AIH81" s="1785"/>
      <c r="AII81" s="1785"/>
      <c r="AIJ81" s="1785"/>
      <c r="AIK81" s="1785"/>
      <c r="AIL81" s="1785"/>
      <c r="AIM81" s="1785"/>
      <c r="AIN81" s="1785"/>
      <c r="AIO81" s="1785"/>
      <c r="AIP81" s="1785"/>
      <c r="AIQ81" s="1785"/>
      <c r="AIR81" s="1785"/>
      <c r="AIS81" s="1785"/>
      <c r="AIT81" s="1785"/>
      <c r="AIU81" s="1785"/>
      <c r="AIV81" s="1785"/>
      <c r="AIW81" s="1785"/>
      <c r="AIX81" s="1785"/>
      <c r="AIY81" s="1785"/>
      <c r="AIZ81" s="1785"/>
      <c r="AJA81" s="1785"/>
      <c r="AJB81" s="1785"/>
      <c r="AJC81" s="1785"/>
      <c r="AJD81" s="1785"/>
      <c r="AJE81" s="1785"/>
      <c r="AJF81" s="1785"/>
      <c r="AJG81" s="1785"/>
      <c r="AJH81" s="1785"/>
      <c r="AJI81" s="1785"/>
      <c r="AJJ81" s="1785"/>
      <c r="AJK81" s="1785"/>
      <c r="AJL81" s="1785"/>
      <c r="AJM81" s="1785"/>
      <c r="AJN81" s="1785"/>
      <c r="AJO81" s="1785"/>
      <c r="AJP81" s="1785"/>
      <c r="AJQ81" s="1785"/>
      <c r="AJR81" s="1785"/>
      <c r="AJS81" s="1785"/>
      <c r="AJT81" s="1785"/>
      <c r="AJU81" s="1785"/>
      <c r="AJV81" s="1785"/>
      <c r="AJW81" s="1785"/>
      <c r="AJX81" s="1785"/>
      <c r="AJY81" s="1785"/>
      <c r="AJZ81" s="1785"/>
      <c r="AKA81" s="1785"/>
      <c r="AKB81" s="1785"/>
      <c r="AKC81" s="1785"/>
      <c r="AKD81" s="1785"/>
      <c r="AKE81" s="1785"/>
      <c r="AKF81" s="1785"/>
      <c r="AKG81" s="1785"/>
      <c r="AKH81" s="1785"/>
      <c r="AKI81" s="1785"/>
      <c r="AKJ81" s="1785"/>
      <c r="AKK81" s="1785"/>
      <c r="AKL81" s="1785"/>
      <c r="AKM81" s="1785"/>
      <c r="AKN81" s="1785"/>
      <c r="AKO81" s="1785"/>
      <c r="AKP81" s="1785"/>
      <c r="AKQ81" s="1785"/>
      <c r="AKR81" s="1785"/>
      <c r="AKS81" s="1785"/>
      <c r="AKT81" s="1785"/>
      <c r="AKU81" s="1785"/>
      <c r="AKV81" s="1785"/>
      <c r="AKW81" s="1785"/>
      <c r="AKX81" s="1785"/>
      <c r="AKY81" s="1785"/>
      <c r="AKZ81" s="1785"/>
      <c r="ALA81" s="1785"/>
      <c r="ALB81" s="1785"/>
      <c r="ALC81" s="1785"/>
      <c r="ALD81" s="1785"/>
      <c r="ALE81" s="1785"/>
      <c r="ALF81" s="1785"/>
      <c r="ALG81" s="1785"/>
      <c r="ALH81" s="1785"/>
      <c r="ALI81" s="1785"/>
      <c r="ALJ81" s="1785"/>
      <c r="ALK81" s="1785"/>
      <c r="ALL81" s="1785"/>
      <c r="ALM81" s="1785"/>
      <c r="ALN81" s="1785"/>
      <c r="ALO81" s="1785"/>
      <c r="ALP81" s="1785"/>
      <c r="ALQ81" s="1785"/>
      <c r="ALR81" s="1785"/>
      <c r="ALS81" s="1785"/>
      <c r="ALT81" s="1785"/>
      <c r="ALU81" s="1785"/>
      <c r="ALV81" s="1785"/>
      <c r="ALW81" s="1785"/>
      <c r="ALX81" s="1785"/>
      <c r="ALY81" s="1785"/>
      <c r="ALZ81" s="1785"/>
      <c r="AMA81" s="1785"/>
      <c r="AMB81" s="1785"/>
      <c r="AMC81" s="1785"/>
      <c r="AMD81" s="1785"/>
      <c r="AME81" s="1785"/>
      <c r="AMF81" s="1785"/>
      <c r="AMG81" s="1785"/>
      <c r="AMH81" s="1785"/>
      <c r="AMI81" s="1785"/>
      <c r="AMJ81" s="1785"/>
      <c r="AMK81" s="1785"/>
      <c r="AML81" s="1785"/>
      <c r="AMM81" s="1785"/>
      <c r="AMN81" s="1785"/>
      <c r="AMO81" s="1785"/>
      <c r="AMP81" s="1785"/>
      <c r="AMQ81" s="1785"/>
      <c r="AMR81" s="1785"/>
      <c r="AMS81" s="1785"/>
      <c r="AMT81" s="1785"/>
      <c r="AMU81" s="1785"/>
      <c r="AMV81" s="1785"/>
      <c r="AMW81" s="1785"/>
      <c r="AMX81" s="1785"/>
      <c r="AMY81" s="1785"/>
      <c r="AMZ81" s="1785"/>
      <c r="ANA81" s="1785"/>
      <c r="ANB81" s="1785"/>
      <c r="ANC81" s="1785"/>
      <c r="AND81" s="1785"/>
      <c r="ANE81" s="1785"/>
      <c r="ANF81" s="1785"/>
      <c r="ANG81" s="1785"/>
      <c r="ANH81" s="1785"/>
      <c r="ANI81" s="1785"/>
      <c r="ANJ81" s="1785"/>
      <c r="ANK81" s="1785"/>
      <c r="ANL81" s="1785"/>
      <c r="ANM81" s="1785"/>
      <c r="ANN81" s="1785"/>
      <c r="ANO81" s="1785"/>
      <c r="ANP81" s="1785"/>
      <c r="ANQ81" s="1785"/>
      <c r="ANR81" s="1785"/>
      <c r="ANS81" s="1785"/>
      <c r="ANT81" s="1785"/>
      <c r="ANU81" s="1785"/>
      <c r="ANV81" s="1785"/>
      <c r="ANW81" s="1785"/>
      <c r="ANX81" s="1785"/>
      <c r="ANY81" s="1785"/>
      <c r="ANZ81" s="1785"/>
      <c r="AOA81" s="1785"/>
      <c r="AOB81" s="1785"/>
      <c r="AOC81" s="1785"/>
      <c r="AOD81" s="1785"/>
      <c r="AOE81" s="1785"/>
      <c r="AOF81" s="1785"/>
      <c r="AOG81" s="1785"/>
      <c r="AOH81" s="1785"/>
      <c r="AOI81" s="1785"/>
      <c r="AOJ81" s="1785"/>
      <c r="AOK81" s="1785"/>
      <c r="AOL81" s="1785"/>
      <c r="AOM81" s="1785"/>
      <c r="AON81" s="1785"/>
      <c r="AOO81" s="1785"/>
      <c r="AOP81" s="1785"/>
      <c r="AOQ81" s="1785"/>
      <c r="AOR81" s="1785"/>
      <c r="AOS81" s="1785"/>
      <c r="AOT81" s="1785"/>
      <c r="AOU81" s="1785"/>
      <c r="AOV81" s="1785"/>
      <c r="AOW81" s="1785"/>
      <c r="AOX81" s="1785"/>
      <c r="AOY81" s="1785"/>
      <c r="AOZ81" s="1785"/>
      <c r="APA81" s="1785"/>
      <c r="APB81" s="1785"/>
      <c r="APC81" s="1785"/>
      <c r="APD81" s="1785"/>
      <c r="APE81" s="1785"/>
      <c r="APF81" s="1785"/>
      <c r="APG81" s="1785"/>
      <c r="APH81" s="1785"/>
      <c r="API81" s="1785"/>
      <c r="APJ81" s="1785"/>
      <c r="APK81" s="1785"/>
      <c r="APL81" s="1785"/>
      <c r="APM81" s="1785"/>
      <c r="APN81" s="1785"/>
      <c r="APO81" s="1785"/>
      <c r="APP81" s="1785"/>
      <c r="APQ81" s="1785"/>
      <c r="APR81" s="1785"/>
      <c r="APS81" s="1785"/>
      <c r="APT81" s="1785"/>
      <c r="APU81" s="1785"/>
      <c r="APV81" s="1785"/>
      <c r="APW81" s="1785"/>
      <c r="APX81" s="1785"/>
      <c r="APY81" s="1785"/>
      <c r="APZ81" s="1785"/>
      <c r="AQA81" s="1785"/>
      <c r="AQB81" s="1785"/>
      <c r="AQC81" s="1785"/>
      <c r="AQD81" s="1785"/>
      <c r="AQE81" s="1785"/>
      <c r="AQF81" s="1785"/>
      <c r="AQG81" s="1785"/>
      <c r="AQH81" s="1785"/>
      <c r="AQI81" s="1785"/>
      <c r="AQJ81" s="1785"/>
      <c r="AQK81" s="1785"/>
      <c r="AQL81" s="1785"/>
      <c r="AQM81" s="1785"/>
      <c r="AQN81" s="1785"/>
      <c r="AQO81" s="1785"/>
      <c r="AQP81" s="1785"/>
      <c r="AQQ81" s="1785"/>
      <c r="AQR81" s="1785"/>
      <c r="AQS81" s="1785"/>
      <c r="AQT81" s="1785"/>
      <c r="AQU81" s="1785"/>
      <c r="AQV81" s="1785"/>
      <c r="AQW81" s="1785"/>
      <c r="AQX81" s="1785"/>
      <c r="AQY81" s="1785"/>
      <c r="AQZ81" s="1785"/>
      <c r="ARA81" s="1785"/>
      <c r="ARB81" s="1785"/>
      <c r="ARC81" s="1785"/>
      <c r="ARD81" s="1785"/>
      <c r="ARE81" s="1785"/>
      <c r="ARF81" s="1785"/>
      <c r="ARG81" s="1785"/>
      <c r="ARH81" s="1785"/>
      <c r="ARI81" s="1785"/>
      <c r="ARJ81" s="1785"/>
      <c r="ARK81" s="1785"/>
      <c r="ARL81" s="1785"/>
      <c r="ARM81" s="1785"/>
      <c r="ARN81" s="1785"/>
      <c r="ARO81" s="1785"/>
      <c r="ARP81" s="1785"/>
      <c r="ARQ81" s="1785"/>
      <c r="ARR81" s="1785"/>
      <c r="ARS81" s="1785"/>
      <c r="ART81" s="1785"/>
      <c r="ARU81" s="1785"/>
      <c r="ARV81" s="1785"/>
      <c r="ARW81" s="1785"/>
      <c r="ARX81" s="1785"/>
      <c r="ARY81" s="1785"/>
      <c r="ARZ81" s="1785"/>
      <c r="ASA81" s="1785"/>
      <c r="ASB81" s="1785"/>
      <c r="ASC81" s="1785"/>
      <c r="ASD81" s="1785"/>
      <c r="ASE81" s="1785"/>
      <c r="ASF81" s="1785"/>
      <c r="ASG81" s="1785"/>
      <c r="ASH81" s="1785"/>
      <c r="ASI81" s="1785"/>
      <c r="ASJ81" s="1785"/>
      <c r="ASK81" s="1785"/>
      <c r="ASL81" s="1785"/>
      <c r="ASM81" s="1785"/>
      <c r="ASN81" s="1785"/>
      <c r="ASO81" s="1785"/>
      <c r="ASP81" s="1785"/>
      <c r="ASQ81" s="1785"/>
      <c r="ASR81" s="1785"/>
      <c r="ASS81" s="1785"/>
      <c r="AST81" s="1785"/>
      <c r="ASU81" s="1785"/>
      <c r="ASV81" s="1785"/>
      <c r="ASW81" s="1785"/>
      <c r="ASX81" s="1785"/>
      <c r="ASY81" s="1785"/>
      <c r="ASZ81" s="1785"/>
      <c r="ATA81" s="1785"/>
      <c r="ATB81" s="1785"/>
      <c r="ATC81" s="1785"/>
      <c r="ATD81" s="1785"/>
      <c r="ATE81" s="1785"/>
      <c r="ATF81" s="1785"/>
      <c r="ATG81" s="1785"/>
      <c r="ATH81" s="1785"/>
      <c r="ATI81" s="1785"/>
      <c r="ATJ81" s="1785"/>
      <c r="ATK81" s="1785"/>
      <c r="ATL81" s="1785"/>
      <c r="ATM81" s="1785"/>
      <c r="ATN81" s="1785"/>
      <c r="ATO81" s="1785"/>
      <c r="ATP81" s="1785"/>
      <c r="ATQ81" s="1785"/>
      <c r="ATR81" s="1785"/>
      <c r="ATS81" s="1785"/>
    </row>
    <row r="82" spans="1:1215" s="628" customFormat="1" ht="19.5" customHeight="1" x14ac:dyDescent="0.25">
      <c r="A82" s="3806" t="s">
        <v>601</v>
      </c>
      <c r="B82" s="3807"/>
      <c r="C82" s="2572">
        <v>1</v>
      </c>
      <c r="D82" s="2750" t="s">
        <v>184</v>
      </c>
      <c r="E82" s="2314" t="s">
        <v>335</v>
      </c>
      <c r="F82" s="2265" t="s">
        <v>335</v>
      </c>
      <c r="G82" s="2265" t="s">
        <v>335</v>
      </c>
      <c r="H82" s="2265" t="s">
        <v>335</v>
      </c>
      <c r="I82" s="2265" t="s">
        <v>335</v>
      </c>
      <c r="J82" s="2265" t="s">
        <v>335</v>
      </c>
      <c r="K82" s="2265" t="s">
        <v>335</v>
      </c>
      <c r="L82" s="2265" t="s">
        <v>335</v>
      </c>
      <c r="M82" s="2265" t="s">
        <v>335</v>
      </c>
      <c r="N82" s="1985" t="s">
        <v>335</v>
      </c>
      <c r="O82" s="2006" t="s">
        <v>335</v>
      </c>
      <c r="P82" s="2314" t="s">
        <v>335</v>
      </c>
      <c r="Q82" s="2314"/>
      <c r="R82" s="2265" t="s">
        <v>335</v>
      </c>
      <c r="S82" s="2265"/>
      <c r="T82" s="2265"/>
      <c r="U82" s="2265" t="s">
        <v>335</v>
      </c>
      <c r="V82" s="1985" t="s">
        <v>335</v>
      </c>
      <c r="W82" s="1985" t="s">
        <v>335</v>
      </c>
      <c r="X82" s="1985"/>
      <c r="Y82" s="1985" t="s">
        <v>335</v>
      </c>
      <c r="Z82" s="1882" t="s">
        <v>335</v>
      </c>
      <c r="AA82" s="2052">
        <v>0</v>
      </c>
      <c r="AB82" s="2052">
        <v>0</v>
      </c>
      <c r="AC82" s="2052" t="s">
        <v>335</v>
      </c>
      <c r="AD82" s="2376"/>
      <c r="AE82" s="3123"/>
      <c r="AF82" s="2377">
        <v>0</v>
      </c>
      <c r="AG82" s="2056"/>
      <c r="AH82" s="2056">
        <f>AD82+AF82</f>
        <v>0</v>
      </c>
      <c r="AI82" s="2009"/>
      <c r="AJ82" s="2378">
        <v>0</v>
      </c>
      <c r="AK82" s="2427">
        <f>AI82+AJ82</f>
        <v>0</v>
      </c>
      <c r="AL82" s="2395">
        <v>0</v>
      </c>
      <c r="AM82" s="2395">
        <v>0</v>
      </c>
      <c r="AN82" s="2395"/>
      <c r="AO82" s="2529">
        <v>0</v>
      </c>
      <c r="AP82" s="2400">
        <v>0</v>
      </c>
      <c r="AQ82" s="2400">
        <v>0</v>
      </c>
      <c r="AR82" s="2400"/>
      <c r="AS82" s="2400">
        <f t="shared" ref="AS82" si="168">AO82+AQ82</f>
        <v>0</v>
      </c>
      <c r="AT82" s="2395"/>
      <c r="AU82" s="2594">
        <v>0</v>
      </c>
      <c r="AV82" s="2395">
        <v>0</v>
      </c>
      <c r="AW82" s="2442">
        <f>AU82+AV82</f>
        <v>0</v>
      </c>
      <c r="AX82" s="2395">
        <v>0</v>
      </c>
      <c r="AY82" s="2395">
        <v>0</v>
      </c>
      <c r="AZ82" s="2395"/>
      <c r="BA82" s="3092">
        <v>0</v>
      </c>
      <c r="BB82" s="3093">
        <v>0</v>
      </c>
      <c r="BC82" s="3093">
        <v>0</v>
      </c>
      <c r="BD82" s="3093"/>
      <c r="BE82" s="3093">
        <f t="shared" ref="BE82" si="169">BA82+BC82</f>
        <v>0</v>
      </c>
      <c r="BF82" s="2395"/>
      <c r="BG82" s="2594">
        <v>0</v>
      </c>
      <c r="BH82" s="2395">
        <v>0</v>
      </c>
      <c r="BI82" s="2442">
        <f>BG82+BH82</f>
        <v>0</v>
      </c>
      <c r="BJ82" s="2150" t="s">
        <v>335</v>
      </c>
      <c r="BK82" s="2150"/>
      <c r="BL82" s="2150" t="s">
        <v>335</v>
      </c>
      <c r="BM82" s="2563">
        <f>AD82+AO82</f>
        <v>0</v>
      </c>
      <c r="BN82" s="2056">
        <f>AF82+AQ82</f>
        <v>0</v>
      </c>
      <c r="BO82" s="2056">
        <f>BM82-BN82</f>
        <v>0</v>
      </c>
      <c r="BP82" s="2056">
        <f>BM82+BO82</f>
        <v>0</v>
      </c>
      <c r="BQ82" s="2056">
        <f>BM82+BN82</f>
        <v>0</v>
      </c>
      <c r="BR82" s="2009">
        <f>AI82+AU82</f>
        <v>0</v>
      </c>
      <c r="BS82" s="2379">
        <f>AJ82+AV82</f>
        <v>0</v>
      </c>
      <c r="BT82" s="2427">
        <f>BR82+BS82</f>
        <v>0</v>
      </c>
      <c r="BU82" s="3425"/>
      <c r="BV82" s="3058"/>
      <c r="BW82" s="3058"/>
      <c r="BX82" s="3058"/>
      <c r="BY82" s="102"/>
      <c r="BZ82" s="102"/>
      <c r="CA82" s="102"/>
      <c r="CB82" s="102"/>
      <c r="CC82" s="102"/>
      <c r="CD82" s="102"/>
      <c r="CE82" s="102"/>
      <c r="CF82" s="102"/>
      <c r="CG82" s="102"/>
      <c r="CH82" s="102"/>
      <c r="CI82" s="102"/>
      <c r="CJ82" s="102"/>
      <c r="CK82" s="102"/>
      <c r="CL82" s="102"/>
      <c r="CM82" s="102"/>
      <c r="CN82" s="102"/>
      <c r="CO82" s="102"/>
      <c r="CP82" s="102"/>
      <c r="CQ82" s="102"/>
      <c r="CR82" s="102"/>
      <c r="CS82" s="102"/>
      <c r="CT82" s="102"/>
      <c r="CU82" s="102"/>
      <c r="CV82" s="102"/>
      <c r="CW82" s="102"/>
      <c r="CX82" s="102"/>
      <c r="CY82" s="102"/>
      <c r="CZ82" s="102"/>
      <c r="DA82" s="102"/>
      <c r="DB82" s="102"/>
      <c r="DC82" s="102"/>
      <c r="DD82" s="102"/>
      <c r="DE82" s="102"/>
      <c r="DF82" s="102"/>
      <c r="DG82" s="102"/>
      <c r="DH82" s="102"/>
      <c r="DI82" s="102"/>
      <c r="DJ82" s="102"/>
      <c r="DK82" s="102"/>
      <c r="DL82" s="102"/>
      <c r="DM82" s="102"/>
      <c r="DN82" s="102"/>
      <c r="DO82" s="102"/>
      <c r="DP82" s="102"/>
      <c r="DQ82" s="102"/>
      <c r="DR82" s="102"/>
      <c r="DS82" s="102"/>
      <c r="DT82" s="102"/>
      <c r="DU82" s="102"/>
      <c r="DV82" s="102"/>
      <c r="DW82" s="102"/>
      <c r="DX82" s="102"/>
      <c r="DY82" s="102"/>
      <c r="DZ82" s="102"/>
      <c r="EA82" s="102"/>
      <c r="EB82" s="102"/>
      <c r="EC82" s="102"/>
      <c r="ED82" s="102"/>
      <c r="EE82" s="102"/>
      <c r="EF82" s="102"/>
      <c r="EG82" s="102"/>
      <c r="EH82" s="102"/>
      <c r="EI82" s="102"/>
      <c r="EJ82" s="102"/>
      <c r="EK82" s="102"/>
      <c r="EL82" s="102"/>
      <c r="EM82" s="102"/>
      <c r="EN82" s="102"/>
      <c r="EO82" s="102"/>
      <c r="EP82" s="102"/>
      <c r="EQ82" s="1918"/>
      <c r="ER82" s="1918"/>
      <c r="ES82" s="3422"/>
      <c r="ET82" s="3422"/>
      <c r="EU82" s="3422"/>
      <c r="EV82" s="3422"/>
      <c r="EW82" s="3422"/>
      <c r="EX82" s="3422"/>
      <c r="EY82" s="3422"/>
      <c r="EZ82" s="3422"/>
      <c r="FA82" s="3422"/>
      <c r="FB82" s="3422"/>
      <c r="FC82" s="3422"/>
      <c r="FD82" s="3422"/>
      <c r="FE82" s="3422"/>
      <c r="FF82" s="3422"/>
      <c r="FG82" s="3422"/>
      <c r="FH82" s="3422"/>
      <c r="FI82" s="3422"/>
      <c r="FJ82" s="3422"/>
      <c r="FK82" s="3422"/>
      <c r="FL82" s="3422"/>
      <c r="FM82" s="3422"/>
      <c r="FN82" s="3422"/>
      <c r="FO82" s="3422"/>
      <c r="FP82" s="3422"/>
      <c r="FQ82" s="3422"/>
      <c r="FR82" s="3422"/>
      <c r="FS82" s="3422"/>
      <c r="FT82" s="3422"/>
      <c r="FU82" s="3422"/>
      <c r="FV82" s="3422"/>
      <c r="FW82" s="3422"/>
      <c r="FX82" s="3422"/>
      <c r="FY82" s="3422"/>
      <c r="FZ82" s="3422"/>
      <c r="GA82" s="3422"/>
      <c r="GB82" s="3422"/>
      <c r="GC82" s="3422"/>
      <c r="GD82" s="3422"/>
      <c r="GE82" s="3422"/>
      <c r="GF82" s="3422"/>
      <c r="GG82" s="3422"/>
      <c r="GH82" s="3422"/>
      <c r="GI82" s="3422"/>
      <c r="GJ82" s="3422"/>
      <c r="GK82" s="3422"/>
      <c r="GL82" s="3422"/>
      <c r="GM82" s="3422"/>
      <c r="GN82" s="3422"/>
      <c r="GO82" s="3422"/>
      <c r="GP82" s="3422"/>
      <c r="GQ82" s="3422"/>
      <c r="GR82" s="3422"/>
      <c r="GS82" s="3422"/>
      <c r="GT82" s="3422"/>
      <c r="GU82" s="3422"/>
      <c r="GV82" s="3422"/>
      <c r="GW82" s="3422"/>
      <c r="GX82" s="3422"/>
      <c r="GY82" s="3422"/>
      <c r="GZ82" s="3422"/>
      <c r="HA82" s="3422"/>
      <c r="HB82" s="3422"/>
      <c r="HC82" s="3422"/>
      <c r="HD82" s="3422"/>
      <c r="HE82" s="3422"/>
      <c r="HF82" s="3422"/>
      <c r="HG82" s="3422"/>
      <c r="HH82" s="3422"/>
      <c r="HI82" s="3422"/>
      <c r="HJ82" s="3422"/>
      <c r="HK82" s="3422"/>
      <c r="HL82" s="3422"/>
      <c r="HM82" s="3422"/>
      <c r="HN82" s="3422"/>
      <c r="HO82" s="3422"/>
      <c r="HP82" s="3422"/>
      <c r="HQ82" s="3422"/>
      <c r="HR82" s="3422"/>
      <c r="HS82" s="3422"/>
      <c r="HT82" s="3422"/>
      <c r="HU82" s="3422"/>
      <c r="HV82" s="3422"/>
      <c r="HW82" s="3422"/>
      <c r="HX82" s="3422"/>
      <c r="HY82" s="3422"/>
      <c r="HZ82" s="3422"/>
      <c r="IA82" s="3422"/>
      <c r="IB82" s="3422"/>
      <c r="IC82" s="3422"/>
      <c r="ID82" s="3422"/>
      <c r="IE82" s="3422"/>
      <c r="IF82" s="3422"/>
      <c r="IG82" s="3422"/>
      <c r="IH82" s="3422"/>
      <c r="II82" s="3422"/>
      <c r="IJ82" s="3422"/>
      <c r="IK82" s="3422"/>
      <c r="IL82" s="3422"/>
      <c r="IM82" s="3422"/>
      <c r="IN82" s="3422"/>
      <c r="IO82" s="3422"/>
      <c r="IP82" s="3422"/>
      <c r="IQ82" s="3422"/>
      <c r="IR82" s="3422"/>
      <c r="IS82" s="3422"/>
      <c r="IT82" s="3422"/>
      <c r="IU82" s="3422"/>
      <c r="IV82" s="3422"/>
      <c r="IW82" s="3422"/>
      <c r="IX82" s="3422"/>
      <c r="IY82" s="3422"/>
      <c r="IZ82" s="3422"/>
      <c r="JA82" s="3422"/>
      <c r="JB82" s="3422"/>
      <c r="JC82" s="3422"/>
      <c r="JD82" s="3422"/>
      <c r="JE82" s="3422"/>
      <c r="JF82" s="3422"/>
      <c r="JG82" s="3422"/>
      <c r="JH82" s="3422"/>
      <c r="JI82" s="3422"/>
      <c r="JJ82" s="3422"/>
      <c r="JK82" s="3422"/>
      <c r="JL82" s="3422"/>
      <c r="JM82" s="3422"/>
      <c r="JN82" s="3422"/>
      <c r="JO82" s="3422"/>
      <c r="JP82" s="3422"/>
      <c r="JQ82" s="3422"/>
      <c r="JR82" s="3422"/>
      <c r="JS82" s="3422"/>
      <c r="JT82" s="3422"/>
      <c r="JU82" s="3422"/>
      <c r="JV82" s="3422"/>
      <c r="JW82" s="3422"/>
      <c r="JX82" s="3422"/>
      <c r="JY82" s="3422"/>
      <c r="JZ82" s="3422"/>
      <c r="KA82" s="3422"/>
      <c r="KB82" s="3422"/>
      <c r="KC82" s="3422"/>
      <c r="KD82" s="3422"/>
      <c r="KE82" s="3422"/>
      <c r="KF82" s="3422"/>
      <c r="KG82" s="3422"/>
      <c r="KH82" s="3422"/>
      <c r="KI82" s="3422"/>
      <c r="KJ82" s="3422"/>
      <c r="KK82" s="3422"/>
      <c r="KL82" s="3422"/>
      <c r="KM82" s="3422"/>
      <c r="KN82" s="3422"/>
      <c r="KO82" s="3422"/>
      <c r="KP82" s="3422"/>
      <c r="KQ82" s="3422"/>
      <c r="KR82" s="3422"/>
      <c r="KS82" s="3422"/>
      <c r="KT82" s="3422"/>
      <c r="KU82" s="3422"/>
      <c r="KV82" s="3422"/>
      <c r="KW82" s="3422"/>
      <c r="KX82" s="3422"/>
      <c r="KY82" s="3422"/>
      <c r="KZ82" s="3422"/>
      <c r="LA82" s="3422"/>
      <c r="LB82" s="3422"/>
      <c r="LC82" s="3422"/>
      <c r="LD82" s="3422"/>
      <c r="LE82" s="3422"/>
      <c r="LF82" s="3422"/>
      <c r="LG82" s="3422"/>
      <c r="LH82" s="3422"/>
      <c r="LI82" s="3422"/>
      <c r="LJ82" s="3422"/>
      <c r="LK82" s="3422"/>
      <c r="LL82" s="3422"/>
      <c r="LM82" s="3422"/>
      <c r="LN82" s="3422"/>
      <c r="LO82" s="3422"/>
      <c r="LP82" s="3422"/>
      <c r="LQ82" s="3422"/>
      <c r="LR82" s="3422"/>
      <c r="LS82" s="3422"/>
      <c r="LT82" s="3422"/>
      <c r="LU82" s="3422"/>
      <c r="LV82" s="3422"/>
      <c r="LW82" s="3422"/>
      <c r="LX82" s="3422"/>
      <c r="LY82" s="3422"/>
      <c r="LZ82" s="3422"/>
      <c r="MA82" s="3422"/>
      <c r="MB82" s="3422"/>
      <c r="MC82" s="3422"/>
      <c r="MD82" s="3422"/>
      <c r="ME82" s="3422"/>
      <c r="MF82" s="3422"/>
      <c r="MG82" s="3422"/>
      <c r="MH82" s="3422"/>
      <c r="MI82" s="3422"/>
      <c r="MJ82" s="3422"/>
      <c r="MK82" s="3422"/>
      <c r="ML82" s="3422"/>
      <c r="MM82" s="3422"/>
      <c r="MN82" s="3422"/>
      <c r="MO82" s="3422"/>
      <c r="MP82" s="3422"/>
      <c r="MQ82" s="3422"/>
      <c r="MR82" s="3422"/>
      <c r="MS82" s="3422"/>
      <c r="MT82" s="3422"/>
      <c r="MU82" s="3422"/>
      <c r="MV82" s="3422"/>
      <c r="MW82" s="3422"/>
      <c r="MX82" s="3422"/>
      <c r="MY82" s="3422"/>
      <c r="MZ82" s="3422"/>
      <c r="NA82" s="3422"/>
      <c r="NB82" s="3422"/>
      <c r="NC82" s="3422"/>
      <c r="ND82" s="3422"/>
      <c r="NE82" s="3422"/>
      <c r="NF82" s="3422"/>
      <c r="NG82" s="3422"/>
      <c r="NH82" s="3422"/>
      <c r="NI82" s="3422"/>
      <c r="NJ82" s="3422"/>
      <c r="NK82" s="3422"/>
      <c r="NL82" s="3422"/>
      <c r="NM82" s="3422"/>
      <c r="NN82" s="3422"/>
      <c r="NO82" s="3422"/>
      <c r="NP82" s="3422"/>
      <c r="NQ82" s="3422"/>
      <c r="NR82" s="3422"/>
      <c r="NS82" s="3422"/>
      <c r="NT82" s="3422"/>
      <c r="NU82" s="3422"/>
      <c r="NV82" s="3422"/>
      <c r="NW82" s="3422"/>
      <c r="NX82" s="3422"/>
      <c r="NY82" s="3422"/>
      <c r="NZ82" s="3422"/>
      <c r="OA82" s="3422"/>
      <c r="OB82" s="3422"/>
      <c r="OC82" s="3422"/>
      <c r="OD82" s="3422"/>
      <c r="OE82" s="3422"/>
      <c r="OF82" s="3422"/>
      <c r="OG82" s="3422"/>
      <c r="OH82" s="3422"/>
      <c r="OI82" s="3422"/>
      <c r="OJ82" s="3422"/>
      <c r="OK82" s="3422"/>
      <c r="OL82" s="3422"/>
      <c r="OM82" s="3422"/>
      <c r="ON82" s="3422"/>
      <c r="OO82" s="3422"/>
      <c r="OP82" s="3422"/>
      <c r="OQ82" s="3422"/>
      <c r="OR82" s="3422"/>
      <c r="OS82" s="3422"/>
      <c r="OT82" s="3422"/>
      <c r="OU82" s="3422"/>
      <c r="OV82" s="3422"/>
      <c r="OW82" s="3422"/>
      <c r="OX82" s="3422"/>
      <c r="OY82" s="3422"/>
      <c r="OZ82" s="3422"/>
      <c r="PA82" s="3422"/>
      <c r="PB82" s="3422"/>
      <c r="PC82" s="3422"/>
      <c r="PD82" s="3422"/>
      <c r="PE82" s="3422"/>
      <c r="PF82" s="3422"/>
      <c r="PG82" s="3422"/>
      <c r="PH82" s="3422"/>
      <c r="PI82" s="3422"/>
      <c r="PJ82" s="3422"/>
      <c r="PK82" s="3422"/>
      <c r="PL82" s="3422"/>
      <c r="PM82" s="3422"/>
      <c r="PN82" s="3422"/>
      <c r="PO82" s="3422"/>
      <c r="PP82" s="3422"/>
      <c r="PQ82" s="3422"/>
      <c r="PR82" s="3422"/>
      <c r="PS82" s="3422"/>
      <c r="PT82" s="3422"/>
      <c r="PU82" s="3422"/>
      <c r="PV82" s="3422"/>
      <c r="PW82" s="3422"/>
      <c r="PX82" s="3422"/>
      <c r="PY82" s="3422"/>
      <c r="PZ82" s="3422"/>
      <c r="QA82" s="3422"/>
      <c r="QB82" s="3422"/>
      <c r="QC82" s="3422"/>
      <c r="QD82" s="3422"/>
      <c r="QE82" s="3422"/>
      <c r="QF82" s="3422"/>
      <c r="QG82" s="3422"/>
      <c r="QH82" s="3422"/>
      <c r="QI82" s="3422"/>
      <c r="QJ82" s="3422"/>
      <c r="QK82" s="3422"/>
      <c r="QL82" s="3422"/>
      <c r="QM82" s="3422"/>
      <c r="QN82" s="3422"/>
      <c r="QO82" s="3422"/>
      <c r="QP82" s="3422"/>
      <c r="QQ82" s="3422"/>
      <c r="QR82" s="3422"/>
      <c r="QS82" s="3422"/>
      <c r="QT82" s="3422"/>
      <c r="QU82" s="3422"/>
      <c r="QV82" s="3422"/>
      <c r="QW82" s="3422"/>
      <c r="QX82" s="3422"/>
      <c r="QY82" s="3422"/>
      <c r="QZ82" s="3422"/>
      <c r="RA82" s="3422"/>
      <c r="RB82" s="3422"/>
      <c r="RC82" s="3422"/>
      <c r="RD82" s="3422"/>
      <c r="RE82" s="3422"/>
      <c r="RF82" s="3422"/>
      <c r="RG82" s="3422"/>
      <c r="RH82" s="3422"/>
      <c r="RI82" s="3422"/>
      <c r="RJ82" s="3422"/>
      <c r="RK82" s="3422"/>
      <c r="RL82" s="3422"/>
      <c r="RM82" s="3422"/>
      <c r="RN82" s="3422"/>
      <c r="RO82" s="3422"/>
      <c r="RP82" s="3422"/>
      <c r="RQ82" s="3422"/>
      <c r="RR82" s="3422"/>
      <c r="RS82" s="3422"/>
      <c r="RT82" s="3422"/>
      <c r="RU82" s="3422"/>
      <c r="RV82" s="3422"/>
      <c r="RW82" s="3422"/>
      <c r="RX82" s="3422"/>
      <c r="RY82" s="3422"/>
      <c r="RZ82" s="3422"/>
      <c r="SA82" s="3422"/>
      <c r="SB82" s="3422"/>
      <c r="SC82" s="3422"/>
      <c r="SD82" s="3422"/>
      <c r="SE82" s="3422"/>
      <c r="SF82" s="3422"/>
      <c r="SG82" s="3422"/>
      <c r="SH82" s="3422"/>
      <c r="SI82" s="3422"/>
      <c r="SJ82" s="3422"/>
      <c r="SK82" s="3422"/>
      <c r="SL82" s="3422"/>
      <c r="SM82" s="3422"/>
      <c r="SN82" s="3422"/>
      <c r="SO82" s="3422"/>
      <c r="SP82" s="3422"/>
      <c r="SQ82" s="3422"/>
      <c r="SR82" s="3422"/>
      <c r="SS82" s="3422"/>
      <c r="ST82" s="3422"/>
      <c r="SU82" s="3422"/>
      <c r="SV82" s="3422"/>
      <c r="SW82" s="3422"/>
      <c r="SX82" s="3422"/>
      <c r="SY82" s="3422"/>
      <c r="SZ82" s="3422"/>
      <c r="TA82" s="3422"/>
      <c r="TB82" s="3422"/>
      <c r="TC82" s="3422"/>
      <c r="TD82" s="3422"/>
      <c r="TE82" s="3422"/>
      <c r="TF82" s="3422"/>
      <c r="TG82" s="3422"/>
      <c r="TH82" s="3422"/>
      <c r="TI82" s="3422"/>
      <c r="TJ82" s="3422"/>
      <c r="TK82" s="3422"/>
      <c r="TL82" s="3422"/>
      <c r="TM82" s="3422"/>
      <c r="TN82" s="3422"/>
      <c r="TO82" s="3422"/>
      <c r="TP82" s="3422"/>
      <c r="TQ82" s="3422"/>
      <c r="TR82" s="3422"/>
      <c r="TS82" s="3422"/>
      <c r="TT82" s="3422"/>
      <c r="TU82" s="3422"/>
      <c r="TV82" s="3422"/>
      <c r="TW82" s="3422"/>
      <c r="TX82" s="3422"/>
      <c r="TY82" s="3422"/>
      <c r="TZ82" s="3422"/>
      <c r="UA82" s="3422"/>
      <c r="UB82" s="3422"/>
      <c r="UC82" s="3422"/>
      <c r="UD82" s="3422"/>
      <c r="UE82" s="3422"/>
      <c r="UF82" s="3422"/>
      <c r="UG82" s="3422"/>
      <c r="UH82" s="3422"/>
      <c r="UI82" s="3422"/>
      <c r="UJ82" s="3422"/>
      <c r="UK82" s="3422"/>
      <c r="UL82" s="3422"/>
      <c r="UM82" s="3422"/>
      <c r="UN82" s="3422"/>
      <c r="UO82" s="3422"/>
      <c r="UP82" s="3422"/>
      <c r="UQ82" s="3422"/>
      <c r="UR82" s="3422"/>
      <c r="US82" s="3422"/>
      <c r="UT82" s="3422"/>
      <c r="UU82" s="3422"/>
      <c r="UV82" s="3422"/>
      <c r="UW82" s="3422"/>
      <c r="UX82" s="3422"/>
      <c r="UY82" s="3422"/>
      <c r="UZ82" s="3422"/>
      <c r="VA82" s="3422"/>
      <c r="VB82" s="3422"/>
      <c r="VC82" s="3422"/>
      <c r="VD82" s="3422"/>
      <c r="VE82" s="3422"/>
      <c r="VF82" s="3422"/>
      <c r="VG82" s="3422"/>
      <c r="VH82" s="3422"/>
      <c r="VI82" s="3422"/>
      <c r="VJ82" s="3422"/>
      <c r="VK82" s="3422"/>
      <c r="VL82" s="3422"/>
      <c r="VM82" s="3422"/>
      <c r="VN82" s="3422"/>
      <c r="VO82" s="3422"/>
      <c r="VP82" s="3422"/>
      <c r="VQ82" s="3422"/>
      <c r="VR82" s="3422"/>
      <c r="VS82" s="3422"/>
      <c r="VT82" s="3422"/>
      <c r="VU82" s="3422"/>
      <c r="VV82" s="3422"/>
      <c r="VW82" s="3422"/>
      <c r="VX82" s="3422"/>
      <c r="VY82" s="3422"/>
      <c r="VZ82" s="3422"/>
      <c r="WA82" s="3422"/>
      <c r="WB82" s="3422"/>
      <c r="WC82" s="3422"/>
      <c r="WD82" s="3422"/>
      <c r="WE82" s="3422"/>
      <c r="WF82" s="3422"/>
      <c r="WG82" s="3422"/>
      <c r="WH82" s="3422"/>
      <c r="WI82" s="3422"/>
      <c r="WJ82" s="3422"/>
      <c r="WK82" s="3422"/>
      <c r="WL82" s="3422"/>
      <c r="WM82" s="3422"/>
      <c r="WN82" s="3422"/>
      <c r="WO82" s="3422"/>
      <c r="WP82" s="3422"/>
      <c r="WQ82" s="3422"/>
      <c r="WR82" s="3422"/>
      <c r="WS82" s="3422"/>
      <c r="WT82" s="3422"/>
      <c r="WU82" s="3422"/>
      <c r="WV82" s="3422"/>
      <c r="WW82" s="3422"/>
      <c r="WX82" s="3422"/>
      <c r="WY82" s="3422"/>
      <c r="WZ82" s="3422"/>
      <c r="XA82" s="3422"/>
      <c r="XB82" s="3422"/>
      <c r="XC82" s="3422"/>
      <c r="XD82" s="3422"/>
      <c r="XE82" s="3422"/>
      <c r="XF82" s="3422"/>
      <c r="XG82" s="3422"/>
      <c r="XH82" s="3422"/>
      <c r="XI82" s="3422"/>
      <c r="XJ82" s="3422"/>
      <c r="XK82" s="3422"/>
      <c r="XL82" s="3422"/>
      <c r="XM82" s="3422"/>
      <c r="XN82" s="3422"/>
      <c r="XO82" s="3422"/>
      <c r="XP82" s="3422"/>
      <c r="XQ82" s="3422"/>
      <c r="XR82" s="3422"/>
      <c r="XS82" s="3422"/>
      <c r="XT82" s="3422"/>
      <c r="XU82" s="3422"/>
      <c r="XV82" s="3422"/>
      <c r="XW82" s="3422"/>
      <c r="XX82" s="3422"/>
      <c r="XY82" s="3422"/>
      <c r="XZ82" s="3422"/>
      <c r="YA82" s="3422"/>
      <c r="YB82" s="3422"/>
      <c r="YC82" s="3422"/>
      <c r="YD82" s="3422"/>
      <c r="YE82" s="3422"/>
      <c r="YF82" s="3422"/>
      <c r="YG82" s="3422"/>
      <c r="YH82" s="3422"/>
      <c r="YI82" s="3422"/>
      <c r="YJ82" s="3422"/>
      <c r="YK82" s="3422"/>
      <c r="YL82" s="3422"/>
      <c r="YM82" s="3422"/>
      <c r="YN82" s="3422"/>
      <c r="YO82" s="3422"/>
      <c r="YP82" s="3422"/>
      <c r="YQ82" s="3422"/>
      <c r="YR82" s="3422"/>
      <c r="YS82" s="3422"/>
      <c r="YT82" s="3422"/>
      <c r="YU82" s="3422"/>
      <c r="YV82" s="3422"/>
      <c r="YW82" s="3422"/>
      <c r="YX82" s="3422"/>
      <c r="YY82" s="3422"/>
      <c r="YZ82" s="3422"/>
      <c r="ZA82" s="3422"/>
      <c r="ZB82" s="3422"/>
      <c r="ZC82" s="3422"/>
      <c r="ZD82" s="3422"/>
      <c r="ZE82" s="3422"/>
      <c r="ZF82" s="3422"/>
      <c r="ZG82" s="3422"/>
      <c r="ZH82" s="3422"/>
      <c r="ZI82" s="3422"/>
      <c r="ZJ82" s="3422"/>
      <c r="ZK82" s="3422"/>
      <c r="ZL82" s="3422"/>
      <c r="ZM82" s="3422"/>
      <c r="ZN82" s="3422"/>
      <c r="ZO82" s="3422"/>
      <c r="ZP82" s="3422"/>
      <c r="ZQ82" s="3422"/>
      <c r="ZR82" s="3422"/>
      <c r="ZS82" s="3422"/>
      <c r="ZT82" s="3422"/>
      <c r="ZU82" s="3422"/>
      <c r="ZV82" s="3422"/>
      <c r="ZW82" s="3422"/>
      <c r="ZX82" s="3422"/>
      <c r="ZY82" s="3422"/>
      <c r="ZZ82" s="3422"/>
      <c r="AAA82" s="3422"/>
      <c r="AAB82" s="3422"/>
      <c r="AAC82" s="3422"/>
      <c r="AAD82" s="3422"/>
      <c r="AAE82" s="3422"/>
      <c r="AAF82" s="3422"/>
      <c r="AAG82" s="3422"/>
      <c r="AAH82" s="3422"/>
      <c r="AAI82" s="3422"/>
      <c r="AAJ82" s="3422"/>
      <c r="AAK82" s="3422"/>
      <c r="AAL82" s="3422"/>
      <c r="AAM82" s="3422"/>
      <c r="AAN82" s="3422"/>
      <c r="AAO82" s="3422"/>
      <c r="AAP82" s="3422"/>
      <c r="AAQ82" s="3422"/>
      <c r="AAR82" s="3422"/>
      <c r="AAS82" s="3422"/>
      <c r="AAT82" s="3422"/>
      <c r="AAU82" s="3422"/>
      <c r="AAV82" s="3422"/>
      <c r="AAW82" s="3422"/>
      <c r="AAX82" s="3422"/>
      <c r="AAY82" s="3422"/>
      <c r="AAZ82" s="3422"/>
      <c r="ABA82" s="3422"/>
      <c r="ABB82" s="3422"/>
      <c r="ABC82" s="3422"/>
      <c r="ABD82" s="3422"/>
      <c r="ABE82" s="3422"/>
      <c r="ABF82" s="3422"/>
      <c r="ABG82" s="3422"/>
      <c r="ABH82" s="3422"/>
      <c r="ABI82" s="3422"/>
      <c r="ABJ82" s="3422"/>
      <c r="ABK82" s="3422"/>
      <c r="ABL82" s="3422"/>
      <c r="ABM82" s="3422"/>
      <c r="ABN82" s="3422"/>
      <c r="ABO82" s="3422"/>
      <c r="ABP82" s="3422"/>
      <c r="ABQ82" s="3422"/>
      <c r="ABR82" s="3422"/>
      <c r="ABS82" s="3422"/>
      <c r="ABT82" s="3422"/>
      <c r="ABU82" s="3422"/>
      <c r="ABV82" s="3422"/>
      <c r="ABW82" s="3422"/>
      <c r="ABX82" s="3422"/>
      <c r="ABY82" s="3422"/>
      <c r="ABZ82" s="3422"/>
      <c r="ACA82" s="3422"/>
      <c r="ACB82" s="3422"/>
      <c r="ACC82" s="3422"/>
      <c r="ACD82" s="3422"/>
      <c r="ACE82" s="3422"/>
      <c r="ACF82" s="3422"/>
      <c r="ACG82" s="3422"/>
      <c r="ACH82" s="3422"/>
      <c r="ACI82" s="3422"/>
      <c r="ACJ82" s="3422"/>
      <c r="ACK82" s="3422"/>
      <c r="ACL82" s="3422"/>
    </row>
    <row r="83" spans="1:1215" s="628" customFormat="1" ht="15" customHeight="1" x14ac:dyDescent="0.2">
      <c r="A83" s="2070"/>
      <c r="B83" s="1956"/>
      <c r="C83" s="1899"/>
      <c r="D83" s="2751"/>
      <c r="E83" s="2223"/>
      <c r="F83" s="1900"/>
      <c r="G83" s="1899"/>
      <c r="H83" s="1901"/>
      <c r="I83" s="1900"/>
      <c r="J83" s="1900"/>
      <c r="K83" s="1901"/>
      <c r="L83" s="1900"/>
      <c r="M83" s="1900"/>
      <c r="N83" s="1899"/>
      <c r="O83" s="2793"/>
      <c r="P83" s="2223"/>
      <c r="Q83" s="1899"/>
      <c r="R83" s="1899"/>
      <c r="S83" s="1899"/>
      <c r="T83" s="1899"/>
      <c r="U83" s="1899"/>
      <c r="V83" s="2803"/>
      <c r="W83" s="1899"/>
      <c r="X83" s="1899"/>
      <c r="Y83" s="1899"/>
      <c r="Z83" s="2817"/>
      <c r="AA83" s="1988"/>
      <c r="AB83" s="1902"/>
      <c r="AC83" s="1902"/>
      <c r="AD83" s="1899"/>
      <c r="AE83" s="1899"/>
      <c r="AF83" s="1899"/>
      <c r="AG83" s="1899"/>
      <c r="AH83" s="1899"/>
      <c r="AI83" s="1899"/>
      <c r="AJ83" s="1899"/>
      <c r="AK83" s="2803"/>
      <c r="AL83" s="2713"/>
      <c r="AM83" s="2524"/>
      <c r="AN83" s="1899"/>
      <c r="AO83" s="1899"/>
      <c r="AP83" s="1899"/>
      <c r="AQ83" s="1899"/>
      <c r="AR83" s="1899"/>
      <c r="AS83" s="1899"/>
      <c r="AT83" s="1899"/>
      <c r="AU83" s="1899"/>
      <c r="AV83" s="1899"/>
      <c r="AW83" s="1899"/>
      <c r="AX83" s="2713"/>
      <c r="AY83" s="2524"/>
      <c r="AZ83" s="1899"/>
      <c r="BA83" s="1899"/>
      <c r="BB83" s="1899"/>
      <c r="BC83" s="1899"/>
      <c r="BD83" s="1899"/>
      <c r="BE83" s="1899"/>
      <c r="BF83" s="1899"/>
      <c r="BG83" s="1899"/>
      <c r="BH83" s="1899"/>
      <c r="BI83" s="1899"/>
      <c r="BJ83" s="1956"/>
      <c r="BK83" s="1957"/>
      <c r="BL83" s="1957"/>
      <c r="BM83" s="1899"/>
      <c r="BN83" s="1899"/>
      <c r="BO83" s="1899"/>
      <c r="BP83" s="1899"/>
      <c r="BQ83" s="1899"/>
      <c r="BR83" s="1899"/>
      <c r="BS83" s="1899"/>
      <c r="BT83" s="2793"/>
      <c r="BU83" s="3425"/>
      <c r="BV83" s="3058"/>
      <c r="BW83" s="3058"/>
      <c r="BX83" s="3058"/>
      <c r="BY83" s="102"/>
      <c r="BZ83" s="102"/>
      <c r="CA83" s="102"/>
      <c r="CB83" s="102"/>
      <c r="CC83" s="102"/>
      <c r="CD83" s="102"/>
      <c r="CE83" s="102"/>
      <c r="CF83" s="102"/>
      <c r="CG83" s="102"/>
      <c r="CH83" s="102"/>
      <c r="CI83" s="102"/>
      <c r="CJ83" s="102"/>
      <c r="CK83" s="102"/>
      <c r="CL83" s="102"/>
      <c r="CM83" s="102"/>
      <c r="CN83" s="102"/>
      <c r="CO83" s="102"/>
      <c r="CP83" s="102"/>
      <c r="CQ83" s="102"/>
      <c r="CR83" s="102"/>
      <c r="CS83" s="102"/>
      <c r="CT83" s="102"/>
      <c r="CU83" s="102"/>
      <c r="CV83" s="102"/>
      <c r="CW83" s="102"/>
      <c r="CX83" s="102"/>
      <c r="CY83" s="102"/>
      <c r="CZ83" s="102"/>
      <c r="DA83" s="102"/>
      <c r="DB83" s="102"/>
      <c r="DC83" s="102"/>
      <c r="DD83" s="102"/>
      <c r="DE83" s="102"/>
      <c r="DF83" s="102"/>
      <c r="DG83" s="102"/>
      <c r="DH83" s="102"/>
      <c r="DI83" s="102"/>
      <c r="DJ83" s="102"/>
      <c r="DK83" s="102"/>
      <c r="DL83" s="102"/>
      <c r="DM83" s="102"/>
      <c r="DN83" s="102"/>
      <c r="DO83" s="102"/>
      <c r="DP83" s="102"/>
      <c r="DQ83" s="102"/>
      <c r="DR83" s="102"/>
      <c r="DS83" s="102"/>
      <c r="DT83" s="102"/>
      <c r="DU83" s="102"/>
      <c r="DV83" s="102"/>
      <c r="DW83" s="102"/>
      <c r="DX83" s="102"/>
      <c r="DY83" s="102"/>
      <c r="DZ83" s="102"/>
      <c r="EA83" s="102"/>
      <c r="EB83" s="102"/>
      <c r="EC83" s="102"/>
      <c r="ED83" s="102"/>
      <c r="EE83" s="102"/>
      <c r="EF83" s="102"/>
      <c r="EG83" s="102"/>
      <c r="EH83" s="102"/>
      <c r="EI83" s="102"/>
      <c r="EJ83" s="102"/>
      <c r="EK83" s="102"/>
      <c r="EL83" s="102"/>
      <c r="EM83" s="102"/>
      <c r="EN83" s="102"/>
      <c r="EO83" s="102"/>
      <c r="EP83" s="102"/>
      <c r="ES83" s="3422"/>
      <c r="ET83" s="3422"/>
      <c r="EU83" s="3422"/>
      <c r="EV83" s="3422"/>
      <c r="EW83" s="3422"/>
      <c r="EX83" s="3422"/>
      <c r="EY83" s="3422"/>
      <c r="EZ83" s="3422"/>
      <c r="FA83" s="3422"/>
      <c r="FB83" s="3422"/>
      <c r="FC83" s="3422"/>
      <c r="FD83" s="3422"/>
      <c r="FE83" s="3422"/>
      <c r="FF83" s="3422"/>
      <c r="FG83" s="3422"/>
      <c r="FH83" s="3422"/>
      <c r="FI83" s="3422"/>
      <c r="FJ83" s="3422"/>
      <c r="FK83" s="3422"/>
      <c r="FL83" s="3422"/>
      <c r="FM83" s="3422"/>
      <c r="FN83" s="3422"/>
      <c r="FO83" s="3422"/>
      <c r="FP83" s="3422"/>
      <c r="FQ83" s="3422"/>
      <c r="FR83" s="3422"/>
      <c r="FS83" s="3422"/>
      <c r="FT83" s="3422"/>
      <c r="FU83" s="3422"/>
      <c r="FV83" s="3422"/>
      <c r="FW83" s="3422"/>
      <c r="FX83" s="3422"/>
      <c r="FY83" s="3422"/>
      <c r="FZ83" s="3422"/>
      <c r="GA83" s="3422"/>
      <c r="GB83" s="3422"/>
      <c r="GC83" s="3422"/>
      <c r="GD83" s="3422"/>
      <c r="GE83" s="3422"/>
      <c r="GF83" s="3422"/>
      <c r="GG83" s="3422"/>
      <c r="GH83" s="3422"/>
      <c r="GI83" s="3422"/>
      <c r="GJ83" s="3422"/>
      <c r="GK83" s="3422"/>
      <c r="GL83" s="3422"/>
      <c r="GM83" s="3422"/>
      <c r="GN83" s="3422"/>
      <c r="GO83" s="3422"/>
      <c r="GP83" s="3422"/>
      <c r="GQ83" s="3422"/>
      <c r="GR83" s="3422"/>
      <c r="GS83" s="3422"/>
      <c r="GT83" s="3422"/>
      <c r="GU83" s="3422"/>
      <c r="GV83" s="3422"/>
      <c r="GW83" s="3422"/>
      <c r="GX83" s="3422"/>
      <c r="GY83" s="3422"/>
      <c r="GZ83" s="3422"/>
      <c r="HA83" s="3422"/>
      <c r="HB83" s="3422"/>
      <c r="HC83" s="3422"/>
      <c r="HD83" s="3422"/>
      <c r="HE83" s="3422"/>
      <c r="HF83" s="3422"/>
      <c r="HG83" s="3422"/>
      <c r="HH83" s="3422"/>
      <c r="HI83" s="3422"/>
      <c r="HJ83" s="3422"/>
      <c r="HK83" s="3422"/>
      <c r="HL83" s="3422"/>
      <c r="HM83" s="3422"/>
      <c r="HN83" s="3422"/>
      <c r="HO83" s="3422"/>
      <c r="HP83" s="3422"/>
      <c r="HQ83" s="3422"/>
      <c r="HR83" s="3422"/>
      <c r="HS83" s="3422"/>
      <c r="HT83" s="3422"/>
      <c r="HU83" s="3422"/>
      <c r="HV83" s="3422"/>
      <c r="HW83" s="3422"/>
      <c r="HX83" s="3422"/>
      <c r="HY83" s="3422"/>
      <c r="HZ83" s="3422"/>
      <c r="IA83" s="3422"/>
      <c r="IB83" s="3422"/>
      <c r="IC83" s="3422"/>
      <c r="ID83" s="3422"/>
      <c r="IE83" s="3422"/>
      <c r="IF83" s="3422"/>
      <c r="IG83" s="3422"/>
      <c r="IH83" s="3422"/>
      <c r="II83" s="3422"/>
      <c r="IJ83" s="3422"/>
      <c r="IK83" s="3422"/>
      <c r="IL83" s="3422"/>
      <c r="IM83" s="3422"/>
      <c r="IN83" s="3422"/>
      <c r="IO83" s="3422"/>
      <c r="IP83" s="3422"/>
      <c r="IQ83" s="3422"/>
      <c r="IR83" s="3422"/>
      <c r="IS83" s="3422"/>
      <c r="IT83" s="3422"/>
      <c r="IU83" s="3422"/>
      <c r="IV83" s="3422"/>
      <c r="IW83" s="3422"/>
      <c r="IX83" s="3422"/>
      <c r="IY83" s="3422"/>
      <c r="IZ83" s="3422"/>
      <c r="JA83" s="3422"/>
      <c r="JB83" s="3422"/>
      <c r="JC83" s="3422"/>
      <c r="JD83" s="3422"/>
      <c r="JE83" s="3422"/>
      <c r="JF83" s="3422"/>
      <c r="JG83" s="3422"/>
      <c r="JH83" s="3422"/>
      <c r="JI83" s="3422"/>
      <c r="JJ83" s="3422"/>
      <c r="JK83" s="3422"/>
      <c r="JL83" s="3422"/>
      <c r="JM83" s="3422"/>
      <c r="JN83" s="3422"/>
      <c r="JO83" s="3422"/>
      <c r="JP83" s="3422"/>
      <c r="JQ83" s="3422"/>
      <c r="JR83" s="3422"/>
      <c r="JS83" s="3422"/>
      <c r="JT83" s="3422"/>
      <c r="JU83" s="3422"/>
      <c r="JV83" s="3422"/>
      <c r="JW83" s="3422"/>
      <c r="JX83" s="3422"/>
      <c r="JY83" s="3422"/>
      <c r="JZ83" s="3422"/>
      <c r="KA83" s="3422"/>
      <c r="KB83" s="3422"/>
      <c r="KC83" s="3422"/>
      <c r="KD83" s="3422"/>
      <c r="KE83" s="3422"/>
      <c r="KF83" s="3422"/>
      <c r="KG83" s="3422"/>
      <c r="KH83" s="3422"/>
      <c r="KI83" s="3422"/>
      <c r="KJ83" s="3422"/>
      <c r="KK83" s="3422"/>
      <c r="KL83" s="3422"/>
      <c r="KM83" s="3422"/>
      <c r="KN83" s="3422"/>
      <c r="KO83" s="3422"/>
      <c r="KP83" s="3422"/>
      <c r="KQ83" s="3422"/>
      <c r="KR83" s="3422"/>
      <c r="KS83" s="3422"/>
      <c r="KT83" s="3422"/>
      <c r="KU83" s="3422"/>
      <c r="KV83" s="3422"/>
      <c r="KW83" s="3422"/>
      <c r="KX83" s="3422"/>
      <c r="KY83" s="3422"/>
      <c r="KZ83" s="3422"/>
      <c r="LA83" s="3422"/>
      <c r="LB83" s="3422"/>
      <c r="LC83" s="3422"/>
      <c r="LD83" s="3422"/>
      <c r="LE83" s="3422"/>
      <c r="LF83" s="3422"/>
      <c r="LG83" s="3422"/>
      <c r="LH83" s="3422"/>
      <c r="LI83" s="3422"/>
      <c r="LJ83" s="3422"/>
      <c r="LK83" s="3422"/>
      <c r="LL83" s="3422"/>
      <c r="LM83" s="3422"/>
      <c r="LN83" s="3422"/>
      <c r="LO83" s="3422"/>
      <c r="LP83" s="3422"/>
      <c r="LQ83" s="3422"/>
      <c r="LR83" s="3422"/>
      <c r="LS83" s="3422"/>
      <c r="LT83" s="3422"/>
      <c r="LU83" s="3422"/>
      <c r="LV83" s="3422"/>
      <c r="LW83" s="3422"/>
      <c r="LX83" s="3422"/>
      <c r="LY83" s="3422"/>
      <c r="LZ83" s="3422"/>
      <c r="MA83" s="3422"/>
      <c r="MB83" s="3422"/>
      <c r="MC83" s="3422"/>
      <c r="MD83" s="3422"/>
      <c r="ME83" s="3422"/>
      <c r="MF83" s="3422"/>
      <c r="MG83" s="3422"/>
      <c r="MH83" s="3422"/>
      <c r="MI83" s="3422"/>
      <c r="MJ83" s="3422"/>
      <c r="MK83" s="3422"/>
      <c r="ML83" s="3422"/>
      <c r="MM83" s="3422"/>
      <c r="MN83" s="3422"/>
      <c r="MO83" s="3422"/>
      <c r="MP83" s="3422"/>
      <c r="MQ83" s="3422"/>
      <c r="MR83" s="3422"/>
      <c r="MS83" s="3422"/>
      <c r="MT83" s="3422"/>
      <c r="MU83" s="3422"/>
      <c r="MV83" s="3422"/>
      <c r="MW83" s="3422"/>
      <c r="MX83" s="3422"/>
      <c r="MY83" s="3422"/>
      <c r="MZ83" s="3422"/>
      <c r="NA83" s="3422"/>
      <c r="NB83" s="3422"/>
      <c r="NC83" s="3422"/>
      <c r="ND83" s="3422"/>
      <c r="NE83" s="3422"/>
      <c r="NF83" s="3422"/>
      <c r="NG83" s="3422"/>
      <c r="NH83" s="3422"/>
      <c r="NI83" s="3422"/>
      <c r="NJ83" s="3422"/>
      <c r="NK83" s="3422"/>
      <c r="NL83" s="3422"/>
      <c r="NM83" s="3422"/>
      <c r="NN83" s="3422"/>
      <c r="NO83" s="3422"/>
      <c r="NP83" s="3422"/>
      <c r="NQ83" s="3422"/>
      <c r="NR83" s="3422"/>
      <c r="NS83" s="3422"/>
      <c r="NT83" s="3422"/>
      <c r="NU83" s="3422"/>
      <c r="NV83" s="3422"/>
      <c r="NW83" s="3422"/>
      <c r="NX83" s="3422"/>
      <c r="NY83" s="3422"/>
      <c r="NZ83" s="3422"/>
      <c r="OA83" s="3422"/>
      <c r="OB83" s="3422"/>
      <c r="OC83" s="3422"/>
      <c r="OD83" s="3422"/>
      <c r="OE83" s="3422"/>
      <c r="OF83" s="3422"/>
      <c r="OG83" s="3422"/>
      <c r="OH83" s="3422"/>
      <c r="OI83" s="3422"/>
      <c r="OJ83" s="3422"/>
      <c r="OK83" s="3422"/>
      <c r="OL83" s="3422"/>
      <c r="OM83" s="3422"/>
      <c r="ON83" s="3422"/>
      <c r="OO83" s="3422"/>
      <c r="OP83" s="3422"/>
      <c r="OQ83" s="3422"/>
      <c r="OR83" s="3422"/>
      <c r="OS83" s="3422"/>
      <c r="OT83" s="3422"/>
      <c r="OU83" s="3422"/>
      <c r="OV83" s="3422"/>
      <c r="OW83" s="3422"/>
      <c r="OX83" s="3422"/>
      <c r="OY83" s="3422"/>
      <c r="OZ83" s="3422"/>
      <c r="PA83" s="3422"/>
      <c r="PB83" s="3422"/>
      <c r="PC83" s="3422"/>
      <c r="PD83" s="3422"/>
      <c r="PE83" s="3422"/>
      <c r="PF83" s="3422"/>
      <c r="PG83" s="3422"/>
      <c r="PH83" s="3422"/>
      <c r="PI83" s="3422"/>
      <c r="PJ83" s="3422"/>
      <c r="PK83" s="3422"/>
      <c r="PL83" s="3422"/>
      <c r="PM83" s="3422"/>
      <c r="PN83" s="3422"/>
      <c r="PO83" s="3422"/>
      <c r="PP83" s="3422"/>
      <c r="PQ83" s="3422"/>
      <c r="PR83" s="3422"/>
      <c r="PS83" s="3422"/>
      <c r="PT83" s="3422"/>
      <c r="PU83" s="3422"/>
      <c r="PV83" s="3422"/>
      <c r="PW83" s="3422"/>
      <c r="PX83" s="3422"/>
      <c r="PY83" s="3422"/>
      <c r="PZ83" s="3422"/>
      <c r="QA83" s="3422"/>
      <c r="QB83" s="3422"/>
      <c r="QC83" s="3422"/>
      <c r="QD83" s="3422"/>
      <c r="QE83" s="3422"/>
      <c r="QF83" s="3422"/>
      <c r="QG83" s="3422"/>
      <c r="QH83" s="3422"/>
      <c r="QI83" s="3422"/>
      <c r="QJ83" s="3422"/>
      <c r="QK83" s="3422"/>
      <c r="QL83" s="3422"/>
      <c r="QM83" s="3422"/>
      <c r="QN83" s="3422"/>
      <c r="QO83" s="3422"/>
      <c r="QP83" s="3422"/>
      <c r="QQ83" s="3422"/>
      <c r="QR83" s="3422"/>
      <c r="QS83" s="3422"/>
      <c r="QT83" s="3422"/>
      <c r="QU83" s="3422"/>
      <c r="QV83" s="3422"/>
      <c r="QW83" s="3422"/>
      <c r="QX83" s="3422"/>
      <c r="QY83" s="3422"/>
      <c r="QZ83" s="3422"/>
      <c r="RA83" s="3422"/>
      <c r="RB83" s="3422"/>
      <c r="RC83" s="3422"/>
      <c r="RD83" s="3422"/>
      <c r="RE83" s="3422"/>
      <c r="RF83" s="3422"/>
      <c r="RG83" s="3422"/>
      <c r="RH83" s="3422"/>
      <c r="RI83" s="3422"/>
      <c r="RJ83" s="3422"/>
      <c r="RK83" s="3422"/>
      <c r="RL83" s="3422"/>
      <c r="RM83" s="3422"/>
      <c r="RN83" s="3422"/>
      <c r="RO83" s="3422"/>
      <c r="RP83" s="3422"/>
      <c r="RQ83" s="3422"/>
      <c r="RR83" s="3422"/>
      <c r="RS83" s="3422"/>
      <c r="RT83" s="3422"/>
      <c r="RU83" s="3422"/>
      <c r="RV83" s="3422"/>
      <c r="RW83" s="3422"/>
      <c r="RX83" s="3422"/>
      <c r="RY83" s="3422"/>
      <c r="RZ83" s="3422"/>
      <c r="SA83" s="3422"/>
      <c r="SB83" s="3422"/>
      <c r="SC83" s="3422"/>
      <c r="SD83" s="3422"/>
      <c r="SE83" s="3422"/>
      <c r="SF83" s="3422"/>
      <c r="SG83" s="3422"/>
      <c r="SH83" s="3422"/>
      <c r="SI83" s="3422"/>
      <c r="SJ83" s="3422"/>
      <c r="SK83" s="3422"/>
      <c r="SL83" s="3422"/>
      <c r="SM83" s="3422"/>
      <c r="SN83" s="3422"/>
      <c r="SO83" s="3422"/>
      <c r="SP83" s="3422"/>
      <c r="SQ83" s="3422"/>
      <c r="SR83" s="3422"/>
      <c r="SS83" s="3422"/>
      <c r="ST83" s="3422"/>
      <c r="SU83" s="3422"/>
      <c r="SV83" s="3422"/>
      <c r="SW83" s="3422"/>
      <c r="SX83" s="3422"/>
      <c r="SY83" s="3422"/>
      <c r="SZ83" s="3422"/>
      <c r="TA83" s="3422"/>
      <c r="TB83" s="3422"/>
      <c r="TC83" s="3422"/>
      <c r="TD83" s="3422"/>
      <c r="TE83" s="3422"/>
      <c r="TF83" s="3422"/>
      <c r="TG83" s="3422"/>
      <c r="TH83" s="3422"/>
      <c r="TI83" s="3422"/>
      <c r="TJ83" s="3422"/>
      <c r="TK83" s="3422"/>
      <c r="TL83" s="3422"/>
      <c r="TM83" s="3422"/>
      <c r="TN83" s="3422"/>
      <c r="TO83" s="3422"/>
      <c r="TP83" s="3422"/>
      <c r="TQ83" s="3422"/>
      <c r="TR83" s="3422"/>
      <c r="TS83" s="3422"/>
      <c r="TT83" s="3422"/>
      <c r="TU83" s="3422"/>
      <c r="TV83" s="3422"/>
      <c r="TW83" s="3422"/>
      <c r="TX83" s="3422"/>
      <c r="TY83" s="3422"/>
      <c r="TZ83" s="3422"/>
      <c r="UA83" s="3422"/>
      <c r="UB83" s="3422"/>
      <c r="UC83" s="3422"/>
      <c r="UD83" s="3422"/>
      <c r="UE83" s="3422"/>
      <c r="UF83" s="3422"/>
      <c r="UG83" s="3422"/>
      <c r="UH83" s="3422"/>
      <c r="UI83" s="3422"/>
      <c r="UJ83" s="3422"/>
      <c r="UK83" s="3422"/>
      <c r="UL83" s="3422"/>
      <c r="UM83" s="3422"/>
      <c r="UN83" s="3422"/>
      <c r="UO83" s="3422"/>
      <c r="UP83" s="3422"/>
      <c r="UQ83" s="3422"/>
      <c r="UR83" s="3422"/>
      <c r="US83" s="3422"/>
      <c r="UT83" s="3422"/>
      <c r="UU83" s="3422"/>
      <c r="UV83" s="3422"/>
      <c r="UW83" s="3422"/>
      <c r="UX83" s="3422"/>
      <c r="UY83" s="3422"/>
      <c r="UZ83" s="3422"/>
      <c r="VA83" s="3422"/>
      <c r="VB83" s="3422"/>
      <c r="VC83" s="3422"/>
      <c r="VD83" s="3422"/>
      <c r="VE83" s="3422"/>
      <c r="VF83" s="3422"/>
      <c r="VG83" s="3422"/>
      <c r="VH83" s="3422"/>
      <c r="VI83" s="3422"/>
      <c r="VJ83" s="3422"/>
      <c r="VK83" s="3422"/>
      <c r="VL83" s="3422"/>
      <c r="VM83" s="3422"/>
      <c r="VN83" s="3422"/>
      <c r="VO83" s="3422"/>
      <c r="VP83" s="3422"/>
      <c r="VQ83" s="3422"/>
      <c r="VR83" s="3422"/>
      <c r="VS83" s="3422"/>
      <c r="VT83" s="3422"/>
      <c r="VU83" s="3422"/>
      <c r="VV83" s="3422"/>
      <c r="VW83" s="3422"/>
      <c r="VX83" s="3422"/>
      <c r="VY83" s="3422"/>
      <c r="VZ83" s="3422"/>
      <c r="WA83" s="3422"/>
      <c r="WB83" s="3422"/>
      <c r="WC83" s="3422"/>
      <c r="WD83" s="3422"/>
      <c r="WE83" s="3422"/>
      <c r="WF83" s="3422"/>
      <c r="WG83" s="3422"/>
      <c r="WH83" s="3422"/>
      <c r="WI83" s="3422"/>
      <c r="WJ83" s="3422"/>
      <c r="WK83" s="3422"/>
      <c r="WL83" s="3422"/>
      <c r="WM83" s="3422"/>
      <c r="WN83" s="3422"/>
      <c r="WO83" s="3422"/>
      <c r="WP83" s="3422"/>
      <c r="WQ83" s="3422"/>
      <c r="WR83" s="3422"/>
      <c r="WS83" s="3422"/>
      <c r="WT83" s="3422"/>
      <c r="WU83" s="3422"/>
      <c r="WV83" s="3422"/>
      <c r="WW83" s="3422"/>
      <c r="WX83" s="3422"/>
      <c r="WY83" s="3422"/>
      <c r="WZ83" s="3422"/>
      <c r="XA83" s="3422"/>
      <c r="XB83" s="3422"/>
      <c r="XC83" s="3422"/>
      <c r="XD83" s="3422"/>
      <c r="XE83" s="3422"/>
      <c r="XF83" s="3422"/>
      <c r="XG83" s="3422"/>
      <c r="XH83" s="3422"/>
      <c r="XI83" s="3422"/>
      <c r="XJ83" s="3422"/>
      <c r="XK83" s="3422"/>
      <c r="XL83" s="3422"/>
      <c r="XM83" s="3422"/>
      <c r="XN83" s="3422"/>
      <c r="XO83" s="3422"/>
      <c r="XP83" s="3422"/>
      <c r="XQ83" s="3422"/>
      <c r="XR83" s="3422"/>
      <c r="XS83" s="3422"/>
      <c r="XT83" s="3422"/>
      <c r="XU83" s="3422"/>
      <c r="XV83" s="3422"/>
      <c r="XW83" s="3422"/>
      <c r="XX83" s="3422"/>
      <c r="XY83" s="3422"/>
      <c r="XZ83" s="3422"/>
      <c r="YA83" s="3422"/>
      <c r="YB83" s="3422"/>
      <c r="YC83" s="3422"/>
      <c r="YD83" s="3422"/>
      <c r="YE83" s="3422"/>
      <c r="YF83" s="3422"/>
      <c r="YG83" s="3422"/>
      <c r="YH83" s="3422"/>
      <c r="YI83" s="3422"/>
      <c r="YJ83" s="3422"/>
      <c r="YK83" s="3422"/>
      <c r="YL83" s="3422"/>
      <c r="YM83" s="3422"/>
      <c r="YN83" s="3422"/>
      <c r="YO83" s="3422"/>
      <c r="YP83" s="3422"/>
      <c r="YQ83" s="3422"/>
      <c r="YR83" s="3422"/>
      <c r="YS83" s="3422"/>
      <c r="YT83" s="3422"/>
      <c r="YU83" s="3422"/>
      <c r="YV83" s="3422"/>
      <c r="YW83" s="3422"/>
      <c r="YX83" s="3422"/>
      <c r="YY83" s="3422"/>
      <c r="YZ83" s="3422"/>
      <c r="ZA83" s="3422"/>
      <c r="ZB83" s="3422"/>
      <c r="ZC83" s="3422"/>
      <c r="ZD83" s="3422"/>
      <c r="ZE83" s="3422"/>
      <c r="ZF83" s="3422"/>
      <c r="ZG83" s="3422"/>
      <c r="ZH83" s="3422"/>
      <c r="ZI83" s="3422"/>
      <c r="ZJ83" s="3422"/>
      <c r="ZK83" s="3422"/>
      <c r="ZL83" s="3422"/>
      <c r="ZM83" s="3422"/>
      <c r="ZN83" s="3422"/>
      <c r="ZO83" s="3422"/>
      <c r="ZP83" s="3422"/>
      <c r="ZQ83" s="3422"/>
      <c r="ZR83" s="3422"/>
      <c r="ZS83" s="3422"/>
      <c r="ZT83" s="3422"/>
      <c r="ZU83" s="3422"/>
      <c r="ZV83" s="3422"/>
      <c r="ZW83" s="3422"/>
      <c r="ZX83" s="3422"/>
      <c r="ZY83" s="3422"/>
      <c r="ZZ83" s="3422"/>
      <c r="AAA83" s="3422"/>
      <c r="AAB83" s="3422"/>
      <c r="AAC83" s="3422"/>
      <c r="AAD83" s="3422"/>
      <c r="AAE83" s="3422"/>
      <c r="AAF83" s="3422"/>
      <c r="AAG83" s="3422"/>
      <c r="AAH83" s="3422"/>
      <c r="AAI83" s="3422"/>
      <c r="AAJ83" s="3422"/>
      <c r="AAK83" s="3422"/>
      <c r="AAL83" s="3422"/>
      <c r="AAM83" s="3422"/>
      <c r="AAN83" s="3422"/>
      <c r="AAO83" s="3422"/>
      <c r="AAP83" s="3422"/>
      <c r="AAQ83" s="3422"/>
      <c r="AAR83" s="3422"/>
      <c r="AAS83" s="3422"/>
      <c r="AAT83" s="3422"/>
      <c r="AAU83" s="3422"/>
      <c r="AAV83" s="3422"/>
      <c r="AAW83" s="3422"/>
      <c r="AAX83" s="3422"/>
      <c r="AAY83" s="3422"/>
      <c r="AAZ83" s="3422"/>
      <c r="ABA83" s="3422"/>
      <c r="ABB83" s="3422"/>
      <c r="ABC83" s="3422"/>
      <c r="ABD83" s="3422"/>
      <c r="ABE83" s="3422"/>
      <c r="ABF83" s="3422"/>
      <c r="ABG83" s="3422"/>
      <c r="ABH83" s="3422"/>
      <c r="ABI83" s="3422"/>
      <c r="ABJ83" s="3422"/>
      <c r="ABK83" s="3422"/>
      <c r="ABL83" s="3422"/>
      <c r="ABM83" s="3422"/>
      <c r="ABN83" s="3422"/>
      <c r="ABO83" s="3422"/>
      <c r="ABP83" s="3422"/>
      <c r="ABQ83" s="3422"/>
      <c r="ABR83" s="3422"/>
      <c r="ABS83" s="3422"/>
      <c r="ABT83" s="3422"/>
      <c r="ABU83" s="3422"/>
      <c r="ABV83" s="3422"/>
      <c r="ABW83" s="3422"/>
      <c r="ABX83" s="3422"/>
      <c r="ABY83" s="3422"/>
      <c r="ABZ83" s="3422"/>
      <c r="ACA83" s="3422"/>
      <c r="ACB83" s="3422"/>
      <c r="ACC83" s="3422"/>
      <c r="ACD83" s="3422"/>
      <c r="ACE83" s="3422"/>
      <c r="ACF83" s="3422"/>
      <c r="ACG83" s="3422"/>
      <c r="ACH83" s="3422"/>
      <c r="ACI83" s="3422"/>
      <c r="ACJ83" s="3422"/>
      <c r="ACK83" s="3422"/>
      <c r="ACL83" s="3422"/>
    </row>
    <row r="84" spans="1:1215" s="628" customFormat="1" ht="18" customHeight="1" x14ac:dyDescent="0.25">
      <c r="A84" s="3808" t="s">
        <v>602</v>
      </c>
      <c r="B84" s="3809"/>
      <c r="C84" s="2573">
        <v>1</v>
      </c>
      <c r="D84" s="2752" t="s">
        <v>559</v>
      </c>
      <c r="E84" s="2749" t="s">
        <v>335</v>
      </c>
      <c r="F84" s="1806" t="s">
        <v>335</v>
      </c>
      <c r="G84" s="1806" t="s">
        <v>335</v>
      </c>
      <c r="H84" s="1806" t="s">
        <v>335</v>
      </c>
      <c r="I84" s="1806" t="s">
        <v>335</v>
      </c>
      <c r="J84" s="1806" t="s">
        <v>335</v>
      </c>
      <c r="K84" s="1806" t="s">
        <v>335</v>
      </c>
      <c r="L84" s="1806" t="s">
        <v>335</v>
      </c>
      <c r="M84" s="1806" t="s">
        <v>335</v>
      </c>
      <c r="N84" s="1912" t="s">
        <v>335</v>
      </c>
      <c r="O84" s="2007"/>
      <c r="P84" s="1913" t="s">
        <v>335</v>
      </c>
      <c r="Q84" s="1913"/>
      <c r="R84" s="1806" t="s">
        <v>335</v>
      </c>
      <c r="S84" s="1806"/>
      <c r="T84" s="1806"/>
      <c r="U84" s="1806" t="s">
        <v>335</v>
      </c>
      <c r="V84" s="2315" t="s">
        <v>335</v>
      </c>
      <c r="W84" s="2315" t="s">
        <v>335</v>
      </c>
      <c r="X84" s="2315"/>
      <c r="Y84" s="2315" t="s">
        <v>335</v>
      </c>
      <c r="Z84" s="1914" t="s">
        <v>335</v>
      </c>
      <c r="AA84" s="2093">
        <v>0</v>
      </c>
      <c r="AB84" s="2053">
        <v>0</v>
      </c>
      <c r="AC84" s="2150" t="s">
        <v>335</v>
      </c>
      <c r="AD84" s="2376"/>
      <c r="AE84" s="3123"/>
      <c r="AF84" s="2377">
        <v>0</v>
      </c>
      <c r="AG84" s="2056"/>
      <c r="AH84" s="2056">
        <f>AD84+AF84</f>
        <v>0</v>
      </c>
      <c r="AI84" s="2009"/>
      <c r="AJ84" s="2053" t="s">
        <v>335</v>
      </c>
      <c r="AK84" s="2427">
        <f>AI84</f>
        <v>0</v>
      </c>
      <c r="AL84" s="2689">
        <v>0</v>
      </c>
      <c r="AM84" s="2689">
        <v>0</v>
      </c>
      <c r="AN84" s="2525"/>
      <c r="AO84" s="2595">
        <v>0</v>
      </c>
      <c r="AP84" s="2400">
        <v>0</v>
      </c>
      <c r="AQ84" s="2400">
        <v>0</v>
      </c>
      <c r="AR84" s="2400">
        <v>0</v>
      </c>
      <c r="AS84" s="2400">
        <f>+AO84+AP84+AQ84+AR84</f>
        <v>0</v>
      </c>
      <c r="AT84" s="2395">
        <v>0</v>
      </c>
      <c r="AU84" s="2472">
        <v>17500</v>
      </c>
      <c r="AV84" s="2395">
        <v>0</v>
      </c>
      <c r="AW84" s="2442">
        <f>AU84+AV84</f>
        <v>17500</v>
      </c>
      <c r="AX84" s="2689">
        <v>0</v>
      </c>
      <c r="AY84" s="2689">
        <v>0</v>
      </c>
      <c r="AZ84" s="2525"/>
      <c r="BA84" s="3094">
        <v>0</v>
      </c>
      <c r="BB84" s="3093">
        <v>0</v>
      </c>
      <c r="BC84" s="3093">
        <v>0</v>
      </c>
      <c r="BD84" s="3093"/>
      <c r="BE84" s="3093">
        <f>BA84+BB84</f>
        <v>0</v>
      </c>
      <c r="BF84" s="2395"/>
      <c r="BG84" s="2472">
        <v>0</v>
      </c>
      <c r="BH84" s="2395">
        <v>0</v>
      </c>
      <c r="BI84" s="2442">
        <f>BG84+BH84</f>
        <v>0</v>
      </c>
      <c r="BJ84" s="2150" t="s">
        <v>335</v>
      </c>
      <c r="BK84" s="2150"/>
      <c r="BL84" s="2150" t="s">
        <v>335</v>
      </c>
      <c r="BM84" s="2563">
        <v>621831.63</v>
      </c>
      <c r="BN84" s="2056">
        <f>AF84+AQ84</f>
        <v>0</v>
      </c>
      <c r="BO84" s="2056">
        <v>0</v>
      </c>
      <c r="BP84" s="2056">
        <v>0</v>
      </c>
      <c r="BQ84" s="3461">
        <f>+BM84+BN84+BO84+BP84</f>
        <v>621831.63</v>
      </c>
      <c r="BR84" s="2009">
        <v>512012.5</v>
      </c>
      <c r="BS84" s="2379">
        <v>0</v>
      </c>
      <c r="BT84" s="2427">
        <f>BR84+BS84</f>
        <v>512012.5</v>
      </c>
      <c r="BU84" s="3425"/>
      <c r="BV84" s="3058"/>
      <c r="BW84" s="3058"/>
      <c r="BX84" s="3058"/>
      <c r="BY84" s="102"/>
      <c r="BZ84" s="102"/>
      <c r="CA84" s="102"/>
      <c r="CB84" s="102"/>
      <c r="CC84" s="102"/>
      <c r="CD84" s="102"/>
      <c r="CE84" s="102"/>
      <c r="CF84" s="102"/>
      <c r="CG84" s="102"/>
      <c r="CH84" s="102"/>
      <c r="CI84" s="102"/>
      <c r="CJ84" s="102"/>
      <c r="CK84" s="102"/>
      <c r="CL84" s="102"/>
      <c r="CM84" s="102"/>
      <c r="CN84" s="102"/>
      <c r="CO84" s="102"/>
      <c r="CP84" s="102"/>
      <c r="CQ84" s="102"/>
      <c r="CR84" s="102"/>
      <c r="CS84" s="102"/>
      <c r="CT84" s="102"/>
      <c r="CU84" s="102"/>
      <c r="CV84" s="102"/>
      <c r="CW84" s="102"/>
      <c r="CX84" s="102"/>
      <c r="CY84" s="102"/>
      <c r="CZ84" s="102"/>
      <c r="DA84" s="102"/>
      <c r="DB84" s="102"/>
      <c r="DC84" s="102"/>
      <c r="DD84" s="102"/>
      <c r="DE84" s="102"/>
      <c r="DF84" s="102"/>
      <c r="DG84" s="102"/>
      <c r="DH84" s="102"/>
      <c r="DI84" s="102"/>
      <c r="DJ84" s="102"/>
      <c r="DK84" s="102"/>
      <c r="DL84" s="102"/>
      <c r="DM84" s="102"/>
      <c r="DN84" s="102"/>
      <c r="DO84" s="102"/>
      <c r="DP84" s="102"/>
      <c r="DQ84" s="102"/>
      <c r="DR84" s="102"/>
      <c r="DS84" s="102"/>
      <c r="DT84" s="102"/>
      <c r="DU84" s="102"/>
      <c r="DV84" s="102"/>
      <c r="DW84" s="102"/>
      <c r="DX84" s="102"/>
      <c r="DY84" s="102"/>
      <c r="DZ84" s="102"/>
      <c r="EA84" s="102"/>
      <c r="EB84" s="102"/>
      <c r="EC84" s="102"/>
      <c r="ED84" s="102"/>
      <c r="EE84" s="102"/>
      <c r="EF84" s="102"/>
      <c r="EG84" s="102"/>
      <c r="EH84" s="102"/>
      <c r="EI84" s="102"/>
      <c r="EJ84" s="102"/>
      <c r="EK84" s="102"/>
      <c r="EL84" s="102"/>
      <c r="EM84" s="102"/>
      <c r="EN84" s="102"/>
      <c r="EO84" s="102"/>
      <c r="EP84" s="102"/>
      <c r="ES84" s="3422"/>
      <c r="ET84" s="3422"/>
      <c r="EU84" s="3422"/>
      <c r="EV84" s="3422"/>
      <c r="EW84" s="3422"/>
      <c r="EX84" s="3422"/>
      <c r="EY84" s="3422"/>
      <c r="EZ84" s="3422"/>
      <c r="FA84" s="3422"/>
      <c r="FB84" s="3422"/>
      <c r="FC84" s="3422"/>
      <c r="FD84" s="3422"/>
      <c r="FE84" s="3422"/>
      <c r="FF84" s="3422"/>
      <c r="FG84" s="3422"/>
      <c r="FH84" s="3422"/>
      <c r="FI84" s="3422"/>
      <c r="FJ84" s="3422"/>
      <c r="FK84" s="3422"/>
      <c r="FL84" s="3422"/>
      <c r="FM84" s="3422"/>
      <c r="FN84" s="3422"/>
      <c r="FO84" s="3422"/>
      <c r="FP84" s="3422"/>
      <c r="FQ84" s="3422"/>
      <c r="FR84" s="3422"/>
      <c r="FS84" s="3422"/>
      <c r="FT84" s="3422"/>
      <c r="FU84" s="3422"/>
      <c r="FV84" s="3422"/>
      <c r="FW84" s="3422"/>
      <c r="FX84" s="3422"/>
      <c r="FY84" s="3422"/>
      <c r="FZ84" s="3422"/>
      <c r="GA84" s="3422"/>
      <c r="GB84" s="3422"/>
      <c r="GC84" s="3422"/>
      <c r="GD84" s="3422"/>
      <c r="GE84" s="3422"/>
      <c r="GF84" s="3422"/>
      <c r="GG84" s="3422"/>
      <c r="GH84" s="3422"/>
      <c r="GI84" s="3422"/>
      <c r="GJ84" s="3422"/>
      <c r="GK84" s="3422"/>
      <c r="GL84" s="3422"/>
      <c r="GM84" s="3422"/>
      <c r="GN84" s="3422"/>
      <c r="GO84" s="3422"/>
      <c r="GP84" s="3422"/>
      <c r="GQ84" s="3422"/>
      <c r="GR84" s="3422"/>
      <c r="GS84" s="3422"/>
      <c r="GT84" s="3422"/>
      <c r="GU84" s="3422"/>
      <c r="GV84" s="3422"/>
      <c r="GW84" s="3422"/>
      <c r="GX84" s="3422"/>
      <c r="GY84" s="3422"/>
      <c r="GZ84" s="3422"/>
      <c r="HA84" s="3422"/>
      <c r="HB84" s="3422"/>
      <c r="HC84" s="3422"/>
      <c r="HD84" s="3422"/>
      <c r="HE84" s="3422"/>
      <c r="HF84" s="3422"/>
      <c r="HG84" s="3422"/>
      <c r="HH84" s="3422"/>
      <c r="HI84" s="3422"/>
      <c r="HJ84" s="3422"/>
      <c r="HK84" s="3422"/>
      <c r="HL84" s="3422"/>
      <c r="HM84" s="3422"/>
      <c r="HN84" s="3422"/>
      <c r="HO84" s="3422"/>
      <c r="HP84" s="3422"/>
      <c r="HQ84" s="3422"/>
      <c r="HR84" s="3422"/>
      <c r="HS84" s="3422"/>
      <c r="HT84" s="3422"/>
      <c r="HU84" s="3422"/>
      <c r="HV84" s="3422"/>
      <c r="HW84" s="3422"/>
      <c r="HX84" s="3422"/>
      <c r="HY84" s="3422"/>
      <c r="HZ84" s="3422"/>
      <c r="IA84" s="3422"/>
      <c r="IB84" s="3422"/>
      <c r="IC84" s="3422"/>
      <c r="ID84" s="3422"/>
      <c r="IE84" s="3422"/>
      <c r="IF84" s="3422"/>
      <c r="IG84" s="3422"/>
      <c r="IH84" s="3422"/>
      <c r="II84" s="3422"/>
      <c r="IJ84" s="3422"/>
      <c r="IK84" s="3422"/>
      <c r="IL84" s="3422"/>
      <c r="IM84" s="3422"/>
      <c r="IN84" s="3422"/>
      <c r="IO84" s="3422"/>
      <c r="IP84" s="3422"/>
      <c r="IQ84" s="3422"/>
      <c r="IR84" s="3422"/>
      <c r="IS84" s="3422"/>
      <c r="IT84" s="3422"/>
      <c r="IU84" s="3422"/>
      <c r="IV84" s="3422"/>
      <c r="IW84" s="3422"/>
      <c r="IX84" s="3422"/>
      <c r="IY84" s="3422"/>
      <c r="IZ84" s="3422"/>
      <c r="JA84" s="3422"/>
      <c r="JB84" s="3422"/>
      <c r="JC84" s="3422"/>
      <c r="JD84" s="3422"/>
      <c r="JE84" s="3422"/>
      <c r="JF84" s="3422"/>
      <c r="JG84" s="3422"/>
      <c r="JH84" s="3422"/>
      <c r="JI84" s="3422"/>
      <c r="JJ84" s="3422"/>
      <c r="JK84" s="3422"/>
      <c r="JL84" s="3422"/>
      <c r="JM84" s="3422"/>
      <c r="JN84" s="3422"/>
      <c r="JO84" s="3422"/>
      <c r="JP84" s="3422"/>
      <c r="JQ84" s="3422"/>
      <c r="JR84" s="3422"/>
      <c r="JS84" s="3422"/>
      <c r="JT84" s="3422"/>
      <c r="JU84" s="3422"/>
      <c r="JV84" s="3422"/>
      <c r="JW84" s="3422"/>
      <c r="JX84" s="3422"/>
      <c r="JY84" s="3422"/>
      <c r="JZ84" s="3422"/>
      <c r="KA84" s="3422"/>
      <c r="KB84" s="3422"/>
      <c r="KC84" s="3422"/>
      <c r="KD84" s="3422"/>
      <c r="KE84" s="3422"/>
      <c r="KF84" s="3422"/>
      <c r="KG84" s="3422"/>
      <c r="KH84" s="3422"/>
      <c r="KI84" s="3422"/>
      <c r="KJ84" s="3422"/>
      <c r="KK84" s="3422"/>
      <c r="KL84" s="3422"/>
      <c r="KM84" s="3422"/>
      <c r="KN84" s="3422"/>
      <c r="KO84" s="3422"/>
      <c r="KP84" s="3422"/>
      <c r="KQ84" s="3422"/>
      <c r="KR84" s="3422"/>
      <c r="KS84" s="3422"/>
      <c r="KT84" s="3422"/>
      <c r="KU84" s="3422"/>
      <c r="KV84" s="3422"/>
      <c r="KW84" s="3422"/>
      <c r="KX84" s="3422"/>
      <c r="KY84" s="3422"/>
      <c r="KZ84" s="3422"/>
      <c r="LA84" s="3422"/>
      <c r="LB84" s="3422"/>
      <c r="LC84" s="3422"/>
      <c r="LD84" s="3422"/>
      <c r="LE84" s="3422"/>
      <c r="LF84" s="3422"/>
      <c r="LG84" s="3422"/>
      <c r="LH84" s="3422"/>
      <c r="LI84" s="3422"/>
      <c r="LJ84" s="3422"/>
      <c r="LK84" s="3422"/>
      <c r="LL84" s="3422"/>
      <c r="LM84" s="3422"/>
      <c r="LN84" s="3422"/>
      <c r="LO84" s="3422"/>
      <c r="LP84" s="3422"/>
      <c r="LQ84" s="3422"/>
      <c r="LR84" s="3422"/>
      <c r="LS84" s="3422"/>
      <c r="LT84" s="3422"/>
      <c r="LU84" s="3422"/>
      <c r="LV84" s="3422"/>
      <c r="LW84" s="3422"/>
      <c r="LX84" s="3422"/>
      <c r="LY84" s="3422"/>
      <c r="LZ84" s="3422"/>
      <c r="MA84" s="3422"/>
      <c r="MB84" s="3422"/>
      <c r="MC84" s="3422"/>
      <c r="MD84" s="3422"/>
      <c r="ME84" s="3422"/>
      <c r="MF84" s="3422"/>
      <c r="MG84" s="3422"/>
      <c r="MH84" s="3422"/>
      <c r="MI84" s="3422"/>
      <c r="MJ84" s="3422"/>
      <c r="MK84" s="3422"/>
      <c r="ML84" s="3422"/>
      <c r="MM84" s="3422"/>
      <c r="MN84" s="3422"/>
      <c r="MO84" s="3422"/>
      <c r="MP84" s="3422"/>
      <c r="MQ84" s="3422"/>
      <c r="MR84" s="3422"/>
      <c r="MS84" s="3422"/>
      <c r="MT84" s="3422"/>
      <c r="MU84" s="3422"/>
      <c r="MV84" s="3422"/>
      <c r="MW84" s="3422"/>
      <c r="MX84" s="3422"/>
      <c r="MY84" s="3422"/>
      <c r="MZ84" s="3422"/>
      <c r="NA84" s="3422"/>
      <c r="NB84" s="3422"/>
      <c r="NC84" s="3422"/>
      <c r="ND84" s="3422"/>
      <c r="NE84" s="3422"/>
      <c r="NF84" s="3422"/>
      <c r="NG84" s="3422"/>
      <c r="NH84" s="3422"/>
      <c r="NI84" s="3422"/>
      <c r="NJ84" s="3422"/>
      <c r="NK84" s="3422"/>
      <c r="NL84" s="3422"/>
      <c r="NM84" s="3422"/>
      <c r="NN84" s="3422"/>
      <c r="NO84" s="3422"/>
      <c r="NP84" s="3422"/>
      <c r="NQ84" s="3422"/>
      <c r="NR84" s="3422"/>
      <c r="NS84" s="3422"/>
      <c r="NT84" s="3422"/>
      <c r="NU84" s="3422"/>
      <c r="NV84" s="3422"/>
      <c r="NW84" s="3422"/>
      <c r="NX84" s="3422"/>
      <c r="NY84" s="3422"/>
      <c r="NZ84" s="3422"/>
      <c r="OA84" s="3422"/>
      <c r="OB84" s="3422"/>
      <c r="OC84" s="3422"/>
      <c r="OD84" s="3422"/>
      <c r="OE84" s="3422"/>
      <c r="OF84" s="3422"/>
      <c r="OG84" s="3422"/>
      <c r="OH84" s="3422"/>
      <c r="OI84" s="3422"/>
      <c r="OJ84" s="3422"/>
      <c r="OK84" s="3422"/>
      <c r="OL84" s="3422"/>
      <c r="OM84" s="3422"/>
      <c r="ON84" s="3422"/>
      <c r="OO84" s="3422"/>
      <c r="OP84" s="3422"/>
      <c r="OQ84" s="3422"/>
      <c r="OR84" s="3422"/>
      <c r="OS84" s="3422"/>
      <c r="OT84" s="3422"/>
      <c r="OU84" s="3422"/>
      <c r="OV84" s="3422"/>
      <c r="OW84" s="3422"/>
      <c r="OX84" s="3422"/>
      <c r="OY84" s="3422"/>
      <c r="OZ84" s="3422"/>
      <c r="PA84" s="3422"/>
      <c r="PB84" s="3422"/>
      <c r="PC84" s="3422"/>
      <c r="PD84" s="3422"/>
      <c r="PE84" s="3422"/>
      <c r="PF84" s="3422"/>
      <c r="PG84" s="3422"/>
      <c r="PH84" s="3422"/>
      <c r="PI84" s="3422"/>
      <c r="PJ84" s="3422"/>
      <c r="PK84" s="3422"/>
      <c r="PL84" s="3422"/>
      <c r="PM84" s="3422"/>
      <c r="PN84" s="3422"/>
      <c r="PO84" s="3422"/>
      <c r="PP84" s="3422"/>
      <c r="PQ84" s="3422"/>
      <c r="PR84" s="3422"/>
      <c r="PS84" s="3422"/>
      <c r="PT84" s="3422"/>
      <c r="PU84" s="3422"/>
      <c r="PV84" s="3422"/>
      <c r="PW84" s="3422"/>
      <c r="PX84" s="3422"/>
      <c r="PY84" s="3422"/>
      <c r="PZ84" s="3422"/>
      <c r="QA84" s="3422"/>
      <c r="QB84" s="3422"/>
      <c r="QC84" s="3422"/>
      <c r="QD84" s="3422"/>
      <c r="QE84" s="3422"/>
      <c r="QF84" s="3422"/>
      <c r="QG84" s="3422"/>
      <c r="QH84" s="3422"/>
      <c r="QI84" s="3422"/>
      <c r="QJ84" s="3422"/>
      <c r="QK84" s="3422"/>
      <c r="QL84" s="3422"/>
      <c r="QM84" s="3422"/>
      <c r="QN84" s="3422"/>
      <c r="QO84" s="3422"/>
      <c r="QP84" s="3422"/>
      <c r="QQ84" s="3422"/>
      <c r="QR84" s="3422"/>
      <c r="QS84" s="3422"/>
      <c r="QT84" s="3422"/>
      <c r="QU84" s="3422"/>
      <c r="QV84" s="3422"/>
      <c r="QW84" s="3422"/>
      <c r="QX84" s="3422"/>
      <c r="QY84" s="3422"/>
      <c r="QZ84" s="3422"/>
      <c r="RA84" s="3422"/>
      <c r="RB84" s="3422"/>
      <c r="RC84" s="3422"/>
      <c r="RD84" s="3422"/>
      <c r="RE84" s="3422"/>
      <c r="RF84" s="3422"/>
      <c r="RG84" s="3422"/>
      <c r="RH84" s="3422"/>
      <c r="RI84" s="3422"/>
      <c r="RJ84" s="3422"/>
      <c r="RK84" s="3422"/>
      <c r="RL84" s="3422"/>
      <c r="RM84" s="3422"/>
      <c r="RN84" s="3422"/>
      <c r="RO84" s="3422"/>
      <c r="RP84" s="3422"/>
      <c r="RQ84" s="3422"/>
      <c r="RR84" s="3422"/>
      <c r="RS84" s="3422"/>
      <c r="RT84" s="3422"/>
      <c r="RU84" s="3422"/>
      <c r="RV84" s="3422"/>
      <c r="RW84" s="3422"/>
      <c r="RX84" s="3422"/>
      <c r="RY84" s="3422"/>
      <c r="RZ84" s="3422"/>
      <c r="SA84" s="3422"/>
      <c r="SB84" s="3422"/>
      <c r="SC84" s="3422"/>
      <c r="SD84" s="3422"/>
      <c r="SE84" s="3422"/>
      <c r="SF84" s="3422"/>
      <c r="SG84" s="3422"/>
      <c r="SH84" s="3422"/>
      <c r="SI84" s="3422"/>
      <c r="SJ84" s="3422"/>
      <c r="SK84" s="3422"/>
      <c r="SL84" s="3422"/>
      <c r="SM84" s="3422"/>
      <c r="SN84" s="3422"/>
      <c r="SO84" s="3422"/>
      <c r="SP84" s="3422"/>
      <c r="SQ84" s="3422"/>
      <c r="SR84" s="3422"/>
      <c r="SS84" s="3422"/>
      <c r="ST84" s="3422"/>
      <c r="SU84" s="3422"/>
      <c r="SV84" s="3422"/>
      <c r="SW84" s="3422"/>
      <c r="SX84" s="3422"/>
      <c r="SY84" s="3422"/>
      <c r="SZ84" s="3422"/>
      <c r="TA84" s="3422"/>
      <c r="TB84" s="3422"/>
      <c r="TC84" s="3422"/>
      <c r="TD84" s="3422"/>
      <c r="TE84" s="3422"/>
      <c r="TF84" s="3422"/>
      <c r="TG84" s="3422"/>
      <c r="TH84" s="3422"/>
      <c r="TI84" s="3422"/>
      <c r="TJ84" s="3422"/>
      <c r="TK84" s="3422"/>
      <c r="TL84" s="3422"/>
      <c r="TM84" s="3422"/>
      <c r="TN84" s="3422"/>
      <c r="TO84" s="3422"/>
      <c r="TP84" s="3422"/>
      <c r="TQ84" s="3422"/>
      <c r="TR84" s="3422"/>
      <c r="TS84" s="3422"/>
      <c r="TT84" s="3422"/>
      <c r="TU84" s="3422"/>
      <c r="TV84" s="3422"/>
      <c r="TW84" s="3422"/>
      <c r="TX84" s="3422"/>
      <c r="TY84" s="3422"/>
      <c r="TZ84" s="3422"/>
      <c r="UA84" s="3422"/>
      <c r="UB84" s="3422"/>
      <c r="UC84" s="3422"/>
      <c r="UD84" s="3422"/>
      <c r="UE84" s="3422"/>
      <c r="UF84" s="3422"/>
      <c r="UG84" s="3422"/>
      <c r="UH84" s="3422"/>
      <c r="UI84" s="3422"/>
      <c r="UJ84" s="3422"/>
      <c r="UK84" s="3422"/>
      <c r="UL84" s="3422"/>
      <c r="UM84" s="3422"/>
      <c r="UN84" s="3422"/>
      <c r="UO84" s="3422"/>
      <c r="UP84" s="3422"/>
      <c r="UQ84" s="3422"/>
      <c r="UR84" s="3422"/>
      <c r="US84" s="3422"/>
      <c r="UT84" s="3422"/>
      <c r="UU84" s="3422"/>
      <c r="UV84" s="3422"/>
      <c r="UW84" s="3422"/>
      <c r="UX84" s="3422"/>
      <c r="UY84" s="3422"/>
      <c r="UZ84" s="3422"/>
      <c r="VA84" s="3422"/>
      <c r="VB84" s="3422"/>
      <c r="VC84" s="3422"/>
      <c r="VD84" s="3422"/>
      <c r="VE84" s="3422"/>
      <c r="VF84" s="3422"/>
      <c r="VG84" s="3422"/>
      <c r="VH84" s="3422"/>
      <c r="VI84" s="3422"/>
      <c r="VJ84" s="3422"/>
      <c r="VK84" s="3422"/>
      <c r="VL84" s="3422"/>
      <c r="VM84" s="3422"/>
      <c r="VN84" s="3422"/>
      <c r="VO84" s="3422"/>
      <c r="VP84" s="3422"/>
      <c r="VQ84" s="3422"/>
      <c r="VR84" s="3422"/>
      <c r="VS84" s="3422"/>
      <c r="VT84" s="3422"/>
      <c r="VU84" s="3422"/>
      <c r="VV84" s="3422"/>
      <c r="VW84" s="3422"/>
      <c r="VX84" s="3422"/>
      <c r="VY84" s="3422"/>
      <c r="VZ84" s="3422"/>
      <c r="WA84" s="3422"/>
      <c r="WB84" s="3422"/>
      <c r="WC84" s="3422"/>
      <c r="WD84" s="3422"/>
      <c r="WE84" s="3422"/>
      <c r="WF84" s="3422"/>
      <c r="WG84" s="3422"/>
      <c r="WH84" s="3422"/>
      <c r="WI84" s="3422"/>
      <c r="WJ84" s="3422"/>
      <c r="WK84" s="3422"/>
      <c r="WL84" s="3422"/>
      <c r="WM84" s="3422"/>
      <c r="WN84" s="3422"/>
      <c r="WO84" s="3422"/>
      <c r="WP84" s="3422"/>
      <c r="WQ84" s="3422"/>
      <c r="WR84" s="3422"/>
      <c r="WS84" s="3422"/>
      <c r="WT84" s="3422"/>
      <c r="WU84" s="3422"/>
      <c r="WV84" s="3422"/>
      <c r="WW84" s="3422"/>
      <c r="WX84" s="3422"/>
      <c r="WY84" s="3422"/>
      <c r="WZ84" s="3422"/>
      <c r="XA84" s="3422"/>
      <c r="XB84" s="3422"/>
      <c r="XC84" s="3422"/>
      <c r="XD84" s="3422"/>
      <c r="XE84" s="3422"/>
      <c r="XF84" s="3422"/>
      <c r="XG84" s="3422"/>
      <c r="XH84" s="3422"/>
      <c r="XI84" s="3422"/>
      <c r="XJ84" s="3422"/>
      <c r="XK84" s="3422"/>
      <c r="XL84" s="3422"/>
      <c r="XM84" s="3422"/>
      <c r="XN84" s="3422"/>
      <c r="XO84" s="3422"/>
      <c r="XP84" s="3422"/>
      <c r="XQ84" s="3422"/>
      <c r="XR84" s="3422"/>
      <c r="XS84" s="3422"/>
      <c r="XT84" s="3422"/>
      <c r="XU84" s="3422"/>
      <c r="XV84" s="3422"/>
      <c r="XW84" s="3422"/>
      <c r="XX84" s="3422"/>
      <c r="XY84" s="3422"/>
      <c r="XZ84" s="3422"/>
      <c r="YA84" s="3422"/>
      <c r="YB84" s="3422"/>
      <c r="YC84" s="3422"/>
      <c r="YD84" s="3422"/>
      <c r="YE84" s="3422"/>
      <c r="YF84" s="3422"/>
      <c r="YG84" s="3422"/>
      <c r="YH84" s="3422"/>
      <c r="YI84" s="3422"/>
      <c r="YJ84" s="3422"/>
      <c r="YK84" s="3422"/>
      <c r="YL84" s="3422"/>
      <c r="YM84" s="3422"/>
      <c r="YN84" s="3422"/>
      <c r="YO84" s="3422"/>
      <c r="YP84" s="3422"/>
      <c r="YQ84" s="3422"/>
      <c r="YR84" s="3422"/>
      <c r="YS84" s="3422"/>
      <c r="YT84" s="3422"/>
      <c r="YU84" s="3422"/>
      <c r="YV84" s="3422"/>
      <c r="YW84" s="3422"/>
      <c r="YX84" s="3422"/>
      <c r="YY84" s="3422"/>
      <c r="YZ84" s="3422"/>
      <c r="ZA84" s="3422"/>
      <c r="ZB84" s="3422"/>
      <c r="ZC84" s="3422"/>
      <c r="ZD84" s="3422"/>
      <c r="ZE84" s="3422"/>
      <c r="ZF84" s="3422"/>
      <c r="ZG84" s="3422"/>
      <c r="ZH84" s="3422"/>
      <c r="ZI84" s="3422"/>
      <c r="ZJ84" s="3422"/>
      <c r="ZK84" s="3422"/>
      <c r="ZL84" s="3422"/>
      <c r="ZM84" s="3422"/>
      <c r="ZN84" s="3422"/>
      <c r="ZO84" s="3422"/>
      <c r="ZP84" s="3422"/>
      <c r="ZQ84" s="3422"/>
      <c r="ZR84" s="3422"/>
      <c r="ZS84" s="3422"/>
      <c r="ZT84" s="3422"/>
      <c r="ZU84" s="3422"/>
      <c r="ZV84" s="3422"/>
      <c r="ZW84" s="3422"/>
      <c r="ZX84" s="3422"/>
      <c r="ZY84" s="3422"/>
      <c r="ZZ84" s="3422"/>
      <c r="AAA84" s="3422"/>
      <c r="AAB84" s="3422"/>
      <c r="AAC84" s="3422"/>
      <c r="AAD84" s="3422"/>
      <c r="AAE84" s="3422"/>
      <c r="AAF84" s="3422"/>
      <c r="AAG84" s="3422"/>
      <c r="AAH84" s="3422"/>
      <c r="AAI84" s="3422"/>
      <c r="AAJ84" s="3422"/>
      <c r="AAK84" s="3422"/>
      <c r="AAL84" s="3422"/>
      <c r="AAM84" s="3422"/>
      <c r="AAN84" s="3422"/>
      <c r="AAO84" s="3422"/>
      <c r="AAP84" s="3422"/>
      <c r="AAQ84" s="3422"/>
      <c r="AAR84" s="3422"/>
      <c r="AAS84" s="3422"/>
      <c r="AAT84" s="3422"/>
      <c r="AAU84" s="3422"/>
      <c r="AAV84" s="3422"/>
      <c r="AAW84" s="3422"/>
      <c r="AAX84" s="3422"/>
      <c r="AAY84" s="3422"/>
      <c r="AAZ84" s="3422"/>
      <c r="ABA84" s="3422"/>
      <c r="ABB84" s="3422"/>
      <c r="ABC84" s="3422"/>
      <c r="ABD84" s="3422"/>
      <c r="ABE84" s="3422"/>
      <c r="ABF84" s="3422"/>
      <c r="ABG84" s="3422"/>
      <c r="ABH84" s="3422"/>
      <c r="ABI84" s="3422"/>
      <c r="ABJ84" s="3422"/>
      <c r="ABK84" s="3422"/>
      <c r="ABL84" s="3422"/>
      <c r="ABM84" s="3422"/>
      <c r="ABN84" s="3422"/>
      <c r="ABO84" s="3422"/>
      <c r="ABP84" s="3422"/>
      <c r="ABQ84" s="3422"/>
      <c r="ABR84" s="3422"/>
      <c r="ABS84" s="3422"/>
      <c r="ABT84" s="3422"/>
      <c r="ABU84" s="3422"/>
      <c r="ABV84" s="3422"/>
      <c r="ABW84" s="3422"/>
      <c r="ABX84" s="3422"/>
      <c r="ABY84" s="3422"/>
      <c r="ABZ84" s="3422"/>
      <c r="ACA84" s="3422"/>
      <c r="ACB84" s="3422"/>
      <c r="ACC84" s="3422"/>
      <c r="ACD84" s="3422"/>
      <c r="ACE84" s="3422"/>
      <c r="ACF84" s="3422"/>
      <c r="ACG84" s="3422"/>
      <c r="ACH84" s="3422"/>
      <c r="ACI84" s="3422"/>
      <c r="ACJ84" s="3422"/>
      <c r="ACK84" s="3422"/>
      <c r="ACL84" s="3422"/>
    </row>
    <row r="85" spans="1:1215" s="628" customFormat="1" ht="19.5" customHeight="1" x14ac:dyDescent="0.25">
      <c r="A85" s="1915"/>
      <c r="B85" s="1916"/>
      <c r="C85" s="2224"/>
      <c r="D85" s="2753"/>
      <c r="E85" s="1944"/>
      <c r="F85" s="1813"/>
      <c r="G85" s="1789"/>
      <c r="H85" s="1814"/>
      <c r="I85" s="1813"/>
      <c r="J85" s="1813"/>
      <c r="K85" s="1814"/>
      <c r="L85" s="1813"/>
      <c r="M85" s="1813"/>
      <c r="N85" s="1789"/>
      <c r="O85" s="2794"/>
      <c r="P85" s="1944"/>
      <c r="Q85" s="1789"/>
      <c r="R85" s="1789"/>
      <c r="S85" s="1789"/>
      <c r="T85" s="1789"/>
      <c r="U85" s="1789"/>
      <c r="V85" s="1944"/>
      <c r="W85" s="1789"/>
      <c r="X85" s="1789"/>
      <c r="Y85" s="1789"/>
      <c r="Z85" s="2812"/>
      <c r="AA85" s="2711"/>
      <c r="AB85" s="1813"/>
      <c r="AC85" s="1813"/>
      <c r="AD85" s="1789"/>
      <c r="AE85" s="1789"/>
      <c r="AF85" s="1789"/>
      <c r="AG85" s="1789"/>
      <c r="AH85" s="1789"/>
      <c r="AI85" s="1789"/>
      <c r="AJ85" s="1789"/>
      <c r="AK85" s="2837"/>
      <c r="AL85" s="2712"/>
      <c r="AM85" s="2690"/>
      <c r="AN85" s="1789"/>
      <c r="AO85" s="1789"/>
      <c r="AP85" s="1789"/>
      <c r="AQ85" s="1789"/>
      <c r="AR85" s="1789"/>
      <c r="AS85" s="1789"/>
      <c r="AT85" s="1789"/>
      <c r="AU85" s="1789"/>
      <c r="AV85" s="1789"/>
      <c r="AW85" s="2837"/>
      <c r="AX85" s="2712"/>
      <c r="AY85" s="2690"/>
      <c r="AZ85" s="1789"/>
      <c r="BA85" s="1789"/>
      <c r="BB85" s="1789"/>
      <c r="BC85" s="1789"/>
      <c r="BD85" s="1789"/>
      <c r="BE85" s="1789"/>
      <c r="BF85" s="1789"/>
      <c r="BG85" s="1789"/>
      <c r="BH85" s="1789"/>
      <c r="BI85" s="2837"/>
      <c r="BJ85" s="1998"/>
      <c r="BK85" s="2551"/>
      <c r="BL85" s="2551"/>
      <c r="BM85" s="1789"/>
      <c r="BN85" s="1789"/>
      <c r="BO85" s="1789"/>
      <c r="BP85" s="1789"/>
      <c r="BQ85" s="1789"/>
      <c r="BR85" s="1789"/>
      <c r="BS85" s="1789"/>
      <c r="BT85" s="2794"/>
      <c r="BU85" s="3425"/>
      <c r="BV85" s="3058"/>
      <c r="BW85" s="3058"/>
      <c r="BX85" s="3058"/>
      <c r="BY85" s="102"/>
      <c r="BZ85" s="102"/>
      <c r="CA85" s="102"/>
      <c r="CB85" s="102"/>
      <c r="CC85" s="102"/>
      <c r="CD85" s="102"/>
      <c r="CE85" s="102"/>
      <c r="CF85" s="102"/>
      <c r="CG85" s="102"/>
      <c r="CH85" s="102"/>
      <c r="CI85" s="102"/>
      <c r="CJ85" s="102"/>
      <c r="CK85" s="102"/>
      <c r="CL85" s="102"/>
      <c r="CM85" s="102"/>
      <c r="CN85" s="102"/>
      <c r="CO85" s="102"/>
      <c r="CP85" s="102"/>
      <c r="CQ85" s="102"/>
      <c r="CR85" s="102"/>
      <c r="CS85" s="102"/>
      <c r="CT85" s="102"/>
      <c r="CU85" s="102"/>
      <c r="CV85" s="102"/>
      <c r="CW85" s="102"/>
      <c r="CX85" s="102"/>
      <c r="CY85" s="102"/>
      <c r="CZ85" s="102"/>
      <c r="DA85" s="102"/>
      <c r="DB85" s="102"/>
      <c r="DC85" s="102"/>
      <c r="DD85" s="102"/>
      <c r="DE85" s="102"/>
      <c r="DF85" s="102"/>
      <c r="DG85" s="102"/>
      <c r="DH85" s="102"/>
      <c r="DI85" s="102"/>
      <c r="DJ85" s="102"/>
      <c r="DK85" s="102"/>
      <c r="DL85" s="102"/>
      <c r="DM85" s="102"/>
      <c r="DN85" s="102"/>
      <c r="DO85" s="102"/>
      <c r="DP85" s="102"/>
      <c r="DQ85" s="102"/>
      <c r="DR85" s="102"/>
      <c r="DS85" s="102"/>
      <c r="DT85" s="102"/>
      <c r="DU85" s="102"/>
      <c r="DV85" s="102"/>
      <c r="DW85" s="102"/>
      <c r="DX85" s="102"/>
      <c r="DY85" s="102"/>
      <c r="DZ85" s="102"/>
      <c r="EA85" s="102"/>
      <c r="EB85" s="102"/>
      <c r="EC85" s="102"/>
      <c r="ED85" s="102"/>
      <c r="EE85" s="102"/>
      <c r="EF85" s="102"/>
      <c r="EG85" s="102"/>
      <c r="EH85" s="102"/>
      <c r="EI85" s="102"/>
      <c r="EJ85" s="102"/>
      <c r="EK85" s="102"/>
      <c r="EL85" s="102"/>
      <c r="EM85" s="102"/>
      <c r="EN85" s="102"/>
      <c r="EO85" s="102"/>
      <c r="EP85" s="102"/>
      <c r="ES85" s="3422"/>
      <c r="ET85" s="3422"/>
      <c r="EU85" s="3422"/>
      <c r="EV85" s="3422"/>
      <c r="EW85" s="3422"/>
      <c r="EX85" s="3422"/>
      <c r="EY85" s="3422"/>
      <c r="EZ85" s="3422"/>
      <c r="FA85" s="3422"/>
      <c r="FB85" s="3422"/>
      <c r="FC85" s="3422"/>
      <c r="FD85" s="3422"/>
      <c r="FE85" s="3422"/>
      <c r="FF85" s="3422"/>
      <c r="FG85" s="3422"/>
      <c r="FH85" s="3422"/>
      <c r="FI85" s="3422"/>
      <c r="FJ85" s="3422"/>
      <c r="FK85" s="3422"/>
      <c r="FL85" s="3422"/>
      <c r="FM85" s="3422"/>
      <c r="FN85" s="3422"/>
      <c r="FO85" s="3422"/>
      <c r="FP85" s="3422"/>
      <c r="FQ85" s="3422"/>
      <c r="FR85" s="3422"/>
      <c r="FS85" s="3422"/>
      <c r="FT85" s="3422"/>
      <c r="FU85" s="3422"/>
      <c r="FV85" s="3422"/>
      <c r="FW85" s="3422"/>
      <c r="FX85" s="3422"/>
      <c r="FY85" s="3422"/>
      <c r="FZ85" s="3422"/>
      <c r="GA85" s="3422"/>
      <c r="GB85" s="3422"/>
      <c r="GC85" s="3422"/>
      <c r="GD85" s="3422"/>
      <c r="GE85" s="3422"/>
      <c r="GF85" s="3422"/>
      <c r="GG85" s="3422"/>
      <c r="GH85" s="3422"/>
      <c r="GI85" s="3422"/>
      <c r="GJ85" s="3422"/>
      <c r="GK85" s="3422"/>
      <c r="GL85" s="3422"/>
      <c r="GM85" s="3422"/>
      <c r="GN85" s="3422"/>
      <c r="GO85" s="3422"/>
      <c r="GP85" s="3422"/>
      <c r="GQ85" s="3422"/>
      <c r="GR85" s="3422"/>
      <c r="GS85" s="3422"/>
      <c r="GT85" s="3422"/>
      <c r="GU85" s="3422"/>
      <c r="GV85" s="3422"/>
      <c r="GW85" s="3422"/>
      <c r="GX85" s="3422"/>
      <c r="GY85" s="3422"/>
      <c r="GZ85" s="3422"/>
      <c r="HA85" s="3422"/>
      <c r="HB85" s="3422"/>
      <c r="HC85" s="3422"/>
      <c r="HD85" s="3422"/>
      <c r="HE85" s="3422"/>
      <c r="HF85" s="3422"/>
      <c r="HG85" s="3422"/>
      <c r="HH85" s="3422"/>
      <c r="HI85" s="3422"/>
      <c r="HJ85" s="3422"/>
      <c r="HK85" s="3422"/>
      <c r="HL85" s="3422"/>
      <c r="HM85" s="3422"/>
      <c r="HN85" s="3422"/>
      <c r="HO85" s="3422"/>
      <c r="HP85" s="3422"/>
      <c r="HQ85" s="3422"/>
      <c r="HR85" s="3422"/>
      <c r="HS85" s="3422"/>
      <c r="HT85" s="3422"/>
      <c r="HU85" s="3422"/>
      <c r="HV85" s="3422"/>
      <c r="HW85" s="3422"/>
      <c r="HX85" s="3422"/>
      <c r="HY85" s="3422"/>
      <c r="HZ85" s="3422"/>
      <c r="IA85" s="3422"/>
      <c r="IB85" s="3422"/>
      <c r="IC85" s="3422"/>
      <c r="ID85" s="3422"/>
      <c r="IE85" s="3422"/>
      <c r="IF85" s="3422"/>
      <c r="IG85" s="3422"/>
      <c r="IH85" s="3422"/>
      <c r="II85" s="3422"/>
      <c r="IJ85" s="3422"/>
      <c r="IK85" s="3422"/>
      <c r="IL85" s="3422"/>
      <c r="IM85" s="3422"/>
      <c r="IN85" s="3422"/>
      <c r="IO85" s="3422"/>
      <c r="IP85" s="3422"/>
      <c r="IQ85" s="3422"/>
      <c r="IR85" s="3422"/>
      <c r="IS85" s="3422"/>
      <c r="IT85" s="3422"/>
      <c r="IU85" s="3422"/>
      <c r="IV85" s="3422"/>
      <c r="IW85" s="3422"/>
      <c r="IX85" s="3422"/>
      <c r="IY85" s="3422"/>
      <c r="IZ85" s="3422"/>
      <c r="JA85" s="3422"/>
      <c r="JB85" s="3422"/>
      <c r="JC85" s="3422"/>
      <c r="JD85" s="3422"/>
      <c r="JE85" s="3422"/>
      <c r="JF85" s="3422"/>
      <c r="JG85" s="3422"/>
      <c r="JH85" s="3422"/>
      <c r="JI85" s="3422"/>
      <c r="JJ85" s="3422"/>
      <c r="JK85" s="3422"/>
      <c r="JL85" s="3422"/>
      <c r="JM85" s="3422"/>
      <c r="JN85" s="3422"/>
      <c r="JO85" s="3422"/>
      <c r="JP85" s="3422"/>
      <c r="JQ85" s="3422"/>
      <c r="JR85" s="3422"/>
      <c r="JS85" s="3422"/>
      <c r="JT85" s="3422"/>
      <c r="JU85" s="3422"/>
      <c r="JV85" s="3422"/>
      <c r="JW85" s="3422"/>
      <c r="JX85" s="3422"/>
      <c r="JY85" s="3422"/>
      <c r="JZ85" s="3422"/>
      <c r="KA85" s="3422"/>
      <c r="KB85" s="3422"/>
      <c r="KC85" s="3422"/>
      <c r="KD85" s="3422"/>
      <c r="KE85" s="3422"/>
      <c r="KF85" s="3422"/>
      <c r="KG85" s="3422"/>
      <c r="KH85" s="3422"/>
      <c r="KI85" s="3422"/>
      <c r="KJ85" s="3422"/>
      <c r="KK85" s="3422"/>
      <c r="KL85" s="3422"/>
      <c r="KM85" s="3422"/>
      <c r="KN85" s="3422"/>
      <c r="KO85" s="3422"/>
      <c r="KP85" s="3422"/>
      <c r="KQ85" s="3422"/>
      <c r="KR85" s="3422"/>
      <c r="KS85" s="3422"/>
      <c r="KT85" s="3422"/>
      <c r="KU85" s="3422"/>
      <c r="KV85" s="3422"/>
      <c r="KW85" s="3422"/>
      <c r="KX85" s="3422"/>
      <c r="KY85" s="3422"/>
      <c r="KZ85" s="3422"/>
      <c r="LA85" s="3422"/>
      <c r="LB85" s="3422"/>
      <c r="LC85" s="3422"/>
      <c r="LD85" s="3422"/>
      <c r="LE85" s="3422"/>
      <c r="LF85" s="3422"/>
      <c r="LG85" s="3422"/>
      <c r="LH85" s="3422"/>
      <c r="LI85" s="3422"/>
      <c r="LJ85" s="3422"/>
      <c r="LK85" s="3422"/>
      <c r="LL85" s="3422"/>
      <c r="LM85" s="3422"/>
      <c r="LN85" s="3422"/>
      <c r="LO85" s="3422"/>
      <c r="LP85" s="3422"/>
      <c r="LQ85" s="3422"/>
      <c r="LR85" s="3422"/>
      <c r="LS85" s="3422"/>
      <c r="LT85" s="3422"/>
      <c r="LU85" s="3422"/>
      <c r="LV85" s="3422"/>
      <c r="LW85" s="3422"/>
      <c r="LX85" s="3422"/>
      <c r="LY85" s="3422"/>
      <c r="LZ85" s="3422"/>
      <c r="MA85" s="3422"/>
      <c r="MB85" s="3422"/>
      <c r="MC85" s="3422"/>
      <c r="MD85" s="3422"/>
      <c r="ME85" s="3422"/>
      <c r="MF85" s="3422"/>
      <c r="MG85" s="3422"/>
      <c r="MH85" s="3422"/>
      <c r="MI85" s="3422"/>
      <c r="MJ85" s="3422"/>
      <c r="MK85" s="3422"/>
      <c r="ML85" s="3422"/>
      <c r="MM85" s="3422"/>
      <c r="MN85" s="3422"/>
      <c r="MO85" s="3422"/>
      <c r="MP85" s="3422"/>
      <c r="MQ85" s="3422"/>
      <c r="MR85" s="3422"/>
      <c r="MS85" s="3422"/>
      <c r="MT85" s="3422"/>
      <c r="MU85" s="3422"/>
      <c r="MV85" s="3422"/>
      <c r="MW85" s="3422"/>
      <c r="MX85" s="3422"/>
      <c r="MY85" s="3422"/>
      <c r="MZ85" s="3422"/>
      <c r="NA85" s="3422"/>
      <c r="NB85" s="3422"/>
      <c r="NC85" s="3422"/>
      <c r="ND85" s="3422"/>
      <c r="NE85" s="3422"/>
      <c r="NF85" s="3422"/>
      <c r="NG85" s="3422"/>
      <c r="NH85" s="3422"/>
      <c r="NI85" s="3422"/>
      <c r="NJ85" s="3422"/>
      <c r="NK85" s="3422"/>
      <c r="NL85" s="3422"/>
      <c r="NM85" s="3422"/>
      <c r="NN85" s="3422"/>
      <c r="NO85" s="3422"/>
      <c r="NP85" s="3422"/>
      <c r="NQ85" s="3422"/>
      <c r="NR85" s="3422"/>
      <c r="NS85" s="3422"/>
      <c r="NT85" s="3422"/>
      <c r="NU85" s="3422"/>
      <c r="NV85" s="3422"/>
      <c r="NW85" s="3422"/>
      <c r="NX85" s="3422"/>
      <c r="NY85" s="3422"/>
      <c r="NZ85" s="3422"/>
      <c r="OA85" s="3422"/>
      <c r="OB85" s="3422"/>
      <c r="OC85" s="3422"/>
      <c r="OD85" s="3422"/>
      <c r="OE85" s="3422"/>
      <c r="OF85" s="3422"/>
      <c r="OG85" s="3422"/>
      <c r="OH85" s="3422"/>
      <c r="OI85" s="3422"/>
      <c r="OJ85" s="3422"/>
      <c r="OK85" s="3422"/>
      <c r="OL85" s="3422"/>
      <c r="OM85" s="3422"/>
      <c r="ON85" s="3422"/>
      <c r="OO85" s="3422"/>
      <c r="OP85" s="3422"/>
      <c r="OQ85" s="3422"/>
      <c r="OR85" s="3422"/>
      <c r="OS85" s="3422"/>
      <c r="OT85" s="3422"/>
      <c r="OU85" s="3422"/>
      <c r="OV85" s="3422"/>
      <c r="OW85" s="3422"/>
      <c r="OX85" s="3422"/>
      <c r="OY85" s="3422"/>
      <c r="OZ85" s="3422"/>
      <c r="PA85" s="3422"/>
      <c r="PB85" s="3422"/>
      <c r="PC85" s="3422"/>
      <c r="PD85" s="3422"/>
      <c r="PE85" s="3422"/>
      <c r="PF85" s="3422"/>
      <c r="PG85" s="3422"/>
      <c r="PH85" s="3422"/>
      <c r="PI85" s="3422"/>
      <c r="PJ85" s="3422"/>
      <c r="PK85" s="3422"/>
      <c r="PL85" s="3422"/>
      <c r="PM85" s="3422"/>
      <c r="PN85" s="3422"/>
      <c r="PO85" s="3422"/>
      <c r="PP85" s="3422"/>
      <c r="PQ85" s="3422"/>
      <c r="PR85" s="3422"/>
      <c r="PS85" s="3422"/>
      <c r="PT85" s="3422"/>
      <c r="PU85" s="3422"/>
      <c r="PV85" s="3422"/>
      <c r="PW85" s="3422"/>
      <c r="PX85" s="3422"/>
      <c r="PY85" s="3422"/>
      <c r="PZ85" s="3422"/>
      <c r="QA85" s="3422"/>
      <c r="QB85" s="3422"/>
      <c r="QC85" s="3422"/>
      <c r="QD85" s="3422"/>
      <c r="QE85" s="3422"/>
      <c r="QF85" s="3422"/>
      <c r="QG85" s="3422"/>
      <c r="QH85" s="3422"/>
      <c r="QI85" s="3422"/>
      <c r="QJ85" s="3422"/>
      <c r="QK85" s="3422"/>
      <c r="QL85" s="3422"/>
      <c r="QM85" s="3422"/>
      <c r="QN85" s="3422"/>
      <c r="QO85" s="3422"/>
      <c r="QP85" s="3422"/>
      <c r="QQ85" s="3422"/>
      <c r="QR85" s="3422"/>
      <c r="QS85" s="3422"/>
      <c r="QT85" s="3422"/>
      <c r="QU85" s="3422"/>
      <c r="QV85" s="3422"/>
      <c r="QW85" s="3422"/>
      <c r="QX85" s="3422"/>
      <c r="QY85" s="3422"/>
      <c r="QZ85" s="3422"/>
      <c r="RA85" s="3422"/>
      <c r="RB85" s="3422"/>
      <c r="RC85" s="3422"/>
      <c r="RD85" s="3422"/>
      <c r="RE85" s="3422"/>
      <c r="RF85" s="3422"/>
      <c r="RG85" s="3422"/>
      <c r="RH85" s="3422"/>
      <c r="RI85" s="3422"/>
      <c r="RJ85" s="3422"/>
      <c r="RK85" s="3422"/>
      <c r="RL85" s="3422"/>
      <c r="RM85" s="3422"/>
      <c r="RN85" s="3422"/>
      <c r="RO85" s="3422"/>
      <c r="RP85" s="3422"/>
      <c r="RQ85" s="3422"/>
      <c r="RR85" s="3422"/>
      <c r="RS85" s="3422"/>
      <c r="RT85" s="3422"/>
      <c r="RU85" s="3422"/>
      <c r="RV85" s="3422"/>
      <c r="RW85" s="3422"/>
      <c r="RX85" s="3422"/>
      <c r="RY85" s="3422"/>
      <c r="RZ85" s="3422"/>
      <c r="SA85" s="3422"/>
      <c r="SB85" s="3422"/>
      <c r="SC85" s="3422"/>
      <c r="SD85" s="3422"/>
      <c r="SE85" s="3422"/>
      <c r="SF85" s="3422"/>
      <c r="SG85" s="3422"/>
      <c r="SH85" s="3422"/>
      <c r="SI85" s="3422"/>
      <c r="SJ85" s="3422"/>
      <c r="SK85" s="3422"/>
      <c r="SL85" s="3422"/>
      <c r="SM85" s="3422"/>
      <c r="SN85" s="3422"/>
      <c r="SO85" s="3422"/>
      <c r="SP85" s="3422"/>
      <c r="SQ85" s="3422"/>
      <c r="SR85" s="3422"/>
      <c r="SS85" s="3422"/>
      <c r="ST85" s="3422"/>
      <c r="SU85" s="3422"/>
      <c r="SV85" s="3422"/>
      <c r="SW85" s="3422"/>
      <c r="SX85" s="3422"/>
      <c r="SY85" s="3422"/>
      <c r="SZ85" s="3422"/>
      <c r="TA85" s="3422"/>
      <c r="TB85" s="3422"/>
      <c r="TC85" s="3422"/>
      <c r="TD85" s="3422"/>
      <c r="TE85" s="3422"/>
      <c r="TF85" s="3422"/>
      <c r="TG85" s="3422"/>
      <c r="TH85" s="3422"/>
      <c r="TI85" s="3422"/>
      <c r="TJ85" s="3422"/>
      <c r="TK85" s="3422"/>
      <c r="TL85" s="3422"/>
      <c r="TM85" s="3422"/>
      <c r="TN85" s="3422"/>
      <c r="TO85" s="3422"/>
      <c r="TP85" s="3422"/>
      <c r="TQ85" s="3422"/>
      <c r="TR85" s="3422"/>
      <c r="TS85" s="3422"/>
      <c r="TT85" s="3422"/>
      <c r="TU85" s="3422"/>
      <c r="TV85" s="3422"/>
      <c r="TW85" s="3422"/>
      <c r="TX85" s="3422"/>
      <c r="TY85" s="3422"/>
      <c r="TZ85" s="3422"/>
      <c r="UA85" s="3422"/>
      <c r="UB85" s="3422"/>
      <c r="UC85" s="3422"/>
      <c r="UD85" s="3422"/>
      <c r="UE85" s="3422"/>
      <c r="UF85" s="3422"/>
      <c r="UG85" s="3422"/>
      <c r="UH85" s="3422"/>
      <c r="UI85" s="3422"/>
      <c r="UJ85" s="3422"/>
      <c r="UK85" s="3422"/>
      <c r="UL85" s="3422"/>
      <c r="UM85" s="3422"/>
      <c r="UN85" s="3422"/>
      <c r="UO85" s="3422"/>
      <c r="UP85" s="3422"/>
      <c r="UQ85" s="3422"/>
      <c r="UR85" s="3422"/>
      <c r="US85" s="3422"/>
      <c r="UT85" s="3422"/>
      <c r="UU85" s="3422"/>
      <c r="UV85" s="3422"/>
      <c r="UW85" s="3422"/>
      <c r="UX85" s="3422"/>
      <c r="UY85" s="3422"/>
      <c r="UZ85" s="3422"/>
      <c r="VA85" s="3422"/>
      <c r="VB85" s="3422"/>
      <c r="VC85" s="3422"/>
      <c r="VD85" s="3422"/>
      <c r="VE85" s="3422"/>
      <c r="VF85" s="3422"/>
      <c r="VG85" s="3422"/>
      <c r="VH85" s="3422"/>
      <c r="VI85" s="3422"/>
      <c r="VJ85" s="3422"/>
      <c r="VK85" s="3422"/>
      <c r="VL85" s="3422"/>
      <c r="VM85" s="3422"/>
      <c r="VN85" s="3422"/>
      <c r="VO85" s="3422"/>
      <c r="VP85" s="3422"/>
      <c r="VQ85" s="3422"/>
      <c r="VR85" s="3422"/>
      <c r="VS85" s="3422"/>
      <c r="VT85" s="3422"/>
      <c r="VU85" s="3422"/>
      <c r="VV85" s="3422"/>
      <c r="VW85" s="3422"/>
      <c r="VX85" s="3422"/>
      <c r="VY85" s="3422"/>
      <c r="VZ85" s="3422"/>
      <c r="WA85" s="3422"/>
      <c r="WB85" s="3422"/>
      <c r="WC85" s="3422"/>
      <c r="WD85" s="3422"/>
      <c r="WE85" s="3422"/>
      <c r="WF85" s="3422"/>
      <c r="WG85" s="3422"/>
      <c r="WH85" s="3422"/>
      <c r="WI85" s="3422"/>
      <c r="WJ85" s="3422"/>
      <c r="WK85" s="3422"/>
      <c r="WL85" s="3422"/>
      <c r="WM85" s="3422"/>
      <c r="WN85" s="3422"/>
      <c r="WO85" s="3422"/>
      <c r="WP85" s="3422"/>
      <c r="WQ85" s="3422"/>
      <c r="WR85" s="3422"/>
      <c r="WS85" s="3422"/>
      <c r="WT85" s="3422"/>
      <c r="WU85" s="3422"/>
      <c r="WV85" s="3422"/>
      <c r="WW85" s="3422"/>
      <c r="WX85" s="3422"/>
      <c r="WY85" s="3422"/>
      <c r="WZ85" s="3422"/>
      <c r="XA85" s="3422"/>
      <c r="XB85" s="3422"/>
      <c r="XC85" s="3422"/>
      <c r="XD85" s="3422"/>
      <c r="XE85" s="3422"/>
      <c r="XF85" s="3422"/>
      <c r="XG85" s="3422"/>
      <c r="XH85" s="3422"/>
      <c r="XI85" s="3422"/>
      <c r="XJ85" s="3422"/>
      <c r="XK85" s="3422"/>
      <c r="XL85" s="3422"/>
      <c r="XM85" s="3422"/>
      <c r="XN85" s="3422"/>
      <c r="XO85" s="3422"/>
      <c r="XP85" s="3422"/>
      <c r="XQ85" s="3422"/>
      <c r="XR85" s="3422"/>
      <c r="XS85" s="3422"/>
      <c r="XT85" s="3422"/>
      <c r="XU85" s="3422"/>
      <c r="XV85" s="3422"/>
      <c r="XW85" s="3422"/>
      <c r="XX85" s="3422"/>
      <c r="XY85" s="3422"/>
      <c r="XZ85" s="3422"/>
      <c r="YA85" s="3422"/>
      <c r="YB85" s="3422"/>
      <c r="YC85" s="3422"/>
      <c r="YD85" s="3422"/>
      <c r="YE85" s="3422"/>
      <c r="YF85" s="3422"/>
      <c r="YG85" s="3422"/>
      <c r="YH85" s="3422"/>
      <c r="YI85" s="3422"/>
      <c r="YJ85" s="3422"/>
      <c r="YK85" s="3422"/>
      <c r="YL85" s="3422"/>
      <c r="YM85" s="3422"/>
      <c r="YN85" s="3422"/>
      <c r="YO85" s="3422"/>
      <c r="YP85" s="3422"/>
      <c r="YQ85" s="3422"/>
      <c r="YR85" s="3422"/>
      <c r="YS85" s="3422"/>
      <c r="YT85" s="3422"/>
      <c r="YU85" s="3422"/>
      <c r="YV85" s="3422"/>
      <c r="YW85" s="3422"/>
      <c r="YX85" s="3422"/>
      <c r="YY85" s="3422"/>
      <c r="YZ85" s="3422"/>
      <c r="ZA85" s="3422"/>
      <c r="ZB85" s="3422"/>
      <c r="ZC85" s="3422"/>
      <c r="ZD85" s="3422"/>
      <c r="ZE85" s="3422"/>
      <c r="ZF85" s="3422"/>
      <c r="ZG85" s="3422"/>
      <c r="ZH85" s="3422"/>
      <c r="ZI85" s="3422"/>
      <c r="ZJ85" s="3422"/>
      <c r="ZK85" s="3422"/>
      <c r="ZL85" s="3422"/>
      <c r="ZM85" s="3422"/>
      <c r="ZN85" s="3422"/>
      <c r="ZO85" s="3422"/>
      <c r="ZP85" s="3422"/>
      <c r="ZQ85" s="3422"/>
      <c r="ZR85" s="3422"/>
      <c r="ZS85" s="3422"/>
      <c r="ZT85" s="3422"/>
      <c r="ZU85" s="3422"/>
      <c r="ZV85" s="3422"/>
      <c r="ZW85" s="3422"/>
      <c r="ZX85" s="3422"/>
      <c r="ZY85" s="3422"/>
      <c r="ZZ85" s="3422"/>
      <c r="AAA85" s="3422"/>
      <c r="AAB85" s="3422"/>
      <c r="AAC85" s="3422"/>
      <c r="AAD85" s="3422"/>
      <c r="AAE85" s="3422"/>
      <c r="AAF85" s="3422"/>
      <c r="AAG85" s="3422"/>
      <c r="AAH85" s="3422"/>
      <c r="AAI85" s="3422"/>
      <c r="AAJ85" s="3422"/>
      <c r="AAK85" s="3422"/>
      <c r="AAL85" s="3422"/>
      <c r="AAM85" s="3422"/>
      <c r="AAN85" s="3422"/>
      <c r="AAO85" s="3422"/>
      <c r="AAP85" s="3422"/>
      <c r="AAQ85" s="3422"/>
      <c r="AAR85" s="3422"/>
      <c r="AAS85" s="3422"/>
      <c r="AAT85" s="3422"/>
      <c r="AAU85" s="3422"/>
      <c r="AAV85" s="3422"/>
      <c r="AAW85" s="3422"/>
      <c r="AAX85" s="3422"/>
      <c r="AAY85" s="3422"/>
      <c r="AAZ85" s="3422"/>
      <c r="ABA85" s="3422"/>
      <c r="ABB85" s="3422"/>
      <c r="ABC85" s="3422"/>
      <c r="ABD85" s="3422"/>
      <c r="ABE85" s="3422"/>
      <c r="ABF85" s="3422"/>
      <c r="ABG85" s="3422"/>
      <c r="ABH85" s="3422"/>
      <c r="ABI85" s="3422"/>
      <c r="ABJ85" s="3422"/>
      <c r="ABK85" s="3422"/>
      <c r="ABL85" s="3422"/>
      <c r="ABM85" s="3422"/>
      <c r="ABN85" s="3422"/>
      <c r="ABO85" s="3422"/>
      <c r="ABP85" s="3422"/>
      <c r="ABQ85" s="3422"/>
      <c r="ABR85" s="3422"/>
      <c r="ABS85" s="3422"/>
      <c r="ABT85" s="3422"/>
      <c r="ABU85" s="3422"/>
      <c r="ABV85" s="3422"/>
      <c r="ABW85" s="3422"/>
      <c r="ABX85" s="3422"/>
      <c r="ABY85" s="3422"/>
      <c r="ABZ85" s="3422"/>
      <c r="ACA85" s="3422"/>
      <c r="ACB85" s="3422"/>
      <c r="ACC85" s="3422"/>
      <c r="ACD85" s="3422"/>
      <c r="ACE85" s="3422"/>
      <c r="ACF85" s="3422"/>
      <c r="ACG85" s="3422"/>
      <c r="ACH85" s="3422"/>
      <c r="ACI85" s="3422"/>
      <c r="ACJ85" s="3422"/>
      <c r="ACK85" s="3422"/>
      <c r="ACL85" s="3422"/>
    </row>
    <row r="86" spans="1:1215" s="628" customFormat="1" ht="15" customHeight="1" x14ac:dyDescent="0.25">
      <c r="A86" s="3810" t="s">
        <v>603</v>
      </c>
      <c r="B86" s="3811"/>
      <c r="C86" s="2225" t="s">
        <v>585</v>
      </c>
      <c r="D86" s="2754" t="s">
        <v>593</v>
      </c>
      <c r="E86" s="2314" t="s">
        <v>335</v>
      </c>
      <c r="F86" s="2265" t="s">
        <v>335</v>
      </c>
      <c r="G86" s="2265" t="s">
        <v>335</v>
      </c>
      <c r="H86" s="2265" t="s">
        <v>335</v>
      </c>
      <c r="I86" s="2265" t="s">
        <v>335</v>
      </c>
      <c r="J86" s="2265" t="s">
        <v>335</v>
      </c>
      <c r="K86" s="2265" t="s">
        <v>335</v>
      </c>
      <c r="L86" s="2265" t="s">
        <v>335</v>
      </c>
      <c r="M86" s="2265" t="s">
        <v>335</v>
      </c>
      <c r="N86" s="1985" t="s">
        <v>335</v>
      </c>
      <c r="O86" s="2006"/>
      <c r="P86" s="2314" t="s">
        <v>335</v>
      </c>
      <c r="Q86" s="2314"/>
      <c r="R86" s="2265" t="s">
        <v>335</v>
      </c>
      <c r="S86" s="2265"/>
      <c r="T86" s="2265"/>
      <c r="U86" s="2265" t="s">
        <v>335</v>
      </c>
      <c r="V86" s="2316" t="s">
        <v>335</v>
      </c>
      <c r="W86" s="2316" t="s">
        <v>335</v>
      </c>
      <c r="X86" s="2316"/>
      <c r="Y86" s="2316" t="s">
        <v>335</v>
      </c>
      <c r="Z86" s="2349" t="s">
        <v>335</v>
      </c>
      <c r="AA86" s="2338">
        <v>0</v>
      </c>
      <c r="AB86" s="2338">
        <v>0</v>
      </c>
      <c r="AC86" s="2339" t="s">
        <v>335</v>
      </c>
      <c r="AD86" s="2380"/>
      <c r="AE86" s="3124"/>
      <c r="AF86" s="2381"/>
      <c r="AG86" s="2874"/>
      <c r="AH86" s="2382">
        <f>+AD86+AE86+AF86+AG86</f>
        <v>0</v>
      </c>
      <c r="AI86" s="2383"/>
      <c r="AJ86" s="2339" t="s">
        <v>335</v>
      </c>
      <c r="AK86" s="2428" t="s">
        <v>335</v>
      </c>
      <c r="AL86" s="2467">
        <v>0</v>
      </c>
      <c r="AM86" s="2467">
        <v>0</v>
      </c>
      <c r="AN86" s="2530"/>
      <c r="AO86" s="2628">
        <v>0</v>
      </c>
      <c r="AP86" s="2474">
        <v>0</v>
      </c>
      <c r="AQ86" s="2474">
        <v>0</v>
      </c>
      <c r="AR86" s="2474"/>
      <c r="AS86" s="3460">
        <f>AO86+AP86</f>
        <v>0</v>
      </c>
      <c r="AT86" s="2467"/>
      <c r="AU86" s="2473">
        <v>0</v>
      </c>
      <c r="AV86" s="2467">
        <v>0</v>
      </c>
      <c r="AW86" s="2468">
        <f>AU86+AV86</f>
        <v>0</v>
      </c>
      <c r="AX86" s="2467">
        <v>0</v>
      </c>
      <c r="AY86" s="2467">
        <v>0</v>
      </c>
      <c r="AZ86" s="2530"/>
      <c r="BA86" s="3095">
        <v>0</v>
      </c>
      <c r="BB86" s="3096">
        <v>0</v>
      </c>
      <c r="BC86" s="3096">
        <v>0</v>
      </c>
      <c r="BD86" s="3096"/>
      <c r="BE86" s="3096">
        <f>BA86+BB86</f>
        <v>0</v>
      </c>
      <c r="BF86" s="2467"/>
      <c r="BG86" s="2473">
        <v>0</v>
      </c>
      <c r="BH86" s="2467">
        <v>0</v>
      </c>
      <c r="BI86" s="2468">
        <f>BG86+BH86</f>
        <v>0</v>
      </c>
      <c r="BJ86" s="2384" t="s">
        <v>335</v>
      </c>
      <c r="BK86" s="2384"/>
      <c r="BL86" s="2384" t="s">
        <v>335</v>
      </c>
      <c r="BM86" s="2564">
        <f>AD86+AO86</f>
        <v>0</v>
      </c>
      <c r="BN86" s="2506">
        <f>AF86+AQ860</f>
        <v>0</v>
      </c>
      <c r="BO86" s="2506">
        <f t="shared" ref="BO86" si="170">BM86-BN86</f>
        <v>0</v>
      </c>
      <c r="BP86" s="2506">
        <f>BM86+BO86</f>
        <v>0</v>
      </c>
      <c r="BQ86" s="2701">
        <f t="shared" ref="BQ86" si="171">BM86+BN86</f>
        <v>0</v>
      </c>
      <c r="BR86" s="2698">
        <f>AI86+AU86</f>
        <v>0</v>
      </c>
      <c r="BS86" s="2505">
        <v>0</v>
      </c>
      <c r="BT86" s="2897">
        <f t="shared" ref="BT86" si="172">BR86+BS86</f>
        <v>0</v>
      </c>
      <c r="BV86" s="3058"/>
      <c r="BW86" s="3058"/>
      <c r="BX86" s="3058"/>
      <c r="ES86" s="3422"/>
      <c r="ET86" s="3422"/>
      <c r="EU86" s="3422"/>
      <c r="EV86" s="3422"/>
      <c r="EW86" s="3422"/>
      <c r="EX86" s="3422"/>
      <c r="EY86" s="3422"/>
      <c r="EZ86" s="3422"/>
      <c r="FA86" s="3422"/>
      <c r="FB86" s="3422"/>
      <c r="FC86" s="3422"/>
      <c r="FD86" s="3422"/>
      <c r="FE86" s="3422"/>
      <c r="FF86" s="3422"/>
      <c r="FG86" s="3422"/>
      <c r="FH86" s="3422"/>
      <c r="FI86" s="3422"/>
      <c r="FJ86" s="3422"/>
      <c r="FK86" s="3422"/>
      <c r="FL86" s="3422"/>
      <c r="FM86" s="3422"/>
      <c r="FN86" s="3422"/>
      <c r="FO86" s="3422"/>
      <c r="FP86" s="3422"/>
      <c r="FQ86" s="3422"/>
      <c r="FR86" s="3422"/>
      <c r="FS86" s="3422"/>
      <c r="FT86" s="3422"/>
      <c r="FU86" s="3422"/>
      <c r="FV86" s="3422"/>
      <c r="FW86" s="3422"/>
      <c r="FX86" s="3422"/>
      <c r="FY86" s="3422"/>
      <c r="FZ86" s="3422"/>
      <c r="GA86" s="3422"/>
      <c r="GB86" s="3422"/>
      <c r="GC86" s="3422"/>
      <c r="GD86" s="3422"/>
      <c r="GE86" s="3422"/>
      <c r="GF86" s="3422"/>
      <c r="GG86" s="3422"/>
      <c r="GH86" s="3422"/>
      <c r="GI86" s="3422"/>
      <c r="GJ86" s="3422"/>
      <c r="GK86" s="3422"/>
      <c r="GL86" s="3422"/>
      <c r="GM86" s="3422"/>
      <c r="GN86" s="3422"/>
      <c r="GO86" s="3422"/>
      <c r="GP86" s="3422"/>
      <c r="GQ86" s="3422"/>
      <c r="GR86" s="3422"/>
      <c r="GS86" s="3422"/>
      <c r="GT86" s="3422"/>
      <c r="GU86" s="3422"/>
      <c r="GV86" s="3422"/>
      <c r="GW86" s="3422"/>
      <c r="GX86" s="3422"/>
      <c r="GY86" s="3422"/>
      <c r="GZ86" s="3422"/>
      <c r="HA86" s="3422"/>
      <c r="HB86" s="3422"/>
      <c r="HC86" s="3422"/>
      <c r="HD86" s="3422"/>
      <c r="HE86" s="3422"/>
      <c r="HF86" s="3422"/>
      <c r="HG86" s="3422"/>
      <c r="HH86" s="3422"/>
      <c r="HI86" s="3422"/>
      <c r="HJ86" s="3422"/>
      <c r="HK86" s="3422"/>
      <c r="HL86" s="3422"/>
      <c r="HM86" s="3422"/>
      <c r="HN86" s="3422"/>
      <c r="HO86" s="3422"/>
      <c r="HP86" s="3422"/>
      <c r="HQ86" s="3422"/>
      <c r="HR86" s="3422"/>
      <c r="HS86" s="3422"/>
      <c r="HT86" s="3422"/>
      <c r="HU86" s="3422"/>
      <c r="HV86" s="3422"/>
      <c r="HW86" s="3422"/>
      <c r="HX86" s="3422"/>
      <c r="HY86" s="3422"/>
      <c r="HZ86" s="3422"/>
      <c r="IA86" s="3422"/>
      <c r="IB86" s="3422"/>
      <c r="IC86" s="3422"/>
      <c r="ID86" s="3422"/>
      <c r="IE86" s="3422"/>
      <c r="IF86" s="3422"/>
      <c r="IG86" s="3422"/>
      <c r="IH86" s="3422"/>
      <c r="II86" s="3422"/>
      <c r="IJ86" s="3422"/>
      <c r="IK86" s="3422"/>
      <c r="IL86" s="3422"/>
      <c r="IM86" s="3422"/>
      <c r="IN86" s="3422"/>
      <c r="IO86" s="3422"/>
      <c r="IP86" s="3422"/>
      <c r="IQ86" s="3422"/>
      <c r="IR86" s="3422"/>
      <c r="IS86" s="3422"/>
      <c r="IT86" s="3422"/>
      <c r="IU86" s="3422"/>
      <c r="IV86" s="3422"/>
      <c r="IW86" s="3422"/>
      <c r="IX86" s="3422"/>
      <c r="IY86" s="3422"/>
      <c r="IZ86" s="3422"/>
      <c r="JA86" s="3422"/>
      <c r="JB86" s="3422"/>
      <c r="JC86" s="3422"/>
      <c r="JD86" s="3422"/>
      <c r="JE86" s="3422"/>
      <c r="JF86" s="3422"/>
      <c r="JG86" s="3422"/>
      <c r="JH86" s="3422"/>
      <c r="JI86" s="3422"/>
      <c r="JJ86" s="3422"/>
      <c r="JK86" s="3422"/>
      <c r="JL86" s="3422"/>
      <c r="JM86" s="3422"/>
      <c r="JN86" s="3422"/>
      <c r="JO86" s="3422"/>
      <c r="JP86" s="3422"/>
      <c r="JQ86" s="3422"/>
      <c r="JR86" s="3422"/>
      <c r="JS86" s="3422"/>
      <c r="JT86" s="3422"/>
      <c r="JU86" s="3422"/>
      <c r="JV86" s="3422"/>
      <c r="JW86" s="3422"/>
      <c r="JX86" s="3422"/>
      <c r="JY86" s="3422"/>
      <c r="JZ86" s="3422"/>
      <c r="KA86" s="3422"/>
      <c r="KB86" s="3422"/>
      <c r="KC86" s="3422"/>
      <c r="KD86" s="3422"/>
      <c r="KE86" s="3422"/>
      <c r="KF86" s="3422"/>
      <c r="KG86" s="3422"/>
      <c r="KH86" s="3422"/>
      <c r="KI86" s="3422"/>
      <c r="KJ86" s="3422"/>
      <c r="KK86" s="3422"/>
      <c r="KL86" s="3422"/>
      <c r="KM86" s="3422"/>
      <c r="KN86" s="3422"/>
      <c r="KO86" s="3422"/>
      <c r="KP86" s="3422"/>
      <c r="KQ86" s="3422"/>
      <c r="KR86" s="3422"/>
      <c r="KS86" s="3422"/>
      <c r="KT86" s="3422"/>
      <c r="KU86" s="3422"/>
      <c r="KV86" s="3422"/>
      <c r="KW86" s="3422"/>
      <c r="KX86" s="3422"/>
      <c r="KY86" s="3422"/>
      <c r="KZ86" s="3422"/>
      <c r="LA86" s="3422"/>
      <c r="LB86" s="3422"/>
      <c r="LC86" s="3422"/>
      <c r="LD86" s="3422"/>
      <c r="LE86" s="3422"/>
      <c r="LF86" s="3422"/>
      <c r="LG86" s="3422"/>
      <c r="LH86" s="3422"/>
      <c r="LI86" s="3422"/>
      <c r="LJ86" s="3422"/>
      <c r="LK86" s="3422"/>
      <c r="LL86" s="3422"/>
      <c r="LM86" s="3422"/>
      <c r="LN86" s="3422"/>
      <c r="LO86" s="3422"/>
      <c r="LP86" s="3422"/>
      <c r="LQ86" s="3422"/>
      <c r="LR86" s="3422"/>
      <c r="LS86" s="3422"/>
      <c r="LT86" s="3422"/>
      <c r="LU86" s="3422"/>
      <c r="LV86" s="3422"/>
      <c r="LW86" s="3422"/>
      <c r="LX86" s="3422"/>
      <c r="LY86" s="3422"/>
      <c r="LZ86" s="3422"/>
      <c r="MA86" s="3422"/>
      <c r="MB86" s="3422"/>
      <c r="MC86" s="3422"/>
      <c r="MD86" s="3422"/>
      <c r="ME86" s="3422"/>
      <c r="MF86" s="3422"/>
      <c r="MG86" s="3422"/>
      <c r="MH86" s="3422"/>
      <c r="MI86" s="3422"/>
      <c r="MJ86" s="3422"/>
      <c r="MK86" s="3422"/>
      <c r="ML86" s="3422"/>
      <c r="MM86" s="3422"/>
      <c r="MN86" s="3422"/>
      <c r="MO86" s="3422"/>
      <c r="MP86" s="3422"/>
      <c r="MQ86" s="3422"/>
      <c r="MR86" s="3422"/>
      <c r="MS86" s="3422"/>
      <c r="MT86" s="3422"/>
      <c r="MU86" s="3422"/>
      <c r="MV86" s="3422"/>
      <c r="MW86" s="3422"/>
      <c r="MX86" s="3422"/>
      <c r="MY86" s="3422"/>
      <c r="MZ86" s="3422"/>
      <c r="NA86" s="3422"/>
      <c r="NB86" s="3422"/>
      <c r="NC86" s="3422"/>
      <c r="ND86" s="3422"/>
      <c r="NE86" s="3422"/>
      <c r="NF86" s="3422"/>
      <c r="NG86" s="3422"/>
      <c r="NH86" s="3422"/>
      <c r="NI86" s="3422"/>
      <c r="NJ86" s="3422"/>
      <c r="NK86" s="3422"/>
      <c r="NL86" s="3422"/>
      <c r="NM86" s="3422"/>
      <c r="NN86" s="3422"/>
      <c r="NO86" s="3422"/>
      <c r="NP86" s="3422"/>
      <c r="NQ86" s="3422"/>
      <c r="NR86" s="3422"/>
      <c r="NS86" s="3422"/>
      <c r="NT86" s="3422"/>
      <c r="NU86" s="3422"/>
      <c r="NV86" s="3422"/>
      <c r="NW86" s="3422"/>
      <c r="NX86" s="3422"/>
      <c r="NY86" s="3422"/>
      <c r="NZ86" s="3422"/>
      <c r="OA86" s="3422"/>
      <c r="OB86" s="3422"/>
      <c r="OC86" s="3422"/>
      <c r="OD86" s="3422"/>
      <c r="OE86" s="3422"/>
      <c r="OF86" s="3422"/>
      <c r="OG86" s="3422"/>
      <c r="OH86" s="3422"/>
      <c r="OI86" s="3422"/>
      <c r="OJ86" s="3422"/>
      <c r="OK86" s="3422"/>
      <c r="OL86" s="3422"/>
      <c r="OM86" s="3422"/>
      <c r="ON86" s="3422"/>
      <c r="OO86" s="3422"/>
      <c r="OP86" s="3422"/>
      <c r="OQ86" s="3422"/>
      <c r="OR86" s="3422"/>
      <c r="OS86" s="3422"/>
      <c r="OT86" s="3422"/>
      <c r="OU86" s="3422"/>
      <c r="OV86" s="3422"/>
      <c r="OW86" s="3422"/>
      <c r="OX86" s="3422"/>
      <c r="OY86" s="3422"/>
      <c r="OZ86" s="3422"/>
      <c r="PA86" s="3422"/>
      <c r="PB86" s="3422"/>
      <c r="PC86" s="3422"/>
      <c r="PD86" s="3422"/>
      <c r="PE86" s="3422"/>
      <c r="PF86" s="3422"/>
      <c r="PG86" s="3422"/>
      <c r="PH86" s="3422"/>
      <c r="PI86" s="3422"/>
      <c r="PJ86" s="3422"/>
      <c r="PK86" s="3422"/>
      <c r="PL86" s="3422"/>
      <c r="PM86" s="3422"/>
      <c r="PN86" s="3422"/>
      <c r="PO86" s="3422"/>
      <c r="PP86" s="3422"/>
      <c r="PQ86" s="3422"/>
      <c r="PR86" s="3422"/>
      <c r="PS86" s="3422"/>
      <c r="PT86" s="3422"/>
      <c r="PU86" s="3422"/>
      <c r="PV86" s="3422"/>
      <c r="PW86" s="3422"/>
      <c r="PX86" s="3422"/>
      <c r="PY86" s="3422"/>
      <c r="PZ86" s="3422"/>
      <c r="QA86" s="3422"/>
      <c r="QB86" s="3422"/>
      <c r="QC86" s="3422"/>
      <c r="QD86" s="3422"/>
      <c r="QE86" s="3422"/>
      <c r="QF86" s="3422"/>
      <c r="QG86" s="3422"/>
      <c r="QH86" s="3422"/>
      <c r="QI86" s="3422"/>
      <c r="QJ86" s="3422"/>
      <c r="QK86" s="3422"/>
      <c r="QL86" s="3422"/>
      <c r="QM86" s="3422"/>
      <c r="QN86" s="3422"/>
      <c r="QO86" s="3422"/>
      <c r="QP86" s="3422"/>
      <c r="QQ86" s="3422"/>
      <c r="QR86" s="3422"/>
      <c r="QS86" s="3422"/>
      <c r="QT86" s="3422"/>
      <c r="QU86" s="3422"/>
      <c r="QV86" s="3422"/>
      <c r="QW86" s="3422"/>
      <c r="QX86" s="3422"/>
      <c r="QY86" s="3422"/>
      <c r="QZ86" s="3422"/>
      <c r="RA86" s="3422"/>
      <c r="RB86" s="3422"/>
      <c r="RC86" s="3422"/>
      <c r="RD86" s="3422"/>
      <c r="RE86" s="3422"/>
      <c r="RF86" s="3422"/>
      <c r="RG86" s="3422"/>
      <c r="RH86" s="3422"/>
      <c r="RI86" s="3422"/>
      <c r="RJ86" s="3422"/>
      <c r="RK86" s="3422"/>
      <c r="RL86" s="3422"/>
      <c r="RM86" s="3422"/>
      <c r="RN86" s="3422"/>
      <c r="RO86" s="3422"/>
      <c r="RP86" s="3422"/>
      <c r="RQ86" s="3422"/>
      <c r="RR86" s="3422"/>
      <c r="RS86" s="3422"/>
      <c r="RT86" s="3422"/>
      <c r="RU86" s="3422"/>
      <c r="RV86" s="3422"/>
      <c r="RW86" s="3422"/>
      <c r="RX86" s="3422"/>
      <c r="RY86" s="3422"/>
      <c r="RZ86" s="3422"/>
      <c r="SA86" s="3422"/>
      <c r="SB86" s="3422"/>
      <c r="SC86" s="3422"/>
      <c r="SD86" s="3422"/>
      <c r="SE86" s="3422"/>
      <c r="SF86" s="3422"/>
      <c r="SG86" s="3422"/>
      <c r="SH86" s="3422"/>
      <c r="SI86" s="3422"/>
      <c r="SJ86" s="3422"/>
      <c r="SK86" s="3422"/>
      <c r="SL86" s="3422"/>
      <c r="SM86" s="3422"/>
      <c r="SN86" s="3422"/>
      <c r="SO86" s="3422"/>
      <c r="SP86" s="3422"/>
      <c r="SQ86" s="3422"/>
      <c r="SR86" s="3422"/>
      <c r="SS86" s="3422"/>
      <c r="ST86" s="3422"/>
      <c r="SU86" s="3422"/>
      <c r="SV86" s="3422"/>
      <c r="SW86" s="3422"/>
      <c r="SX86" s="3422"/>
      <c r="SY86" s="3422"/>
      <c r="SZ86" s="3422"/>
      <c r="TA86" s="3422"/>
      <c r="TB86" s="3422"/>
      <c r="TC86" s="3422"/>
      <c r="TD86" s="3422"/>
      <c r="TE86" s="3422"/>
      <c r="TF86" s="3422"/>
      <c r="TG86" s="3422"/>
      <c r="TH86" s="3422"/>
      <c r="TI86" s="3422"/>
      <c r="TJ86" s="3422"/>
      <c r="TK86" s="3422"/>
      <c r="TL86" s="3422"/>
      <c r="TM86" s="3422"/>
      <c r="TN86" s="3422"/>
      <c r="TO86" s="3422"/>
      <c r="TP86" s="3422"/>
      <c r="TQ86" s="3422"/>
      <c r="TR86" s="3422"/>
      <c r="TS86" s="3422"/>
      <c r="TT86" s="3422"/>
      <c r="TU86" s="3422"/>
      <c r="TV86" s="3422"/>
      <c r="TW86" s="3422"/>
      <c r="TX86" s="3422"/>
      <c r="TY86" s="3422"/>
      <c r="TZ86" s="3422"/>
      <c r="UA86" s="3422"/>
      <c r="UB86" s="3422"/>
      <c r="UC86" s="3422"/>
      <c r="UD86" s="3422"/>
      <c r="UE86" s="3422"/>
      <c r="UF86" s="3422"/>
      <c r="UG86" s="3422"/>
      <c r="UH86" s="3422"/>
      <c r="UI86" s="3422"/>
      <c r="UJ86" s="3422"/>
      <c r="UK86" s="3422"/>
      <c r="UL86" s="3422"/>
      <c r="UM86" s="3422"/>
      <c r="UN86" s="3422"/>
      <c r="UO86" s="3422"/>
      <c r="UP86" s="3422"/>
      <c r="UQ86" s="3422"/>
      <c r="UR86" s="3422"/>
      <c r="US86" s="3422"/>
      <c r="UT86" s="3422"/>
      <c r="UU86" s="3422"/>
      <c r="UV86" s="3422"/>
      <c r="UW86" s="3422"/>
      <c r="UX86" s="3422"/>
      <c r="UY86" s="3422"/>
      <c r="UZ86" s="3422"/>
      <c r="VA86" s="3422"/>
      <c r="VB86" s="3422"/>
      <c r="VC86" s="3422"/>
      <c r="VD86" s="3422"/>
      <c r="VE86" s="3422"/>
      <c r="VF86" s="3422"/>
      <c r="VG86" s="3422"/>
      <c r="VH86" s="3422"/>
      <c r="VI86" s="3422"/>
      <c r="VJ86" s="3422"/>
      <c r="VK86" s="3422"/>
      <c r="VL86" s="3422"/>
      <c r="VM86" s="3422"/>
      <c r="VN86" s="3422"/>
      <c r="VO86" s="3422"/>
      <c r="VP86" s="3422"/>
      <c r="VQ86" s="3422"/>
      <c r="VR86" s="3422"/>
      <c r="VS86" s="3422"/>
      <c r="VT86" s="3422"/>
      <c r="VU86" s="3422"/>
      <c r="VV86" s="3422"/>
      <c r="VW86" s="3422"/>
      <c r="VX86" s="3422"/>
      <c r="VY86" s="3422"/>
      <c r="VZ86" s="3422"/>
      <c r="WA86" s="3422"/>
      <c r="WB86" s="3422"/>
      <c r="WC86" s="3422"/>
      <c r="WD86" s="3422"/>
      <c r="WE86" s="3422"/>
      <c r="WF86" s="3422"/>
      <c r="WG86" s="3422"/>
      <c r="WH86" s="3422"/>
      <c r="WI86" s="3422"/>
      <c r="WJ86" s="3422"/>
      <c r="WK86" s="3422"/>
      <c r="WL86" s="3422"/>
      <c r="WM86" s="3422"/>
      <c r="WN86" s="3422"/>
      <c r="WO86" s="3422"/>
      <c r="WP86" s="3422"/>
      <c r="WQ86" s="3422"/>
      <c r="WR86" s="3422"/>
      <c r="WS86" s="3422"/>
      <c r="WT86" s="3422"/>
      <c r="WU86" s="3422"/>
      <c r="WV86" s="3422"/>
      <c r="WW86" s="3422"/>
      <c r="WX86" s="3422"/>
      <c r="WY86" s="3422"/>
      <c r="WZ86" s="3422"/>
      <c r="XA86" s="3422"/>
      <c r="XB86" s="3422"/>
      <c r="XC86" s="3422"/>
      <c r="XD86" s="3422"/>
      <c r="XE86" s="3422"/>
      <c r="XF86" s="3422"/>
      <c r="XG86" s="3422"/>
      <c r="XH86" s="3422"/>
      <c r="XI86" s="3422"/>
      <c r="XJ86" s="3422"/>
      <c r="XK86" s="3422"/>
      <c r="XL86" s="3422"/>
      <c r="XM86" s="3422"/>
      <c r="XN86" s="3422"/>
      <c r="XO86" s="3422"/>
      <c r="XP86" s="3422"/>
      <c r="XQ86" s="3422"/>
      <c r="XR86" s="3422"/>
      <c r="XS86" s="3422"/>
      <c r="XT86" s="3422"/>
      <c r="XU86" s="3422"/>
      <c r="XV86" s="3422"/>
      <c r="XW86" s="3422"/>
      <c r="XX86" s="3422"/>
      <c r="XY86" s="3422"/>
      <c r="XZ86" s="3422"/>
      <c r="YA86" s="3422"/>
      <c r="YB86" s="3422"/>
      <c r="YC86" s="3422"/>
      <c r="YD86" s="3422"/>
      <c r="YE86" s="3422"/>
      <c r="YF86" s="3422"/>
      <c r="YG86" s="3422"/>
      <c r="YH86" s="3422"/>
      <c r="YI86" s="3422"/>
      <c r="YJ86" s="3422"/>
      <c r="YK86" s="3422"/>
      <c r="YL86" s="3422"/>
      <c r="YM86" s="3422"/>
      <c r="YN86" s="3422"/>
      <c r="YO86" s="3422"/>
      <c r="YP86" s="3422"/>
      <c r="YQ86" s="3422"/>
      <c r="YR86" s="3422"/>
      <c r="YS86" s="3422"/>
      <c r="YT86" s="3422"/>
      <c r="YU86" s="3422"/>
      <c r="YV86" s="3422"/>
      <c r="YW86" s="3422"/>
      <c r="YX86" s="3422"/>
      <c r="YY86" s="3422"/>
      <c r="YZ86" s="3422"/>
      <c r="ZA86" s="3422"/>
      <c r="ZB86" s="3422"/>
      <c r="ZC86" s="3422"/>
      <c r="ZD86" s="3422"/>
      <c r="ZE86" s="3422"/>
      <c r="ZF86" s="3422"/>
      <c r="ZG86" s="3422"/>
      <c r="ZH86" s="3422"/>
      <c r="ZI86" s="3422"/>
      <c r="ZJ86" s="3422"/>
      <c r="ZK86" s="3422"/>
      <c r="ZL86" s="3422"/>
      <c r="ZM86" s="3422"/>
      <c r="ZN86" s="3422"/>
      <c r="ZO86" s="3422"/>
      <c r="ZP86" s="3422"/>
      <c r="ZQ86" s="3422"/>
      <c r="ZR86" s="3422"/>
      <c r="ZS86" s="3422"/>
      <c r="ZT86" s="3422"/>
      <c r="ZU86" s="3422"/>
      <c r="ZV86" s="3422"/>
      <c r="ZW86" s="3422"/>
      <c r="ZX86" s="3422"/>
      <c r="ZY86" s="3422"/>
      <c r="ZZ86" s="3422"/>
      <c r="AAA86" s="3422"/>
      <c r="AAB86" s="3422"/>
      <c r="AAC86" s="3422"/>
      <c r="AAD86" s="3422"/>
      <c r="AAE86" s="3422"/>
      <c r="AAF86" s="3422"/>
      <c r="AAG86" s="3422"/>
      <c r="AAH86" s="3422"/>
      <c r="AAI86" s="3422"/>
      <c r="AAJ86" s="3422"/>
      <c r="AAK86" s="3422"/>
      <c r="AAL86" s="3422"/>
      <c r="AAM86" s="3422"/>
      <c r="AAN86" s="3422"/>
      <c r="AAO86" s="3422"/>
      <c r="AAP86" s="3422"/>
      <c r="AAQ86" s="3422"/>
      <c r="AAR86" s="3422"/>
      <c r="AAS86" s="3422"/>
      <c r="AAT86" s="3422"/>
      <c r="AAU86" s="3422"/>
      <c r="AAV86" s="3422"/>
      <c r="AAW86" s="3422"/>
      <c r="AAX86" s="3422"/>
      <c r="AAY86" s="3422"/>
      <c r="AAZ86" s="3422"/>
      <c r="ABA86" s="3422"/>
      <c r="ABB86" s="3422"/>
      <c r="ABC86" s="3422"/>
      <c r="ABD86" s="3422"/>
      <c r="ABE86" s="3422"/>
      <c r="ABF86" s="3422"/>
      <c r="ABG86" s="3422"/>
      <c r="ABH86" s="3422"/>
      <c r="ABI86" s="3422"/>
      <c r="ABJ86" s="3422"/>
      <c r="ABK86" s="3422"/>
      <c r="ABL86" s="3422"/>
      <c r="ABM86" s="3422"/>
      <c r="ABN86" s="3422"/>
      <c r="ABO86" s="3422"/>
      <c r="ABP86" s="3422"/>
      <c r="ABQ86" s="3422"/>
      <c r="ABR86" s="3422"/>
      <c r="ABS86" s="3422"/>
      <c r="ABT86" s="3422"/>
      <c r="ABU86" s="3422"/>
      <c r="ABV86" s="3422"/>
      <c r="ABW86" s="3422"/>
      <c r="ABX86" s="3422"/>
      <c r="ABY86" s="3422"/>
      <c r="ABZ86" s="3422"/>
      <c r="ACA86" s="3422"/>
      <c r="ACB86" s="3422"/>
      <c r="ACC86" s="3422"/>
      <c r="ACD86" s="3422"/>
      <c r="ACE86" s="3422"/>
      <c r="ACF86" s="3422"/>
      <c r="ACG86" s="3422"/>
      <c r="ACH86" s="3422"/>
      <c r="ACI86" s="3422"/>
      <c r="ACJ86" s="3422"/>
      <c r="ACK86" s="3422"/>
      <c r="ACL86" s="3422"/>
    </row>
    <row r="87" spans="1:1215" ht="15" customHeight="1" x14ac:dyDescent="0.25">
      <c r="A87" s="3812"/>
      <c r="B87" s="3813"/>
      <c r="C87" s="3494" t="s">
        <v>586</v>
      </c>
      <c r="D87" s="3495" t="s">
        <v>587</v>
      </c>
      <c r="E87" s="1998"/>
      <c r="F87" s="2194"/>
      <c r="G87" s="2194"/>
      <c r="H87" s="2194"/>
      <c r="I87" s="2194"/>
      <c r="J87" s="2194"/>
      <c r="K87" s="2194"/>
      <c r="L87" s="2194"/>
      <c r="M87" s="2194"/>
      <c r="N87" s="2194"/>
      <c r="O87" s="3496"/>
      <c r="P87" s="1998"/>
      <c r="Q87" s="2194"/>
      <c r="R87" s="2194"/>
      <c r="S87" s="2194"/>
      <c r="T87" s="2194"/>
      <c r="U87" s="2194"/>
      <c r="V87" s="3497"/>
      <c r="W87" s="2194"/>
      <c r="X87" s="2194"/>
      <c r="Y87" s="2194"/>
      <c r="Z87" s="1883"/>
      <c r="AA87" s="3498">
        <v>0</v>
      </c>
      <c r="AB87" s="3499">
        <v>0</v>
      </c>
      <c r="AC87" s="3500"/>
      <c r="AD87" s="3501"/>
      <c r="AE87" s="3501"/>
      <c r="AF87" s="3502"/>
      <c r="AG87" s="3503">
        <v>0</v>
      </c>
      <c r="AH87" s="3504">
        <f>AD87+AF87+AE87+AG87</f>
        <v>0</v>
      </c>
      <c r="AI87" s="3498"/>
      <c r="AJ87" s="3499">
        <v>0</v>
      </c>
      <c r="AK87" s="3505">
        <f>+AI87+AJ87</f>
        <v>0</v>
      </c>
      <c r="AL87" s="3506">
        <v>0</v>
      </c>
      <c r="AM87" s="3506">
        <v>0</v>
      </c>
      <c r="AN87" s="3507"/>
      <c r="AO87" s="3508">
        <v>0</v>
      </c>
      <c r="AP87" s="3472">
        <v>0</v>
      </c>
      <c r="AQ87" s="3472">
        <v>0</v>
      </c>
      <c r="AR87" s="3472">
        <v>0</v>
      </c>
      <c r="AS87" s="3473">
        <f>+AO87+AP87+AQ87+AR87</f>
        <v>0</v>
      </c>
      <c r="AT87" s="3506"/>
      <c r="AU87" s="3509">
        <v>0</v>
      </c>
      <c r="AV87" s="3506">
        <v>0</v>
      </c>
      <c r="AW87" s="3510">
        <f>AU87+AV87</f>
        <v>0</v>
      </c>
      <c r="AX87" s="3506">
        <v>0</v>
      </c>
      <c r="AY87" s="3506">
        <v>0</v>
      </c>
      <c r="AZ87" s="3507"/>
      <c r="BA87" s="3481">
        <v>0</v>
      </c>
      <c r="BB87" s="3482">
        <v>0</v>
      </c>
      <c r="BC87" s="3482">
        <v>0</v>
      </c>
      <c r="BD87" s="3482">
        <v>0</v>
      </c>
      <c r="BE87" s="3482">
        <f>+BD87+BC87+BB87+BA87</f>
        <v>0</v>
      </c>
      <c r="BF87" s="3506"/>
      <c r="BG87" s="3509">
        <v>0</v>
      </c>
      <c r="BH87" s="3506">
        <f>+BD87</f>
        <v>0</v>
      </c>
      <c r="BI87" s="3510">
        <f>BG87+BH87</f>
        <v>0</v>
      </c>
      <c r="BJ87" s="3511"/>
      <c r="BK87" s="3511"/>
      <c r="BL87" s="3511"/>
      <c r="BM87" s="3512">
        <f>AD87+AO87</f>
        <v>0</v>
      </c>
      <c r="BN87" s="3513">
        <v>0</v>
      </c>
      <c r="BO87" s="3513">
        <v>0</v>
      </c>
      <c r="BP87" s="3513">
        <v>0</v>
      </c>
      <c r="BQ87" s="2866">
        <f>BM87+BN87+BO87+BP87</f>
        <v>0</v>
      </c>
      <c r="BR87" s="3514">
        <f>AI87+AU87</f>
        <v>0</v>
      </c>
      <c r="BS87" s="3515">
        <v>0</v>
      </c>
      <c r="BT87" s="3516">
        <f>BR87+BS87</f>
        <v>0</v>
      </c>
      <c r="BU87" s="3422"/>
      <c r="BV87" s="3058"/>
      <c r="BW87" s="3058"/>
      <c r="BX87" s="3058"/>
      <c r="BY87" s="3422"/>
      <c r="BZ87" s="3422"/>
      <c r="ES87" s="3422"/>
      <c r="ET87" s="3422"/>
      <c r="EU87" s="3422"/>
      <c r="EV87" s="3422"/>
      <c r="EW87" s="3422"/>
      <c r="EX87" s="3422"/>
      <c r="EY87" s="3422"/>
      <c r="EZ87" s="3422"/>
      <c r="FA87" s="3422"/>
      <c r="FB87" s="3422"/>
      <c r="FC87" s="3422"/>
      <c r="FD87" s="3422"/>
      <c r="FE87" s="3422"/>
      <c r="FF87" s="3422"/>
      <c r="FG87" s="3422"/>
      <c r="FH87" s="3422"/>
      <c r="FI87" s="3422"/>
      <c r="FJ87" s="3422"/>
      <c r="FK87" s="3422"/>
      <c r="FL87" s="3422"/>
      <c r="FM87" s="3422"/>
      <c r="FN87" s="3422"/>
      <c r="FO87" s="3422"/>
      <c r="FP87" s="3422"/>
      <c r="FQ87" s="3422"/>
      <c r="FR87" s="3422"/>
      <c r="FS87" s="3422"/>
      <c r="FT87" s="3422"/>
      <c r="FU87" s="3422"/>
      <c r="FV87" s="3422"/>
      <c r="FW87" s="3422"/>
      <c r="FX87" s="3422"/>
      <c r="FY87" s="3422"/>
      <c r="FZ87" s="3422"/>
      <c r="GA87" s="3422"/>
      <c r="GB87" s="3422"/>
      <c r="GC87" s="3422"/>
      <c r="GD87" s="3422"/>
      <c r="GE87" s="3422"/>
      <c r="GF87" s="3422"/>
      <c r="GG87" s="3422"/>
      <c r="GH87" s="3422"/>
      <c r="GI87" s="3422"/>
      <c r="GJ87" s="3422"/>
      <c r="GK87" s="3422"/>
      <c r="GL87" s="3422"/>
      <c r="GM87" s="3422"/>
      <c r="GN87" s="3422"/>
      <c r="GO87" s="3422"/>
      <c r="GP87" s="3422"/>
      <c r="GQ87" s="3422"/>
      <c r="GR87" s="3422"/>
      <c r="GS87" s="3422"/>
      <c r="GT87" s="3422"/>
      <c r="GU87" s="3422"/>
      <c r="GV87" s="3422"/>
      <c r="GW87" s="3422"/>
      <c r="GX87" s="3422"/>
      <c r="GY87" s="3422"/>
      <c r="GZ87" s="3422"/>
      <c r="HA87" s="3422"/>
      <c r="HB87" s="3422"/>
      <c r="HC87" s="3422"/>
      <c r="HD87" s="3422"/>
      <c r="HE87" s="3422"/>
      <c r="HF87" s="3422"/>
      <c r="HG87" s="3422"/>
      <c r="HH87" s="3422"/>
      <c r="HI87" s="3422"/>
      <c r="HJ87" s="3422"/>
      <c r="HK87" s="3422"/>
      <c r="HL87" s="3422"/>
      <c r="HM87" s="3422"/>
      <c r="HN87" s="3422"/>
      <c r="HO87" s="3422"/>
      <c r="HP87" s="3422"/>
      <c r="HQ87" s="3422"/>
      <c r="HR87" s="3422"/>
      <c r="HS87" s="3422"/>
      <c r="HT87" s="3422"/>
      <c r="HU87" s="3422"/>
      <c r="HV87" s="3422"/>
      <c r="HW87" s="3422"/>
      <c r="HX87" s="3422"/>
      <c r="HY87" s="3422"/>
      <c r="HZ87" s="3422"/>
      <c r="IA87" s="3422"/>
      <c r="IB87" s="3422"/>
      <c r="IC87" s="3422"/>
      <c r="ID87" s="3422"/>
      <c r="IE87" s="3422"/>
      <c r="IF87" s="3422"/>
      <c r="IG87" s="3422"/>
      <c r="IH87" s="3422"/>
      <c r="II87" s="3422"/>
      <c r="IJ87" s="3422"/>
      <c r="IK87" s="3422"/>
      <c r="IL87" s="3422"/>
      <c r="IM87" s="3422"/>
      <c r="IN87" s="3422"/>
      <c r="IO87" s="3422"/>
      <c r="IP87" s="3422"/>
      <c r="IQ87" s="3422"/>
      <c r="IR87" s="3422"/>
      <c r="IS87" s="3422"/>
      <c r="IT87" s="3422"/>
      <c r="IU87" s="3422"/>
      <c r="IV87" s="3422"/>
      <c r="IW87" s="3422"/>
      <c r="IX87" s="3422"/>
      <c r="IY87" s="3422"/>
      <c r="IZ87" s="3422"/>
      <c r="JA87" s="3422"/>
      <c r="JB87" s="3422"/>
      <c r="JC87" s="3422"/>
      <c r="JD87" s="3422"/>
      <c r="JE87" s="3422"/>
      <c r="JF87" s="3422"/>
      <c r="JG87" s="3422"/>
      <c r="JH87" s="3422"/>
      <c r="JI87" s="3422"/>
      <c r="JJ87" s="3422"/>
      <c r="JK87" s="3422"/>
      <c r="JL87" s="3422"/>
      <c r="JM87" s="3422"/>
      <c r="JN87" s="3422"/>
      <c r="JO87" s="3422"/>
      <c r="JP87" s="3422"/>
      <c r="JQ87" s="3422"/>
      <c r="JR87" s="3422"/>
      <c r="JS87" s="3422"/>
      <c r="JT87" s="3422"/>
      <c r="JU87" s="3422"/>
      <c r="JV87" s="3422"/>
      <c r="JW87" s="3422"/>
      <c r="JX87" s="3422"/>
      <c r="JY87" s="3422"/>
      <c r="JZ87" s="3422"/>
      <c r="KA87" s="3422"/>
      <c r="KB87" s="3422"/>
      <c r="KC87" s="3422"/>
      <c r="KD87" s="3422"/>
      <c r="KE87" s="3422"/>
      <c r="KF87" s="3422"/>
      <c r="KG87" s="3422"/>
      <c r="KH87" s="3422"/>
      <c r="KI87" s="3422"/>
      <c r="KJ87" s="3422"/>
      <c r="KK87" s="3422"/>
      <c r="KL87" s="3422"/>
      <c r="KM87" s="3422"/>
      <c r="KN87" s="3422"/>
      <c r="KO87" s="3422"/>
      <c r="KP87" s="3422"/>
      <c r="KQ87" s="3422"/>
      <c r="KR87" s="3422"/>
      <c r="KS87" s="3422"/>
      <c r="KT87" s="3422"/>
      <c r="KU87" s="3422"/>
      <c r="KV87" s="3422"/>
      <c r="KW87" s="3422"/>
      <c r="KX87" s="3422"/>
      <c r="KY87" s="3422"/>
      <c r="KZ87" s="3422"/>
      <c r="LA87" s="3422"/>
      <c r="LB87" s="3422"/>
      <c r="LC87" s="3422"/>
      <c r="LD87" s="3422"/>
      <c r="LE87" s="3422"/>
      <c r="LF87" s="3422"/>
      <c r="LG87" s="3422"/>
      <c r="LH87" s="3422"/>
      <c r="LI87" s="3422"/>
      <c r="LJ87" s="3422"/>
      <c r="LK87" s="3422"/>
      <c r="LL87" s="3422"/>
      <c r="LM87" s="3422"/>
      <c r="LN87" s="3422"/>
      <c r="LO87" s="3422"/>
      <c r="LP87" s="3422"/>
      <c r="LQ87" s="3422"/>
      <c r="LR87" s="3422"/>
      <c r="LS87" s="3422"/>
      <c r="LT87" s="3422"/>
      <c r="LU87" s="3422"/>
      <c r="LV87" s="3422"/>
      <c r="LW87" s="3422"/>
      <c r="LX87" s="3422"/>
      <c r="LY87" s="3422"/>
      <c r="LZ87" s="3422"/>
      <c r="MA87" s="3422"/>
      <c r="MB87" s="3422"/>
      <c r="MC87" s="3422"/>
      <c r="MD87" s="3422"/>
      <c r="ME87" s="3422"/>
      <c r="MF87" s="3422"/>
      <c r="MG87" s="3422"/>
      <c r="MH87" s="3422"/>
      <c r="MI87" s="3422"/>
      <c r="MJ87" s="3422"/>
      <c r="MK87" s="3422"/>
      <c r="ML87" s="3422"/>
      <c r="MM87" s="3422"/>
      <c r="MN87" s="3422"/>
      <c r="MO87" s="3422"/>
      <c r="MP87" s="3422"/>
      <c r="MQ87" s="3422"/>
      <c r="MR87" s="3422"/>
      <c r="MS87" s="3422"/>
      <c r="MT87" s="3422"/>
      <c r="MU87" s="3422"/>
      <c r="MV87" s="3422"/>
      <c r="MW87" s="3422"/>
      <c r="MX87" s="3422"/>
      <c r="MY87" s="3422"/>
      <c r="MZ87" s="3422"/>
      <c r="NA87" s="3422"/>
      <c r="NB87" s="3422"/>
      <c r="NC87" s="3422"/>
      <c r="ND87" s="3422"/>
      <c r="NE87" s="3422"/>
      <c r="NF87" s="3422"/>
      <c r="NG87" s="3422"/>
      <c r="NH87" s="3422"/>
      <c r="NI87" s="3422"/>
      <c r="NJ87" s="3422"/>
      <c r="NK87" s="3422"/>
      <c r="NL87" s="3422"/>
      <c r="NM87" s="3422"/>
      <c r="NN87" s="3422"/>
      <c r="NO87" s="3422"/>
      <c r="NP87" s="3422"/>
      <c r="NQ87" s="3422"/>
      <c r="NR87" s="3422"/>
      <c r="NS87" s="3422"/>
      <c r="NT87" s="3422"/>
      <c r="NU87" s="3422"/>
      <c r="NV87" s="3422"/>
      <c r="NW87" s="3422"/>
      <c r="NX87" s="3422"/>
      <c r="NY87" s="3422"/>
      <c r="NZ87" s="3422"/>
      <c r="OA87" s="3422"/>
      <c r="OB87" s="3422"/>
      <c r="OC87" s="3422"/>
      <c r="OD87" s="3422"/>
      <c r="OE87" s="3422"/>
      <c r="OF87" s="3422"/>
      <c r="OG87" s="3422"/>
      <c r="OH87" s="3422"/>
      <c r="OI87" s="3422"/>
      <c r="OJ87" s="3422"/>
      <c r="OK87" s="3422"/>
      <c r="OL87" s="3422"/>
      <c r="OM87" s="3422"/>
      <c r="ON87" s="3422"/>
      <c r="OO87" s="3422"/>
      <c r="OP87" s="3422"/>
      <c r="OQ87" s="3422"/>
      <c r="OR87" s="3422"/>
      <c r="OS87" s="3422"/>
      <c r="OT87" s="3422"/>
      <c r="OU87" s="3422"/>
      <c r="OV87" s="3422"/>
      <c r="OW87" s="3422"/>
      <c r="OX87" s="3422"/>
      <c r="OY87" s="3422"/>
      <c r="OZ87" s="3422"/>
      <c r="PA87" s="3422"/>
      <c r="PB87" s="3422"/>
      <c r="PC87" s="3422"/>
      <c r="PD87" s="3422"/>
      <c r="PE87" s="3422"/>
      <c r="PF87" s="3422"/>
      <c r="PG87" s="3422"/>
      <c r="PH87" s="3422"/>
      <c r="PI87" s="3422"/>
      <c r="PJ87" s="3422"/>
      <c r="PK87" s="3422"/>
      <c r="PL87" s="3422"/>
      <c r="PM87" s="3422"/>
      <c r="PN87" s="3422"/>
      <c r="PO87" s="3422"/>
      <c r="PP87" s="3422"/>
      <c r="PQ87" s="3422"/>
      <c r="PR87" s="3422"/>
      <c r="PS87" s="3422"/>
      <c r="PT87" s="3422"/>
      <c r="PU87" s="3422"/>
      <c r="PV87" s="3422"/>
      <c r="PW87" s="3422"/>
      <c r="PX87" s="3422"/>
      <c r="PY87" s="3422"/>
      <c r="PZ87" s="3422"/>
      <c r="QA87" s="3422"/>
      <c r="QB87" s="3422"/>
      <c r="QC87" s="3422"/>
      <c r="QD87" s="3422"/>
      <c r="QE87" s="3422"/>
      <c r="QF87" s="3422"/>
      <c r="QG87" s="3422"/>
      <c r="QH87" s="3422"/>
      <c r="QI87" s="3422"/>
      <c r="QJ87" s="3422"/>
      <c r="QK87" s="3422"/>
      <c r="QL87" s="3422"/>
      <c r="QM87" s="3422"/>
      <c r="QN87" s="3422"/>
      <c r="QO87" s="3422"/>
      <c r="QP87" s="3422"/>
      <c r="QQ87" s="3422"/>
      <c r="QR87" s="3422"/>
      <c r="QS87" s="3422"/>
      <c r="QT87" s="3422"/>
      <c r="QU87" s="3422"/>
      <c r="QV87" s="3422"/>
      <c r="QW87" s="3422"/>
      <c r="QX87" s="3422"/>
      <c r="QY87" s="3422"/>
      <c r="QZ87" s="3422"/>
      <c r="RA87" s="3422"/>
      <c r="RB87" s="3422"/>
      <c r="RC87" s="3422"/>
      <c r="RD87" s="3422"/>
      <c r="RE87" s="3422"/>
      <c r="RF87" s="3422"/>
      <c r="RG87" s="3422"/>
      <c r="RH87" s="3422"/>
      <c r="RI87" s="3422"/>
      <c r="RJ87" s="3422"/>
      <c r="RK87" s="3422"/>
      <c r="RL87" s="3422"/>
      <c r="RM87" s="3422"/>
      <c r="RN87" s="3422"/>
      <c r="RO87" s="3422"/>
      <c r="RP87" s="3422"/>
      <c r="RQ87" s="3422"/>
      <c r="RR87" s="3422"/>
      <c r="RS87" s="3422"/>
      <c r="RT87" s="3422"/>
      <c r="RU87" s="3422"/>
      <c r="RV87" s="3422"/>
      <c r="RW87" s="3422"/>
      <c r="RX87" s="3422"/>
      <c r="RY87" s="3422"/>
      <c r="RZ87" s="3422"/>
      <c r="SA87" s="3422"/>
      <c r="SB87" s="3422"/>
      <c r="SC87" s="3422"/>
      <c r="SD87" s="3422"/>
      <c r="SE87" s="3422"/>
      <c r="SF87" s="3422"/>
      <c r="SG87" s="3422"/>
      <c r="SH87" s="3422"/>
      <c r="SI87" s="3422"/>
      <c r="SJ87" s="3422"/>
      <c r="SK87" s="3422"/>
      <c r="SL87" s="3422"/>
      <c r="SM87" s="3422"/>
      <c r="SN87" s="3422"/>
      <c r="SO87" s="3422"/>
      <c r="SP87" s="3422"/>
      <c r="SQ87" s="3422"/>
      <c r="SR87" s="3422"/>
      <c r="SS87" s="3422"/>
      <c r="ST87" s="3422"/>
      <c r="SU87" s="3422"/>
      <c r="SV87" s="3422"/>
      <c r="SW87" s="3422"/>
      <c r="SX87" s="3422"/>
      <c r="SY87" s="3422"/>
      <c r="SZ87" s="3422"/>
      <c r="TA87" s="3422"/>
      <c r="TB87" s="3422"/>
      <c r="TC87" s="3422"/>
      <c r="TD87" s="3422"/>
      <c r="TE87" s="3422"/>
      <c r="TF87" s="3422"/>
      <c r="TG87" s="3422"/>
      <c r="TH87" s="3422"/>
      <c r="TI87" s="3422"/>
      <c r="TJ87" s="3422"/>
      <c r="TK87" s="3422"/>
      <c r="TL87" s="3422"/>
      <c r="TM87" s="3422"/>
      <c r="TN87" s="3422"/>
      <c r="TO87" s="3422"/>
      <c r="TP87" s="3422"/>
      <c r="TQ87" s="3422"/>
      <c r="TR87" s="3422"/>
      <c r="TS87" s="3422"/>
      <c r="TT87" s="3422"/>
      <c r="TU87" s="3422"/>
      <c r="TV87" s="3422"/>
      <c r="TW87" s="3422"/>
      <c r="TX87" s="3422"/>
      <c r="TY87" s="3422"/>
      <c r="TZ87" s="3422"/>
      <c r="UA87" s="3422"/>
      <c r="UB87" s="3422"/>
      <c r="UC87" s="3422"/>
      <c r="UD87" s="3422"/>
      <c r="UE87" s="3422"/>
      <c r="UF87" s="3422"/>
      <c r="UG87" s="3422"/>
      <c r="UH87" s="3422"/>
      <c r="UI87" s="3422"/>
      <c r="UJ87" s="3422"/>
      <c r="UK87" s="3422"/>
      <c r="UL87" s="3422"/>
      <c r="UM87" s="3422"/>
      <c r="UN87" s="3422"/>
      <c r="UO87" s="3422"/>
      <c r="UP87" s="3422"/>
      <c r="UQ87" s="3422"/>
      <c r="UR87" s="3422"/>
      <c r="US87" s="3422"/>
      <c r="UT87" s="3422"/>
      <c r="UU87" s="3422"/>
      <c r="UV87" s="3422"/>
      <c r="UW87" s="3422"/>
      <c r="UX87" s="3422"/>
      <c r="UY87" s="3422"/>
      <c r="UZ87" s="3422"/>
      <c r="VA87" s="3422"/>
      <c r="VB87" s="3422"/>
      <c r="VC87" s="3422"/>
      <c r="VD87" s="3422"/>
      <c r="VE87" s="3422"/>
      <c r="VF87" s="3422"/>
      <c r="VG87" s="3422"/>
      <c r="VH87" s="3422"/>
      <c r="VI87" s="3422"/>
      <c r="VJ87" s="3422"/>
      <c r="VK87" s="3422"/>
      <c r="VL87" s="3422"/>
      <c r="VM87" s="3422"/>
      <c r="VN87" s="3422"/>
      <c r="VO87" s="3422"/>
      <c r="VP87" s="3422"/>
      <c r="VQ87" s="3422"/>
      <c r="VR87" s="3422"/>
      <c r="VS87" s="3422"/>
      <c r="VT87" s="3422"/>
      <c r="VU87" s="3422"/>
      <c r="VV87" s="3422"/>
      <c r="VW87" s="3422"/>
      <c r="VX87" s="3422"/>
      <c r="VY87" s="3422"/>
      <c r="VZ87" s="3422"/>
      <c r="WA87" s="3422"/>
      <c r="WB87" s="3422"/>
      <c r="WC87" s="3422"/>
      <c r="WD87" s="3422"/>
      <c r="WE87" s="3422"/>
      <c r="WF87" s="3422"/>
      <c r="WG87" s="3422"/>
      <c r="WH87" s="3422"/>
      <c r="WI87" s="3422"/>
      <c r="WJ87" s="3422"/>
      <c r="WK87" s="3422"/>
      <c r="WL87" s="3422"/>
      <c r="WM87" s="3422"/>
      <c r="WN87" s="3422"/>
      <c r="WO87" s="3422"/>
      <c r="WP87" s="3422"/>
      <c r="WQ87" s="3422"/>
      <c r="WR87" s="3422"/>
      <c r="WS87" s="3422"/>
      <c r="WT87" s="3422"/>
      <c r="WU87" s="3422"/>
      <c r="WV87" s="3422"/>
      <c r="WW87" s="3422"/>
      <c r="WX87" s="3422"/>
      <c r="WY87" s="3422"/>
      <c r="WZ87" s="3422"/>
      <c r="XA87" s="3422"/>
      <c r="XB87" s="3422"/>
      <c r="XC87" s="3422"/>
      <c r="XD87" s="3422"/>
      <c r="XE87" s="3422"/>
      <c r="XF87" s="3422"/>
      <c r="XG87" s="3422"/>
      <c r="XH87" s="3422"/>
      <c r="XI87" s="3422"/>
      <c r="XJ87" s="3422"/>
      <c r="XK87" s="3422"/>
      <c r="XL87" s="3422"/>
      <c r="XM87" s="3422"/>
      <c r="XN87" s="3422"/>
      <c r="XO87" s="3422"/>
      <c r="XP87" s="3422"/>
      <c r="XQ87" s="3422"/>
      <c r="XR87" s="3422"/>
      <c r="XS87" s="3422"/>
      <c r="XT87" s="3422"/>
      <c r="XU87" s="3422"/>
      <c r="XV87" s="3422"/>
      <c r="XW87" s="3422"/>
      <c r="XX87" s="3422"/>
      <c r="XY87" s="3422"/>
      <c r="XZ87" s="3422"/>
      <c r="YA87" s="3422"/>
      <c r="YB87" s="3422"/>
      <c r="YC87" s="3422"/>
      <c r="YD87" s="3422"/>
      <c r="YE87" s="3422"/>
      <c r="YF87" s="3422"/>
      <c r="YG87" s="3422"/>
      <c r="YH87" s="3422"/>
      <c r="YI87" s="3422"/>
      <c r="YJ87" s="3422"/>
      <c r="YK87" s="3422"/>
      <c r="YL87" s="3422"/>
      <c r="YM87" s="3422"/>
      <c r="YN87" s="3422"/>
      <c r="YO87" s="3422"/>
      <c r="YP87" s="3422"/>
      <c r="YQ87" s="3422"/>
      <c r="YR87" s="3422"/>
      <c r="YS87" s="3422"/>
      <c r="YT87" s="3422"/>
      <c r="YU87" s="3422"/>
      <c r="YV87" s="3422"/>
      <c r="YW87" s="3422"/>
      <c r="YX87" s="3422"/>
      <c r="YY87" s="3422"/>
      <c r="YZ87" s="3422"/>
      <c r="ZA87" s="3422"/>
      <c r="ZB87" s="3422"/>
      <c r="ZC87" s="3422"/>
      <c r="ZD87" s="3422"/>
      <c r="ZE87" s="3422"/>
      <c r="ZF87" s="3422"/>
      <c r="ZG87" s="3422"/>
      <c r="ZH87" s="3422"/>
      <c r="ZI87" s="3422"/>
      <c r="ZJ87" s="3422"/>
      <c r="ZK87" s="3422"/>
      <c r="ZL87" s="3422"/>
      <c r="ZM87" s="3422"/>
      <c r="ZN87" s="3422"/>
      <c r="ZO87" s="3422"/>
      <c r="ZP87" s="3422"/>
      <c r="ZQ87" s="3422"/>
      <c r="ZR87" s="3422"/>
      <c r="ZS87" s="3422"/>
      <c r="ZT87" s="3422"/>
      <c r="ZU87" s="3422"/>
      <c r="ZV87" s="3422"/>
      <c r="ZW87" s="3422"/>
      <c r="ZX87" s="3422"/>
      <c r="ZY87" s="3422"/>
      <c r="ZZ87" s="3422"/>
      <c r="AAA87" s="3422"/>
      <c r="AAB87" s="3422"/>
      <c r="AAC87" s="3422"/>
      <c r="AAD87" s="3422"/>
      <c r="AAE87" s="3422"/>
      <c r="AAF87" s="3422"/>
      <c r="AAG87" s="3422"/>
      <c r="AAH87" s="3422"/>
      <c r="AAI87" s="3422"/>
      <c r="AAJ87" s="3422"/>
      <c r="AAK87" s="3422"/>
      <c r="AAL87" s="3422"/>
      <c r="AAM87" s="3422"/>
      <c r="AAN87" s="3422"/>
      <c r="AAO87" s="3422"/>
      <c r="AAP87" s="3422"/>
      <c r="AAQ87" s="3422"/>
      <c r="AAR87" s="3422"/>
      <c r="AAS87" s="3422"/>
      <c r="AAT87" s="3422"/>
      <c r="AAU87" s="3422"/>
      <c r="AAV87" s="3422"/>
      <c r="AAW87" s="3422"/>
      <c r="AAX87" s="3422"/>
      <c r="AAY87" s="3422"/>
      <c r="AAZ87" s="3422"/>
      <c r="ABA87" s="3422"/>
      <c r="ABB87" s="3422"/>
      <c r="ABC87" s="3422"/>
      <c r="ABD87" s="3422"/>
      <c r="ABE87" s="3422"/>
      <c r="ABF87" s="3422"/>
      <c r="ABG87" s="3422"/>
      <c r="ABH87" s="3422"/>
      <c r="ABI87" s="3422"/>
      <c r="ABJ87" s="3422"/>
      <c r="ABK87" s="3422"/>
      <c r="ABL87" s="3422"/>
      <c r="ABM87" s="3422"/>
      <c r="ABN87" s="3422"/>
      <c r="ABO87" s="3422"/>
      <c r="ABP87" s="3422"/>
      <c r="ABQ87" s="3422"/>
      <c r="ABR87" s="3422"/>
      <c r="ABS87" s="3422"/>
      <c r="ABT87" s="3422"/>
      <c r="ABU87" s="3422"/>
      <c r="ABV87" s="3422"/>
      <c r="ABW87" s="3422"/>
      <c r="ABX87" s="3422"/>
      <c r="ABY87" s="3422"/>
      <c r="ABZ87" s="3422"/>
      <c r="ACA87" s="3422"/>
      <c r="ACB87" s="3422"/>
      <c r="ACC87" s="3422"/>
      <c r="ACD87" s="3422"/>
      <c r="ACE87" s="3422"/>
      <c r="ACF87" s="3422"/>
      <c r="ACG87" s="3422"/>
      <c r="ACH87" s="3422"/>
      <c r="ACI87" s="3422"/>
      <c r="ACJ87" s="3422"/>
      <c r="ACK87" s="3422"/>
      <c r="ACL87" s="3422"/>
    </row>
    <row r="88" spans="1:1215" ht="15" customHeight="1" x14ac:dyDescent="0.2">
      <c r="A88" s="3814"/>
      <c r="B88" s="3815"/>
      <c r="C88" s="2210"/>
      <c r="D88" s="2756" t="s">
        <v>588</v>
      </c>
      <c r="E88" s="2210"/>
      <c r="F88" s="1997"/>
      <c r="G88" s="1997"/>
      <c r="H88" s="1997"/>
      <c r="I88" s="1997"/>
      <c r="J88" s="1997"/>
      <c r="K88" s="1997"/>
      <c r="L88" s="1997"/>
      <c r="M88" s="1997"/>
      <c r="N88" s="1997"/>
      <c r="O88" s="2795"/>
      <c r="P88" s="2210"/>
      <c r="Q88" s="1997"/>
      <c r="R88" s="1997"/>
      <c r="S88" s="1997"/>
      <c r="T88" s="1997"/>
      <c r="U88" s="1997"/>
      <c r="V88" s="2799"/>
      <c r="W88" s="1997"/>
      <c r="X88" s="1997"/>
      <c r="Y88" s="1997"/>
      <c r="Z88" s="2813"/>
      <c r="AA88" s="1963"/>
      <c r="AB88" s="1963"/>
      <c r="AC88" s="1963"/>
      <c r="AD88" s="1920">
        <f>AD86+AD87</f>
        <v>0</v>
      </c>
      <c r="AE88" s="1920"/>
      <c r="AF88" s="1920"/>
      <c r="AG88" s="1920"/>
      <c r="AH88" s="1920">
        <f>+AH86+AH87</f>
        <v>0</v>
      </c>
      <c r="AI88" s="2385"/>
      <c r="AJ88" s="2386"/>
      <c r="AK88" s="2813"/>
      <c r="AL88" s="2154"/>
      <c r="AM88" s="2154"/>
      <c r="AN88" s="1963"/>
      <c r="AO88" s="2605"/>
      <c r="AP88" s="1963"/>
      <c r="AQ88" s="1963"/>
      <c r="AR88" s="1963"/>
      <c r="AS88" s="2605">
        <f>AO88+AQ88</f>
        <v>0</v>
      </c>
      <c r="AT88" s="1963"/>
      <c r="AU88" s="1963"/>
      <c r="AV88" s="1963"/>
      <c r="AW88" s="2813"/>
      <c r="AX88" s="2154"/>
      <c r="AY88" s="2154"/>
      <c r="AZ88" s="1963"/>
      <c r="BA88" s="2605"/>
      <c r="BB88" s="1963"/>
      <c r="BC88" s="1963"/>
      <c r="BD88" s="1963"/>
      <c r="BE88" s="2605">
        <f>BA88+BC88</f>
        <v>0</v>
      </c>
      <c r="BF88" s="1963"/>
      <c r="BG88" s="1963"/>
      <c r="BH88" s="1963"/>
      <c r="BI88" s="2813"/>
      <c r="BJ88" s="1963"/>
      <c r="BK88" s="1963"/>
      <c r="BL88" s="1963"/>
      <c r="BM88" s="2606">
        <f>AD88+AO88</f>
        <v>0</v>
      </c>
      <c r="BN88" s="2154">
        <f>SUM(BN86:BN87)</f>
        <v>0</v>
      </c>
      <c r="BO88" s="2154">
        <f t="shared" ref="BO88:BP88" si="173">SUM(BO86:BO87)</f>
        <v>0</v>
      </c>
      <c r="BP88" s="2154">
        <f t="shared" si="173"/>
        <v>0</v>
      </c>
      <c r="BQ88" s="2606">
        <f>BM88+BN88+BO88+BP88</f>
        <v>0</v>
      </c>
      <c r="BR88" s="2154">
        <f>SUM(BR86:BR87)</f>
        <v>0</v>
      </c>
      <c r="BS88" s="2154">
        <f>SUM(BS86:BS87)</f>
        <v>0</v>
      </c>
      <c r="BT88" s="2571">
        <f>BR88+BS88</f>
        <v>0</v>
      </c>
      <c r="BV88" s="3058"/>
      <c r="BW88" s="3058"/>
      <c r="BX88" s="3058"/>
      <c r="ES88" s="3422"/>
      <c r="ET88" s="3422"/>
      <c r="EU88" s="3422"/>
      <c r="EV88" s="3422"/>
      <c r="EW88" s="3422"/>
      <c r="EX88" s="3422"/>
      <c r="EY88" s="3422"/>
      <c r="EZ88" s="3422"/>
      <c r="FA88" s="3422"/>
      <c r="FB88" s="3422"/>
      <c r="FC88" s="3422"/>
      <c r="FD88" s="3422"/>
      <c r="FE88" s="3422"/>
      <c r="FF88" s="3422"/>
      <c r="FG88" s="3422"/>
      <c r="FH88" s="3422"/>
      <c r="FI88" s="3422"/>
      <c r="FJ88" s="3422"/>
      <c r="FK88" s="3422"/>
      <c r="FL88" s="3422"/>
      <c r="FM88" s="3422"/>
      <c r="FN88" s="3422"/>
      <c r="FO88" s="3422"/>
      <c r="FP88" s="3422"/>
      <c r="FQ88" s="3422"/>
      <c r="FR88" s="3422"/>
      <c r="FS88" s="3422"/>
      <c r="FT88" s="3422"/>
      <c r="FU88" s="3422"/>
      <c r="FV88" s="3422"/>
      <c r="FW88" s="3422"/>
      <c r="FX88" s="3422"/>
      <c r="FY88" s="3422"/>
      <c r="FZ88" s="3422"/>
      <c r="GA88" s="3422"/>
      <c r="GB88" s="3422"/>
      <c r="GC88" s="3422"/>
      <c r="GD88" s="3422"/>
      <c r="GE88" s="3422"/>
      <c r="GF88" s="3422"/>
      <c r="GG88" s="3422"/>
      <c r="GH88" s="3422"/>
      <c r="GI88" s="3422"/>
      <c r="GJ88" s="3422"/>
      <c r="GK88" s="3422"/>
      <c r="GL88" s="3422"/>
      <c r="GM88" s="3422"/>
      <c r="GN88" s="3422"/>
      <c r="GO88" s="3422"/>
      <c r="GP88" s="3422"/>
      <c r="GQ88" s="3422"/>
      <c r="GR88" s="3422"/>
      <c r="GS88" s="3422"/>
      <c r="GT88" s="3422"/>
      <c r="GU88" s="3422"/>
      <c r="GV88" s="3422"/>
      <c r="GW88" s="3422"/>
      <c r="GX88" s="3422"/>
      <c r="GY88" s="3422"/>
      <c r="GZ88" s="3422"/>
      <c r="HA88" s="3422"/>
      <c r="HB88" s="3422"/>
      <c r="HC88" s="3422"/>
      <c r="HD88" s="3422"/>
      <c r="HE88" s="3422"/>
      <c r="HF88" s="3422"/>
      <c r="HG88" s="3422"/>
      <c r="HH88" s="3422"/>
      <c r="HI88" s="3422"/>
      <c r="HJ88" s="3422"/>
      <c r="HK88" s="3422"/>
      <c r="HL88" s="3422"/>
      <c r="HM88" s="3422"/>
      <c r="HN88" s="3422"/>
      <c r="HO88" s="3422"/>
      <c r="HP88" s="3422"/>
      <c r="HQ88" s="3422"/>
      <c r="HR88" s="3422"/>
      <c r="HS88" s="3422"/>
      <c r="HT88" s="3422"/>
      <c r="HU88" s="3422"/>
      <c r="HV88" s="3422"/>
      <c r="HW88" s="3422"/>
      <c r="HX88" s="3422"/>
      <c r="HY88" s="3422"/>
      <c r="HZ88" s="3422"/>
      <c r="IA88" s="3422"/>
      <c r="IB88" s="3422"/>
      <c r="IC88" s="3422"/>
      <c r="ID88" s="3422"/>
      <c r="IE88" s="3422"/>
      <c r="IF88" s="3422"/>
      <c r="IG88" s="3422"/>
      <c r="IH88" s="3422"/>
      <c r="II88" s="3422"/>
      <c r="IJ88" s="3422"/>
      <c r="IK88" s="3422"/>
      <c r="IL88" s="3422"/>
      <c r="IM88" s="3422"/>
      <c r="IN88" s="3422"/>
      <c r="IO88" s="3422"/>
      <c r="IP88" s="3422"/>
      <c r="IQ88" s="3422"/>
      <c r="IR88" s="3422"/>
      <c r="IS88" s="3422"/>
      <c r="IT88" s="3422"/>
      <c r="IU88" s="3422"/>
      <c r="IV88" s="3422"/>
      <c r="IW88" s="3422"/>
      <c r="IX88" s="3422"/>
      <c r="IY88" s="3422"/>
      <c r="IZ88" s="3422"/>
      <c r="JA88" s="3422"/>
      <c r="JB88" s="3422"/>
      <c r="JC88" s="3422"/>
      <c r="JD88" s="3422"/>
      <c r="JE88" s="3422"/>
      <c r="JF88" s="3422"/>
      <c r="JG88" s="3422"/>
      <c r="JH88" s="3422"/>
      <c r="JI88" s="3422"/>
      <c r="JJ88" s="3422"/>
      <c r="JK88" s="3422"/>
      <c r="JL88" s="3422"/>
      <c r="JM88" s="3422"/>
      <c r="JN88" s="3422"/>
      <c r="JO88" s="3422"/>
      <c r="JP88" s="3422"/>
      <c r="JQ88" s="3422"/>
      <c r="JR88" s="3422"/>
      <c r="JS88" s="3422"/>
      <c r="JT88" s="3422"/>
      <c r="JU88" s="3422"/>
      <c r="JV88" s="3422"/>
      <c r="JW88" s="3422"/>
      <c r="JX88" s="3422"/>
      <c r="JY88" s="3422"/>
      <c r="JZ88" s="3422"/>
      <c r="KA88" s="3422"/>
      <c r="KB88" s="3422"/>
      <c r="KC88" s="3422"/>
      <c r="KD88" s="3422"/>
      <c r="KE88" s="3422"/>
      <c r="KF88" s="3422"/>
      <c r="KG88" s="3422"/>
      <c r="KH88" s="3422"/>
      <c r="KI88" s="3422"/>
      <c r="KJ88" s="3422"/>
      <c r="KK88" s="3422"/>
      <c r="KL88" s="3422"/>
      <c r="KM88" s="3422"/>
      <c r="KN88" s="3422"/>
      <c r="KO88" s="3422"/>
      <c r="KP88" s="3422"/>
      <c r="KQ88" s="3422"/>
      <c r="KR88" s="3422"/>
      <c r="KS88" s="3422"/>
      <c r="KT88" s="3422"/>
      <c r="KU88" s="3422"/>
      <c r="KV88" s="3422"/>
      <c r="KW88" s="3422"/>
      <c r="KX88" s="3422"/>
      <c r="KY88" s="3422"/>
      <c r="KZ88" s="3422"/>
      <c r="LA88" s="3422"/>
      <c r="LB88" s="3422"/>
      <c r="LC88" s="3422"/>
      <c r="LD88" s="3422"/>
      <c r="LE88" s="3422"/>
      <c r="LF88" s="3422"/>
      <c r="LG88" s="3422"/>
      <c r="LH88" s="3422"/>
      <c r="LI88" s="3422"/>
      <c r="LJ88" s="3422"/>
      <c r="LK88" s="3422"/>
      <c r="LL88" s="3422"/>
      <c r="LM88" s="3422"/>
      <c r="LN88" s="3422"/>
      <c r="LO88" s="3422"/>
      <c r="LP88" s="3422"/>
      <c r="LQ88" s="3422"/>
      <c r="LR88" s="3422"/>
      <c r="LS88" s="3422"/>
      <c r="LT88" s="3422"/>
      <c r="LU88" s="3422"/>
      <c r="LV88" s="3422"/>
      <c r="LW88" s="3422"/>
      <c r="LX88" s="3422"/>
      <c r="LY88" s="3422"/>
      <c r="LZ88" s="3422"/>
      <c r="MA88" s="3422"/>
      <c r="MB88" s="3422"/>
      <c r="MC88" s="3422"/>
      <c r="MD88" s="3422"/>
      <c r="ME88" s="3422"/>
      <c r="MF88" s="3422"/>
      <c r="MG88" s="3422"/>
      <c r="MH88" s="3422"/>
      <c r="MI88" s="3422"/>
      <c r="MJ88" s="3422"/>
      <c r="MK88" s="3422"/>
      <c r="ML88" s="3422"/>
      <c r="MM88" s="3422"/>
      <c r="MN88" s="3422"/>
      <c r="MO88" s="3422"/>
      <c r="MP88" s="3422"/>
      <c r="MQ88" s="3422"/>
      <c r="MR88" s="3422"/>
      <c r="MS88" s="3422"/>
      <c r="MT88" s="3422"/>
      <c r="MU88" s="3422"/>
      <c r="MV88" s="3422"/>
      <c r="MW88" s="3422"/>
      <c r="MX88" s="3422"/>
      <c r="MY88" s="3422"/>
      <c r="MZ88" s="3422"/>
      <c r="NA88" s="3422"/>
      <c r="NB88" s="3422"/>
      <c r="NC88" s="3422"/>
      <c r="ND88" s="3422"/>
      <c r="NE88" s="3422"/>
      <c r="NF88" s="3422"/>
      <c r="NG88" s="3422"/>
      <c r="NH88" s="3422"/>
      <c r="NI88" s="3422"/>
      <c r="NJ88" s="3422"/>
      <c r="NK88" s="3422"/>
      <c r="NL88" s="3422"/>
      <c r="NM88" s="3422"/>
      <c r="NN88" s="3422"/>
      <c r="NO88" s="3422"/>
      <c r="NP88" s="3422"/>
      <c r="NQ88" s="3422"/>
      <c r="NR88" s="3422"/>
      <c r="NS88" s="3422"/>
      <c r="NT88" s="3422"/>
      <c r="NU88" s="3422"/>
      <c r="NV88" s="3422"/>
      <c r="NW88" s="3422"/>
      <c r="NX88" s="3422"/>
      <c r="NY88" s="3422"/>
      <c r="NZ88" s="3422"/>
      <c r="OA88" s="3422"/>
      <c r="OB88" s="3422"/>
      <c r="OC88" s="3422"/>
      <c r="OD88" s="3422"/>
      <c r="OE88" s="3422"/>
      <c r="OF88" s="3422"/>
      <c r="OG88" s="3422"/>
      <c r="OH88" s="3422"/>
      <c r="OI88" s="3422"/>
      <c r="OJ88" s="3422"/>
      <c r="OK88" s="3422"/>
      <c r="OL88" s="3422"/>
      <c r="OM88" s="3422"/>
      <c r="ON88" s="3422"/>
      <c r="OO88" s="3422"/>
      <c r="OP88" s="3422"/>
      <c r="OQ88" s="3422"/>
      <c r="OR88" s="3422"/>
      <c r="OS88" s="3422"/>
      <c r="OT88" s="3422"/>
      <c r="OU88" s="3422"/>
      <c r="OV88" s="3422"/>
      <c r="OW88" s="3422"/>
      <c r="OX88" s="3422"/>
      <c r="OY88" s="3422"/>
      <c r="OZ88" s="3422"/>
      <c r="PA88" s="3422"/>
      <c r="PB88" s="3422"/>
      <c r="PC88" s="3422"/>
      <c r="PD88" s="3422"/>
      <c r="PE88" s="3422"/>
      <c r="PF88" s="3422"/>
      <c r="PG88" s="3422"/>
      <c r="PH88" s="3422"/>
      <c r="PI88" s="3422"/>
      <c r="PJ88" s="3422"/>
      <c r="PK88" s="3422"/>
      <c r="PL88" s="3422"/>
      <c r="PM88" s="3422"/>
      <c r="PN88" s="3422"/>
      <c r="PO88" s="3422"/>
      <c r="PP88" s="3422"/>
      <c r="PQ88" s="3422"/>
      <c r="PR88" s="3422"/>
      <c r="PS88" s="3422"/>
      <c r="PT88" s="3422"/>
      <c r="PU88" s="3422"/>
      <c r="PV88" s="3422"/>
      <c r="PW88" s="3422"/>
      <c r="PX88" s="3422"/>
      <c r="PY88" s="3422"/>
      <c r="PZ88" s="3422"/>
      <c r="QA88" s="3422"/>
      <c r="QB88" s="3422"/>
      <c r="QC88" s="3422"/>
      <c r="QD88" s="3422"/>
      <c r="QE88" s="3422"/>
      <c r="QF88" s="3422"/>
      <c r="QG88" s="3422"/>
      <c r="QH88" s="3422"/>
      <c r="QI88" s="3422"/>
      <c r="QJ88" s="3422"/>
      <c r="QK88" s="3422"/>
      <c r="QL88" s="3422"/>
      <c r="QM88" s="3422"/>
      <c r="QN88" s="3422"/>
      <c r="QO88" s="3422"/>
      <c r="QP88" s="3422"/>
      <c r="QQ88" s="3422"/>
      <c r="QR88" s="3422"/>
      <c r="QS88" s="3422"/>
      <c r="QT88" s="3422"/>
      <c r="QU88" s="3422"/>
      <c r="QV88" s="3422"/>
      <c r="QW88" s="3422"/>
      <c r="QX88" s="3422"/>
      <c r="QY88" s="3422"/>
      <c r="QZ88" s="3422"/>
      <c r="RA88" s="3422"/>
      <c r="RB88" s="3422"/>
      <c r="RC88" s="3422"/>
      <c r="RD88" s="3422"/>
      <c r="RE88" s="3422"/>
      <c r="RF88" s="3422"/>
      <c r="RG88" s="3422"/>
      <c r="RH88" s="3422"/>
      <c r="RI88" s="3422"/>
      <c r="RJ88" s="3422"/>
      <c r="RK88" s="3422"/>
      <c r="RL88" s="3422"/>
      <c r="RM88" s="3422"/>
      <c r="RN88" s="3422"/>
      <c r="RO88" s="3422"/>
      <c r="RP88" s="3422"/>
      <c r="RQ88" s="3422"/>
      <c r="RR88" s="3422"/>
      <c r="RS88" s="3422"/>
      <c r="RT88" s="3422"/>
      <c r="RU88" s="3422"/>
      <c r="RV88" s="3422"/>
      <c r="RW88" s="3422"/>
      <c r="RX88" s="3422"/>
      <c r="RY88" s="3422"/>
      <c r="RZ88" s="3422"/>
      <c r="SA88" s="3422"/>
      <c r="SB88" s="3422"/>
      <c r="SC88" s="3422"/>
      <c r="SD88" s="3422"/>
      <c r="SE88" s="3422"/>
      <c r="SF88" s="3422"/>
      <c r="SG88" s="3422"/>
      <c r="SH88" s="3422"/>
      <c r="SI88" s="3422"/>
      <c r="SJ88" s="3422"/>
      <c r="SK88" s="3422"/>
      <c r="SL88" s="3422"/>
      <c r="SM88" s="3422"/>
      <c r="SN88" s="3422"/>
      <c r="SO88" s="3422"/>
      <c r="SP88" s="3422"/>
      <c r="SQ88" s="3422"/>
      <c r="SR88" s="3422"/>
      <c r="SS88" s="3422"/>
      <c r="ST88" s="3422"/>
      <c r="SU88" s="3422"/>
      <c r="SV88" s="3422"/>
      <c r="SW88" s="3422"/>
      <c r="SX88" s="3422"/>
      <c r="SY88" s="3422"/>
      <c r="SZ88" s="3422"/>
      <c r="TA88" s="3422"/>
      <c r="TB88" s="3422"/>
      <c r="TC88" s="3422"/>
      <c r="TD88" s="3422"/>
      <c r="TE88" s="3422"/>
      <c r="TF88" s="3422"/>
      <c r="TG88" s="3422"/>
      <c r="TH88" s="3422"/>
      <c r="TI88" s="3422"/>
      <c r="TJ88" s="3422"/>
      <c r="TK88" s="3422"/>
      <c r="TL88" s="3422"/>
      <c r="TM88" s="3422"/>
      <c r="TN88" s="3422"/>
      <c r="TO88" s="3422"/>
      <c r="TP88" s="3422"/>
      <c r="TQ88" s="3422"/>
      <c r="TR88" s="3422"/>
      <c r="TS88" s="3422"/>
      <c r="TT88" s="3422"/>
      <c r="TU88" s="3422"/>
      <c r="TV88" s="3422"/>
      <c r="TW88" s="3422"/>
      <c r="TX88" s="3422"/>
      <c r="TY88" s="3422"/>
      <c r="TZ88" s="3422"/>
      <c r="UA88" s="3422"/>
      <c r="UB88" s="3422"/>
      <c r="UC88" s="3422"/>
      <c r="UD88" s="3422"/>
      <c r="UE88" s="3422"/>
      <c r="UF88" s="3422"/>
      <c r="UG88" s="3422"/>
      <c r="UH88" s="3422"/>
      <c r="UI88" s="3422"/>
      <c r="UJ88" s="3422"/>
      <c r="UK88" s="3422"/>
      <c r="UL88" s="3422"/>
      <c r="UM88" s="3422"/>
      <c r="UN88" s="3422"/>
      <c r="UO88" s="3422"/>
      <c r="UP88" s="3422"/>
      <c r="UQ88" s="3422"/>
      <c r="UR88" s="3422"/>
      <c r="US88" s="3422"/>
      <c r="UT88" s="3422"/>
      <c r="UU88" s="3422"/>
      <c r="UV88" s="3422"/>
      <c r="UW88" s="3422"/>
      <c r="UX88" s="3422"/>
      <c r="UY88" s="3422"/>
      <c r="UZ88" s="3422"/>
      <c r="VA88" s="3422"/>
      <c r="VB88" s="3422"/>
      <c r="VC88" s="3422"/>
      <c r="VD88" s="3422"/>
      <c r="VE88" s="3422"/>
      <c r="VF88" s="3422"/>
      <c r="VG88" s="3422"/>
      <c r="VH88" s="3422"/>
      <c r="VI88" s="3422"/>
      <c r="VJ88" s="3422"/>
      <c r="VK88" s="3422"/>
      <c r="VL88" s="3422"/>
      <c r="VM88" s="3422"/>
      <c r="VN88" s="3422"/>
      <c r="VO88" s="3422"/>
      <c r="VP88" s="3422"/>
      <c r="VQ88" s="3422"/>
      <c r="VR88" s="3422"/>
      <c r="VS88" s="3422"/>
      <c r="VT88" s="3422"/>
      <c r="VU88" s="3422"/>
      <c r="VV88" s="3422"/>
      <c r="VW88" s="3422"/>
      <c r="VX88" s="3422"/>
      <c r="VY88" s="3422"/>
      <c r="VZ88" s="3422"/>
      <c r="WA88" s="3422"/>
      <c r="WB88" s="3422"/>
      <c r="WC88" s="3422"/>
      <c r="WD88" s="3422"/>
      <c r="WE88" s="3422"/>
      <c r="WF88" s="3422"/>
      <c r="WG88" s="3422"/>
      <c r="WH88" s="3422"/>
      <c r="WI88" s="3422"/>
      <c r="WJ88" s="3422"/>
      <c r="WK88" s="3422"/>
      <c r="WL88" s="3422"/>
      <c r="WM88" s="3422"/>
      <c r="WN88" s="3422"/>
      <c r="WO88" s="3422"/>
      <c r="WP88" s="3422"/>
      <c r="WQ88" s="3422"/>
      <c r="WR88" s="3422"/>
      <c r="WS88" s="3422"/>
      <c r="WT88" s="3422"/>
      <c r="WU88" s="3422"/>
      <c r="WV88" s="3422"/>
      <c r="WW88" s="3422"/>
      <c r="WX88" s="3422"/>
      <c r="WY88" s="3422"/>
      <c r="WZ88" s="3422"/>
      <c r="XA88" s="3422"/>
      <c r="XB88" s="3422"/>
      <c r="XC88" s="3422"/>
      <c r="XD88" s="3422"/>
      <c r="XE88" s="3422"/>
      <c r="XF88" s="3422"/>
      <c r="XG88" s="3422"/>
      <c r="XH88" s="3422"/>
      <c r="XI88" s="3422"/>
      <c r="XJ88" s="3422"/>
      <c r="XK88" s="3422"/>
      <c r="XL88" s="3422"/>
      <c r="XM88" s="3422"/>
      <c r="XN88" s="3422"/>
      <c r="XO88" s="3422"/>
      <c r="XP88" s="3422"/>
      <c r="XQ88" s="3422"/>
      <c r="XR88" s="3422"/>
      <c r="XS88" s="3422"/>
      <c r="XT88" s="3422"/>
      <c r="XU88" s="3422"/>
      <c r="XV88" s="3422"/>
      <c r="XW88" s="3422"/>
      <c r="XX88" s="3422"/>
      <c r="XY88" s="3422"/>
      <c r="XZ88" s="3422"/>
      <c r="YA88" s="3422"/>
      <c r="YB88" s="3422"/>
      <c r="YC88" s="3422"/>
      <c r="YD88" s="3422"/>
      <c r="YE88" s="3422"/>
      <c r="YF88" s="3422"/>
      <c r="YG88" s="3422"/>
      <c r="YH88" s="3422"/>
      <c r="YI88" s="3422"/>
      <c r="YJ88" s="3422"/>
      <c r="YK88" s="3422"/>
      <c r="YL88" s="3422"/>
      <c r="YM88" s="3422"/>
      <c r="YN88" s="3422"/>
      <c r="YO88" s="3422"/>
      <c r="YP88" s="3422"/>
      <c r="YQ88" s="3422"/>
      <c r="YR88" s="3422"/>
      <c r="YS88" s="3422"/>
      <c r="YT88" s="3422"/>
      <c r="YU88" s="3422"/>
      <c r="YV88" s="3422"/>
      <c r="YW88" s="3422"/>
      <c r="YX88" s="3422"/>
      <c r="YY88" s="3422"/>
      <c r="YZ88" s="3422"/>
      <c r="ZA88" s="3422"/>
      <c r="ZB88" s="3422"/>
      <c r="ZC88" s="3422"/>
      <c r="ZD88" s="3422"/>
      <c r="ZE88" s="3422"/>
      <c r="ZF88" s="3422"/>
      <c r="ZG88" s="3422"/>
      <c r="ZH88" s="3422"/>
      <c r="ZI88" s="3422"/>
      <c r="ZJ88" s="3422"/>
      <c r="ZK88" s="3422"/>
      <c r="ZL88" s="3422"/>
      <c r="ZM88" s="3422"/>
      <c r="ZN88" s="3422"/>
      <c r="ZO88" s="3422"/>
      <c r="ZP88" s="3422"/>
      <c r="ZQ88" s="3422"/>
      <c r="ZR88" s="3422"/>
      <c r="ZS88" s="3422"/>
      <c r="ZT88" s="3422"/>
      <c r="ZU88" s="3422"/>
      <c r="ZV88" s="3422"/>
      <c r="ZW88" s="3422"/>
      <c r="ZX88" s="3422"/>
      <c r="ZY88" s="3422"/>
      <c r="ZZ88" s="3422"/>
      <c r="AAA88" s="3422"/>
      <c r="AAB88" s="3422"/>
      <c r="AAC88" s="3422"/>
      <c r="AAD88" s="3422"/>
      <c r="AAE88" s="3422"/>
      <c r="AAF88" s="3422"/>
      <c r="AAG88" s="3422"/>
      <c r="AAH88" s="3422"/>
      <c r="AAI88" s="3422"/>
      <c r="AAJ88" s="3422"/>
      <c r="AAK88" s="3422"/>
      <c r="AAL88" s="3422"/>
      <c r="AAM88" s="3422"/>
      <c r="AAN88" s="3422"/>
      <c r="AAO88" s="3422"/>
      <c r="AAP88" s="3422"/>
      <c r="AAQ88" s="3422"/>
      <c r="AAR88" s="3422"/>
      <c r="AAS88" s="3422"/>
      <c r="AAT88" s="3422"/>
      <c r="AAU88" s="3422"/>
      <c r="AAV88" s="3422"/>
      <c r="AAW88" s="3422"/>
      <c r="AAX88" s="3422"/>
      <c r="AAY88" s="3422"/>
      <c r="AAZ88" s="3422"/>
      <c r="ABA88" s="3422"/>
      <c r="ABB88" s="3422"/>
      <c r="ABC88" s="3422"/>
      <c r="ABD88" s="3422"/>
      <c r="ABE88" s="3422"/>
      <c r="ABF88" s="3422"/>
      <c r="ABG88" s="3422"/>
      <c r="ABH88" s="3422"/>
      <c r="ABI88" s="3422"/>
      <c r="ABJ88" s="3422"/>
      <c r="ABK88" s="3422"/>
      <c r="ABL88" s="3422"/>
      <c r="ABM88" s="3422"/>
      <c r="ABN88" s="3422"/>
      <c r="ABO88" s="3422"/>
      <c r="ABP88" s="3422"/>
      <c r="ABQ88" s="3422"/>
      <c r="ABR88" s="3422"/>
      <c r="ABS88" s="3422"/>
      <c r="ABT88" s="3422"/>
      <c r="ABU88" s="3422"/>
      <c r="ABV88" s="3422"/>
      <c r="ABW88" s="3422"/>
      <c r="ABX88" s="3422"/>
      <c r="ABY88" s="3422"/>
      <c r="ABZ88" s="3422"/>
      <c r="ACA88" s="3422"/>
      <c r="ACB88" s="3422"/>
      <c r="ACC88" s="3422"/>
      <c r="ACD88" s="3422"/>
      <c r="ACE88" s="3422"/>
      <c r="ACF88" s="3422"/>
      <c r="ACG88" s="3422"/>
      <c r="ACH88" s="3422"/>
      <c r="ACI88" s="3422"/>
      <c r="ACJ88" s="3422"/>
      <c r="ACK88" s="3422"/>
      <c r="ACL88" s="3422"/>
    </row>
    <row r="89" spans="1:1215" s="628" customFormat="1" ht="15" customHeight="1" x14ac:dyDescent="0.25">
      <c r="A89" s="1942"/>
      <c r="B89" s="1943"/>
      <c r="C89" s="1943"/>
      <c r="D89" s="2753"/>
      <c r="E89" s="1944"/>
      <c r="F89" s="1945"/>
      <c r="G89" s="1946"/>
      <c r="H89" s="1947"/>
      <c r="I89" s="1945"/>
      <c r="J89" s="1945"/>
      <c r="K89" s="1947"/>
      <c r="L89" s="1945"/>
      <c r="M89" s="1945"/>
      <c r="N89" s="1946"/>
      <c r="O89" s="2796"/>
      <c r="P89" s="1944"/>
      <c r="Q89" s="1946"/>
      <c r="R89" s="1946"/>
      <c r="S89" s="1946"/>
      <c r="T89" s="1946"/>
      <c r="U89" s="1946"/>
      <c r="V89" s="2796"/>
      <c r="W89" s="1946"/>
      <c r="X89" s="1946"/>
      <c r="Y89" s="1946"/>
      <c r="Z89" s="2478"/>
      <c r="AA89" s="1945"/>
      <c r="AB89" s="1945"/>
      <c r="AC89" s="1945"/>
      <c r="AD89" s="1946"/>
      <c r="AE89" s="1946"/>
      <c r="AF89" s="1946"/>
      <c r="AG89" s="1946"/>
      <c r="AH89" s="1946"/>
      <c r="AI89" s="1946"/>
      <c r="AJ89" s="1946"/>
      <c r="AK89" s="2796"/>
      <c r="AL89" s="1946"/>
      <c r="AM89" s="1946"/>
      <c r="AN89" s="1946"/>
      <c r="AO89" s="1946"/>
      <c r="AP89" s="1946"/>
      <c r="AQ89" s="1946"/>
      <c r="AR89" s="1946"/>
      <c r="AS89" s="1946"/>
      <c r="AT89" s="1946"/>
      <c r="AU89" s="1946"/>
      <c r="AV89" s="1946"/>
      <c r="AW89" s="2796"/>
      <c r="AX89" s="1946"/>
      <c r="AY89" s="1946"/>
      <c r="AZ89" s="1946"/>
      <c r="BA89" s="1946"/>
      <c r="BB89" s="1946"/>
      <c r="BC89" s="1946"/>
      <c r="BD89" s="1946"/>
      <c r="BE89" s="1946"/>
      <c r="BF89" s="1946"/>
      <c r="BG89" s="1946"/>
      <c r="BH89" s="1946"/>
      <c r="BI89" s="2796"/>
      <c r="BJ89" s="2194"/>
      <c r="BK89" s="2194"/>
      <c r="BL89" s="2194"/>
      <c r="BM89" s="1946"/>
      <c r="BN89" s="1946"/>
      <c r="BO89" s="1946"/>
      <c r="BP89" s="1946"/>
      <c r="BQ89" s="1946"/>
      <c r="BR89" s="1946"/>
      <c r="BS89" s="1946"/>
      <c r="BT89" s="2796"/>
      <c r="BU89" s="99"/>
      <c r="BV89" s="3058"/>
      <c r="BW89" s="3058"/>
      <c r="BX89" s="3058"/>
      <c r="BY89" s="99"/>
      <c r="BZ89" s="99"/>
      <c r="FH89" s="1785"/>
      <c r="FI89" s="1785"/>
      <c r="FJ89" s="1785"/>
      <c r="FK89" s="1785"/>
      <c r="FL89" s="1785"/>
      <c r="FM89" s="1785"/>
      <c r="FN89" s="1785"/>
      <c r="FO89" s="1785"/>
      <c r="FP89" s="1785"/>
      <c r="FQ89" s="1785"/>
      <c r="FR89" s="1785"/>
      <c r="FS89" s="1785"/>
      <c r="FT89" s="1785"/>
      <c r="FU89" s="1785"/>
      <c r="FV89" s="1785"/>
      <c r="FW89" s="1785"/>
      <c r="FX89" s="1785"/>
      <c r="FY89" s="1785"/>
      <c r="FZ89" s="1785"/>
      <c r="GA89" s="1785"/>
      <c r="GB89" s="1785"/>
      <c r="GC89" s="1785"/>
      <c r="GD89" s="1785"/>
      <c r="GE89" s="1785"/>
      <c r="GF89" s="1785"/>
      <c r="GG89" s="1785"/>
      <c r="GH89" s="1785"/>
      <c r="GI89" s="1785"/>
      <c r="GJ89" s="1785"/>
      <c r="GK89" s="1785"/>
      <c r="GL89" s="1785"/>
      <c r="GM89" s="1785"/>
      <c r="GN89" s="1785"/>
      <c r="GO89" s="1785"/>
      <c r="GP89" s="1785"/>
      <c r="GQ89" s="1785"/>
      <c r="GR89" s="1785"/>
      <c r="GS89" s="1785"/>
      <c r="GT89" s="1785"/>
      <c r="GU89" s="1785"/>
      <c r="GV89" s="1785"/>
      <c r="GW89" s="1785"/>
      <c r="GX89" s="1785"/>
      <c r="GY89" s="1785"/>
      <c r="GZ89" s="1785"/>
      <c r="HA89" s="1785"/>
      <c r="HB89" s="1785"/>
      <c r="HC89" s="1785"/>
      <c r="HD89" s="1785"/>
      <c r="HE89" s="1785"/>
      <c r="HF89" s="1785"/>
      <c r="HG89" s="1785"/>
      <c r="HH89" s="1785"/>
      <c r="HI89" s="1785"/>
      <c r="HJ89" s="1785"/>
      <c r="HK89" s="1785"/>
      <c r="HL89" s="1785"/>
      <c r="HM89" s="1785"/>
      <c r="HN89" s="1785"/>
      <c r="HO89" s="1785"/>
      <c r="HP89" s="1785"/>
      <c r="HQ89" s="1785"/>
      <c r="HR89" s="1785"/>
      <c r="HS89" s="1785"/>
      <c r="HT89" s="1785"/>
      <c r="HU89" s="1785"/>
      <c r="HV89" s="1785"/>
      <c r="HW89" s="1785"/>
      <c r="HX89" s="1785"/>
      <c r="HY89" s="1785"/>
      <c r="HZ89" s="1785"/>
      <c r="IA89" s="1785"/>
      <c r="IB89" s="1785"/>
      <c r="IC89" s="1785"/>
      <c r="ID89" s="1785"/>
      <c r="IE89" s="1785"/>
      <c r="IF89" s="1785"/>
      <c r="IG89" s="1785"/>
      <c r="IH89" s="1785"/>
      <c r="II89" s="1785"/>
      <c r="IJ89" s="1785"/>
      <c r="IK89" s="1785"/>
      <c r="IL89" s="1785"/>
      <c r="IM89" s="1785"/>
      <c r="IN89" s="1785"/>
      <c r="IO89" s="1785"/>
      <c r="IP89" s="1785"/>
      <c r="IQ89" s="1785"/>
      <c r="IR89" s="1785"/>
      <c r="IS89" s="1785"/>
      <c r="IT89" s="1785"/>
      <c r="IU89" s="1785"/>
      <c r="IV89" s="1785"/>
      <c r="IW89" s="1785"/>
      <c r="IX89" s="1785"/>
      <c r="IY89" s="1785"/>
      <c r="IZ89" s="1785"/>
      <c r="JA89" s="1785"/>
      <c r="JB89" s="1785"/>
      <c r="JC89" s="1785"/>
      <c r="JD89" s="1785"/>
      <c r="JE89" s="1785"/>
      <c r="JF89" s="1785"/>
      <c r="JG89" s="1785"/>
      <c r="JH89" s="1785"/>
      <c r="JI89" s="1785"/>
      <c r="JJ89" s="1785"/>
      <c r="JK89" s="1785"/>
      <c r="JL89" s="1785"/>
      <c r="JM89" s="1785"/>
      <c r="JN89" s="1785"/>
      <c r="JO89" s="1785"/>
      <c r="JP89" s="1785"/>
      <c r="JQ89" s="1785"/>
      <c r="JR89" s="1785"/>
      <c r="JS89" s="1785"/>
      <c r="JT89" s="1785"/>
      <c r="JU89" s="1785"/>
      <c r="JV89" s="1785"/>
      <c r="JW89" s="1785"/>
      <c r="JX89" s="1785"/>
      <c r="JY89" s="1785"/>
      <c r="JZ89" s="1785"/>
      <c r="KA89" s="1785"/>
      <c r="KB89" s="1785"/>
      <c r="KC89" s="1785"/>
      <c r="KD89" s="1785"/>
      <c r="KE89" s="1785"/>
      <c r="KF89" s="1785"/>
      <c r="KG89" s="1785"/>
      <c r="KH89" s="1785"/>
      <c r="KI89" s="1785"/>
      <c r="KJ89" s="1785"/>
      <c r="KK89" s="1785"/>
      <c r="KL89" s="1785"/>
      <c r="KM89" s="1785"/>
      <c r="KN89" s="1785"/>
      <c r="KO89" s="1785"/>
      <c r="KP89" s="1785"/>
      <c r="KQ89" s="1785"/>
      <c r="KR89" s="1785"/>
      <c r="KS89" s="1785"/>
      <c r="KT89" s="1785"/>
      <c r="KU89" s="1785"/>
      <c r="KV89" s="1785"/>
      <c r="KW89" s="1785"/>
      <c r="KX89" s="1785"/>
      <c r="KY89" s="1785"/>
      <c r="KZ89" s="1785"/>
      <c r="LA89" s="1785"/>
      <c r="LB89" s="1785"/>
      <c r="LC89" s="1785"/>
      <c r="LD89" s="1785"/>
      <c r="LE89" s="1785"/>
      <c r="LF89" s="1785"/>
      <c r="LG89" s="1785"/>
      <c r="LH89" s="1785"/>
      <c r="LI89" s="1785"/>
      <c r="LJ89" s="1785"/>
      <c r="LK89" s="1785"/>
      <c r="LL89" s="1785"/>
      <c r="LM89" s="1785"/>
      <c r="LN89" s="1785"/>
      <c r="LO89" s="1785"/>
      <c r="LP89" s="1785"/>
      <c r="LQ89" s="1785"/>
      <c r="LR89" s="1785"/>
      <c r="LS89" s="1785"/>
      <c r="LT89" s="1785"/>
      <c r="LU89" s="1785"/>
      <c r="LV89" s="1785"/>
      <c r="LW89" s="1785"/>
      <c r="LX89" s="1785"/>
      <c r="LY89" s="1785"/>
      <c r="LZ89" s="1785"/>
      <c r="MA89" s="1785"/>
      <c r="MB89" s="1785"/>
      <c r="MC89" s="1785"/>
      <c r="MD89" s="1785"/>
      <c r="ME89" s="1785"/>
      <c r="MF89" s="1785"/>
      <c r="MG89" s="1785"/>
      <c r="MH89" s="1785"/>
      <c r="MI89" s="1785"/>
      <c r="MJ89" s="1785"/>
      <c r="MK89" s="1785"/>
      <c r="ML89" s="1785"/>
      <c r="MM89" s="1785"/>
      <c r="MN89" s="1785"/>
      <c r="MO89" s="1785"/>
      <c r="MP89" s="1785"/>
      <c r="MQ89" s="1785"/>
      <c r="MR89" s="1785"/>
      <c r="MS89" s="1785"/>
      <c r="MT89" s="1785"/>
      <c r="MU89" s="1785"/>
      <c r="MV89" s="1785"/>
      <c r="MW89" s="1785"/>
      <c r="MX89" s="1785"/>
      <c r="MY89" s="1785"/>
      <c r="MZ89" s="1785"/>
      <c r="NA89" s="1785"/>
      <c r="NB89" s="1785"/>
      <c r="NC89" s="1785"/>
      <c r="ND89" s="1785"/>
      <c r="NE89" s="1785"/>
      <c r="NF89" s="1785"/>
      <c r="NG89" s="1785"/>
      <c r="NH89" s="1785"/>
      <c r="NI89" s="1785"/>
      <c r="NJ89" s="1785"/>
      <c r="NK89" s="1785"/>
      <c r="NL89" s="1785"/>
      <c r="NM89" s="1785"/>
      <c r="NN89" s="1785"/>
      <c r="NO89" s="1785"/>
      <c r="NP89" s="1785"/>
      <c r="NQ89" s="1785"/>
      <c r="NR89" s="1785"/>
      <c r="NS89" s="1785"/>
      <c r="NT89" s="1785"/>
      <c r="NU89" s="1785"/>
      <c r="NV89" s="1785"/>
      <c r="NW89" s="1785"/>
      <c r="NX89" s="1785"/>
      <c r="NY89" s="1785"/>
      <c r="NZ89" s="1785"/>
      <c r="OA89" s="1785"/>
      <c r="OB89" s="1785"/>
      <c r="OC89" s="1785"/>
      <c r="OD89" s="1785"/>
      <c r="OE89" s="1785"/>
      <c r="OF89" s="1785"/>
      <c r="OG89" s="1785"/>
      <c r="OH89" s="1785"/>
      <c r="OI89" s="1785"/>
      <c r="OJ89" s="1785"/>
      <c r="OK89" s="1785"/>
      <c r="OL89" s="1785"/>
      <c r="OM89" s="1785"/>
      <c r="ON89" s="1785"/>
      <c r="OO89" s="1785"/>
      <c r="OP89" s="1785"/>
      <c r="OQ89" s="1785"/>
      <c r="OR89" s="1785"/>
      <c r="OS89" s="1785"/>
      <c r="OT89" s="1785"/>
      <c r="OU89" s="1785"/>
      <c r="OV89" s="1785"/>
      <c r="OW89" s="1785"/>
      <c r="OX89" s="1785"/>
      <c r="OY89" s="1785"/>
      <c r="OZ89" s="1785"/>
      <c r="PA89" s="1785"/>
      <c r="PB89" s="1785"/>
      <c r="PC89" s="1785"/>
      <c r="PD89" s="1785"/>
      <c r="PE89" s="1785"/>
      <c r="PF89" s="1785"/>
      <c r="PG89" s="1785"/>
      <c r="PH89" s="1785"/>
      <c r="PI89" s="1785"/>
      <c r="PJ89" s="1785"/>
      <c r="PK89" s="1785"/>
      <c r="PL89" s="1785"/>
      <c r="PM89" s="1785"/>
      <c r="PN89" s="1785"/>
      <c r="PO89" s="1785"/>
      <c r="PP89" s="1785"/>
      <c r="PQ89" s="1785"/>
      <c r="PR89" s="1785"/>
      <c r="PS89" s="1785"/>
      <c r="PT89" s="1785"/>
      <c r="PU89" s="1785"/>
      <c r="PV89" s="1785"/>
      <c r="PW89" s="1785"/>
      <c r="PX89" s="1785"/>
      <c r="PY89" s="1785"/>
      <c r="PZ89" s="1785"/>
      <c r="QA89" s="1785"/>
      <c r="QB89" s="1785"/>
      <c r="QC89" s="1785"/>
      <c r="QD89" s="1785"/>
      <c r="QE89" s="1785"/>
      <c r="QF89" s="1785"/>
      <c r="QG89" s="1785"/>
      <c r="QH89" s="1785"/>
      <c r="QI89" s="1785"/>
      <c r="QJ89" s="1785"/>
      <c r="QK89" s="1785"/>
      <c r="QL89" s="1785"/>
      <c r="QM89" s="1785"/>
      <c r="QN89" s="1785"/>
      <c r="QO89" s="1785"/>
      <c r="QP89" s="1785"/>
      <c r="QQ89" s="1785"/>
      <c r="QR89" s="1785"/>
      <c r="QS89" s="1785"/>
      <c r="QT89" s="1785"/>
      <c r="QU89" s="1785"/>
      <c r="QV89" s="1785"/>
      <c r="QW89" s="1785"/>
      <c r="QX89" s="1785"/>
      <c r="QY89" s="1785"/>
      <c r="QZ89" s="1785"/>
      <c r="RA89" s="1785"/>
      <c r="RB89" s="1785"/>
      <c r="RC89" s="1785"/>
      <c r="RD89" s="1785"/>
      <c r="RE89" s="1785"/>
      <c r="RF89" s="1785"/>
      <c r="RG89" s="1785"/>
      <c r="RH89" s="1785"/>
      <c r="RI89" s="1785"/>
      <c r="RJ89" s="1785"/>
      <c r="RK89" s="1785"/>
      <c r="RL89" s="1785"/>
      <c r="RM89" s="1785"/>
      <c r="RN89" s="1785"/>
      <c r="RO89" s="1785"/>
      <c r="RP89" s="1785"/>
      <c r="RQ89" s="1785"/>
      <c r="RR89" s="1785"/>
      <c r="RS89" s="1785"/>
      <c r="RT89" s="1785"/>
      <c r="RU89" s="1785"/>
      <c r="RV89" s="1785"/>
      <c r="RW89" s="1785"/>
      <c r="RX89" s="1785"/>
      <c r="RY89" s="1785"/>
      <c r="RZ89" s="1785"/>
      <c r="SA89" s="1785"/>
      <c r="SB89" s="1785"/>
      <c r="SC89" s="1785"/>
      <c r="SD89" s="1785"/>
      <c r="SE89" s="1785"/>
      <c r="SF89" s="1785"/>
      <c r="SG89" s="1785"/>
      <c r="SH89" s="1785"/>
      <c r="SI89" s="1785"/>
      <c r="SJ89" s="1785"/>
      <c r="SK89" s="1785"/>
      <c r="SL89" s="1785"/>
      <c r="SM89" s="1785"/>
      <c r="SN89" s="1785"/>
      <c r="SO89" s="1785"/>
      <c r="SP89" s="1785"/>
      <c r="SQ89" s="1785"/>
      <c r="SR89" s="1785"/>
      <c r="SS89" s="1785"/>
      <c r="ST89" s="1785"/>
      <c r="SU89" s="1785"/>
      <c r="SV89" s="1785"/>
      <c r="SW89" s="1785"/>
      <c r="SX89" s="1785"/>
      <c r="SY89" s="1785"/>
      <c r="SZ89" s="1785"/>
      <c r="TA89" s="1785"/>
      <c r="TB89" s="1785"/>
      <c r="TC89" s="1785"/>
      <c r="TD89" s="1785"/>
      <c r="TE89" s="1785"/>
      <c r="TF89" s="1785"/>
      <c r="TG89" s="1785"/>
      <c r="TH89" s="1785"/>
      <c r="TI89" s="1785"/>
      <c r="TJ89" s="1785"/>
      <c r="TK89" s="1785"/>
      <c r="TL89" s="1785"/>
      <c r="TM89" s="1785"/>
      <c r="TN89" s="1785"/>
      <c r="TO89" s="1785"/>
      <c r="TP89" s="1785"/>
      <c r="TQ89" s="1785"/>
      <c r="TR89" s="1785"/>
      <c r="TS89" s="1785"/>
      <c r="TT89" s="1785"/>
      <c r="TU89" s="1785"/>
      <c r="TV89" s="1785"/>
      <c r="TW89" s="1785"/>
      <c r="TX89" s="1785"/>
      <c r="TY89" s="1785"/>
      <c r="TZ89" s="1785"/>
      <c r="UA89" s="1785"/>
      <c r="UB89" s="1785"/>
      <c r="UC89" s="1785"/>
      <c r="UD89" s="1785"/>
      <c r="UE89" s="1785"/>
      <c r="UF89" s="1785"/>
      <c r="UG89" s="1785"/>
      <c r="UH89" s="1785"/>
      <c r="UI89" s="1785"/>
      <c r="UJ89" s="1785"/>
      <c r="UK89" s="1785"/>
      <c r="UL89" s="1785"/>
      <c r="UM89" s="1785"/>
      <c r="UN89" s="1785"/>
      <c r="UO89" s="1785"/>
      <c r="UP89" s="1785"/>
      <c r="UQ89" s="1785"/>
      <c r="UR89" s="1785"/>
      <c r="US89" s="1785"/>
      <c r="UT89" s="1785"/>
      <c r="UU89" s="1785"/>
      <c r="UV89" s="1785"/>
      <c r="UW89" s="1785"/>
      <c r="UX89" s="1785"/>
      <c r="UY89" s="1785"/>
      <c r="UZ89" s="1785"/>
      <c r="VA89" s="1785"/>
      <c r="VB89" s="1785"/>
      <c r="VC89" s="1785"/>
      <c r="VD89" s="1785"/>
      <c r="VE89" s="1785"/>
      <c r="VF89" s="1785"/>
      <c r="VG89" s="1785"/>
      <c r="VH89" s="1785"/>
      <c r="VI89" s="1785"/>
      <c r="VJ89" s="1785"/>
      <c r="VK89" s="1785"/>
      <c r="VL89" s="1785"/>
      <c r="VM89" s="1785"/>
      <c r="VN89" s="1785"/>
      <c r="VO89" s="1785"/>
      <c r="VP89" s="1785"/>
      <c r="VQ89" s="1785"/>
      <c r="VR89" s="1785"/>
      <c r="VS89" s="1785"/>
      <c r="VT89" s="1785"/>
      <c r="VU89" s="1785"/>
      <c r="VV89" s="1785"/>
      <c r="VW89" s="1785"/>
      <c r="VX89" s="1785"/>
      <c r="VY89" s="1785"/>
      <c r="VZ89" s="1785"/>
      <c r="WA89" s="1785"/>
      <c r="WB89" s="1785"/>
      <c r="WC89" s="1785"/>
      <c r="WD89" s="1785"/>
      <c r="WE89" s="1785"/>
    </row>
    <row r="90" spans="1:1215" s="1865" customFormat="1" ht="15" customHeight="1" x14ac:dyDescent="0.25">
      <c r="A90" s="3773" t="s">
        <v>647</v>
      </c>
      <c r="B90" s="3820"/>
      <c r="C90" s="1795">
        <v>1</v>
      </c>
      <c r="D90" s="2226" t="s">
        <v>168</v>
      </c>
      <c r="E90" s="1867" t="s">
        <v>335</v>
      </c>
      <c r="F90" s="1866" t="s">
        <v>335</v>
      </c>
      <c r="G90" s="1866" t="s">
        <v>335</v>
      </c>
      <c r="H90" s="1866" t="s">
        <v>335</v>
      </c>
      <c r="I90" s="1866" t="s">
        <v>335</v>
      </c>
      <c r="J90" s="1866" t="s">
        <v>335</v>
      </c>
      <c r="K90" s="1866" t="s">
        <v>335</v>
      </c>
      <c r="L90" s="1866" t="s">
        <v>335</v>
      </c>
      <c r="M90" s="1866" t="s">
        <v>335</v>
      </c>
      <c r="N90" s="1984" t="s">
        <v>335</v>
      </c>
      <c r="O90" s="2285" t="s">
        <v>335</v>
      </c>
      <c r="P90" s="1868" t="s">
        <v>335</v>
      </c>
      <c r="Q90" s="1866" t="s">
        <v>335</v>
      </c>
      <c r="R90" s="1866" t="s">
        <v>335</v>
      </c>
      <c r="S90" s="1866" t="s">
        <v>335</v>
      </c>
      <c r="T90" s="1866" t="s">
        <v>335</v>
      </c>
      <c r="U90" s="1866" t="s">
        <v>335</v>
      </c>
      <c r="V90" s="2285" t="s">
        <v>335</v>
      </c>
      <c r="W90" s="2798" t="s">
        <v>335</v>
      </c>
      <c r="X90" s="2317"/>
      <c r="Y90" s="2317" t="s">
        <v>335</v>
      </c>
      <c r="Z90" s="2350" t="s">
        <v>547</v>
      </c>
      <c r="AA90" s="2152" t="s">
        <v>335</v>
      </c>
      <c r="AB90" s="2151"/>
      <c r="AC90" s="2076" t="s">
        <v>335</v>
      </c>
      <c r="AD90" s="2057"/>
      <c r="AE90" s="3125"/>
      <c r="AF90" s="2058"/>
      <c r="AG90" s="2875"/>
      <c r="AH90" s="2141" t="s">
        <v>335</v>
      </c>
      <c r="AI90" s="2146"/>
      <c r="AJ90" s="1877" t="s">
        <v>335</v>
      </c>
      <c r="AK90" s="2429">
        <v>0</v>
      </c>
      <c r="AL90" s="2526">
        <v>0</v>
      </c>
      <c r="AM90" s="2526">
        <v>0</v>
      </c>
      <c r="AN90" s="2531"/>
      <c r="AO90" s="2401">
        <v>0</v>
      </c>
      <c r="AP90" s="2401">
        <v>0</v>
      </c>
      <c r="AQ90" s="2475">
        <v>0</v>
      </c>
      <c r="AR90" s="2475"/>
      <c r="AS90" s="2401">
        <f t="shared" ref="AS90:AS93" si="174">AO90+AQ90</f>
        <v>0</v>
      </c>
      <c r="AT90" s="2011"/>
      <c r="AU90" s="2596">
        <v>0</v>
      </c>
      <c r="AV90" s="2011">
        <v>0</v>
      </c>
      <c r="AW90" s="2443">
        <f>AU90+AV90</f>
        <v>0</v>
      </c>
      <c r="AX90" s="2526">
        <v>0</v>
      </c>
      <c r="AY90" s="2526">
        <v>0</v>
      </c>
      <c r="AZ90" s="2531"/>
      <c r="BA90" s="3097">
        <v>0</v>
      </c>
      <c r="BB90" s="3097">
        <v>0</v>
      </c>
      <c r="BC90" s="3098">
        <v>0</v>
      </c>
      <c r="BD90" s="3098"/>
      <c r="BE90" s="3097">
        <f t="shared" ref="BE90:BE93" si="175">BA90+BC90</f>
        <v>0</v>
      </c>
      <c r="BF90" s="2011"/>
      <c r="BG90" s="2596">
        <v>0</v>
      </c>
      <c r="BH90" s="2011">
        <v>0</v>
      </c>
      <c r="BI90" s="2443">
        <f>BG90+BH90</f>
        <v>0</v>
      </c>
      <c r="BJ90" s="2552" t="s">
        <v>335</v>
      </c>
      <c r="BK90" s="1877"/>
      <c r="BL90" s="2552" t="s">
        <v>335</v>
      </c>
      <c r="BM90" s="2565" t="s">
        <v>335</v>
      </c>
      <c r="BN90" s="2699" t="s">
        <v>335</v>
      </c>
      <c r="BO90" s="2699"/>
      <c r="BP90" s="2549"/>
      <c r="BQ90" s="2699" t="s">
        <v>335</v>
      </c>
      <c r="BR90" s="2126">
        <f>AI90+AU90</f>
        <v>0</v>
      </c>
      <c r="BS90" s="1877" t="s">
        <v>335</v>
      </c>
      <c r="BT90" s="2429"/>
      <c r="BU90" s="628"/>
      <c r="BV90" s="3058"/>
      <c r="BW90" s="3058"/>
      <c r="BX90" s="3058"/>
      <c r="BY90" s="628"/>
      <c r="BZ90" s="628"/>
      <c r="CA90" s="1874"/>
      <c r="CB90" s="1874"/>
      <c r="CC90" s="1874"/>
      <c r="CD90" s="1874"/>
      <c r="CE90" s="1874"/>
      <c r="CF90" s="1874"/>
      <c r="CG90" s="1874"/>
      <c r="CH90" s="1874"/>
      <c r="CI90" s="1874"/>
      <c r="CJ90" s="1874"/>
      <c r="CK90" s="1874"/>
      <c r="CL90" s="1874"/>
      <c r="CM90" s="1874"/>
      <c r="CN90" s="1874"/>
      <c r="CO90" s="1874"/>
      <c r="CP90" s="1874"/>
      <c r="CQ90" s="1874"/>
      <c r="CR90" s="1874"/>
      <c r="CS90" s="1874"/>
      <c r="CT90" s="1874"/>
      <c r="CU90" s="1874"/>
      <c r="CV90" s="1874"/>
      <c r="CW90" s="1874"/>
      <c r="CX90" s="1874"/>
      <c r="CY90" s="1874"/>
      <c r="CZ90" s="1874"/>
      <c r="DA90" s="1874"/>
      <c r="DB90" s="1874"/>
      <c r="DC90" s="1874"/>
      <c r="DD90" s="1874"/>
      <c r="DE90" s="1874"/>
      <c r="DF90" s="1874"/>
      <c r="DG90" s="1874"/>
      <c r="DH90" s="1874"/>
      <c r="DI90" s="1874"/>
      <c r="DJ90" s="1874"/>
      <c r="DK90" s="1874"/>
      <c r="DL90" s="1874"/>
      <c r="DM90" s="1874"/>
      <c r="DN90" s="1874"/>
      <c r="DO90" s="1874"/>
      <c r="DP90" s="1874"/>
      <c r="DQ90" s="1874"/>
      <c r="DR90" s="1874"/>
      <c r="DS90" s="1874"/>
      <c r="DT90" s="1874"/>
      <c r="DU90" s="1874"/>
      <c r="DV90" s="1874"/>
      <c r="DW90" s="1874"/>
      <c r="DX90" s="1874"/>
      <c r="DY90" s="1874"/>
      <c r="DZ90" s="1874"/>
      <c r="EA90" s="1874"/>
      <c r="EB90" s="1874"/>
      <c r="EC90" s="1874"/>
      <c r="ED90" s="1874"/>
      <c r="EE90" s="1874"/>
      <c r="EF90" s="1874"/>
      <c r="EG90" s="1874"/>
      <c r="EH90" s="1874"/>
      <c r="EI90" s="1874"/>
      <c r="EJ90" s="1874"/>
      <c r="EK90" s="1874"/>
      <c r="EL90" s="1874"/>
      <c r="EM90" s="1874"/>
      <c r="EN90" s="1874"/>
      <c r="EO90" s="1874"/>
      <c r="EP90" s="1874"/>
      <c r="EQ90" s="1874"/>
      <c r="ER90" s="1874"/>
      <c r="ES90" s="1874"/>
      <c r="ET90" s="1874"/>
      <c r="EU90" s="1874"/>
      <c r="EV90" s="1874"/>
      <c r="EW90" s="1874"/>
      <c r="EX90" s="1874"/>
      <c r="EY90" s="1874"/>
      <c r="EZ90" s="1874"/>
      <c r="FA90" s="1874"/>
      <c r="FB90" s="1874"/>
      <c r="FC90" s="1874"/>
      <c r="FD90" s="1874"/>
      <c r="FE90" s="1874"/>
      <c r="FF90" s="1874"/>
      <c r="FG90" s="1874"/>
      <c r="FH90" s="1875"/>
      <c r="FI90" s="1875"/>
      <c r="FJ90" s="1875"/>
      <c r="FK90" s="1875"/>
      <c r="FL90" s="1875"/>
      <c r="FM90" s="1875"/>
      <c r="FN90" s="1875"/>
      <c r="FO90" s="1875"/>
      <c r="FP90" s="1875"/>
      <c r="FQ90" s="1875"/>
      <c r="FR90" s="1875"/>
      <c r="FS90" s="1875"/>
      <c r="FT90" s="1875"/>
      <c r="FU90" s="1875"/>
      <c r="FV90" s="1875"/>
      <c r="FW90" s="1875"/>
      <c r="FX90" s="1875"/>
      <c r="FY90" s="1875"/>
      <c r="FZ90" s="1875"/>
      <c r="GA90" s="1875"/>
      <c r="GB90" s="1875"/>
      <c r="GC90" s="1875"/>
      <c r="GD90" s="1875"/>
      <c r="GE90" s="1875"/>
      <c r="GF90" s="1875"/>
      <c r="GG90" s="1875"/>
      <c r="GH90" s="1875"/>
      <c r="GI90" s="1875"/>
      <c r="GJ90" s="1875"/>
      <c r="GK90" s="1875"/>
      <c r="GL90" s="1875"/>
      <c r="GM90" s="1875"/>
      <c r="GN90" s="1875"/>
      <c r="GO90" s="1875"/>
      <c r="GP90" s="1875"/>
      <c r="GQ90" s="1875"/>
      <c r="GR90" s="1875"/>
      <c r="GS90" s="1875"/>
      <c r="GT90" s="1875"/>
      <c r="GU90" s="1875"/>
      <c r="GV90" s="1875"/>
      <c r="GW90" s="1875"/>
      <c r="GX90" s="1875"/>
      <c r="GY90" s="1875"/>
      <c r="GZ90" s="1875"/>
      <c r="HA90" s="1875"/>
      <c r="HB90" s="1875"/>
      <c r="HC90" s="1875"/>
      <c r="HD90" s="1875"/>
      <c r="HE90" s="1875"/>
      <c r="HF90" s="1875"/>
      <c r="HG90" s="1875"/>
      <c r="HH90" s="1875"/>
      <c r="HI90" s="1875"/>
      <c r="HJ90" s="1875"/>
      <c r="HK90" s="1875"/>
      <c r="HL90" s="1875"/>
      <c r="HM90" s="1875"/>
      <c r="HN90" s="1875"/>
      <c r="HO90" s="1875"/>
      <c r="HP90" s="1875"/>
      <c r="HQ90" s="1875"/>
      <c r="HR90" s="1875"/>
      <c r="HS90" s="1875"/>
      <c r="HT90" s="1875"/>
      <c r="HU90" s="1875"/>
      <c r="HV90" s="1875"/>
      <c r="HW90" s="1875"/>
      <c r="HX90" s="1875"/>
      <c r="HY90" s="1875"/>
      <c r="HZ90" s="1875"/>
      <c r="IA90" s="1875"/>
      <c r="IB90" s="1875"/>
      <c r="IC90" s="1875"/>
      <c r="ID90" s="1875"/>
      <c r="IE90" s="1875"/>
      <c r="IF90" s="1875"/>
      <c r="IG90" s="1875"/>
      <c r="IH90" s="1875"/>
      <c r="II90" s="1875"/>
      <c r="IJ90" s="1875"/>
      <c r="IK90" s="1875"/>
      <c r="IL90" s="1875"/>
      <c r="IM90" s="1875"/>
      <c r="IN90" s="1875"/>
      <c r="IO90" s="1875"/>
      <c r="IP90" s="1875"/>
      <c r="IQ90" s="1875"/>
      <c r="IR90" s="1875"/>
      <c r="IS90" s="1875"/>
      <c r="IT90" s="1875"/>
      <c r="IU90" s="1875"/>
      <c r="IV90" s="1875"/>
      <c r="IW90" s="1875"/>
      <c r="IX90" s="1875"/>
      <c r="IY90" s="1875"/>
      <c r="IZ90" s="1875"/>
      <c r="JA90" s="1875"/>
      <c r="JB90" s="1875"/>
      <c r="JC90" s="1875"/>
      <c r="JD90" s="1875"/>
      <c r="JE90" s="1875"/>
      <c r="JF90" s="1875"/>
      <c r="JG90" s="1875"/>
      <c r="JH90" s="1875"/>
      <c r="JI90" s="1875"/>
      <c r="JJ90" s="1875"/>
      <c r="JK90" s="1875"/>
      <c r="JL90" s="1875"/>
      <c r="JM90" s="1875"/>
      <c r="JN90" s="1875"/>
      <c r="JO90" s="1875"/>
      <c r="JP90" s="1875"/>
      <c r="JQ90" s="1875"/>
      <c r="JR90" s="1875"/>
      <c r="JS90" s="1875"/>
      <c r="JT90" s="1875"/>
      <c r="JU90" s="1875"/>
      <c r="JV90" s="1875"/>
      <c r="JW90" s="1875"/>
      <c r="JX90" s="1875"/>
      <c r="JY90" s="1875"/>
      <c r="JZ90" s="1875"/>
      <c r="KA90" s="1875"/>
      <c r="KB90" s="1875"/>
      <c r="KC90" s="1875"/>
      <c r="KD90" s="1875"/>
      <c r="KE90" s="1875"/>
      <c r="KF90" s="1875"/>
      <c r="KG90" s="1875"/>
      <c r="KH90" s="1875"/>
      <c r="KI90" s="1875"/>
      <c r="KJ90" s="1875"/>
      <c r="KK90" s="1875"/>
      <c r="KL90" s="1875"/>
      <c r="KM90" s="1875"/>
      <c r="KN90" s="1875"/>
      <c r="KO90" s="1875"/>
      <c r="KP90" s="1875"/>
      <c r="KQ90" s="1875"/>
      <c r="KR90" s="1875"/>
      <c r="KS90" s="1875"/>
      <c r="KT90" s="1875"/>
      <c r="KU90" s="1875"/>
      <c r="KV90" s="1875"/>
      <c r="KW90" s="1875"/>
      <c r="KX90" s="1875"/>
      <c r="KY90" s="1875"/>
      <c r="KZ90" s="1875"/>
      <c r="LA90" s="1875"/>
      <c r="LB90" s="1875"/>
      <c r="LC90" s="1875"/>
      <c r="LD90" s="1875"/>
      <c r="LE90" s="1875"/>
      <c r="LF90" s="1875"/>
      <c r="LG90" s="1875"/>
      <c r="LH90" s="1875"/>
      <c r="LI90" s="1875"/>
      <c r="LJ90" s="1875"/>
      <c r="LK90" s="1875"/>
      <c r="LL90" s="1875"/>
      <c r="LM90" s="1875"/>
      <c r="LN90" s="1875"/>
      <c r="LO90" s="1875"/>
      <c r="LP90" s="1875"/>
      <c r="LQ90" s="1875"/>
      <c r="LR90" s="1875"/>
      <c r="LS90" s="1875"/>
      <c r="LT90" s="1875"/>
      <c r="LU90" s="1875"/>
      <c r="LV90" s="1875"/>
      <c r="LW90" s="1875"/>
      <c r="LX90" s="1875"/>
      <c r="LY90" s="1875"/>
      <c r="LZ90" s="1875"/>
      <c r="MA90" s="1875"/>
      <c r="MB90" s="1875"/>
      <c r="MC90" s="1875"/>
      <c r="MD90" s="1875"/>
      <c r="ME90" s="1875"/>
      <c r="MF90" s="1875"/>
      <c r="MG90" s="1875"/>
      <c r="MH90" s="1875"/>
      <c r="MI90" s="1875"/>
      <c r="MJ90" s="1875"/>
      <c r="MK90" s="1875"/>
      <c r="ML90" s="1875"/>
      <c r="MM90" s="1875"/>
      <c r="MN90" s="1875"/>
      <c r="MO90" s="1875"/>
      <c r="MP90" s="1875"/>
      <c r="MQ90" s="1875"/>
      <c r="MR90" s="1875"/>
      <c r="MS90" s="1875"/>
      <c r="MT90" s="1875"/>
      <c r="MU90" s="1875"/>
      <c r="MV90" s="1875"/>
      <c r="MW90" s="1875"/>
      <c r="MX90" s="1875"/>
      <c r="MY90" s="1875"/>
      <c r="MZ90" s="1875"/>
      <c r="NA90" s="1875"/>
      <c r="NB90" s="1875"/>
      <c r="NC90" s="1875"/>
      <c r="ND90" s="1875"/>
      <c r="NE90" s="1875"/>
      <c r="NF90" s="1875"/>
      <c r="NG90" s="1875"/>
      <c r="NH90" s="1875"/>
      <c r="NI90" s="1875"/>
      <c r="NJ90" s="1875"/>
      <c r="NK90" s="1875"/>
      <c r="NL90" s="1875"/>
      <c r="NM90" s="1875"/>
      <c r="NN90" s="1875"/>
      <c r="NO90" s="1875"/>
      <c r="NP90" s="1875"/>
      <c r="NQ90" s="1875"/>
      <c r="NR90" s="1875"/>
      <c r="NS90" s="1875"/>
      <c r="NT90" s="1875"/>
      <c r="NU90" s="1875"/>
      <c r="NV90" s="1875"/>
      <c r="NW90" s="1875"/>
      <c r="NX90" s="1875"/>
      <c r="NY90" s="1875"/>
      <c r="NZ90" s="1875"/>
      <c r="OA90" s="1875"/>
      <c r="OB90" s="1875"/>
      <c r="OC90" s="1875"/>
      <c r="OD90" s="1875"/>
      <c r="OE90" s="1875"/>
      <c r="OF90" s="1875"/>
      <c r="OG90" s="1875"/>
      <c r="OH90" s="1875"/>
      <c r="OI90" s="1875"/>
      <c r="OJ90" s="1875"/>
      <c r="OK90" s="1875"/>
      <c r="OL90" s="1875"/>
      <c r="OM90" s="1875"/>
      <c r="ON90" s="1875"/>
      <c r="OO90" s="1875"/>
      <c r="OP90" s="1875"/>
      <c r="OQ90" s="1875"/>
      <c r="OR90" s="1875"/>
      <c r="OS90" s="1875"/>
      <c r="OT90" s="1875"/>
      <c r="OU90" s="1875"/>
      <c r="OV90" s="1875"/>
      <c r="OW90" s="1875"/>
      <c r="OX90" s="1875"/>
      <c r="OY90" s="1875"/>
      <c r="OZ90" s="1875"/>
      <c r="PA90" s="1875"/>
      <c r="PB90" s="1875"/>
      <c r="PC90" s="1875"/>
      <c r="PD90" s="1875"/>
      <c r="PE90" s="1875"/>
      <c r="PF90" s="1875"/>
      <c r="PG90" s="1875"/>
      <c r="PH90" s="1875"/>
      <c r="PI90" s="1875"/>
      <c r="PJ90" s="1875"/>
      <c r="PK90" s="1875"/>
      <c r="PL90" s="1875"/>
      <c r="PM90" s="1875"/>
      <c r="PN90" s="1875"/>
      <c r="PO90" s="1875"/>
      <c r="PP90" s="1875"/>
      <c r="PQ90" s="1875"/>
      <c r="PR90" s="1875"/>
      <c r="PS90" s="1875"/>
      <c r="PT90" s="1875"/>
      <c r="PU90" s="1875"/>
      <c r="PV90" s="1875"/>
      <c r="PW90" s="1875"/>
      <c r="PX90" s="1875"/>
      <c r="PY90" s="1875"/>
      <c r="PZ90" s="1875"/>
      <c r="QA90" s="1875"/>
      <c r="QB90" s="1875"/>
      <c r="QC90" s="1875"/>
      <c r="QD90" s="1875"/>
      <c r="QE90" s="1875"/>
      <c r="QF90" s="1875"/>
      <c r="QG90" s="1875"/>
      <c r="QH90" s="1875"/>
      <c r="QI90" s="1875"/>
      <c r="QJ90" s="1875"/>
      <c r="QK90" s="1875"/>
      <c r="QL90" s="1875"/>
      <c r="QM90" s="1875"/>
      <c r="QN90" s="1875"/>
      <c r="QO90" s="1875"/>
      <c r="QP90" s="1875"/>
      <c r="QQ90" s="1875"/>
      <c r="QR90" s="1875"/>
      <c r="QS90" s="1875"/>
      <c r="QT90" s="1875"/>
      <c r="QU90" s="1875"/>
      <c r="QV90" s="1875"/>
      <c r="QW90" s="1875"/>
      <c r="QX90" s="1875"/>
      <c r="QY90" s="1875"/>
      <c r="QZ90" s="1875"/>
      <c r="RA90" s="1875"/>
      <c r="RB90" s="1875"/>
      <c r="RC90" s="1875"/>
      <c r="RD90" s="1875"/>
      <c r="RE90" s="1875"/>
      <c r="RF90" s="1875"/>
      <c r="RG90" s="1875"/>
      <c r="RH90" s="1875"/>
      <c r="RI90" s="1875"/>
      <c r="RJ90" s="1875"/>
      <c r="RK90" s="1875"/>
      <c r="RL90" s="1875"/>
      <c r="RM90" s="1875"/>
      <c r="RN90" s="1875"/>
      <c r="RO90" s="1875"/>
      <c r="RP90" s="1875"/>
      <c r="RQ90" s="1875"/>
      <c r="RR90" s="1875"/>
      <c r="RS90" s="1875"/>
      <c r="RT90" s="1875"/>
      <c r="RU90" s="1875"/>
      <c r="RV90" s="1875"/>
      <c r="RW90" s="1875"/>
      <c r="RX90" s="1875"/>
      <c r="RY90" s="1875"/>
      <c r="RZ90" s="1875"/>
      <c r="SA90" s="1875"/>
      <c r="SB90" s="1875"/>
      <c r="SC90" s="1875"/>
      <c r="SD90" s="1875"/>
      <c r="SE90" s="1875"/>
      <c r="SF90" s="1875"/>
      <c r="SG90" s="1875"/>
      <c r="SH90" s="1875"/>
      <c r="SI90" s="1875"/>
      <c r="SJ90" s="1875"/>
      <c r="SK90" s="1875"/>
      <c r="SL90" s="1875"/>
      <c r="SM90" s="1875"/>
      <c r="SN90" s="1875"/>
      <c r="SO90" s="1875"/>
      <c r="SP90" s="1875"/>
      <c r="SQ90" s="1875"/>
      <c r="SR90" s="1875"/>
      <c r="SS90" s="1875"/>
      <c r="ST90" s="1875"/>
      <c r="SU90" s="1875"/>
      <c r="SV90" s="1875"/>
      <c r="SW90" s="1875"/>
      <c r="SX90" s="1875"/>
      <c r="SY90" s="1875"/>
      <c r="SZ90" s="1875"/>
      <c r="TA90" s="1875"/>
      <c r="TB90" s="1875"/>
      <c r="TC90" s="1875"/>
      <c r="TD90" s="1875"/>
      <c r="TE90" s="1875"/>
      <c r="TF90" s="1875"/>
      <c r="TG90" s="1875"/>
      <c r="TH90" s="1875"/>
      <c r="TI90" s="1875"/>
      <c r="TJ90" s="1875"/>
      <c r="TK90" s="1875"/>
      <c r="TL90" s="1875"/>
      <c r="TM90" s="1875"/>
      <c r="TN90" s="1875"/>
      <c r="TO90" s="1875"/>
      <c r="TP90" s="1875"/>
      <c r="TQ90" s="1875"/>
      <c r="TR90" s="1875"/>
      <c r="TS90" s="1875"/>
      <c r="TT90" s="1875"/>
      <c r="TU90" s="1875"/>
      <c r="TV90" s="1875"/>
      <c r="TW90" s="1875"/>
      <c r="TX90" s="1875"/>
      <c r="TY90" s="1875"/>
      <c r="TZ90" s="1875"/>
      <c r="UA90" s="1875"/>
      <c r="UB90" s="1875"/>
      <c r="UC90" s="1875"/>
      <c r="UD90" s="1875"/>
      <c r="UE90" s="1875"/>
      <c r="UF90" s="1875"/>
      <c r="UG90" s="1875"/>
      <c r="UH90" s="1875"/>
      <c r="UI90" s="1875"/>
      <c r="UJ90" s="1875"/>
      <c r="UK90" s="1875"/>
      <c r="UL90" s="1875"/>
      <c r="UM90" s="1875"/>
      <c r="UN90" s="1875"/>
      <c r="UO90" s="1875"/>
      <c r="UP90" s="1875"/>
      <c r="UQ90" s="1875"/>
      <c r="UR90" s="1875"/>
      <c r="US90" s="1875"/>
      <c r="UT90" s="1875"/>
      <c r="UU90" s="1875"/>
      <c r="UV90" s="1875"/>
      <c r="UW90" s="1875"/>
      <c r="UX90" s="1875"/>
      <c r="UY90" s="1875"/>
      <c r="UZ90" s="1875"/>
      <c r="VA90" s="1875"/>
      <c r="VB90" s="1875"/>
      <c r="VC90" s="1875"/>
      <c r="VD90" s="1875"/>
      <c r="VE90" s="1875"/>
      <c r="VF90" s="1875"/>
      <c r="VG90" s="1875"/>
      <c r="VH90" s="1875"/>
      <c r="VI90" s="1875"/>
      <c r="VJ90" s="1875"/>
      <c r="VK90" s="1875"/>
      <c r="VL90" s="1875"/>
      <c r="VM90" s="1875"/>
      <c r="VN90" s="1875"/>
      <c r="VO90" s="1875"/>
      <c r="VP90" s="1875"/>
      <c r="VQ90" s="1875"/>
      <c r="VR90" s="1875"/>
      <c r="VS90" s="1875"/>
      <c r="VT90" s="1875"/>
      <c r="VU90" s="1875"/>
      <c r="VV90" s="1875"/>
      <c r="VW90" s="1875"/>
      <c r="VX90" s="1875"/>
      <c r="VY90" s="1875"/>
      <c r="VZ90" s="1875"/>
      <c r="WA90" s="1875"/>
      <c r="WB90" s="1875"/>
      <c r="WC90" s="1875"/>
      <c r="WD90" s="1875"/>
      <c r="WE90" s="1875"/>
    </row>
    <row r="91" spans="1:1215" s="1953" customFormat="1" ht="15" customHeight="1" x14ac:dyDescent="0.25">
      <c r="A91" s="3775"/>
      <c r="B91" s="3821"/>
      <c r="C91" s="1792">
        <v>2</v>
      </c>
      <c r="D91" s="2211" t="s">
        <v>560</v>
      </c>
      <c r="E91" s="1822" t="s">
        <v>335</v>
      </c>
      <c r="F91" s="1812" t="s">
        <v>335</v>
      </c>
      <c r="G91" s="1812" t="s">
        <v>335</v>
      </c>
      <c r="H91" s="1812" t="s">
        <v>335</v>
      </c>
      <c r="I91" s="1812" t="s">
        <v>335</v>
      </c>
      <c r="J91" s="1812" t="s">
        <v>335</v>
      </c>
      <c r="K91" s="1812" t="s">
        <v>335</v>
      </c>
      <c r="L91" s="1812" t="s">
        <v>335</v>
      </c>
      <c r="M91" s="1812" t="s">
        <v>335</v>
      </c>
      <c r="N91" s="1812" t="s">
        <v>335</v>
      </c>
      <c r="O91" s="2137" t="s">
        <v>335</v>
      </c>
      <c r="P91" s="1822" t="s">
        <v>335</v>
      </c>
      <c r="Q91" s="1866" t="s">
        <v>335</v>
      </c>
      <c r="R91" s="1866" t="s">
        <v>335</v>
      </c>
      <c r="S91" s="1866" t="s">
        <v>335</v>
      </c>
      <c r="T91" s="1866" t="s">
        <v>335</v>
      </c>
      <c r="U91" s="1812" t="s">
        <v>335</v>
      </c>
      <c r="V91" s="2318" t="s">
        <v>335</v>
      </c>
      <c r="W91" s="2318" t="s">
        <v>335</v>
      </c>
      <c r="X91" s="2318"/>
      <c r="Y91" s="2318" t="s">
        <v>335</v>
      </c>
      <c r="Z91" s="2351" t="s">
        <v>547</v>
      </c>
      <c r="AA91" s="2152" t="s">
        <v>335</v>
      </c>
      <c r="AB91" s="2152"/>
      <c r="AC91" s="2077" t="s">
        <v>335</v>
      </c>
      <c r="AD91" s="2059"/>
      <c r="AE91" s="3126"/>
      <c r="AF91" s="2060"/>
      <c r="AG91" s="2876"/>
      <c r="AH91" s="2142" t="s">
        <v>335</v>
      </c>
      <c r="AI91" s="2140"/>
      <c r="AJ91" s="2132" t="s">
        <v>335</v>
      </c>
      <c r="AK91" s="2430">
        <v>0</v>
      </c>
      <c r="AL91" s="2527">
        <v>0</v>
      </c>
      <c r="AM91" s="2527">
        <v>0</v>
      </c>
      <c r="AN91" s="2532"/>
      <c r="AO91" s="2402">
        <v>0</v>
      </c>
      <c r="AP91" s="2402">
        <v>0</v>
      </c>
      <c r="AQ91" s="2476">
        <v>0</v>
      </c>
      <c r="AR91" s="2476"/>
      <c r="AS91" s="2402">
        <f t="shared" si="174"/>
        <v>0</v>
      </c>
      <c r="AT91" s="2396"/>
      <c r="AU91" s="2597">
        <v>0</v>
      </c>
      <c r="AV91" s="2396">
        <v>0</v>
      </c>
      <c r="AW91" s="2444">
        <f>AU91+AV91</f>
        <v>0</v>
      </c>
      <c r="AX91" s="2527">
        <v>0</v>
      </c>
      <c r="AY91" s="2527">
        <v>0</v>
      </c>
      <c r="AZ91" s="2532"/>
      <c r="BA91" s="3099">
        <v>0</v>
      </c>
      <c r="BB91" s="3099">
        <v>0</v>
      </c>
      <c r="BC91" s="3100">
        <v>0</v>
      </c>
      <c r="BD91" s="3100"/>
      <c r="BE91" s="3099">
        <f t="shared" si="175"/>
        <v>0</v>
      </c>
      <c r="BF91" s="2396"/>
      <c r="BG91" s="2597">
        <v>0</v>
      </c>
      <c r="BH91" s="2396">
        <v>0</v>
      </c>
      <c r="BI91" s="2444">
        <f>BG91+BH91</f>
        <v>0</v>
      </c>
      <c r="BJ91" s="2553" t="s">
        <v>335</v>
      </c>
      <c r="BK91" s="2132"/>
      <c r="BL91" s="2553" t="s">
        <v>335</v>
      </c>
      <c r="BM91" s="2566" t="s">
        <v>335</v>
      </c>
      <c r="BN91" s="2700" t="s">
        <v>335</v>
      </c>
      <c r="BO91" s="2700"/>
      <c r="BP91" s="2550"/>
      <c r="BQ91" s="2700" t="s">
        <v>335</v>
      </c>
      <c r="BR91" s="1873">
        <f>AI91+AU91</f>
        <v>0</v>
      </c>
      <c r="BS91" s="2132" t="s">
        <v>335</v>
      </c>
      <c r="BT91" s="2430"/>
      <c r="BU91" s="2201"/>
      <c r="BV91" s="3058"/>
      <c r="BW91" s="3058"/>
      <c r="BX91" s="3058"/>
      <c r="BY91" s="2201"/>
      <c r="BZ91" s="2201"/>
    </row>
    <row r="92" spans="1:1215" s="1953" customFormat="1" ht="15" customHeight="1" x14ac:dyDescent="0.25">
      <c r="A92" s="3775"/>
      <c r="B92" s="3821"/>
      <c r="C92" s="1935">
        <v>3</v>
      </c>
      <c r="D92" s="2227" t="s">
        <v>663</v>
      </c>
      <c r="E92" s="1936" t="s">
        <v>335</v>
      </c>
      <c r="F92" s="1937" t="s">
        <v>335</v>
      </c>
      <c r="G92" s="1937" t="s">
        <v>335</v>
      </c>
      <c r="H92" s="1937" t="s">
        <v>335</v>
      </c>
      <c r="I92" s="1937" t="s">
        <v>335</v>
      </c>
      <c r="J92" s="1937" t="s">
        <v>335</v>
      </c>
      <c r="K92" s="1937" t="s">
        <v>335</v>
      </c>
      <c r="L92" s="1937" t="s">
        <v>335</v>
      </c>
      <c r="M92" s="1937" t="s">
        <v>335</v>
      </c>
      <c r="N92" s="1937" t="s">
        <v>335</v>
      </c>
      <c r="O92" s="2137" t="s">
        <v>335</v>
      </c>
      <c r="P92" s="1936" t="s">
        <v>335</v>
      </c>
      <c r="Q92" s="1866" t="s">
        <v>335</v>
      </c>
      <c r="R92" s="1866" t="s">
        <v>335</v>
      </c>
      <c r="S92" s="1866" t="s">
        <v>335</v>
      </c>
      <c r="T92" s="1866" t="s">
        <v>335</v>
      </c>
      <c r="U92" s="1937" t="s">
        <v>335</v>
      </c>
      <c r="V92" s="2319" t="s">
        <v>335</v>
      </c>
      <c r="W92" s="2319" t="s">
        <v>335</v>
      </c>
      <c r="X92" s="2319"/>
      <c r="Y92" s="2319" t="s">
        <v>335</v>
      </c>
      <c r="Z92" s="1938" t="s">
        <v>335</v>
      </c>
      <c r="AA92" s="2540" t="s">
        <v>335</v>
      </c>
      <c r="AB92" s="2152"/>
      <c r="AC92" s="2541" t="s">
        <v>335</v>
      </c>
      <c r="AD92" s="2061"/>
      <c r="AE92" s="3127"/>
      <c r="AF92" s="1939"/>
      <c r="AG92" s="2483"/>
      <c r="AH92" s="2086">
        <f>AD92+AF92</f>
        <v>0</v>
      </c>
      <c r="AI92" s="1940"/>
      <c r="AJ92" s="1870">
        <v>0</v>
      </c>
      <c r="AK92" s="2430">
        <f>AI92+AJ92</f>
        <v>0</v>
      </c>
      <c r="AL92" s="2527">
        <v>0</v>
      </c>
      <c r="AM92" s="2527">
        <v>0</v>
      </c>
      <c r="AN92" s="2532"/>
      <c r="AO92" s="2402">
        <v>0</v>
      </c>
      <c r="AP92" s="2402">
        <v>0</v>
      </c>
      <c r="AQ92" s="2476">
        <v>0</v>
      </c>
      <c r="AR92" s="2476">
        <v>0</v>
      </c>
      <c r="AS92" s="2402">
        <f>+AO92+AP92+AQ92+AR92</f>
        <v>0</v>
      </c>
      <c r="AT92" s="2396"/>
      <c r="AU92" s="2597">
        <v>0</v>
      </c>
      <c r="AV92" s="2396">
        <v>0</v>
      </c>
      <c r="AW92" s="2444">
        <f>AU92+AV92</f>
        <v>0</v>
      </c>
      <c r="AX92" s="2527">
        <v>0</v>
      </c>
      <c r="AY92" s="2527">
        <v>0</v>
      </c>
      <c r="AZ92" s="2532"/>
      <c r="BA92" s="3099">
        <v>0</v>
      </c>
      <c r="BB92" s="3099">
        <v>0</v>
      </c>
      <c r="BC92" s="3100">
        <v>0</v>
      </c>
      <c r="BD92" s="3100"/>
      <c r="BE92" s="3099">
        <f t="shared" si="175"/>
        <v>0</v>
      </c>
      <c r="BF92" s="2396"/>
      <c r="BG92" s="2597">
        <v>0</v>
      </c>
      <c r="BH92" s="2396">
        <v>0</v>
      </c>
      <c r="BI92" s="2444">
        <f>BG92+BH92</f>
        <v>0</v>
      </c>
      <c r="BJ92" s="2553" t="s">
        <v>335</v>
      </c>
      <c r="BK92" s="2132"/>
      <c r="BL92" s="2553" t="s">
        <v>335</v>
      </c>
      <c r="BM92" s="1871">
        <f>AD92+AO92</f>
        <v>0</v>
      </c>
      <c r="BN92" s="1872">
        <f>AF92+AQ92</f>
        <v>0</v>
      </c>
      <c r="BO92" s="1872"/>
      <c r="BP92" s="2481">
        <f t="shared" ref="BP92:BP93" si="176">BM92+BO92</f>
        <v>0</v>
      </c>
      <c r="BQ92" s="2866">
        <f>+BM92+BN92+BO92+BP92</f>
        <v>0</v>
      </c>
      <c r="BR92" s="1873">
        <v>0</v>
      </c>
      <c r="BS92" s="1870">
        <f>AJ92+AV92</f>
        <v>0</v>
      </c>
      <c r="BT92" s="2430">
        <f t="shared" ref="BT92" si="177">BR92+BS92</f>
        <v>0</v>
      </c>
      <c r="BV92" s="3058"/>
      <c r="BW92" s="3058"/>
      <c r="BX92" s="3058"/>
    </row>
    <row r="93" spans="1:1215" s="1953" customFormat="1" ht="15" customHeight="1" x14ac:dyDescent="0.25">
      <c r="A93" s="3777"/>
      <c r="B93" s="3822"/>
      <c r="C93" s="1793">
        <v>4</v>
      </c>
      <c r="D93" s="2228" t="s">
        <v>608</v>
      </c>
      <c r="E93" s="1878" t="s">
        <v>134</v>
      </c>
      <c r="F93" s="1806" t="s">
        <v>134</v>
      </c>
      <c r="G93" s="1807" t="s">
        <v>134</v>
      </c>
      <c r="H93" s="1864"/>
      <c r="I93" s="1802"/>
      <c r="J93" s="1802"/>
      <c r="K93" s="2080" t="s">
        <v>335</v>
      </c>
      <c r="L93" s="2080" t="s">
        <v>335</v>
      </c>
      <c r="M93" s="2080" t="s">
        <v>335</v>
      </c>
      <c r="N93" s="1802"/>
      <c r="O93" s="2092" t="s">
        <v>335</v>
      </c>
      <c r="P93" s="1958" t="s">
        <v>335</v>
      </c>
      <c r="Q93" s="1959" t="s">
        <v>335</v>
      </c>
      <c r="R93" s="1959" t="s">
        <v>335</v>
      </c>
      <c r="S93" s="1959" t="s">
        <v>335</v>
      </c>
      <c r="T93" s="1959" t="s">
        <v>335</v>
      </c>
      <c r="U93" s="1807" t="s">
        <v>335</v>
      </c>
      <c r="V93" s="2320" t="s">
        <v>335</v>
      </c>
      <c r="W93" s="2320" t="s">
        <v>335</v>
      </c>
      <c r="X93" s="2320"/>
      <c r="Y93" s="2320" t="s">
        <v>335</v>
      </c>
      <c r="Z93" s="1883" t="s">
        <v>335</v>
      </c>
      <c r="AA93" s="2542" t="s">
        <v>335</v>
      </c>
      <c r="AB93" s="2543"/>
      <c r="AC93" s="2544" t="s">
        <v>335</v>
      </c>
      <c r="AD93" s="1827"/>
      <c r="AE93" s="2372"/>
      <c r="AF93" s="1895"/>
      <c r="AG93" s="2877"/>
      <c r="AH93" s="1994">
        <f>AD93+AF93</f>
        <v>0</v>
      </c>
      <c r="AI93" s="1829"/>
      <c r="AJ93" s="1831">
        <v>0</v>
      </c>
      <c r="AK93" s="2431">
        <v>0</v>
      </c>
      <c r="AL93" s="2528">
        <v>0</v>
      </c>
      <c r="AM93" s="2528">
        <v>0</v>
      </c>
      <c r="AN93" s="2533"/>
      <c r="AO93" s="2403">
        <v>0</v>
      </c>
      <c r="AP93" s="2403">
        <v>0</v>
      </c>
      <c r="AQ93" s="2477">
        <v>0</v>
      </c>
      <c r="AR93" s="2477"/>
      <c r="AS93" s="2403">
        <f t="shared" si="174"/>
        <v>0</v>
      </c>
      <c r="AT93" s="2012"/>
      <c r="AU93" s="2598">
        <v>0</v>
      </c>
      <c r="AV93" s="2012">
        <v>0</v>
      </c>
      <c r="AW93" s="2445">
        <f>AU93+AV93</f>
        <v>0</v>
      </c>
      <c r="AX93" s="2528">
        <v>0</v>
      </c>
      <c r="AY93" s="2528">
        <v>0</v>
      </c>
      <c r="AZ93" s="2533"/>
      <c r="BA93" s="3101">
        <v>0</v>
      </c>
      <c r="BB93" s="3101">
        <v>0</v>
      </c>
      <c r="BC93" s="3102">
        <v>0</v>
      </c>
      <c r="BD93" s="3102"/>
      <c r="BE93" s="3101">
        <f t="shared" si="175"/>
        <v>0</v>
      </c>
      <c r="BF93" s="2012"/>
      <c r="BG93" s="2598">
        <v>0</v>
      </c>
      <c r="BH93" s="2012">
        <v>0</v>
      </c>
      <c r="BI93" s="2445">
        <f>BG93+BH93</f>
        <v>0</v>
      </c>
      <c r="BJ93" s="2554" t="s">
        <v>335</v>
      </c>
      <c r="BK93" s="1923"/>
      <c r="BL93" s="2554" t="s">
        <v>335</v>
      </c>
      <c r="BM93" s="2054">
        <f>AD93+AO93</f>
        <v>0</v>
      </c>
      <c r="BN93" s="2055">
        <f>AF93+AQ93</f>
        <v>0</v>
      </c>
      <c r="BO93" s="2482"/>
      <c r="BP93" s="2482">
        <f t="shared" si="176"/>
        <v>0</v>
      </c>
      <c r="BQ93" s="2055">
        <f t="shared" ref="BQ93" si="178">BM93+BN93</f>
        <v>0</v>
      </c>
      <c r="BR93" s="1933">
        <f>AI93+AU93</f>
        <v>0</v>
      </c>
      <c r="BS93" s="1831">
        <f>AJ93+AV93</f>
        <v>0</v>
      </c>
      <c r="BT93" s="2431"/>
      <c r="BV93" s="3058"/>
      <c r="BW93" s="3058"/>
      <c r="BX93" s="3058"/>
    </row>
    <row r="94" spans="1:1215" s="628" customFormat="1" ht="15" customHeight="1" x14ac:dyDescent="0.2">
      <c r="A94" s="2090"/>
      <c r="B94" s="2024"/>
      <c r="C94" s="2229"/>
      <c r="D94" s="2759" t="s">
        <v>589</v>
      </c>
      <c r="E94" s="1949"/>
      <c r="F94" s="1950"/>
      <c r="G94" s="1951"/>
      <c r="H94" s="1952"/>
      <c r="I94" s="1887"/>
      <c r="J94" s="1887"/>
      <c r="K94" s="2138"/>
      <c r="L94" s="1950"/>
      <c r="M94" s="1950"/>
      <c r="N94" s="1887"/>
      <c r="O94" s="2439"/>
      <c r="P94" s="1887"/>
      <c r="Q94" s="1887"/>
      <c r="R94" s="1887"/>
      <c r="S94" s="1887"/>
      <c r="T94" s="1887"/>
      <c r="U94" s="1951"/>
      <c r="V94" s="1951"/>
      <c r="W94" s="1951"/>
      <c r="X94" s="1951"/>
      <c r="Y94" s="1951"/>
      <c r="Z94" s="2808"/>
      <c r="AA94" s="1887">
        <v>0</v>
      </c>
      <c r="AB94" s="1887"/>
      <c r="AC94" s="1887">
        <v>0</v>
      </c>
      <c r="AD94" s="1887">
        <f>SUM(AD90:AD93)</f>
        <v>0</v>
      </c>
      <c r="AE94" s="1887"/>
      <c r="AF94" s="1887">
        <v>0</v>
      </c>
      <c r="AG94" s="1887"/>
      <c r="AH94" s="1887">
        <f>AD94+AF94</f>
        <v>0</v>
      </c>
      <c r="AI94" s="1887">
        <f>AI92+AI93</f>
        <v>0</v>
      </c>
      <c r="AJ94" s="1887">
        <f>AJ92+AJ93</f>
        <v>0</v>
      </c>
      <c r="AK94" s="2439"/>
      <c r="AL94" s="1887">
        <f>SUM(AL90:AL93)</f>
        <v>0</v>
      </c>
      <c r="AM94" s="1887">
        <f>SUM(AM90:AM93)</f>
        <v>0</v>
      </c>
      <c r="AN94" s="1887"/>
      <c r="AO94" s="1887">
        <f>SUM(AO90:AO93)</f>
        <v>0</v>
      </c>
      <c r="AP94" s="1887"/>
      <c r="AQ94" s="1887">
        <f>SUM(AQ90:AQ93)</f>
        <v>0</v>
      </c>
      <c r="AR94" s="1887"/>
      <c r="AS94" s="1887">
        <f>AO94+AQ94</f>
        <v>0</v>
      </c>
      <c r="AT94" s="1887"/>
      <c r="AU94" s="1887">
        <f>SUM(AU90:AU93)</f>
        <v>0</v>
      </c>
      <c r="AV94" s="1887">
        <f>SUM(AV90:AV93)</f>
        <v>0</v>
      </c>
      <c r="AW94" s="2439">
        <f>AU94+AV94</f>
        <v>0</v>
      </c>
      <c r="AX94" s="1887">
        <f>SUM(AX90:AX93)</f>
        <v>0</v>
      </c>
      <c r="AY94" s="1887">
        <f>SUM(AY90:AY93)</f>
        <v>0</v>
      </c>
      <c r="AZ94" s="1887"/>
      <c r="BA94" s="1887">
        <f>SUM(BA90:BA93)</f>
        <v>0</v>
      </c>
      <c r="BB94" s="1887"/>
      <c r="BC94" s="1887">
        <f>SUM(BC90:BC93)</f>
        <v>0</v>
      </c>
      <c r="BD94" s="1887"/>
      <c r="BE94" s="1887">
        <f>BA94+BC94</f>
        <v>0</v>
      </c>
      <c r="BF94" s="1887"/>
      <c r="BG94" s="1887">
        <f>SUM(BG90:BG93)</f>
        <v>0</v>
      </c>
      <c r="BH94" s="1887">
        <f>SUM(BH90:BH93)</f>
        <v>0</v>
      </c>
      <c r="BI94" s="2439">
        <f>BG94+BH94</f>
        <v>0</v>
      </c>
      <c r="BJ94" s="1887"/>
      <c r="BK94" s="1887"/>
      <c r="BL94" s="1887"/>
      <c r="BM94" s="1887">
        <f>SUM(BM90:BM93)</f>
        <v>0</v>
      </c>
      <c r="BN94" s="1887">
        <f>SUM(BN90:BN93)</f>
        <v>0</v>
      </c>
      <c r="BO94" s="1887"/>
      <c r="BP94" s="1887"/>
      <c r="BQ94" s="1954">
        <f>BM94+BN94</f>
        <v>0</v>
      </c>
      <c r="BR94" s="1954">
        <f>BR92+BR93</f>
        <v>0</v>
      </c>
      <c r="BS94" s="1887">
        <f>SUM(BS90:BS93)</f>
        <v>0</v>
      </c>
      <c r="BT94" s="2420"/>
      <c r="BU94" s="1953"/>
      <c r="BV94" s="3058"/>
      <c r="BW94" s="3058"/>
      <c r="BX94" s="3058"/>
      <c r="BY94" s="1953"/>
      <c r="BZ94" s="1953"/>
      <c r="FH94" s="1785"/>
      <c r="FI94" s="1785"/>
      <c r="FJ94" s="1785"/>
      <c r="FK94" s="1785"/>
      <c r="FL94" s="1785"/>
      <c r="FM94" s="1785"/>
      <c r="FN94" s="1785"/>
      <c r="FO94" s="1785"/>
      <c r="FP94" s="1785"/>
      <c r="FQ94" s="1785"/>
      <c r="FR94" s="1785"/>
      <c r="FS94" s="1785"/>
      <c r="FT94" s="1785"/>
      <c r="FU94" s="1785"/>
      <c r="FV94" s="1785"/>
      <c r="FW94" s="1785"/>
      <c r="FX94" s="1785"/>
      <c r="FY94" s="1785"/>
      <c r="FZ94" s="1785"/>
      <c r="GA94" s="1785"/>
      <c r="GB94" s="1785"/>
      <c r="GC94" s="1785"/>
      <c r="GD94" s="1785"/>
      <c r="GE94" s="1785"/>
      <c r="GF94" s="1785"/>
      <c r="GG94" s="1785"/>
      <c r="GH94" s="1785"/>
      <c r="GI94" s="1785"/>
      <c r="GJ94" s="1785"/>
      <c r="GK94" s="1785"/>
      <c r="GL94" s="1785"/>
      <c r="GM94" s="1785"/>
      <c r="GN94" s="1785"/>
      <c r="GO94" s="1785"/>
      <c r="GP94" s="1785"/>
      <c r="GQ94" s="1785"/>
      <c r="GR94" s="1785"/>
      <c r="GS94" s="1785"/>
      <c r="GT94" s="1785"/>
      <c r="GU94" s="1785"/>
      <c r="GV94" s="1785"/>
      <c r="GW94" s="1785"/>
      <c r="GX94" s="1785"/>
      <c r="GY94" s="1785"/>
      <c r="GZ94" s="1785"/>
      <c r="HA94" s="1785"/>
      <c r="HB94" s="1785"/>
      <c r="HC94" s="1785"/>
      <c r="HD94" s="1785"/>
      <c r="HE94" s="1785"/>
      <c r="HF94" s="1785"/>
      <c r="HG94" s="1785"/>
      <c r="HH94" s="1785"/>
      <c r="HI94" s="1785"/>
      <c r="HJ94" s="1785"/>
      <c r="HK94" s="1785"/>
      <c r="HL94" s="1785"/>
      <c r="HM94" s="1785"/>
      <c r="HN94" s="1785"/>
      <c r="HO94" s="1785"/>
      <c r="HP94" s="1785"/>
      <c r="HQ94" s="1785"/>
      <c r="HR94" s="1785"/>
      <c r="HS94" s="1785"/>
      <c r="HT94" s="1785"/>
      <c r="HU94" s="1785"/>
      <c r="HV94" s="1785"/>
      <c r="HW94" s="1785"/>
      <c r="HX94" s="1785"/>
      <c r="HY94" s="1785"/>
      <c r="HZ94" s="1785"/>
      <c r="IA94" s="1785"/>
      <c r="IB94" s="1785"/>
      <c r="IC94" s="1785"/>
      <c r="ID94" s="1785"/>
      <c r="IE94" s="1785"/>
      <c r="IF94" s="1785"/>
      <c r="IG94" s="1785"/>
      <c r="IH94" s="1785"/>
      <c r="II94" s="1785"/>
      <c r="IJ94" s="1785"/>
      <c r="IK94" s="1785"/>
      <c r="IL94" s="1785"/>
      <c r="IM94" s="1785"/>
      <c r="IN94" s="1785"/>
      <c r="IO94" s="1785"/>
      <c r="IP94" s="1785"/>
      <c r="IQ94" s="1785"/>
      <c r="IR94" s="1785"/>
      <c r="IS94" s="1785"/>
      <c r="IT94" s="1785"/>
      <c r="IU94" s="1785"/>
      <c r="IV94" s="1785"/>
      <c r="IW94" s="1785"/>
      <c r="IX94" s="1785"/>
      <c r="IY94" s="1785"/>
      <c r="IZ94" s="1785"/>
      <c r="JA94" s="1785"/>
      <c r="JB94" s="1785"/>
      <c r="JC94" s="1785"/>
      <c r="JD94" s="1785"/>
      <c r="JE94" s="1785"/>
      <c r="JF94" s="1785"/>
      <c r="JG94" s="1785"/>
      <c r="JH94" s="1785"/>
      <c r="JI94" s="1785"/>
      <c r="JJ94" s="1785"/>
      <c r="JK94" s="1785"/>
      <c r="JL94" s="1785"/>
      <c r="JM94" s="1785"/>
      <c r="JN94" s="1785"/>
      <c r="JO94" s="1785"/>
      <c r="JP94" s="1785"/>
      <c r="JQ94" s="1785"/>
      <c r="JR94" s="1785"/>
      <c r="JS94" s="1785"/>
      <c r="JT94" s="1785"/>
      <c r="JU94" s="1785"/>
      <c r="JV94" s="1785"/>
      <c r="JW94" s="1785"/>
      <c r="JX94" s="1785"/>
      <c r="JY94" s="1785"/>
      <c r="JZ94" s="1785"/>
      <c r="KA94" s="1785"/>
      <c r="KB94" s="1785"/>
      <c r="KC94" s="1785"/>
      <c r="KD94" s="1785"/>
      <c r="KE94" s="1785"/>
      <c r="KF94" s="1785"/>
      <c r="KG94" s="1785"/>
      <c r="KH94" s="1785"/>
      <c r="KI94" s="1785"/>
      <c r="KJ94" s="1785"/>
      <c r="KK94" s="1785"/>
      <c r="KL94" s="1785"/>
      <c r="KM94" s="1785"/>
      <c r="KN94" s="1785"/>
      <c r="KO94" s="1785"/>
      <c r="KP94" s="1785"/>
      <c r="KQ94" s="1785"/>
      <c r="KR94" s="1785"/>
      <c r="KS94" s="1785"/>
      <c r="KT94" s="1785"/>
      <c r="KU94" s="1785"/>
      <c r="KV94" s="1785"/>
      <c r="KW94" s="1785"/>
      <c r="KX94" s="1785"/>
      <c r="KY94" s="1785"/>
      <c r="KZ94" s="1785"/>
      <c r="LA94" s="1785"/>
      <c r="LB94" s="1785"/>
      <c r="LC94" s="1785"/>
      <c r="LD94" s="1785"/>
      <c r="LE94" s="1785"/>
      <c r="LF94" s="1785"/>
      <c r="LG94" s="1785"/>
      <c r="LH94" s="1785"/>
      <c r="LI94" s="1785"/>
      <c r="LJ94" s="1785"/>
      <c r="LK94" s="1785"/>
      <c r="LL94" s="1785"/>
      <c r="LM94" s="1785"/>
      <c r="LN94" s="1785"/>
      <c r="LO94" s="1785"/>
      <c r="LP94" s="1785"/>
      <c r="LQ94" s="1785"/>
      <c r="LR94" s="1785"/>
      <c r="LS94" s="1785"/>
      <c r="LT94" s="1785"/>
      <c r="LU94" s="1785"/>
      <c r="LV94" s="1785"/>
      <c r="LW94" s="1785"/>
      <c r="LX94" s="1785"/>
      <c r="LY94" s="1785"/>
      <c r="LZ94" s="1785"/>
      <c r="MA94" s="1785"/>
      <c r="MB94" s="1785"/>
      <c r="MC94" s="1785"/>
      <c r="MD94" s="1785"/>
      <c r="ME94" s="1785"/>
      <c r="MF94" s="1785"/>
      <c r="MG94" s="1785"/>
      <c r="MH94" s="1785"/>
      <c r="MI94" s="1785"/>
      <c r="MJ94" s="1785"/>
      <c r="MK94" s="1785"/>
      <c r="ML94" s="1785"/>
      <c r="MM94" s="1785"/>
      <c r="MN94" s="1785"/>
      <c r="MO94" s="1785"/>
      <c r="MP94" s="1785"/>
      <c r="MQ94" s="1785"/>
      <c r="MR94" s="1785"/>
      <c r="MS94" s="1785"/>
      <c r="MT94" s="1785"/>
      <c r="MU94" s="1785"/>
      <c r="MV94" s="1785"/>
      <c r="MW94" s="1785"/>
      <c r="MX94" s="1785"/>
      <c r="MY94" s="1785"/>
      <c r="MZ94" s="1785"/>
      <c r="NA94" s="1785"/>
      <c r="NB94" s="1785"/>
      <c r="NC94" s="1785"/>
      <c r="ND94" s="1785"/>
      <c r="NE94" s="1785"/>
      <c r="NF94" s="1785"/>
      <c r="NG94" s="1785"/>
      <c r="NH94" s="1785"/>
      <c r="NI94" s="1785"/>
      <c r="NJ94" s="1785"/>
      <c r="NK94" s="1785"/>
      <c r="NL94" s="1785"/>
      <c r="NM94" s="1785"/>
      <c r="NN94" s="1785"/>
      <c r="NO94" s="1785"/>
      <c r="NP94" s="1785"/>
      <c r="NQ94" s="1785"/>
      <c r="NR94" s="1785"/>
      <c r="NS94" s="1785"/>
      <c r="NT94" s="1785"/>
      <c r="NU94" s="1785"/>
      <c r="NV94" s="1785"/>
      <c r="NW94" s="1785"/>
      <c r="NX94" s="1785"/>
      <c r="NY94" s="1785"/>
      <c r="NZ94" s="1785"/>
      <c r="OA94" s="1785"/>
      <c r="OB94" s="1785"/>
      <c r="OC94" s="1785"/>
      <c r="OD94" s="1785"/>
      <c r="OE94" s="1785"/>
      <c r="OF94" s="1785"/>
      <c r="OG94" s="1785"/>
      <c r="OH94" s="1785"/>
      <c r="OI94" s="1785"/>
      <c r="OJ94" s="1785"/>
      <c r="OK94" s="1785"/>
      <c r="OL94" s="1785"/>
      <c r="OM94" s="1785"/>
      <c r="ON94" s="1785"/>
      <c r="OO94" s="1785"/>
      <c r="OP94" s="1785"/>
      <c r="OQ94" s="1785"/>
      <c r="OR94" s="1785"/>
      <c r="OS94" s="1785"/>
      <c r="OT94" s="1785"/>
      <c r="OU94" s="1785"/>
      <c r="OV94" s="1785"/>
      <c r="OW94" s="1785"/>
      <c r="OX94" s="1785"/>
      <c r="OY94" s="1785"/>
      <c r="OZ94" s="1785"/>
      <c r="PA94" s="1785"/>
      <c r="PB94" s="1785"/>
      <c r="PC94" s="1785"/>
      <c r="PD94" s="1785"/>
      <c r="PE94" s="1785"/>
      <c r="PF94" s="1785"/>
      <c r="PG94" s="1785"/>
      <c r="PH94" s="1785"/>
      <c r="PI94" s="1785"/>
      <c r="PJ94" s="1785"/>
      <c r="PK94" s="1785"/>
      <c r="PL94" s="1785"/>
      <c r="PM94" s="1785"/>
      <c r="PN94" s="1785"/>
      <c r="PO94" s="1785"/>
      <c r="PP94" s="1785"/>
      <c r="PQ94" s="1785"/>
      <c r="PR94" s="1785"/>
      <c r="PS94" s="1785"/>
      <c r="PT94" s="1785"/>
      <c r="PU94" s="1785"/>
      <c r="PV94" s="1785"/>
      <c r="PW94" s="1785"/>
      <c r="PX94" s="1785"/>
      <c r="PY94" s="1785"/>
      <c r="PZ94" s="1785"/>
      <c r="QA94" s="1785"/>
      <c r="QB94" s="1785"/>
      <c r="QC94" s="1785"/>
      <c r="QD94" s="1785"/>
      <c r="QE94" s="1785"/>
      <c r="QF94" s="1785"/>
      <c r="QG94" s="1785"/>
      <c r="QH94" s="1785"/>
      <c r="QI94" s="1785"/>
      <c r="QJ94" s="1785"/>
      <c r="QK94" s="1785"/>
      <c r="QL94" s="1785"/>
      <c r="QM94" s="1785"/>
      <c r="QN94" s="1785"/>
      <c r="QO94" s="1785"/>
      <c r="QP94" s="1785"/>
      <c r="QQ94" s="1785"/>
      <c r="QR94" s="1785"/>
      <c r="QS94" s="1785"/>
      <c r="QT94" s="1785"/>
      <c r="QU94" s="1785"/>
      <c r="QV94" s="1785"/>
      <c r="QW94" s="1785"/>
      <c r="QX94" s="1785"/>
      <c r="QY94" s="1785"/>
      <c r="QZ94" s="1785"/>
      <c r="RA94" s="1785"/>
      <c r="RB94" s="1785"/>
      <c r="RC94" s="1785"/>
      <c r="RD94" s="1785"/>
      <c r="RE94" s="1785"/>
      <c r="RF94" s="1785"/>
      <c r="RG94" s="1785"/>
      <c r="RH94" s="1785"/>
      <c r="RI94" s="1785"/>
      <c r="RJ94" s="1785"/>
      <c r="RK94" s="1785"/>
      <c r="RL94" s="1785"/>
      <c r="RM94" s="1785"/>
      <c r="RN94" s="1785"/>
      <c r="RO94" s="1785"/>
      <c r="RP94" s="1785"/>
      <c r="RQ94" s="1785"/>
      <c r="RR94" s="1785"/>
      <c r="RS94" s="1785"/>
      <c r="RT94" s="1785"/>
      <c r="RU94" s="1785"/>
      <c r="RV94" s="1785"/>
      <c r="RW94" s="1785"/>
      <c r="RX94" s="1785"/>
      <c r="RY94" s="1785"/>
      <c r="RZ94" s="1785"/>
      <c r="SA94" s="1785"/>
      <c r="SB94" s="1785"/>
      <c r="SC94" s="1785"/>
      <c r="SD94" s="1785"/>
      <c r="SE94" s="1785"/>
      <c r="SF94" s="1785"/>
      <c r="SG94" s="1785"/>
      <c r="SH94" s="1785"/>
      <c r="SI94" s="1785"/>
      <c r="SJ94" s="1785"/>
      <c r="SK94" s="1785"/>
      <c r="SL94" s="1785"/>
      <c r="SM94" s="1785"/>
      <c r="SN94" s="1785"/>
      <c r="SO94" s="1785"/>
      <c r="SP94" s="1785"/>
      <c r="SQ94" s="1785"/>
      <c r="SR94" s="1785"/>
      <c r="SS94" s="1785"/>
      <c r="ST94" s="1785"/>
      <c r="SU94" s="1785"/>
      <c r="SV94" s="1785"/>
      <c r="SW94" s="1785"/>
      <c r="SX94" s="1785"/>
      <c r="SY94" s="1785"/>
      <c r="SZ94" s="1785"/>
      <c r="TA94" s="1785"/>
      <c r="TB94" s="1785"/>
      <c r="TC94" s="1785"/>
      <c r="TD94" s="1785"/>
      <c r="TE94" s="1785"/>
      <c r="TF94" s="1785"/>
      <c r="TG94" s="1785"/>
      <c r="TH94" s="1785"/>
      <c r="TI94" s="1785"/>
      <c r="TJ94" s="1785"/>
      <c r="TK94" s="1785"/>
      <c r="TL94" s="1785"/>
      <c r="TM94" s="1785"/>
      <c r="TN94" s="1785"/>
      <c r="TO94" s="1785"/>
      <c r="TP94" s="1785"/>
      <c r="TQ94" s="1785"/>
      <c r="TR94" s="1785"/>
      <c r="TS94" s="1785"/>
      <c r="TT94" s="1785"/>
      <c r="TU94" s="1785"/>
      <c r="TV94" s="1785"/>
      <c r="TW94" s="1785"/>
      <c r="TX94" s="1785"/>
      <c r="TY94" s="1785"/>
      <c r="TZ94" s="1785"/>
      <c r="UA94" s="1785"/>
      <c r="UB94" s="1785"/>
      <c r="UC94" s="1785"/>
      <c r="UD94" s="1785"/>
      <c r="UE94" s="1785"/>
      <c r="UF94" s="1785"/>
      <c r="UG94" s="1785"/>
      <c r="UH94" s="1785"/>
      <c r="UI94" s="1785"/>
      <c r="UJ94" s="1785"/>
      <c r="UK94" s="1785"/>
      <c r="UL94" s="1785"/>
      <c r="UM94" s="1785"/>
      <c r="UN94" s="1785"/>
      <c r="UO94" s="1785"/>
      <c r="UP94" s="1785"/>
      <c r="UQ94" s="1785"/>
      <c r="UR94" s="1785"/>
      <c r="US94" s="1785"/>
      <c r="UT94" s="1785"/>
      <c r="UU94" s="1785"/>
      <c r="UV94" s="1785"/>
      <c r="UW94" s="1785"/>
      <c r="UX94" s="1785"/>
      <c r="UY94" s="1785"/>
      <c r="UZ94" s="1785"/>
      <c r="VA94" s="1785"/>
      <c r="VB94" s="1785"/>
      <c r="VC94" s="1785"/>
      <c r="VD94" s="1785"/>
      <c r="VE94" s="1785"/>
      <c r="VF94" s="1785"/>
      <c r="VG94" s="1785"/>
      <c r="VH94" s="1785"/>
      <c r="VI94" s="1785"/>
      <c r="VJ94" s="1785"/>
      <c r="VK94" s="1785"/>
      <c r="VL94" s="1785"/>
      <c r="VM94" s="1785"/>
      <c r="VN94" s="1785"/>
      <c r="VO94" s="1785"/>
      <c r="VP94" s="1785"/>
      <c r="VQ94" s="1785"/>
      <c r="VR94" s="1785"/>
      <c r="VS94" s="1785"/>
      <c r="VT94" s="1785"/>
      <c r="VU94" s="1785"/>
      <c r="VV94" s="1785"/>
      <c r="VW94" s="1785"/>
      <c r="VX94" s="1785"/>
      <c r="VY94" s="1785"/>
      <c r="VZ94" s="1785"/>
      <c r="WA94" s="1785"/>
      <c r="WB94" s="1785"/>
      <c r="WC94" s="1785"/>
      <c r="WD94" s="1785"/>
      <c r="WE94" s="1785"/>
    </row>
    <row r="95" spans="1:1215" s="628" customFormat="1" ht="15" customHeight="1" x14ac:dyDescent="0.2">
      <c r="A95" s="3816"/>
      <c r="B95" s="3817"/>
      <c r="C95" s="2592"/>
      <c r="D95" s="2760"/>
      <c r="E95" s="2097"/>
      <c r="F95" s="2266"/>
      <c r="G95" s="2267"/>
      <c r="H95" s="2576"/>
      <c r="I95" s="2577"/>
      <c r="J95" s="2577"/>
      <c r="K95" s="2574"/>
      <c r="L95" s="2266"/>
      <c r="M95" s="2266"/>
      <c r="N95" s="2577"/>
      <c r="O95" s="2636"/>
      <c r="P95" s="2577"/>
      <c r="Q95" s="2577"/>
      <c r="R95" s="2577"/>
      <c r="S95" s="2577"/>
      <c r="T95" s="2577"/>
      <c r="U95" s="2267"/>
      <c r="V95" s="2267"/>
      <c r="W95" s="2267"/>
      <c r="X95" s="2267"/>
      <c r="Y95" s="2267"/>
      <c r="Z95" s="2809"/>
      <c r="AA95" s="2577"/>
      <c r="AB95" s="2577"/>
      <c r="AC95" s="2577"/>
      <c r="AD95" s="2577"/>
      <c r="AE95" s="2577"/>
      <c r="AF95" s="2577"/>
      <c r="AG95" s="2577"/>
      <c r="AH95" s="2577"/>
      <c r="AI95" s="2577"/>
      <c r="AJ95" s="2019"/>
      <c r="AK95" s="2575"/>
      <c r="AL95" s="2019"/>
      <c r="AM95" s="2019"/>
      <c r="AN95" s="2019"/>
      <c r="AO95" s="2019"/>
      <c r="AP95" s="2019"/>
      <c r="AQ95" s="2019"/>
      <c r="AR95" s="2019"/>
      <c r="AS95" s="2019"/>
      <c r="AT95" s="2019"/>
      <c r="AU95" s="2019"/>
      <c r="AV95" s="2019"/>
      <c r="AW95" s="2420"/>
      <c r="AX95" s="2019"/>
      <c r="AY95" s="2019"/>
      <c r="AZ95" s="2019"/>
      <c r="BA95" s="2019"/>
      <c r="BB95" s="2019"/>
      <c r="BC95" s="2019"/>
      <c r="BD95" s="2019"/>
      <c r="BE95" s="2019"/>
      <c r="BF95" s="2019"/>
      <c r="BG95" s="2019"/>
      <c r="BH95" s="2019"/>
      <c r="BI95" s="2420"/>
      <c r="BJ95" s="2019"/>
      <c r="BK95" s="2019"/>
      <c r="BL95" s="2019"/>
      <c r="BM95" s="2019"/>
      <c r="BN95" s="2019"/>
      <c r="BO95" s="2019"/>
      <c r="BP95" s="2019"/>
      <c r="BQ95" s="2019"/>
      <c r="BR95" s="2019"/>
      <c r="BS95" s="2019"/>
      <c r="BT95" s="2575"/>
      <c r="BV95" s="3058"/>
      <c r="BW95" s="3058"/>
      <c r="BX95" s="3058"/>
      <c r="FH95" s="1785"/>
      <c r="FI95" s="1785"/>
      <c r="FJ95" s="1785"/>
      <c r="FK95" s="1785"/>
      <c r="FL95" s="1785"/>
      <c r="FM95" s="1785"/>
      <c r="FN95" s="1785"/>
      <c r="FO95" s="1785"/>
      <c r="FP95" s="1785"/>
      <c r="FQ95" s="1785"/>
      <c r="FR95" s="1785"/>
      <c r="FS95" s="1785"/>
      <c r="FT95" s="1785"/>
      <c r="FU95" s="1785"/>
      <c r="FV95" s="1785"/>
      <c r="FW95" s="1785"/>
      <c r="FX95" s="1785"/>
      <c r="FY95" s="1785"/>
      <c r="FZ95" s="1785"/>
      <c r="GA95" s="1785"/>
      <c r="GB95" s="1785"/>
      <c r="GC95" s="1785"/>
      <c r="GD95" s="1785"/>
      <c r="GE95" s="1785"/>
      <c r="GF95" s="1785"/>
      <c r="GG95" s="1785"/>
      <c r="GH95" s="1785"/>
      <c r="GI95" s="1785"/>
      <c r="GJ95" s="1785"/>
      <c r="GK95" s="1785"/>
      <c r="GL95" s="1785"/>
      <c r="GM95" s="1785"/>
      <c r="GN95" s="1785"/>
      <c r="GO95" s="1785"/>
      <c r="GP95" s="1785"/>
      <c r="GQ95" s="1785"/>
      <c r="GR95" s="1785"/>
      <c r="GS95" s="1785"/>
      <c r="GT95" s="1785"/>
      <c r="GU95" s="1785"/>
      <c r="GV95" s="1785"/>
      <c r="GW95" s="1785"/>
      <c r="GX95" s="1785"/>
      <c r="GY95" s="1785"/>
      <c r="GZ95" s="1785"/>
      <c r="HA95" s="1785"/>
      <c r="HB95" s="1785"/>
      <c r="HC95" s="1785"/>
      <c r="HD95" s="1785"/>
      <c r="HE95" s="1785"/>
      <c r="HF95" s="1785"/>
      <c r="HG95" s="1785"/>
      <c r="HH95" s="1785"/>
      <c r="HI95" s="1785"/>
      <c r="HJ95" s="1785"/>
      <c r="HK95" s="1785"/>
      <c r="HL95" s="1785"/>
      <c r="HM95" s="1785"/>
      <c r="HN95" s="1785"/>
      <c r="HO95" s="1785"/>
      <c r="HP95" s="1785"/>
      <c r="HQ95" s="1785"/>
      <c r="HR95" s="1785"/>
      <c r="HS95" s="1785"/>
      <c r="HT95" s="1785"/>
      <c r="HU95" s="1785"/>
      <c r="HV95" s="1785"/>
      <c r="HW95" s="1785"/>
      <c r="HX95" s="1785"/>
      <c r="HY95" s="1785"/>
      <c r="HZ95" s="1785"/>
      <c r="IA95" s="1785"/>
      <c r="IB95" s="1785"/>
      <c r="IC95" s="1785"/>
      <c r="ID95" s="1785"/>
      <c r="IE95" s="1785"/>
      <c r="IF95" s="1785"/>
      <c r="IG95" s="1785"/>
      <c r="IH95" s="1785"/>
      <c r="II95" s="1785"/>
      <c r="IJ95" s="1785"/>
      <c r="IK95" s="1785"/>
      <c r="IL95" s="1785"/>
      <c r="IM95" s="1785"/>
      <c r="IN95" s="1785"/>
      <c r="IO95" s="1785"/>
      <c r="IP95" s="1785"/>
      <c r="IQ95" s="1785"/>
      <c r="IR95" s="1785"/>
      <c r="IS95" s="1785"/>
      <c r="IT95" s="1785"/>
      <c r="IU95" s="1785"/>
      <c r="IV95" s="1785"/>
      <c r="IW95" s="1785"/>
      <c r="IX95" s="1785"/>
      <c r="IY95" s="1785"/>
      <c r="IZ95" s="1785"/>
      <c r="JA95" s="1785"/>
      <c r="JB95" s="1785"/>
      <c r="JC95" s="1785"/>
      <c r="JD95" s="1785"/>
      <c r="JE95" s="1785"/>
      <c r="JF95" s="1785"/>
      <c r="JG95" s="1785"/>
      <c r="JH95" s="1785"/>
      <c r="JI95" s="1785"/>
      <c r="JJ95" s="1785"/>
      <c r="JK95" s="1785"/>
      <c r="JL95" s="1785"/>
      <c r="JM95" s="1785"/>
      <c r="JN95" s="1785"/>
      <c r="JO95" s="1785"/>
      <c r="JP95" s="1785"/>
      <c r="JQ95" s="1785"/>
      <c r="JR95" s="1785"/>
      <c r="JS95" s="1785"/>
      <c r="JT95" s="1785"/>
      <c r="JU95" s="1785"/>
      <c r="JV95" s="1785"/>
      <c r="JW95" s="1785"/>
      <c r="JX95" s="1785"/>
      <c r="JY95" s="1785"/>
      <c r="JZ95" s="1785"/>
      <c r="KA95" s="1785"/>
      <c r="KB95" s="1785"/>
      <c r="KC95" s="1785"/>
      <c r="KD95" s="1785"/>
      <c r="KE95" s="1785"/>
      <c r="KF95" s="1785"/>
      <c r="KG95" s="1785"/>
      <c r="KH95" s="1785"/>
      <c r="KI95" s="1785"/>
      <c r="KJ95" s="1785"/>
      <c r="KK95" s="1785"/>
      <c r="KL95" s="1785"/>
      <c r="KM95" s="1785"/>
      <c r="KN95" s="1785"/>
      <c r="KO95" s="1785"/>
      <c r="KP95" s="1785"/>
      <c r="KQ95" s="1785"/>
      <c r="KR95" s="1785"/>
      <c r="KS95" s="1785"/>
      <c r="KT95" s="1785"/>
      <c r="KU95" s="1785"/>
      <c r="KV95" s="1785"/>
      <c r="KW95" s="1785"/>
      <c r="KX95" s="1785"/>
      <c r="KY95" s="1785"/>
      <c r="KZ95" s="1785"/>
      <c r="LA95" s="1785"/>
      <c r="LB95" s="1785"/>
      <c r="LC95" s="1785"/>
      <c r="LD95" s="1785"/>
      <c r="LE95" s="1785"/>
      <c r="LF95" s="1785"/>
      <c r="LG95" s="1785"/>
      <c r="LH95" s="1785"/>
      <c r="LI95" s="1785"/>
      <c r="LJ95" s="1785"/>
      <c r="LK95" s="1785"/>
      <c r="LL95" s="1785"/>
      <c r="LM95" s="1785"/>
      <c r="LN95" s="1785"/>
      <c r="LO95" s="1785"/>
      <c r="LP95" s="1785"/>
      <c r="LQ95" s="1785"/>
      <c r="LR95" s="1785"/>
      <c r="LS95" s="1785"/>
      <c r="LT95" s="1785"/>
      <c r="LU95" s="1785"/>
      <c r="LV95" s="1785"/>
      <c r="LW95" s="1785"/>
      <c r="LX95" s="1785"/>
      <c r="LY95" s="1785"/>
      <c r="LZ95" s="1785"/>
      <c r="MA95" s="1785"/>
      <c r="MB95" s="1785"/>
      <c r="MC95" s="1785"/>
      <c r="MD95" s="1785"/>
      <c r="ME95" s="1785"/>
      <c r="MF95" s="1785"/>
      <c r="MG95" s="1785"/>
      <c r="MH95" s="1785"/>
      <c r="MI95" s="1785"/>
      <c r="MJ95" s="1785"/>
      <c r="MK95" s="1785"/>
      <c r="ML95" s="1785"/>
      <c r="MM95" s="1785"/>
      <c r="MN95" s="1785"/>
      <c r="MO95" s="1785"/>
      <c r="MP95" s="1785"/>
      <c r="MQ95" s="1785"/>
      <c r="MR95" s="1785"/>
      <c r="MS95" s="1785"/>
      <c r="MT95" s="1785"/>
      <c r="MU95" s="1785"/>
      <c r="MV95" s="1785"/>
      <c r="MW95" s="1785"/>
      <c r="MX95" s="1785"/>
      <c r="MY95" s="1785"/>
      <c r="MZ95" s="1785"/>
      <c r="NA95" s="1785"/>
      <c r="NB95" s="1785"/>
      <c r="NC95" s="1785"/>
      <c r="ND95" s="1785"/>
      <c r="NE95" s="1785"/>
      <c r="NF95" s="1785"/>
      <c r="NG95" s="1785"/>
      <c r="NH95" s="1785"/>
      <c r="NI95" s="1785"/>
      <c r="NJ95" s="1785"/>
      <c r="NK95" s="1785"/>
      <c r="NL95" s="1785"/>
      <c r="NM95" s="1785"/>
      <c r="NN95" s="1785"/>
      <c r="NO95" s="1785"/>
      <c r="NP95" s="1785"/>
      <c r="NQ95" s="1785"/>
      <c r="NR95" s="1785"/>
      <c r="NS95" s="1785"/>
      <c r="NT95" s="1785"/>
      <c r="NU95" s="1785"/>
      <c r="NV95" s="1785"/>
      <c r="NW95" s="1785"/>
      <c r="NX95" s="1785"/>
      <c r="NY95" s="1785"/>
      <c r="NZ95" s="1785"/>
      <c r="OA95" s="1785"/>
      <c r="OB95" s="1785"/>
      <c r="OC95" s="1785"/>
      <c r="OD95" s="1785"/>
      <c r="OE95" s="1785"/>
      <c r="OF95" s="1785"/>
      <c r="OG95" s="1785"/>
      <c r="OH95" s="1785"/>
      <c r="OI95" s="1785"/>
      <c r="OJ95" s="1785"/>
      <c r="OK95" s="1785"/>
      <c r="OL95" s="1785"/>
      <c r="OM95" s="1785"/>
      <c r="ON95" s="1785"/>
      <c r="OO95" s="1785"/>
      <c r="OP95" s="1785"/>
      <c r="OQ95" s="1785"/>
      <c r="OR95" s="1785"/>
      <c r="OS95" s="1785"/>
      <c r="OT95" s="1785"/>
      <c r="OU95" s="1785"/>
      <c r="OV95" s="1785"/>
      <c r="OW95" s="1785"/>
      <c r="OX95" s="1785"/>
      <c r="OY95" s="1785"/>
      <c r="OZ95" s="1785"/>
      <c r="PA95" s="1785"/>
      <c r="PB95" s="1785"/>
      <c r="PC95" s="1785"/>
      <c r="PD95" s="1785"/>
      <c r="PE95" s="1785"/>
      <c r="PF95" s="1785"/>
      <c r="PG95" s="1785"/>
      <c r="PH95" s="1785"/>
      <c r="PI95" s="1785"/>
      <c r="PJ95" s="1785"/>
      <c r="PK95" s="1785"/>
      <c r="PL95" s="1785"/>
      <c r="PM95" s="1785"/>
      <c r="PN95" s="1785"/>
      <c r="PO95" s="1785"/>
      <c r="PP95" s="1785"/>
      <c r="PQ95" s="1785"/>
      <c r="PR95" s="1785"/>
      <c r="PS95" s="1785"/>
      <c r="PT95" s="1785"/>
      <c r="PU95" s="1785"/>
      <c r="PV95" s="1785"/>
      <c r="PW95" s="1785"/>
      <c r="PX95" s="1785"/>
      <c r="PY95" s="1785"/>
      <c r="PZ95" s="1785"/>
      <c r="QA95" s="1785"/>
      <c r="QB95" s="1785"/>
      <c r="QC95" s="1785"/>
      <c r="QD95" s="1785"/>
      <c r="QE95" s="1785"/>
      <c r="QF95" s="1785"/>
      <c r="QG95" s="1785"/>
      <c r="QH95" s="1785"/>
      <c r="QI95" s="1785"/>
      <c r="QJ95" s="1785"/>
      <c r="QK95" s="1785"/>
      <c r="QL95" s="1785"/>
      <c r="QM95" s="1785"/>
      <c r="QN95" s="1785"/>
      <c r="QO95" s="1785"/>
      <c r="QP95" s="1785"/>
      <c r="QQ95" s="1785"/>
      <c r="QR95" s="1785"/>
      <c r="QS95" s="1785"/>
      <c r="QT95" s="1785"/>
      <c r="QU95" s="1785"/>
      <c r="QV95" s="1785"/>
      <c r="QW95" s="1785"/>
      <c r="QX95" s="1785"/>
      <c r="QY95" s="1785"/>
      <c r="QZ95" s="1785"/>
      <c r="RA95" s="1785"/>
      <c r="RB95" s="1785"/>
      <c r="RC95" s="1785"/>
      <c r="RD95" s="1785"/>
      <c r="RE95" s="1785"/>
      <c r="RF95" s="1785"/>
      <c r="RG95" s="1785"/>
      <c r="RH95" s="1785"/>
      <c r="RI95" s="1785"/>
      <c r="RJ95" s="1785"/>
      <c r="RK95" s="1785"/>
      <c r="RL95" s="1785"/>
      <c r="RM95" s="1785"/>
      <c r="RN95" s="1785"/>
      <c r="RO95" s="1785"/>
      <c r="RP95" s="1785"/>
      <c r="RQ95" s="1785"/>
      <c r="RR95" s="1785"/>
      <c r="RS95" s="1785"/>
      <c r="RT95" s="1785"/>
      <c r="RU95" s="1785"/>
      <c r="RV95" s="1785"/>
      <c r="RW95" s="1785"/>
      <c r="RX95" s="1785"/>
      <c r="RY95" s="1785"/>
      <c r="RZ95" s="1785"/>
      <c r="SA95" s="1785"/>
      <c r="SB95" s="1785"/>
      <c r="SC95" s="1785"/>
      <c r="SD95" s="1785"/>
      <c r="SE95" s="1785"/>
      <c r="SF95" s="1785"/>
      <c r="SG95" s="1785"/>
      <c r="SH95" s="1785"/>
      <c r="SI95" s="1785"/>
      <c r="SJ95" s="1785"/>
      <c r="SK95" s="1785"/>
      <c r="SL95" s="1785"/>
      <c r="SM95" s="1785"/>
      <c r="SN95" s="1785"/>
      <c r="SO95" s="1785"/>
      <c r="SP95" s="1785"/>
      <c r="SQ95" s="1785"/>
      <c r="SR95" s="1785"/>
      <c r="SS95" s="1785"/>
      <c r="ST95" s="1785"/>
      <c r="SU95" s="1785"/>
      <c r="SV95" s="1785"/>
      <c r="SW95" s="1785"/>
      <c r="SX95" s="1785"/>
      <c r="SY95" s="1785"/>
      <c r="SZ95" s="1785"/>
      <c r="TA95" s="1785"/>
      <c r="TB95" s="1785"/>
      <c r="TC95" s="1785"/>
      <c r="TD95" s="1785"/>
      <c r="TE95" s="1785"/>
      <c r="TF95" s="1785"/>
      <c r="TG95" s="1785"/>
      <c r="TH95" s="1785"/>
      <c r="TI95" s="1785"/>
      <c r="TJ95" s="1785"/>
      <c r="TK95" s="1785"/>
      <c r="TL95" s="1785"/>
      <c r="TM95" s="1785"/>
      <c r="TN95" s="1785"/>
      <c r="TO95" s="1785"/>
      <c r="TP95" s="1785"/>
      <c r="TQ95" s="1785"/>
      <c r="TR95" s="1785"/>
      <c r="TS95" s="1785"/>
      <c r="TT95" s="1785"/>
      <c r="TU95" s="1785"/>
      <c r="TV95" s="1785"/>
      <c r="TW95" s="1785"/>
      <c r="TX95" s="1785"/>
      <c r="TY95" s="1785"/>
      <c r="TZ95" s="1785"/>
      <c r="UA95" s="1785"/>
      <c r="UB95" s="1785"/>
      <c r="UC95" s="1785"/>
      <c r="UD95" s="1785"/>
      <c r="UE95" s="1785"/>
      <c r="UF95" s="1785"/>
      <c r="UG95" s="1785"/>
      <c r="UH95" s="1785"/>
      <c r="UI95" s="1785"/>
      <c r="UJ95" s="1785"/>
      <c r="UK95" s="1785"/>
      <c r="UL95" s="1785"/>
      <c r="UM95" s="1785"/>
      <c r="UN95" s="1785"/>
      <c r="UO95" s="1785"/>
      <c r="UP95" s="1785"/>
      <c r="UQ95" s="1785"/>
      <c r="UR95" s="1785"/>
      <c r="US95" s="1785"/>
      <c r="UT95" s="1785"/>
      <c r="UU95" s="1785"/>
      <c r="UV95" s="1785"/>
      <c r="UW95" s="1785"/>
      <c r="UX95" s="1785"/>
      <c r="UY95" s="1785"/>
      <c r="UZ95" s="1785"/>
      <c r="VA95" s="1785"/>
      <c r="VB95" s="1785"/>
      <c r="VC95" s="1785"/>
      <c r="VD95" s="1785"/>
      <c r="VE95" s="1785"/>
      <c r="VF95" s="1785"/>
      <c r="VG95" s="1785"/>
      <c r="VH95" s="1785"/>
      <c r="VI95" s="1785"/>
      <c r="VJ95" s="1785"/>
      <c r="VK95" s="1785"/>
      <c r="VL95" s="1785"/>
      <c r="VM95" s="1785"/>
      <c r="VN95" s="1785"/>
      <c r="VO95" s="1785"/>
      <c r="VP95" s="1785"/>
      <c r="VQ95" s="1785"/>
      <c r="VR95" s="1785"/>
      <c r="VS95" s="1785"/>
      <c r="VT95" s="1785"/>
      <c r="VU95" s="1785"/>
      <c r="VV95" s="1785"/>
      <c r="VW95" s="1785"/>
      <c r="VX95" s="1785"/>
      <c r="VY95" s="1785"/>
      <c r="VZ95" s="1785"/>
      <c r="WA95" s="1785"/>
      <c r="WB95" s="1785"/>
      <c r="WC95" s="1785"/>
      <c r="WD95" s="1785"/>
      <c r="WE95" s="1785"/>
    </row>
    <row r="96" spans="1:1215" s="628" customFormat="1" ht="15" customHeight="1" x14ac:dyDescent="0.2">
      <c r="A96" s="3818" t="s">
        <v>604</v>
      </c>
      <c r="B96" s="3819"/>
      <c r="C96" s="2593"/>
      <c r="D96" s="2761" t="s">
        <v>596</v>
      </c>
      <c r="E96" s="2757"/>
      <c r="F96" s="2581"/>
      <c r="G96" s="2582"/>
      <c r="H96" s="2583"/>
      <c r="I96" s="2584"/>
      <c r="J96" s="2584"/>
      <c r="K96" s="2585"/>
      <c r="L96" s="2581"/>
      <c r="M96" s="2707"/>
      <c r="N96" s="2066"/>
      <c r="O96" s="2439"/>
      <c r="P96" s="1954"/>
      <c r="Q96" s="1954"/>
      <c r="R96" s="1954"/>
      <c r="S96" s="1954"/>
      <c r="T96" s="1954"/>
      <c r="U96" s="2580"/>
      <c r="V96" s="2580"/>
      <c r="W96" s="2586"/>
      <c r="X96" s="2580"/>
      <c r="Y96" s="2580"/>
      <c r="Z96" s="2808"/>
      <c r="AA96" s="2714"/>
      <c r="AB96" s="2587"/>
      <c r="AC96" s="2587"/>
      <c r="AD96" s="2587"/>
      <c r="AE96" s="2587"/>
      <c r="AF96" s="2587"/>
      <c r="AG96" s="2587"/>
      <c r="AH96" s="2587"/>
      <c r="AI96" s="2587"/>
      <c r="AJ96" s="2587"/>
      <c r="AK96" s="2838"/>
      <c r="AL96" s="1954"/>
      <c r="AM96" s="2588"/>
      <c r="AN96" s="1954"/>
      <c r="AO96" s="2703">
        <v>0</v>
      </c>
      <c r="AP96" s="2704"/>
      <c r="AQ96" s="2591">
        <v>0</v>
      </c>
      <c r="AR96" s="2706"/>
      <c r="AS96" s="2705">
        <f>AO96+AQ96</f>
        <v>0</v>
      </c>
      <c r="AT96" s="3465"/>
      <c r="AU96" s="2599">
        <v>0</v>
      </c>
      <c r="AV96" s="2693">
        <v>0</v>
      </c>
      <c r="AW96" s="2839">
        <f>AU96+AV96</f>
        <v>0</v>
      </c>
      <c r="AX96" s="1954"/>
      <c r="AY96" s="2588"/>
      <c r="AZ96" s="1954"/>
      <c r="BA96" s="3103">
        <v>0</v>
      </c>
      <c r="BB96" s="3104"/>
      <c r="BC96" s="3105">
        <v>0</v>
      </c>
      <c r="BD96" s="3106"/>
      <c r="BE96" s="3107">
        <f>BA96+BC96</f>
        <v>0</v>
      </c>
      <c r="BF96" s="2590"/>
      <c r="BG96" s="2599">
        <v>0</v>
      </c>
      <c r="BH96" s="2693">
        <v>0</v>
      </c>
      <c r="BI96" s="2839">
        <f>BG96+BH96</f>
        <v>0</v>
      </c>
      <c r="BJ96" s="2590"/>
      <c r="BK96" s="2588"/>
      <c r="BL96" s="2588"/>
      <c r="BM96" s="2588"/>
      <c r="BN96" s="2588"/>
      <c r="BO96" s="2588"/>
      <c r="BP96" s="2588"/>
      <c r="BQ96" s="2588"/>
      <c r="BR96" s="2588"/>
      <c r="BS96" s="2588"/>
      <c r="BT96" s="2589"/>
      <c r="BV96" s="3058"/>
      <c r="BW96" s="3058"/>
      <c r="BX96" s="3058"/>
      <c r="FH96" s="1785"/>
      <c r="FI96" s="1785"/>
      <c r="FJ96" s="1785"/>
      <c r="FK96" s="1785"/>
      <c r="FL96" s="1785"/>
      <c r="FM96" s="1785"/>
      <c r="FN96" s="1785"/>
      <c r="FO96" s="1785"/>
      <c r="FP96" s="1785"/>
      <c r="FQ96" s="1785"/>
      <c r="FR96" s="1785"/>
      <c r="FS96" s="1785"/>
      <c r="FT96" s="1785"/>
      <c r="FU96" s="1785"/>
      <c r="FV96" s="1785"/>
      <c r="FW96" s="1785"/>
      <c r="FX96" s="1785"/>
      <c r="FY96" s="1785"/>
      <c r="FZ96" s="1785"/>
      <c r="GA96" s="1785"/>
      <c r="GB96" s="1785"/>
      <c r="GC96" s="1785"/>
      <c r="GD96" s="1785"/>
      <c r="GE96" s="1785"/>
      <c r="GF96" s="1785"/>
      <c r="GG96" s="1785"/>
      <c r="GH96" s="1785"/>
      <c r="GI96" s="1785"/>
      <c r="GJ96" s="1785"/>
      <c r="GK96" s="1785"/>
      <c r="GL96" s="1785"/>
      <c r="GM96" s="1785"/>
      <c r="GN96" s="1785"/>
      <c r="GO96" s="1785"/>
      <c r="GP96" s="1785"/>
      <c r="GQ96" s="1785"/>
      <c r="GR96" s="1785"/>
      <c r="GS96" s="1785"/>
      <c r="GT96" s="1785"/>
      <c r="GU96" s="1785"/>
      <c r="GV96" s="1785"/>
      <c r="GW96" s="1785"/>
      <c r="GX96" s="1785"/>
      <c r="GY96" s="1785"/>
      <c r="GZ96" s="1785"/>
      <c r="HA96" s="1785"/>
      <c r="HB96" s="1785"/>
      <c r="HC96" s="1785"/>
      <c r="HD96" s="1785"/>
      <c r="HE96" s="1785"/>
      <c r="HF96" s="1785"/>
      <c r="HG96" s="1785"/>
      <c r="HH96" s="1785"/>
      <c r="HI96" s="1785"/>
      <c r="HJ96" s="1785"/>
      <c r="HK96" s="1785"/>
      <c r="HL96" s="1785"/>
      <c r="HM96" s="1785"/>
      <c r="HN96" s="1785"/>
      <c r="HO96" s="1785"/>
      <c r="HP96" s="1785"/>
      <c r="HQ96" s="1785"/>
      <c r="HR96" s="1785"/>
      <c r="HS96" s="1785"/>
      <c r="HT96" s="1785"/>
      <c r="HU96" s="1785"/>
      <c r="HV96" s="1785"/>
      <c r="HW96" s="1785"/>
      <c r="HX96" s="1785"/>
      <c r="HY96" s="1785"/>
      <c r="HZ96" s="1785"/>
      <c r="IA96" s="1785"/>
      <c r="IB96" s="1785"/>
      <c r="IC96" s="1785"/>
      <c r="ID96" s="1785"/>
      <c r="IE96" s="1785"/>
      <c r="IF96" s="1785"/>
      <c r="IG96" s="1785"/>
      <c r="IH96" s="1785"/>
      <c r="II96" s="1785"/>
      <c r="IJ96" s="1785"/>
      <c r="IK96" s="1785"/>
      <c r="IL96" s="1785"/>
      <c r="IM96" s="1785"/>
      <c r="IN96" s="1785"/>
      <c r="IO96" s="1785"/>
      <c r="IP96" s="1785"/>
      <c r="IQ96" s="1785"/>
      <c r="IR96" s="1785"/>
      <c r="IS96" s="1785"/>
      <c r="IT96" s="1785"/>
      <c r="IU96" s="1785"/>
      <c r="IV96" s="1785"/>
      <c r="IW96" s="1785"/>
      <c r="IX96" s="1785"/>
      <c r="IY96" s="1785"/>
      <c r="IZ96" s="1785"/>
      <c r="JA96" s="1785"/>
      <c r="JB96" s="1785"/>
      <c r="JC96" s="1785"/>
      <c r="JD96" s="1785"/>
      <c r="JE96" s="1785"/>
      <c r="JF96" s="1785"/>
      <c r="JG96" s="1785"/>
      <c r="JH96" s="1785"/>
      <c r="JI96" s="1785"/>
      <c r="JJ96" s="1785"/>
      <c r="JK96" s="1785"/>
      <c r="JL96" s="1785"/>
      <c r="JM96" s="1785"/>
      <c r="JN96" s="1785"/>
      <c r="JO96" s="1785"/>
      <c r="JP96" s="1785"/>
      <c r="JQ96" s="1785"/>
      <c r="JR96" s="1785"/>
      <c r="JS96" s="1785"/>
      <c r="JT96" s="1785"/>
      <c r="JU96" s="1785"/>
      <c r="JV96" s="1785"/>
      <c r="JW96" s="1785"/>
      <c r="JX96" s="1785"/>
      <c r="JY96" s="1785"/>
      <c r="JZ96" s="1785"/>
      <c r="KA96" s="1785"/>
      <c r="KB96" s="1785"/>
      <c r="KC96" s="1785"/>
      <c r="KD96" s="1785"/>
      <c r="KE96" s="1785"/>
      <c r="KF96" s="1785"/>
      <c r="KG96" s="1785"/>
      <c r="KH96" s="1785"/>
      <c r="KI96" s="1785"/>
      <c r="KJ96" s="1785"/>
      <c r="KK96" s="1785"/>
      <c r="KL96" s="1785"/>
      <c r="KM96" s="1785"/>
      <c r="KN96" s="1785"/>
      <c r="KO96" s="1785"/>
      <c r="KP96" s="1785"/>
      <c r="KQ96" s="1785"/>
      <c r="KR96" s="1785"/>
      <c r="KS96" s="1785"/>
      <c r="KT96" s="1785"/>
      <c r="KU96" s="1785"/>
      <c r="KV96" s="1785"/>
      <c r="KW96" s="1785"/>
      <c r="KX96" s="1785"/>
      <c r="KY96" s="1785"/>
      <c r="KZ96" s="1785"/>
      <c r="LA96" s="1785"/>
      <c r="LB96" s="1785"/>
      <c r="LC96" s="1785"/>
      <c r="LD96" s="1785"/>
      <c r="LE96" s="1785"/>
      <c r="LF96" s="1785"/>
      <c r="LG96" s="1785"/>
      <c r="LH96" s="1785"/>
      <c r="LI96" s="1785"/>
      <c r="LJ96" s="1785"/>
      <c r="LK96" s="1785"/>
      <c r="LL96" s="1785"/>
      <c r="LM96" s="1785"/>
      <c r="LN96" s="1785"/>
      <c r="LO96" s="1785"/>
      <c r="LP96" s="1785"/>
      <c r="LQ96" s="1785"/>
      <c r="LR96" s="1785"/>
      <c r="LS96" s="1785"/>
      <c r="LT96" s="1785"/>
      <c r="LU96" s="1785"/>
      <c r="LV96" s="1785"/>
      <c r="LW96" s="1785"/>
      <c r="LX96" s="1785"/>
      <c r="LY96" s="1785"/>
      <c r="LZ96" s="1785"/>
      <c r="MA96" s="1785"/>
      <c r="MB96" s="1785"/>
      <c r="MC96" s="1785"/>
      <c r="MD96" s="1785"/>
      <c r="ME96" s="1785"/>
      <c r="MF96" s="1785"/>
      <c r="MG96" s="1785"/>
      <c r="MH96" s="1785"/>
      <c r="MI96" s="1785"/>
      <c r="MJ96" s="1785"/>
      <c r="MK96" s="1785"/>
      <c r="ML96" s="1785"/>
      <c r="MM96" s="1785"/>
      <c r="MN96" s="1785"/>
      <c r="MO96" s="1785"/>
      <c r="MP96" s="1785"/>
      <c r="MQ96" s="1785"/>
      <c r="MR96" s="1785"/>
      <c r="MS96" s="1785"/>
      <c r="MT96" s="1785"/>
      <c r="MU96" s="1785"/>
      <c r="MV96" s="1785"/>
      <c r="MW96" s="1785"/>
      <c r="MX96" s="1785"/>
      <c r="MY96" s="1785"/>
      <c r="MZ96" s="1785"/>
      <c r="NA96" s="1785"/>
      <c r="NB96" s="1785"/>
      <c r="NC96" s="1785"/>
      <c r="ND96" s="1785"/>
      <c r="NE96" s="1785"/>
      <c r="NF96" s="1785"/>
      <c r="NG96" s="1785"/>
      <c r="NH96" s="1785"/>
      <c r="NI96" s="1785"/>
      <c r="NJ96" s="1785"/>
      <c r="NK96" s="1785"/>
      <c r="NL96" s="1785"/>
      <c r="NM96" s="1785"/>
      <c r="NN96" s="1785"/>
      <c r="NO96" s="1785"/>
      <c r="NP96" s="1785"/>
      <c r="NQ96" s="1785"/>
      <c r="NR96" s="1785"/>
      <c r="NS96" s="1785"/>
      <c r="NT96" s="1785"/>
      <c r="NU96" s="1785"/>
      <c r="NV96" s="1785"/>
      <c r="NW96" s="1785"/>
      <c r="NX96" s="1785"/>
      <c r="NY96" s="1785"/>
      <c r="NZ96" s="1785"/>
      <c r="OA96" s="1785"/>
      <c r="OB96" s="1785"/>
      <c r="OC96" s="1785"/>
      <c r="OD96" s="1785"/>
      <c r="OE96" s="1785"/>
      <c r="OF96" s="1785"/>
      <c r="OG96" s="1785"/>
      <c r="OH96" s="1785"/>
      <c r="OI96" s="1785"/>
      <c r="OJ96" s="1785"/>
      <c r="OK96" s="1785"/>
      <c r="OL96" s="1785"/>
      <c r="OM96" s="1785"/>
      <c r="ON96" s="1785"/>
      <c r="OO96" s="1785"/>
      <c r="OP96" s="1785"/>
      <c r="OQ96" s="1785"/>
      <c r="OR96" s="1785"/>
      <c r="OS96" s="1785"/>
      <c r="OT96" s="1785"/>
      <c r="OU96" s="1785"/>
      <c r="OV96" s="1785"/>
      <c r="OW96" s="1785"/>
      <c r="OX96" s="1785"/>
      <c r="OY96" s="1785"/>
      <c r="OZ96" s="1785"/>
      <c r="PA96" s="1785"/>
      <c r="PB96" s="1785"/>
      <c r="PC96" s="1785"/>
      <c r="PD96" s="1785"/>
      <c r="PE96" s="1785"/>
      <c r="PF96" s="1785"/>
      <c r="PG96" s="1785"/>
      <c r="PH96" s="1785"/>
      <c r="PI96" s="1785"/>
      <c r="PJ96" s="1785"/>
      <c r="PK96" s="1785"/>
      <c r="PL96" s="1785"/>
      <c r="PM96" s="1785"/>
      <c r="PN96" s="1785"/>
      <c r="PO96" s="1785"/>
      <c r="PP96" s="1785"/>
      <c r="PQ96" s="1785"/>
      <c r="PR96" s="1785"/>
      <c r="PS96" s="1785"/>
      <c r="PT96" s="1785"/>
      <c r="PU96" s="1785"/>
      <c r="PV96" s="1785"/>
      <c r="PW96" s="1785"/>
      <c r="PX96" s="1785"/>
      <c r="PY96" s="1785"/>
      <c r="PZ96" s="1785"/>
      <c r="QA96" s="1785"/>
      <c r="QB96" s="1785"/>
      <c r="QC96" s="1785"/>
      <c r="QD96" s="1785"/>
      <c r="QE96" s="1785"/>
      <c r="QF96" s="1785"/>
      <c r="QG96" s="1785"/>
      <c r="QH96" s="1785"/>
      <c r="QI96" s="1785"/>
      <c r="QJ96" s="1785"/>
      <c r="QK96" s="1785"/>
      <c r="QL96" s="1785"/>
      <c r="QM96" s="1785"/>
      <c r="QN96" s="1785"/>
      <c r="QO96" s="1785"/>
      <c r="QP96" s="1785"/>
      <c r="QQ96" s="1785"/>
      <c r="QR96" s="1785"/>
      <c r="QS96" s="1785"/>
      <c r="QT96" s="1785"/>
      <c r="QU96" s="1785"/>
      <c r="QV96" s="1785"/>
      <c r="QW96" s="1785"/>
      <c r="QX96" s="1785"/>
      <c r="QY96" s="1785"/>
      <c r="QZ96" s="1785"/>
      <c r="RA96" s="1785"/>
      <c r="RB96" s="1785"/>
      <c r="RC96" s="1785"/>
      <c r="RD96" s="1785"/>
      <c r="RE96" s="1785"/>
      <c r="RF96" s="1785"/>
      <c r="RG96" s="1785"/>
      <c r="RH96" s="1785"/>
      <c r="RI96" s="1785"/>
      <c r="RJ96" s="1785"/>
      <c r="RK96" s="1785"/>
      <c r="RL96" s="1785"/>
      <c r="RM96" s="1785"/>
      <c r="RN96" s="1785"/>
      <c r="RO96" s="1785"/>
      <c r="RP96" s="1785"/>
      <c r="RQ96" s="1785"/>
      <c r="RR96" s="1785"/>
      <c r="RS96" s="1785"/>
      <c r="RT96" s="1785"/>
      <c r="RU96" s="1785"/>
      <c r="RV96" s="1785"/>
      <c r="RW96" s="1785"/>
      <c r="RX96" s="1785"/>
      <c r="RY96" s="1785"/>
      <c r="RZ96" s="1785"/>
      <c r="SA96" s="1785"/>
      <c r="SB96" s="1785"/>
      <c r="SC96" s="1785"/>
      <c r="SD96" s="1785"/>
      <c r="SE96" s="1785"/>
      <c r="SF96" s="1785"/>
      <c r="SG96" s="1785"/>
      <c r="SH96" s="1785"/>
      <c r="SI96" s="1785"/>
      <c r="SJ96" s="1785"/>
      <c r="SK96" s="1785"/>
      <c r="SL96" s="1785"/>
      <c r="SM96" s="1785"/>
      <c r="SN96" s="1785"/>
      <c r="SO96" s="1785"/>
      <c r="SP96" s="1785"/>
      <c r="SQ96" s="1785"/>
      <c r="SR96" s="1785"/>
      <c r="SS96" s="1785"/>
      <c r="ST96" s="1785"/>
      <c r="SU96" s="1785"/>
      <c r="SV96" s="1785"/>
      <c r="SW96" s="1785"/>
      <c r="SX96" s="1785"/>
      <c r="SY96" s="1785"/>
      <c r="SZ96" s="1785"/>
      <c r="TA96" s="1785"/>
      <c r="TB96" s="1785"/>
      <c r="TC96" s="1785"/>
      <c r="TD96" s="1785"/>
      <c r="TE96" s="1785"/>
      <c r="TF96" s="1785"/>
      <c r="TG96" s="1785"/>
      <c r="TH96" s="1785"/>
      <c r="TI96" s="1785"/>
      <c r="TJ96" s="1785"/>
      <c r="TK96" s="1785"/>
      <c r="TL96" s="1785"/>
      <c r="TM96" s="1785"/>
      <c r="TN96" s="1785"/>
      <c r="TO96" s="1785"/>
      <c r="TP96" s="1785"/>
      <c r="TQ96" s="1785"/>
      <c r="TR96" s="1785"/>
      <c r="TS96" s="1785"/>
      <c r="TT96" s="1785"/>
      <c r="TU96" s="1785"/>
      <c r="TV96" s="1785"/>
      <c r="TW96" s="1785"/>
      <c r="TX96" s="1785"/>
      <c r="TY96" s="1785"/>
      <c r="TZ96" s="1785"/>
      <c r="UA96" s="1785"/>
      <c r="UB96" s="1785"/>
      <c r="UC96" s="1785"/>
      <c r="UD96" s="1785"/>
      <c r="UE96" s="1785"/>
      <c r="UF96" s="1785"/>
      <c r="UG96" s="1785"/>
      <c r="UH96" s="1785"/>
      <c r="UI96" s="1785"/>
      <c r="UJ96" s="1785"/>
      <c r="UK96" s="1785"/>
      <c r="UL96" s="1785"/>
      <c r="UM96" s="1785"/>
      <c r="UN96" s="1785"/>
      <c r="UO96" s="1785"/>
      <c r="UP96" s="1785"/>
      <c r="UQ96" s="1785"/>
      <c r="UR96" s="1785"/>
      <c r="US96" s="1785"/>
      <c r="UT96" s="1785"/>
      <c r="UU96" s="1785"/>
      <c r="UV96" s="1785"/>
      <c r="UW96" s="1785"/>
      <c r="UX96" s="1785"/>
      <c r="UY96" s="1785"/>
      <c r="UZ96" s="1785"/>
      <c r="VA96" s="1785"/>
      <c r="VB96" s="1785"/>
      <c r="VC96" s="1785"/>
      <c r="VD96" s="1785"/>
      <c r="VE96" s="1785"/>
      <c r="VF96" s="1785"/>
      <c r="VG96" s="1785"/>
      <c r="VH96" s="1785"/>
      <c r="VI96" s="1785"/>
      <c r="VJ96" s="1785"/>
      <c r="VK96" s="1785"/>
      <c r="VL96" s="1785"/>
      <c r="VM96" s="1785"/>
      <c r="VN96" s="1785"/>
      <c r="VO96" s="1785"/>
      <c r="VP96" s="1785"/>
      <c r="VQ96" s="1785"/>
      <c r="VR96" s="1785"/>
      <c r="VS96" s="1785"/>
      <c r="VT96" s="1785"/>
      <c r="VU96" s="1785"/>
      <c r="VV96" s="1785"/>
      <c r="VW96" s="1785"/>
      <c r="VX96" s="1785"/>
      <c r="VY96" s="1785"/>
      <c r="VZ96" s="1785"/>
      <c r="WA96" s="1785"/>
      <c r="WB96" s="1785"/>
      <c r="WC96" s="1785"/>
      <c r="WD96" s="1785"/>
      <c r="WE96" s="1785"/>
    </row>
    <row r="97" spans="1:603" s="628" customFormat="1" ht="15" customHeight="1" x14ac:dyDescent="0.25">
      <c r="A97" s="2230"/>
      <c r="B97" s="2231"/>
      <c r="C97" s="1794"/>
      <c r="D97" s="2741"/>
      <c r="E97" s="2758"/>
      <c r="F97" s="2578"/>
      <c r="G97" s="2578"/>
      <c r="H97" s="2579"/>
      <c r="I97" s="2269"/>
      <c r="J97" s="2269"/>
      <c r="K97" s="2268"/>
      <c r="L97" s="2269"/>
      <c r="M97" s="2708"/>
      <c r="N97" s="2270"/>
      <c r="O97" s="2797"/>
      <c r="P97" s="2270"/>
      <c r="Q97" s="2270"/>
      <c r="R97" s="2270"/>
      <c r="S97" s="2270"/>
      <c r="T97" s="2270"/>
      <c r="U97" s="2270"/>
      <c r="V97" s="2270"/>
      <c r="W97" s="2270"/>
      <c r="X97" s="2270"/>
      <c r="Y97" s="2270"/>
      <c r="Z97" s="2810"/>
      <c r="AA97" s="2708"/>
      <c r="AB97" s="2269"/>
      <c r="AC97" s="2269"/>
      <c r="AD97" s="2270"/>
      <c r="AE97" s="2270"/>
      <c r="AF97" s="2270"/>
      <c r="AG97" s="2270"/>
      <c r="AH97" s="2270"/>
      <c r="AI97" s="2270"/>
      <c r="AJ97" s="2270"/>
      <c r="AK97" s="2797"/>
      <c r="AL97" s="2270"/>
      <c r="AM97" s="2270"/>
      <c r="AN97" s="2270"/>
      <c r="AO97" s="2270"/>
      <c r="AP97" s="2270"/>
      <c r="AQ97" s="2270"/>
      <c r="AR97" s="2270"/>
      <c r="AS97" s="2270"/>
      <c r="AT97" s="2270"/>
      <c r="AU97" s="2270"/>
      <c r="AV97" s="2270"/>
      <c r="AW97" s="2797"/>
      <c r="AX97" s="2270"/>
      <c r="AY97" s="2270"/>
      <c r="AZ97" s="2270"/>
      <c r="BA97" s="2270"/>
      <c r="BB97" s="2270"/>
      <c r="BC97" s="2270"/>
      <c r="BD97" s="2270"/>
      <c r="BE97" s="2270"/>
      <c r="BF97" s="2270"/>
      <c r="BG97" s="2270"/>
      <c r="BH97" s="2270"/>
      <c r="BI97" s="2797"/>
      <c r="BJ97" s="2715"/>
      <c r="BK97" s="2270"/>
      <c r="BL97" s="2270"/>
      <c r="BM97" s="2270"/>
      <c r="BN97" s="2270"/>
      <c r="BO97" s="2270"/>
      <c r="BP97" s="2270"/>
      <c r="BQ97" s="2270"/>
      <c r="BR97" s="2270"/>
      <c r="BS97" s="2270"/>
      <c r="BT97" s="2797"/>
      <c r="BV97" s="3058"/>
      <c r="BW97" s="3058"/>
      <c r="BX97" s="3058"/>
      <c r="FH97" s="1785"/>
      <c r="FI97" s="1785"/>
      <c r="FJ97" s="1785"/>
      <c r="FK97" s="1785"/>
      <c r="FL97" s="1785"/>
      <c r="FM97" s="1785"/>
      <c r="FN97" s="1785"/>
      <c r="FO97" s="1785"/>
      <c r="FP97" s="1785"/>
      <c r="FQ97" s="1785"/>
      <c r="FR97" s="1785"/>
      <c r="FS97" s="1785"/>
      <c r="FT97" s="1785"/>
      <c r="FU97" s="1785"/>
      <c r="FV97" s="1785"/>
      <c r="FW97" s="1785"/>
      <c r="FX97" s="1785"/>
      <c r="FY97" s="1785"/>
      <c r="FZ97" s="1785"/>
      <c r="GA97" s="1785"/>
      <c r="GB97" s="1785"/>
      <c r="GC97" s="1785"/>
      <c r="GD97" s="1785"/>
      <c r="GE97" s="1785"/>
      <c r="GF97" s="1785"/>
      <c r="GG97" s="1785"/>
      <c r="GH97" s="1785"/>
      <c r="GI97" s="1785"/>
      <c r="GJ97" s="1785"/>
      <c r="GK97" s="1785"/>
      <c r="GL97" s="1785"/>
      <c r="GM97" s="1785"/>
      <c r="GN97" s="1785"/>
      <c r="GO97" s="1785"/>
      <c r="GP97" s="1785"/>
      <c r="GQ97" s="1785"/>
      <c r="GR97" s="1785"/>
      <c r="GS97" s="1785"/>
      <c r="GT97" s="1785"/>
      <c r="GU97" s="1785"/>
      <c r="GV97" s="1785"/>
      <c r="GW97" s="1785"/>
      <c r="GX97" s="1785"/>
      <c r="GY97" s="1785"/>
      <c r="GZ97" s="1785"/>
      <c r="HA97" s="1785"/>
      <c r="HB97" s="1785"/>
      <c r="HC97" s="1785"/>
      <c r="HD97" s="1785"/>
      <c r="HE97" s="1785"/>
      <c r="HF97" s="1785"/>
      <c r="HG97" s="1785"/>
      <c r="HH97" s="1785"/>
      <c r="HI97" s="1785"/>
      <c r="HJ97" s="1785"/>
      <c r="HK97" s="1785"/>
      <c r="HL97" s="1785"/>
      <c r="HM97" s="1785"/>
      <c r="HN97" s="1785"/>
      <c r="HO97" s="1785"/>
      <c r="HP97" s="1785"/>
      <c r="HQ97" s="1785"/>
      <c r="HR97" s="1785"/>
      <c r="HS97" s="1785"/>
      <c r="HT97" s="1785"/>
      <c r="HU97" s="1785"/>
      <c r="HV97" s="1785"/>
      <c r="HW97" s="1785"/>
      <c r="HX97" s="1785"/>
      <c r="HY97" s="1785"/>
      <c r="HZ97" s="1785"/>
      <c r="IA97" s="1785"/>
      <c r="IB97" s="1785"/>
      <c r="IC97" s="1785"/>
      <c r="ID97" s="1785"/>
      <c r="IE97" s="1785"/>
      <c r="IF97" s="1785"/>
      <c r="IG97" s="1785"/>
      <c r="IH97" s="1785"/>
      <c r="II97" s="1785"/>
      <c r="IJ97" s="1785"/>
      <c r="IK97" s="1785"/>
      <c r="IL97" s="1785"/>
      <c r="IM97" s="1785"/>
      <c r="IN97" s="1785"/>
      <c r="IO97" s="1785"/>
      <c r="IP97" s="1785"/>
      <c r="IQ97" s="1785"/>
      <c r="IR97" s="1785"/>
      <c r="IS97" s="1785"/>
      <c r="IT97" s="1785"/>
      <c r="IU97" s="1785"/>
      <c r="IV97" s="1785"/>
      <c r="IW97" s="1785"/>
      <c r="IX97" s="1785"/>
      <c r="IY97" s="1785"/>
      <c r="IZ97" s="1785"/>
      <c r="JA97" s="1785"/>
      <c r="JB97" s="1785"/>
      <c r="JC97" s="1785"/>
      <c r="JD97" s="1785"/>
      <c r="JE97" s="1785"/>
      <c r="JF97" s="1785"/>
      <c r="JG97" s="1785"/>
      <c r="JH97" s="1785"/>
      <c r="JI97" s="1785"/>
      <c r="JJ97" s="1785"/>
      <c r="JK97" s="1785"/>
      <c r="JL97" s="1785"/>
      <c r="JM97" s="1785"/>
      <c r="JN97" s="1785"/>
      <c r="JO97" s="1785"/>
      <c r="JP97" s="1785"/>
      <c r="JQ97" s="1785"/>
      <c r="JR97" s="1785"/>
      <c r="JS97" s="1785"/>
      <c r="JT97" s="1785"/>
      <c r="JU97" s="1785"/>
      <c r="JV97" s="1785"/>
      <c r="JW97" s="1785"/>
      <c r="JX97" s="1785"/>
      <c r="JY97" s="1785"/>
      <c r="JZ97" s="1785"/>
      <c r="KA97" s="1785"/>
      <c r="KB97" s="1785"/>
      <c r="KC97" s="1785"/>
      <c r="KD97" s="1785"/>
      <c r="KE97" s="1785"/>
      <c r="KF97" s="1785"/>
      <c r="KG97" s="1785"/>
      <c r="KH97" s="1785"/>
      <c r="KI97" s="1785"/>
      <c r="KJ97" s="1785"/>
      <c r="KK97" s="1785"/>
      <c r="KL97" s="1785"/>
      <c r="KM97" s="1785"/>
      <c r="KN97" s="1785"/>
      <c r="KO97" s="1785"/>
      <c r="KP97" s="1785"/>
      <c r="KQ97" s="1785"/>
      <c r="KR97" s="1785"/>
      <c r="KS97" s="1785"/>
      <c r="KT97" s="1785"/>
      <c r="KU97" s="1785"/>
      <c r="KV97" s="1785"/>
      <c r="KW97" s="1785"/>
      <c r="KX97" s="1785"/>
      <c r="KY97" s="1785"/>
      <c r="KZ97" s="1785"/>
      <c r="LA97" s="1785"/>
      <c r="LB97" s="1785"/>
      <c r="LC97" s="1785"/>
      <c r="LD97" s="1785"/>
      <c r="LE97" s="1785"/>
      <c r="LF97" s="1785"/>
      <c r="LG97" s="1785"/>
      <c r="LH97" s="1785"/>
      <c r="LI97" s="1785"/>
      <c r="LJ97" s="1785"/>
      <c r="LK97" s="1785"/>
      <c r="LL97" s="1785"/>
      <c r="LM97" s="1785"/>
      <c r="LN97" s="1785"/>
      <c r="LO97" s="1785"/>
      <c r="LP97" s="1785"/>
      <c r="LQ97" s="1785"/>
      <c r="LR97" s="1785"/>
      <c r="LS97" s="1785"/>
      <c r="LT97" s="1785"/>
      <c r="LU97" s="1785"/>
      <c r="LV97" s="1785"/>
      <c r="LW97" s="1785"/>
      <c r="LX97" s="1785"/>
      <c r="LY97" s="1785"/>
      <c r="LZ97" s="1785"/>
      <c r="MA97" s="1785"/>
      <c r="MB97" s="1785"/>
      <c r="MC97" s="1785"/>
      <c r="MD97" s="1785"/>
      <c r="ME97" s="1785"/>
      <c r="MF97" s="1785"/>
      <c r="MG97" s="1785"/>
      <c r="MH97" s="1785"/>
      <c r="MI97" s="1785"/>
      <c r="MJ97" s="1785"/>
      <c r="MK97" s="1785"/>
      <c r="ML97" s="1785"/>
      <c r="MM97" s="1785"/>
      <c r="MN97" s="1785"/>
      <c r="MO97" s="1785"/>
      <c r="MP97" s="1785"/>
      <c r="MQ97" s="1785"/>
      <c r="MR97" s="1785"/>
      <c r="MS97" s="1785"/>
      <c r="MT97" s="1785"/>
      <c r="MU97" s="1785"/>
      <c r="MV97" s="1785"/>
      <c r="MW97" s="1785"/>
      <c r="MX97" s="1785"/>
      <c r="MY97" s="1785"/>
      <c r="MZ97" s="1785"/>
      <c r="NA97" s="1785"/>
      <c r="NB97" s="1785"/>
      <c r="NC97" s="1785"/>
      <c r="ND97" s="1785"/>
      <c r="NE97" s="1785"/>
      <c r="NF97" s="1785"/>
      <c r="NG97" s="1785"/>
      <c r="NH97" s="1785"/>
      <c r="NI97" s="1785"/>
      <c r="NJ97" s="1785"/>
      <c r="NK97" s="1785"/>
      <c r="NL97" s="1785"/>
      <c r="NM97" s="1785"/>
      <c r="NN97" s="1785"/>
      <c r="NO97" s="1785"/>
      <c r="NP97" s="1785"/>
      <c r="NQ97" s="1785"/>
      <c r="NR97" s="1785"/>
      <c r="NS97" s="1785"/>
      <c r="NT97" s="1785"/>
      <c r="NU97" s="1785"/>
      <c r="NV97" s="1785"/>
      <c r="NW97" s="1785"/>
      <c r="NX97" s="1785"/>
      <c r="NY97" s="1785"/>
      <c r="NZ97" s="1785"/>
      <c r="OA97" s="1785"/>
      <c r="OB97" s="1785"/>
      <c r="OC97" s="1785"/>
      <c r="OD97" s="1785"/>
      <c r="OE97" s="1785"/>
      <c r="OF97" s="1785"/>
      <c r="OG97" s="1785"/>
      <c r="OH97" s="1785"/>
      <c r="OI97" s="1785"/>
      <c r="OJ97" s="1785"/>
      <c r="OK97" s="1785"/>
      <c r="OL97" s="1785"/>
      <c r="OM97" s="1785"/>
      <c r="ON97" s="1785"/>
      <c r="OO97" s="1785"/>
      <c r="OP97" s="1785"/>
      <c r="OQ97" s="1785"/>
      <c r="OR97" s="1785"/>
      <c r="OS97" s="1785"/>
      <c r="OT97" s="1785"/>
      <c r="OU97" s="1785"/>
      <c r="OV97" s="1785"/>
      <c r="OW97" s="1785"/>
      <c r="OX97" s="1785"/>
      <c r="OY97" s="1785"/>
      <c r="OZ97" s="1785"/>
      <c r="PA97" s="1785"/>
      <c r="PB97" s="1785"/>
      <c r="PC97" s="1785"/>
      <c r="PD97" s="1785"/>
      <c r="PE97" s="1785"/>
      <c r="PF97" s="1785"/>
      <c r="PG97" s="1785"/>
      <c r="PH97" s="1785"/>
      <c r="PI97" s="1785"/>
      <c r="PJ97" s="1785"/>
      <c r="PK97" s="1785"/>
      <c r="PL97" s="1785"/>
      <c r="PM97" s="1785"/>
      <c r="PN97" s="1785"/>
      <c r="PO97" s="1785"/>
      <c r="PP97" s="1785"/>
      <c r="PQ97" s="1785"/>
      <c r="PR97" s="1785"/>
      <c r="PS97" s="1785"/>
      <c r="PT97" s="1785"/>
      <c r="PU97" s="1785"/>
      <c r="PV97" s="1785"/>
      <c r="PW97" s="1785"/>
      <c r="PX97" s="1785"/>
      <c r="PY97" s="1785"/>
      <c r="PZ97" s="1785"/>
      <c r="QA97" s="1785"/>
      <c r="QB97" s="1785"/>
      <c r="QC97" s="1785"/>
      <c r="QD97" s="1785"/>
      <c r="QE97" s="1785"/>
      <c r="QF97" s="1785"/>
      <c r="QG97" s="1785"/>
      <c r="QH97" s="1785"/>
      <c r="QI97" s="1785"/>
      <c r="QJ97" s="1785"/>
      <c r="QK97" s="1785"/>
      <c r="QL97" s="1785"/>
      <c r="QM97" s="1785"/>
      <c r="QN97" s="1785"/>
      <c r="QO97" s="1785"/>
      <c r="QP97" s="1785"/>
      <c r="QQ97" s="1785"/>
      <c r="QR97" s="1785"/>
      <c r="QS97" s="1785"/>
      <c r="QT97" s="1785"/>
      <c r="QU97" s="1785"/>
      <c r="QV97" s="1785"/>
      <c r="QW97" s="1785"/>
      <c r="QX97" s="1785"/>
      <c r="QY97" s="1785"/>
      <c r="QZ97" s="1785"/>
      <c r="RA97" s="1785"/>
      <c r="RB97" s="1785"/>
      <c r="RC97" s="1785"/>
      <c r="RD97" s="1785"/>
      <c r="RE97" s="1785"/>
      <c r="RF97" s="1785"/>
      <c r="RG97" s="1785"/>
      <c r="RH97" s="1785"/>
      <c r="RI97" s="1785"/>
      <c r="RJ97" s="1785"/>
      <c r="RK97" s="1785"/>
      <c r="RL97" s="1785"/>
      <c r="RM97" s="1785"/>
      <c r="RN97" s="1785"/>
      <c r="RO97" s="1785"/>
      <c r="RP97" s="1785"/>
      <c r="RQ97" s="1785"/>
      <c r="RR97" s="1785"/>
      <c r="RS97" s="1785"/>
      <c r="RT97" s="1785"/>
      <c r="RU97" s="1785"/>
      <c r="RV97" s="1785"/>
      <c r="RW97" s="1785"/>
      <c r="RX97" s="1785"/>
      <c r="RY97" s="1785"/>
      <c r="RZ97" s="1785"/>
      <c r="SA97" s="1785"/>
      <c r="SB97" s="1785"/>
      <c r="SC97" s="1785"/>
      <c r="SD97" s="1785"/>
      <c r="SE97" s="1785"/>
      <c r="SF97" s="1785"/>
      <c r="SG97" s="1785"/>
      <c r="SH97" s="1785"/>
      <c r="SI97" s="1785"/>
      <c r="SJ97" s="1785"/>
      <c r="SK97" s="1785"/>
      <c r="SL97" s="1785"/>
      <c r="SM97" s="1785"/>
      <c r="SN97" s="1785"/>
      <c r="SO97" s="1785"/>
      <c r="SP97" s="1785"/>
      <c r="SQ97" s="1785"/>
      <c r="SR97" s="1785"/>
      <c r="SS97" s="1785"/>
      <c r="ST97" s="1785"/>
      <c r="SU97" s="1785"/>
      <c r="SV97" s="1785"/>
      <c r="SW97" s="1785"/>
      <c r="SX97" s="1785"/>
      <c r="SY97" s="1785"/>
      <c r="SZ97" s="1785"/>
      <c r="TA97" s="1785"/>
      <c r="TB97" s="1785"/>
      <c r="TC97" s="1785"/>
      <c r="TD97" s="1785"/>
      <c r="TE97" s="1785"/>
      <c r="TF97" s="1785"/>
      <c r="TG97" s="1785"/>
      <c r="TH97" s="1785"/>
      <c r="TI97" s="1785"/>
      <c r="TJ97" s="1785"/>
      <c r="TK97" s="1785"/>
      <c r="TL97" s="1785"/>
      <c r="TM97" s="1785"/>
      <c r="TN97" s="1785"/>
      <c r="TO97" s="1785"/>
      <c r="TP97" s="1785"/>
      <c r="TQ97" s="1785"/>
      <c r="TR97" s="1785"/>
      <c r="TS97" s="1785"/>
      <c r="TT97" s="1785"/>
      <c r="TU97" s="1785"/>
      <c r="TV97" s="1785"/>
      <c r="TW97" s="1785"/>
      <c r="TX97" s="1785"/>
      <c r="TY97" s="1785"/>
      <c r="TZ97" s="1785"/>
      <c r="UA97" s="1785"/>
      <c r="UB97" s="1785"/>
      <c r="UC97" s="1785"/>
      <c r="UD97" s="1785"/>
      <c r="UE97" s="1785"/>
      <c r="UF97" s="1785"/>
      <c r="UG97" s="1785"/>
      <c r="UH97" s="1785"/>
      <c r="UI97" s="1785"/>
      <c r="UJ97" s="1785"/>
      <c r="UK97" s="1785"/>
      <c r="UL97" s="1785"/>
      <c r="UM97" s="1785"/>
      <c r="UN97" s="1785"/>
      <c r="UO97" s="1785"/>
      <c r="UP97" s="1785"/>
      <c r="UQ97" s="1785"/>
      <c r="UR97" s="1785"/>
      <c r="US97" s="1785"/>
      <c r="UT97" s="1785"/>
      <c r="UU97" s="1785"/>
      <c r="UV97" s="1785"/>
      <c r="UW97" s="1785"/>
      <c r="UX97" s="1785"/>
      <c r="UY97" s="1785"/>
      <c r="UZ97" s="1785"/>
      <c r="VA97" s="1785"/>
      <c r="VB97" s="1785"/>
      <c r="VC97" s="1785"/>
      <c r="VD97" s="1785"/>
      <c r="VE97" s="1785"/>
      <c r="VF97" s="1785"/>
      <c r="VG97" s="1785"/>
      <c r="VH97" s="1785"/>
      <c r="VI97" s="1785"/>
      <c r="VJ97" s="1785"/>
      <c r="VK97" s="1785"/>
      <c r="VL97" s="1785"/>
      <c r="VM97" s="1785"/>
      <c r="VN97" s="1785"/>
      <c r="VO97" s="1785"/>
      <c r="VP97" s="1785"/>
      <c r="VQ97" s="1785"/>
      <c r="VR97" s="1785"/>
      <c r="VS97" s="1785"/>
      <c r="VT97" s="1785"/>
      <c r="VU97" s="1785"/>
      <c r="VV97" s="1785"/>
      <c r="VW97" s="1785"/>
      <c r="VX97" s="1785"/>
      <c r="VY97" s="1785"/>
      <c r="VZ97" s="1785"/>
      <c r="WA97" s="1785"/>
      <c r="WB97" s="1785"/>
      <c r="WC97" s="1785"/>
      <c r="WD97" s="1785"/>
      <c r="WE97" s="1785"/>
    </row>
    <row r="98" spans="1:603" s="628" customFormat="1" ht="15" customHeight="1" x14ac:dyDescent="0.35">
      <c r="A98" s="3767" t="s">
        <v>644</v>
      </c>
      <c r="B98" s="3768"/>
      <c r="C98" s="2098">
        <v>1</v>
      </c>
      <c r="D98" s="2490"/>
      <c r="E98" s="1879" t="s">
        <v>335</v>
      </c>
      <c r="F98" s="1937" t="s">
        <v>335</v>
      </c>
      <c r="G98" s="1804" t="s">
        <v>335</v>
      </c>
      <c r="H98" s="1937" t="s">
        <v>335</v>
      </c>
      <c r="I98" s="1937" t="s">
        <v>335</v>
      </c>
      <c r="J98" s="1937" t="s">
        <v>335</v>
      </c>
      <c r="K98" s="1937" t="s">
        <v>335</v>
      </c>
      <c r="L98" s="1937" t="s">
        <v>335</v>
      </c>
      <c r="M98" s="1937" t="s">
        <v>335</v>
      </c>
      <c r="N98" s="2081" t="s">
        <v>335</v>
      </c>
      <c r="O98" s="2287" t="s">
        <v>335</v>
      </c>
      <c r="P98" s="1936" t="s">
        <v>335</v>
      </c>
      <c r="Q98" s="1937" t="s">
        <v>335</v>
      </c>
      <c r="R98" s="1937" t="s">
        <v>335</v>
      </c>
      <c r="S98" s="1937" t="s">
        <v>335</v>
      </c>
      <c r="T98" s="1937" t="s">
        <v>335</v>
      </c>
      <c r="U98" s="1937" t="s">
        <v>335</v>
      </c>
      <c r="V98" s="2321" t="s">
        <v>335</v>
      </c>
      <c r="W98" s="2321" t="s">
        <v>335</v>
      </c>
      <c r="X98" s="2321"/>
      <c r="Y98" s="2321" t="s">
        <v>335</v>
      </c>
      <c r="Z98" s="2352"/>
      <c r="AA98" s="2671">
        <v>0</v>
      </c>
      <c r="AB98" s="1869">
        <v>0</v>
      </c>
      <c r="AC98" s="1869">
        <f t="shared" ref="AC98:AC101" si="179">AA98-AB98</f>
        <v>0</v>
      </c>
      <c r="AD98" s="2061">
        <v>0</v>
      </c>
      <c r="AE98" s="3127"/>
      <c r="AF98" s="1939">
        <v>0</v>
      </c>
      <c r="AG98" s="2483"/>
      <c r="AH98" s="2143">
        <f>AD98+AF98</f>
        <v>0</v>
      </c>
      <c r="AI98" s="2387">
        <v>0</v>
      </c>
      <c r="AJ98" s="1941">
        <v>0</v>
      </c>
      <c r="AK98" s="2432">
        <v>0</v>
      </c>
      <c r="AL98" s="2397">
        <v>0</v>
      </c>
      <c r="AM98" s="2397">
        <v>0</v>
      </c>
      <c r="AN98" s="2537">
        <f>AL98-AM98</f>
        <v>0</v>
      </c>
      <c r="AO98" s="2534">
        <v>0</v>
      </c>
      <c r="AP98" s="2404">
        <v>0</v>
      </c>
      <c r="AQ98" s="2404">
        <v>0</v>
      </c>
      <c r="AR98" s="2404"/>
      <c r="AS98" s="2404">
        <f>AO98+AP98</f>
        <v>0</v>
      </c>
      <c r="AT98" s="2397"/>
      <c r="AU98" s="2469">
        <v>0</v>
      </c>
      <c r="AV98" s="2397">
        <v>0</v>
      </c>
      <c r="AW98" s="2446">
        <f>AU98+AV98</f>
        <v>0</v>
      </c>
      <c r="AX98" s="2397">
        <v>0</v>
      </c>
      <c r="AY98" s="2397">
        <v>0</v>
      </c>
      <c r="AZ98" s="2537">
        <f>AX98-AY98</f>
        <v>0</v>
      </c>
      <c r="BA98" s="3108">
        <v>0</v>
      </c>
      <c r="BB98" s="3109">
        <v>0</v>
      </c>
      <c r="BC98" s="3109">
        <v>0</v>
      </c>
      <c r="BD98" s="3109"/>
      <c r="BE98" s="3109">
        <f>BA98+BB98</f>
        <v>0</v>
      </c>
      <c r="BF98" s="2397"/>
      <c r="BG98" s="2469">
        <v>0</v>
      </c>
      <c r="BH98" s="2397">
        <v>0</v>
      </c>
      <c r="BI98" s="2446">
        <f>BG98+BH98</f>
        <v>0</v>
      </c>
      <c r="BJ98" s="2388">
        <f>BM98</f>
        <v>0</v>
      </c>
      <c r="BK98" s="2388">
        <f>BJ98</f>
        <v>0</v>
      </c>
      <c r="BL98" s="2557">
        <f t="shared" ref="BL98:BL101" si="180">BJ98-BK98</f>
        <v>0</v>
      </c>
      <c r="BM98" s="2567">
        <f>AD98+AO98</f>
        <v>0</v>
      </c>
      <c r="BN98" s="2483">
        <f>AF98+AQ98</f>
        <v>0</v>
      </c>
      <c r="BO98" s="2483">
        <f t="shared" ref="BO98:BO101" si="181">BM98-BN98</f>
        <v>0</v>
      </c>
      <c r="BP98" s="2483">
        <f t="shared" ref="BP98:BP101" si="182">BM98+BO98</f>
        <v>0</v>
      </c>
      <c r="BQ98" s="2702">
        <f t="shared" ref="BQ98:BQ102" si="183">BM98+BN98</f>
        <v>0</v>
      </c>
      <c r="BR98" s="2412">
        <f t="shared" ref="BR98:BS101" si="184">AI98+AU98</f>
        <v>0</v>
      </c>
      <c r="BS98" s="2388">
        <f t="shared" si="184"/>
        <v>0</v>
      </c>
      <c r="BT98" s="2898">
        <f>BR98+BS98</f>
        <v>0</v>
      </c>
      <c r="BV98" s="3058"/>
      <c r="BW98" s="3058"/>
      <c r="BX98" s="3058"/>
      <c r="BY98" s="2202"/>
      <c r="FH98" s="1785"/>
      <c r="FI98" s="1785"/>
      <c r="FJ98" s="1785"/>
      <c r="FK98" s="1785"/>
      <c r="FL98" s="1785"/>
      <c r="FM98" s="1785"/>
      <c r="FN98" s="1785"/>
      <c r="FO98" s="1785"/>
      <c r="FP98" s="1785"/>
      <c r="FQ98" s="1785"/>
      <c r="FR98" s="1785"/>
      <c r="FS98" s="1785"/>
      <c r="FT98" s="1785"/>
      <c r="FU98" s="1785"/>
      <c r="FV98" s="1785"/>
      <c r="FW98" s="1785"/>
      <c r="FX98" s="1785"/>
      <c r="FY98" s="1785"/>
      <c r="FZ98" s="1785"/>
      <c r="GA98" s="1785"/>
      <c r="GB98" s="1785"/>
      <c r="GC98" s="1785"/>
      <c r="GD98" s="1785"/>
      <c r="GE98" s="1785"/>
      <c r="GF98" s="1785"/>
      <c r="GG98" s="1785"/>
      <c r="GH98" s="1785"/>
      <c r="GI98" s="1785"/>
      <c r="GJ98" s="1785"/>
      <c r="GK98" s="1785"/>
      <c r="GL98" s="1785"/>
      <c r="GM98" s="1785"/>
      <c r="GN98" s="1785"/>
      <c r="GO98" s="1785"/>
      <c r="GP98" s="1785"/>
      <c r="GQ98" s="1785"/>
      <c r="GR98" s="1785"/>
      <c r="GS98" s="1785"/>
      <c r="GT98" s="1785"/>
      <c r="GU98" s="1785"/>
      <c r="GV98" s="1785"/>
      <c r="GW98" s="1785"/>
      <c r="GX98" s="1785"/>
      <c r="GY98" s="1785"/>
      <c r="GZ98" s="1785"/>
      <c r="HA98" s="1785"/>
      <c r="HB98" s="1785"/>
      <c r="HC98" s="1785"/>
      <c r="HD98" s="1785"/>
      <c r="HE98" s="1785"/>
      <c r="HF98" s="1785"/>
      <c r="HG98" s="1785"/>
      <c r="HH98" s="1785"/>
      <c r="HI98" s="1785"/>
      <c r="HJ98" s="1785"/>
      <c r="HK98" s="1785"/>
      <c r="HL98" s="1785"/>
      <c r="HM98" s="1785"/>
      <c r="HN98" s="1785"/>
      <c r="HO98" s="1785"/>
      <c r="HP98" s="1785"/>
      <c r="HQ98" s="1785"/>
      <c r="HR98" s="1785"/>
      <c r="HS98" s="1785"/>
      <c r="HT98" s="1785"/>
      <c r="HU98" s="1785"/>
      <c r="HV98" s="1785"/>
      <c r="HW98" s="1785"/>
      <c r="HX98" s="1785"/>
      <c r="HY98" s="1785"/>
      <c r="HZ98" s="1785"/>
      <c r="IA98" s="1785"/>
      <c r="IB98" s="1785"/>
      <c r="IC98" s="1785"/>
      <c r="ID98" s="1785"/>
      <c r="IE98" s="1785"/>
      <c r="IF98" s="1785"/>
      <c r="IG98" s="1785"/>
      <c r="IH98" s="1785"/>
      <c r="II98" s="1785"/>
      <c r="IJ98" s="1785"/>
      <c r="IK98" s="1785"/>
      <c r="IL98" s="1785"/>
      <c r="IM98" s="1785"/>
      <c r="IN98" s="1785"/>
      <c r="IO98" s="1785"/>
      <c r="IP98" s="1785"/>
      <c r="IQ98" s="1785"/>
      <c r="IR98" s="1785"/>
      <c r="IS98" s="1785"/>
      <c r="IT98" s="1785"/>
      <c r="IU98" s="1785"/>
      <c r="IV98" s="1785"/>
      <c r="IW98" s="1785"/>
      <c r="IX98" s="1785"/>
      <c r="IY98" s="1785"/>
      <c r="IZ98" s="1785"/>
      <c r="JA98" s="1785"/>
      <c r="JB98" s="1785"/>
      <c r="JC98" s="1785"/>
      <c r="JD98" s="1785"/>
      <c r="JE98" s="1785"/>
      <c r="JF98" s="1785"/>
      <c r="JG98" s="1785"/>
      <c r="JH98" s="1785"/>
      <c r="JI98" s="1785"/>
      <c r="JJ98" s="1785"/>
      <c r="JK98" s="1785"/>
      <c r="JL98" s="1785"/>
      <c r="JM98" s="1785"/>
      <c r="JN98" s="1785"/>
      <c r="JO98" s="1785"/>
      <c r="JP98" s="1785"/>
      <c r="JQ98" s="1785"/>
      <c r="JR98" s="1785"/>
      <c r="JS98" s="1785"/>
      <c r="JT98" s="1785"/>
      <c r="JU98" s="1785"/>
      <c r="JV98" s="1785"/>
      <c r="JW98" s="1785"/>
      <c r="JX98" s="1785"/>
      <c r="JY98" s="1785"/>
      <c r="JZ98" s="1785"/>
      <c r="KA98" s="1785"/>
      <c r="KB98" s="1785"/>
      <c r="KC98" s="1785"/>
      <c r="KD98" s="1785"/>
      <c r="KE98" s="1785"/>
      <c r="KF98" s="1785"/>
      <c r="KG98" s="1785"/>
      <c r="KH98" s="1785"/>
      <c r="KI98" s="1785"/>
      <c r="KJ98" s="1785"/>
      <c r="KK98" s="1785"/>
      <c r="KL98" s="1785"/>
      <c r="KM98" s="1785"/>
      <c r="KN98" s="1785"/>
      <c r="KO98" s="1785"/>
      <c r="KP98" s="1785"/>
      <c r="KQ98" s="1785"/>
      <c r="KR98" s="1785"/>
      <c r="KS98" s="1785"/>
      <c r="KT98" s="1785"/>
      <c r="KU98" s="1785"/>
      <c r="KV98" s="1785"/>
      <c r="KW98" s="1785"/>
      <c r="KX98" s="1785"/>
      <c r="KY98" s="1785"/>
      <c r="KZ98" s="1785"/>
      <c r="LA98" s="1785"/>
      <c r="LB98" s="1785"/>
      <c r="LC98" s="1785"/>
      <c r="LD98" s="1785"/>
      <c r="LE98" s="1785"/>
      <c r="LF98" s="1785"/>
      <c r="LG98" s="1785"/>
      <c r="LH98" s="1785"/>
      <c r="LI98" s="1785"/>
      <c r="LJ98" s="1785"/>
      <c r="LK98" s="1785"/>
      <c r="LL98" s="1785"/>
      <c r="LM98" s="1785"/>
      <c r="LN98" s="1785"/>
      <c r="LO98" s="1785"/>
      <c r="LP98" s="1785"/>
      <c r="LQ98" s="1785"/>
      <c r="LR98" s="1785"/>
      <c r="LS98" s="1785"/>
      <c r="LT98" s="1785"/>
      <c r="LU98" s="1785"/>
      <c r="LV98" s="1785"/>
      <c r="LW98" s="1785"/>
      <c r="LX98" s="1785"/>
      <c r="LY98" s="1785"/>
      <c r="LZ98" s="1785"/>
      <c r="MA98" s="1785"/>
      <c r="MB98" s="1785"/>
      <c r="MC98" s="1785"/>
      <c r="MD98" s="1785"/>
      <c r="ME98" s="1785"/>
      <c r="MF98" s="1785"/>
      <c r="MG98" s="1785"/>
      <c r="MH98" s="1785"/>
      <c r="MI98" s="1785"/>
      <c r="MJ98" s="1785"/>
      <c r="MK98" s="1785"/>
      <c r="ML98" s="1785"/>
      <c r="MM98" s="1785"/>
      <c r="MN98" s="1785"/>
      <c r="MO98" s="1785"/>
      <c r="MP98" s="1785"/>
      <c r="MQ98" s="1785"/>
      <c r="MR98" s="1785"/>
      <c r="MS98" s="1785"/>
      <c r="MT98" s="1785"/>
      <c r="MU98" s="1785"/>
      <c r="MV98" s="1785"/>
      <c r="MW98" s="1785"/>
      <c r="MX98" s="1785"/>
      <c r="MY98" s="1785"/>
      <c r="MZ98" s="1785"/>
      <c r="NA98" s="1785"/>
      <c r="NB98" s="1785"/>
      <c r="NC98" s="1785"/>
      <c r="ND98" s="1785"/>
      <c r="NE98" s="1785"/>
      <c r="NF98" s="1785"/>
      <c r="NG98" s="1785"/>
      <c r="NH98" s="1785"/>
      <c r="NI98" s="1785"/>
      <c r="NJ98" s="1785"/>
      <c r="NK98" s="1785"/>
      <c r="NL98" s="1785"/>
      <c r="NM98" s="1785"/>
      <c r="NN98" s="1785"/>
      <c r="NO98" s="1785"/>
      <c r="NP98" s="1785"/>
      <c r="NQ98" s="1785"/>
      <c r="NR98" s="1785"/>
      <c r="NS98" s="1785"/>
      <c r="NT98" s="1785"/>
      <c r="NU98" s="1785"/>
      <c r="NV98" s="1785"/>
      <c r="NW98" s="1785"/>
      <c r="NX98" s="1785"/>
      <c r="NY98" s="1785"/>
      <c r="NZ98" s="1785"/>
      <c r="OA98" s="1785"/>
      <c r="OB98" s="1785"/>
      <c r="OC98" s="1785"/>
      <c r="OD98" s="1785"/>
      <c r="OE98" s="1785"/>
      <c r="OF98" s="1785"/>
      <c r="OG98" s="1785"/>
      <c r="OH98" s="1785"/>
      <c r="OI98" s="1785"/>
      <c r="OJ98" s="1785"/>
      <c r="OK98" s="1785"/>
      <c r="OL98" s="1785"/>
      <c r="OM98" s="1785"/>
      <c r="ON98" s="1785"/>
      <c r="OO98" s="1785"/>
      <c r="OP98" s="1785"/>
      <c r="OQ98" s="1785"/>
      <c r="OR98" s="1785"/>
      <c r="OS98" s="1785"/>
      <c r="OT98" s="1785"/>
      <c r="OU98" s="1785"/>
      <c r="OV98" s="1785"/>
      <c r="OW98" s="1785"/>
      <c r="OX98" s="1785"/>
      <c r="OY98" s="1785"/>
      <c r="OZ98" s="1785"/>
      <c r="PA98" s="1785"/>
      <c r="PB98" s="1785"/>
      <c r="PC98" s="1785"/>
      <c r="PD98" s="1785"/>
      <c r="PE98" s="1785"/>
      <c r="PF98" s="1785"/>
      <c r="PG98" s="1785"/>
      <c r="PH98" s="1785"/>
      <c r="PI98" s="1785"/>
      <c r="PJ98" s="1785"/>
      <c r="PK98" s="1785"/>
      <c r="PL98" s="1785"/>
      <c r="PM98" s="1785"/>
      <c r="PN98" s="1785"/>
      <c r="PO98" s="1785"/>
      <c r="PP98" s="1785"/>
      <c r="PQ98" s="1785"/>
      <c r="PR98" s="1785"/>
      <c r="PS98" s="1785"/>
      <c r="PT98" s="1785"/>
      <c r="PU98" s="1785"/>
      <c r="PV98" s="1785"/>
      <c r="PW98" s="1785"/>
      <c r="PX98" s="1785"/>
      <c r="PY98" s="1785"/>
      <c r="PZ98" s="1785"/>
      <c r="QA98" s="1785"/>
      <c r="QB98" s="1785"/>
      <c r="QC98" s="1785"/>
      <c r="QD98" s="1785"/>
      <c r="QE98" s="1785"/>
      <c r="QF98" s="1785"/>
      <c r="QG98" s="1785"/>
      <c r="QH98" s="1785"/>
      <c r="QI98" s="1785"/>
      <c r="QJ98" s="1785"/>
      <c r="QK98" s="1785"/>
      <c r="QL98" s="1785"/>
      <c r="QM98" s="1785"/>
      <c r="QN98" s="1785"/>
      <c r="QO98" s="1785"/>
      <c r="QP98" s="1785"/>
      <c r="QQ98" s="1785"/>
      <c r="QR98" s="1785"/>
      <c r="QS98" s="1785"/>
      <c r="QT98" s="1785"/>
      <c r="QU98" s="1785"/>
      <c r="QV98" s="1785"/>
      <c r="QW98" s="1785"/>
      <c r="QX98" s="1785"/>
      <c r="QY98" s="1785"/>
      <c r="QZ98" s="1785"/>
      <c r="RA98" s="1785"/>
      <c r="RB98" s="1785"/>
      <c r="RC98" s="1785"/>
      <c r="RD98" s="1785"/>
      <c r="RE98" s="1785"/>
      <c r="RF98" s="1785"/>
      <c r="RG98" s="1785"/>
      <c r="RH98" s="1785"/>
      <c r="RI98" s="1785"/>
      <c r="RJ98" s="1785"/>
      <c r="RK98" s="1785"/>
      <c r="RL98" s="1785"/>
      <c r="RM98" s="1785"/>
      <c r="RN98" s="1785"/>
      <c r="RO98" s="1785"/>
      <c r="RP98" s="1785"/>
      <c r="RQ98" s="1785"/>
      <c r="RR98" s="1785"/>
      <c r="RS98" s="1785"/>
      <c r="RT98" s="1785"/>
      <c r="RU98" s="1785"/>
      <c r="RV98" s="1785"/>
      <c r="RW98" s="1785"/>
      <c r="RX98" s="1785"/>
      <c r="RY98" s="1785"/>
      <c r="RZ98" s="1785"/>
      <c r="SA98" s="1785"/>
      <c r="SB98" s="1785"/>
      <c r="SC98" s="1785"/>
      <c r="SD98" s="1785"/>
      <c r="SE98" s="1785"/>
      <c r="SF98" s="1785"/>
      <c r="SG98" s="1785"/>
      <c r="SH98" s="1785"/>
      <c r="SI98" s="1785"/>
      <c r="SJ98" s="1785"/>
      <c r="SK98" s="1785"/>
      <c r="SL98" s="1785"/>
      <c r="SM98" s="1785"/>
      <c r="SN98" s="1785"/>
      <c r="SO98" s="1785"/>
      <c r="SP98" s="1785"/>
      <c r="SQ98" s="1785"/>
      <c r="SR98" s="1785"/>
      <c r="SS98" s="1785"/>
      <c r="ST98" s="1785"/>
      <c r="SU98" s="1785"/>
      <c r="SV98" s="1785"/>
      <c r="SW98" s="1785"/>
      <c r="SX98" s="1785"/>
      <c r="SY98" s="1785"/>
      <c r="SZ98" s="1785"/>
      <c r="TA98" s="1785"/>
      <c r="TB98" s="1785"/>
      <c r="TC98" s="1785"/>
      <c r="TD98" s="1785"/>
      <c r="TE98" s="1785"/>
      <c r="TF98" s="1785"/>
      <c r="TG98" s="1785"/>
      <c r="TH98" s="1785"/>
      <c r="TI98" s="1785"/>
      <c r="TJ98" s="1785"/>
      <c r="TK98" s="1785"/>
      <c r="TL98" s="1785"/>
      <c r="TM98" s="1785"/>
      <c r="TN98" s="1785"/>
      <c r="TO98" s="1785"/>
      <c r="TP98" s="1785"/>
      <c r="TQ98" s="1785"/>
      <c r="TR98" s="1785"/>
      <c r="TS98" s="1785"/>
      <c r="TT98" s="1785"/>
      <c r="TU98" s="1785"/>
      <c r="TV98" s="1785"/>
      <c r="TW98" s="1785"/>
      <c r="TX98" s="1785"/>
      <c r="TY98" s="1785"/>
      <c r="TZ98" s="1785"/>
      <c r="UA98" s="1785"/>
      <c r="UB98" s="1785"/>
      <c r="UC98" s="1785"/>
      <c r="UD98" s="1785"/>
      <c r="UE98" s="1785"/>
      <c r="UF98" s="1785"/>
      <c r="UG98" s="1785"/>
      <c r="UH98" s="1785"/>
      <c r="UI98" s="1785"/>
      <c r="UJ98" s="1785"/>
      <c r="UK98" s="1785"/>
      <c r="UL98" s="1785"/>
      <c r="UM98" s="1785"/>
      <c r="UN98" s="1785"/>
      <c r="UO98" s="1785"/>
      <c r="UP98" s="1785"/>
      <c r="UQ98" s="1785"/>
      <c r="UR98" s="1785"/>
      <c r="US98" s="1785"/>
      <c r="UT98" s="1785"/>
      <c r="UU98" s="1785"/>
      <c r="UV98" s="1785"/>
      <c r="UW98" s="1785"/>
      <c r="UX98" s="1785"/>
      <c r="UY98" s="1785"/>
      <c r="UZ98" s="1785"/>
      <c r="VA98" s="1785"/>
      <c r="VB98" s="1785"/>
      <c r="VC98" s="1785"/>
      <c r="VD98" s="1785"/>
      <c r="VE98" s="1785"/>
      <c r="VF98" s="1785"/>
      <c r="VG98" s="1785"/>
      <c r="VH98" s="1785"/>
      <c r="VI98" s="1785"/>
      <c r="VJ98" s="1785"/>
      <c r="VK98" s="1785"/>
      <c r="VL98" s="1785"/>
      <c r="VM98" s="1785"/>
      <c r="VN98" s="1785"/>
      <c r="VO98" s="1785"/>
      <c r="VP98" s="1785"/>
      <c r="VQ98" s="1785"/>
      <c r="VR98" s="1785"/>
      <c r="VS98" s="1785"/>
      <c r="VT98" s="1785"/>
      <c r="VU98" s="1785"/>
      <c r="VV98" s="1785"/>
      <c r="VW98" s="1785"/>
      <c r="VX98" s="1785"/>
      <c r="VY98" s="1785"/>
      <c r="VZ98" s="1785"/>
      <c r="WA98" s="1785"/>
      <c r="WB98" s="1785"/>
      <c r="WC98" s="1785"/>
      <c r="WD98" s="1785"/>
      <c r="WE98" s="1785"/>
    </row>
    <row r="99" spans="1:603" s="101" customFormat="1" ht="15" customHeight="1" x14ac:dyDescent="0.35">
      <c r="A99" s="3769"/>
      <c r="B99" s="3770"/>
      <c r="C99" s="1797">
        <v>2</v>
      </c>
      <c r="D99" s="2547"/>
      <c r="E99" s="1879" t="s">
        <v>335</v>
      </c>
      <c r="F99" s="1937" t="s">
        <v>335</v>
      </c>
      <c r="G99" s="1804" t="s">
        <v>335</v>
      </c>
      <c r="H99" s="1804" t="s">
        <v>335</v>
      </c>
      <c r="I99" s="1804" t="s">
        <v>335</v>
      </c>
      <c r="J99" s="1804" t="s">
        <v>335</v>
      </c>
      <c r="K99" s="1804" t="s">
        <v>335</v>
      </c>
      <c r="L99" s="1804" t="s">
        <v>335</v>
      </c>
      <c r="M99" s="1804" t="s">
        <v>335</v>
      </c>
      <c r="N99" s="2271" t="s">
        <v>335</v>
      </c>
      <c r="O99" s="2288" t="s">
        <v>335</v>
      </c>
      <c r="P99" s="1879" t="s">
        <v>335</v>
      </c>
      <c r="Q99" s="1804" t="s">
        <v>335</v>
      </c>
      <c r="R99" s="1804" t="s">
        <v>335</v>
      </c>
      <c r="S99" s="1804" t="s">
        <v>335</v>
      </c>
      <c r="T99" s="1804" t="s">
        <v>335</v>
      </c>
      <c r="U99" s="1804" t="s">
        <v>335</v>
      </c>
      <c r="V99" s="2322" t="s">
        <v>335</v>
      </c>
      <c r="W99" s="2322" t="s">
        <v>335</v>
      </c>
      <c r="X99" s="2322"/>
      <c r="Y99" s="2322" t="s">
        <v>335</v>
      </c>
      <c r="Z99" s="2352"/>
      <c r="AA99" s="2672">
        <v>0</v>
      </c>
      <c r="AB99" s="1869">
        <v>0</v>
      </c>
      <c r="AC99" s="1989">
        <f t="shared" si="179"/>
        <v>0</v>
      </c>
      <c r="AD99" s="1824">
        <v>0</v>
      </c>
      <c r="AE99" s="3128"/>
      <c r="AF99" s="1825">
        <v>0</v>
      </c>
      <c r="AG99" s="2484"/>
      <c r="AH99" s="2144">
        <f>AD99+AF99</f>
        <v>0</v>
      </c>
      <c r="AI99" s="1841">
        <v>0</v>
      </c>
      <c r="AJ99" s="1826">
        <v>0</v>
      </c>
      <c r="AK99" s="2433">
        <v>0</v>
      </c>
      <c r="AL99" s="2398">
        <v>0</v>
      </c>
      <c r="AM99" s="2398">
        <v>0</v>
      </c>
      <c r="AN99" s="2538">
        <f t="shared" ref="AN99:AN102" si="185">AL99-AM99</f>
        <v>0</v>
      </c>
      <c r="AO99" s="2535">
        <v>0</v>
      </c>
      <c r="AP99" s="2405">
        <v>0</v>
      </c>
      <c r="AQ99" s="2405">
        <v>0</v>
      </c>
      <c r="AR99" s="2405"/>
      <c r="AS99" s="2404">
        <f t="shared" ref="AS99:AS101" si="186">AO99+AP99</f>
        <v>0</v>
      </c>
      <c r="AT99" s="2398"/>
      <c r="AU99" s="2470">
        <v>0</v>
      </c>
      <c r="AV99" s="2398">
        <v>0</v>
      </c>
      <c r="AW99" s="2447">
        <f>AU99+AV99</f>
        <v>0</v>
      </c>
      <c r="AX99" s="2398">
        <v>0</v>
      </c>
      <c r="AY99" s="2398">
        <v>0</v>
      </c>
      <c r="AZ99" s="2538">
        <f t="shared" ref="AZ99:AZ102" si="187">AX99-AY99</f>
        <v>0</v>
      </c>
      <c r="BA99" s="3110">
        <v>0</v>
      </c>
      <c r="BB99" s="3111">
        <v>0</v>
      </c>
      <c r="BC99" s="3111">
        <v>0</v>
      </c>
      <c r="BD99" s="3111"/>
      <c r="BE99" s="3109">
        <f t="shared" ref="BE99:BE101" si="188">BA99+BB99</f>
        <v>0</v>
      </c>
      <c r="BF99" s="2398"/>
      <c r="BG99" s="2470">
        <v>0</v>
      </c>
      <c r="BH99" s="2398">
        <v>0</v>
      </c>
      <c r="BI99" s="2447">
        <f>BG99+BH99</f>
        <v>0</v>
      </c>
      <c r="BJ99" s="2388">
        <f t="shared" ref="BJ99:BJ101" si="189">BM99</f>
        <v>0</v>
      </c>
      <c r="BK99" s="2388">
        <f t="shared" ref="BK99:BK101" si="190">BJ99</f>
        <v>0</v>
      </c>
      <c r="BL99" s="2389">
        <f t="shared" si="180"/>
        <v>0</v>
      </c>
      <c r="BM99" s="2568">
        <f>AD99+AO99</f>
        <v>0</v>
      </c>
      <c r="BN99" s="2484">
        <f>AF99+AQ99</f>
        <v>0</v>
      </c>
      <c r="BO99" s="2484">
        <f t="shared" si="181"/>
        <v>0</v>
      </c>
      <c r="BP99" s="2484">
        <f t="shared" si="182"/>
        <v>0</v>
      </c>
      <c r="BQ99" s="1825">
        <f t="shared" si="183"/>
        <v>0</v>
      </c>
      <c r="BR99" s="2413">
        <f t="shared" si="184"/>
        <v>0</v>
      </c>
      <c r="BS99" s="2389">
        <f t="shared" si="184"/>
        <v>0</v>
      </c>
      <c r="BT99" s="2899">
        <f t="shared" ref="BT99:BT101" si="191">BR99+BS99</f>
        <v>0</v>
      </c>
      <c r="BU99" s="628"/>
      <c r="BV99" s="3058"/>
      <c r="BW99" s="3058"/>
      <c r="BX99" s="3058"/>
      <c r="BY99" s="2202"/>
      <c r="BZ99" s="628"/>
      <c r="FH99" s="152"/>
      <c r="FI99" s="152"/>
      <c r="FJ99" s="152"/>
      <c r="FK99" s="152"/>
      <c r="FL99" s="152"/>
      <c r="FM99" s="152"/>
      <c r="FN99" s="152"/>
      <c r="FO99" s="152"/>
      <c r="FP99" s="152"/>
      <c r="FQ99" s="152"/>
      <c r="FR99" s="152"/>
      <c r="FS99" s="152"/>
      <c r="FT99" s="152"/>
      <c r="FU99" s="152"/>
      <c r="FV99" s="152"/>
      <c r="FW99" s="152"/>
      <c r="FX99" s="152"/>
      <c r="FY99" s="152"/>
      <c r="FZ99" s="152"/>
      <c r="GA99" s="152"/>
      <c r="GB99" s="152"/>
      <c r="GC99" s="152"/>
      <c r="GD99" s="152"/>
      <c r="GE99" s="152"/>
      <c r="GF99" s="152"/>
      <c r="GG99" s="152"/>
      <c r="GH99" s="152"/>
      <c r="GI99" s="152"/>
      <c r="GJ99" s="152"/>
      <c r="GK99" s="152"/>
      <c r="GL99" s="152"/>
      <c r="GM99" s="152"/>
      <c r="GN99" s="152"/>
      <c r="GO99" s="152"/>
      <c r="GP99" s="152"/>
      <c r="GQ99" s="152"/>
      <c r="GR99" s="152"/>
      <c r="GS99" s="152"/>
      <c r="GT99" s="152"/>
      <c r="GU99" s="152"/>
      <c r="GV99" s="152"/>
      <c r="GW99" s="152"/>
      <c r="GX99" s="152"/>
      <c r="GY99" s="152"/>
      <c r="GZ99" s="152"/>
      <c r="HA99" s="152"/>
      <c r="HB99" s="152"/>
      <c r="HC99" s="152"/>
      <c r="HD99" s="152"/>
      <c r="HE99" s="152"/>
      <c r="HF99" s="152"/>
      <c r="HG99" s="152"/>
      <c r="HH99" s="152"/>
      <c r="HI99" s="152"/>
      <c r="HJ99" s="152"/>
      <c r="HK99" s="152"/>
      <c r="HL99" s="152"/>
      <c r="HM99" s="152"/>
      <c r="HN99" s="152"/>
      <c r="HO99" s="152"/>
      <c r="HP99" s="152"/>
      <c r="HQ99" s="152"/>
      <c r="HR99" s="152"/>
      <c r="HS99" s="152"/>
      <c r="HT99" s="152"/>
      <c r="HU99" s="152"/>
      <c r="HV99" s="152"/>
      <c r="HW99" s="152"/>
      <c r="HX99" s="152"/>
      <c r="HY99" s="152"/>
      <c r="HZ99" s="152"/>
      <c r="IA99" s="152"/>
      <c r="IB99" s="152"/>
      <c r="IC99" s="152"/>
      <c r="ID99" s="152"/>
      <c r="IE99" s="152"/>
      <c r="IF99" s="152"/>
      <c r="IG99" s="152"/>
      <c r="IH99" s="152"/>
      <c r="II99" s="152"/>
      <c r="IJ99" s="152"/>
      <c r="IK99" s="152"/>
      <c r="IL99" s="152"/>
      <c r="IM99" s="152"/>
      <c r="IN99" s="152"/>
      <c r="IO99" s="152"/>
      <c r="IP99" s="152"/>
      <c r="IQ99" s="152"/>
      <c r="IR99" s="152"/>
      <c r="IS99" s="152"/>
      <c r="IT99" s="152"/>
      <c r="IU99" s="152"/>
      <c r="IV99" s="152"/>
      <c r="IW99" s="152"/>
      <c r="IX99" s="152"/>
      <c r="IY99" s="152"/>
      <c r="IZ99" s="152"/>
      <c r="JA99" s="152"/>
      <c r="JB99" s="152"/>
      <c r="JC99" s="152"/>
      <c r="JD99" s="152"/>
      <c r="JE99" s="152"/>
      <c r="JF99" s="152"/>
      <c r="JG99" s="152"/>
      <c r="JH99" s="152"/>
      <c r="JI99" s="152"/>
      <c r="JJ99" s="152"/>
      <c r="JK99" s="152"/>
      <c r="JL99" s="152"/>
      <c r="JM99" s="152"/>
      <c r="JN99" s="152"/>
      <c r="JO99" s="152"/>
      <c r="JP99" s="152"/>
      <c r="JQ99" s="152"/>
      <c r="JR99" s="152"/>
      <c r="JS99" s="152"/>
      <c r="JT99" s="152"/>
      <c r="JU99" s="152"/>
      <c r="JV99" s="152"/>
      <c r="JW99" s="152"/>
      <c r="JX99" s="152"/>
      <c r="JY99" s="152"/>
      <c r="JZ99" s="152"/>
      <c r="KA99" s="152"/>
      <c r="KB99" s="152"/>
      <c r="KC99" s="152"/>
      <c r="KD99" s="152"/>
      <c r="KE99" s="152"/>
      <c r="KF99" s="152"/>
      <c r="KG99" s="152"/>
      <c r="KH99" s="152"/>
      <c r="KI99" s="152"/>
      <c r="KJ99" s="152"/>
      <c r="KK99" s="152"/>
      <c r="KL99" s="152"/>
      <c r="KM99" s="152"/>
      <c r="KN99" s="152"/>
      <c r="KO99" s="152"/>
      <c r="KP99" s="152"/>
      <c r="KQ99" s="152"/>
      <c r="KR99" s="152"/>
      <c r="KS99" s="152"/>
      <c r="KT99" s="152"/>
      <c r="KU99" s="152"/>
      <c r="KV99" s="152"/>
      <c r="KW99" s="152"/>
      <c r="KX99" s="152"/>
      <c r="KY99" s="152"/>
      <c r="KZ99" s="152"/>
      <c r="LA99" s="152"/>
      <c r="LB99" s="152"/>
      <c r="LC99" s="152"/>
      <c r="LD99" s="152"/>
      <c r="LE99" s="152"/>
      <c r="LF99" s="152"/>
      <c r="LG99" s="152"/>
      <c r="LH99" s="152"/>
      <c r="LI99" s="152"/>
      <c r="LJ99" s="152"/>
      <c r="LK99" s="152"/>
      <c r="LL99" s="152"/>
      <c r="LM99" s="152"/>
      <c r="LN99" s="152"/>
      <c r="LO99" s="152"/>
      <c r="LP99" s="152"/>
      <c r="LQ99" s="152"/>
      <c r="LR99" s="152"/>
      <c r="LS99" s="152"/>
      <c r="LT99" s="152"/>
      <c r="LU99" s="152"/>
      <c r="LV99" s="152"/>
      <c r="LW99" s="152"/>
      <c r="LX99" s="152"/>
      <c r="LY99" s="152"/>
      <c r="LZ99" s="152"/>
      <c r="MA99" s="152"/>
      <c r="MB99" s="152"/>
      <c r="MC99" s="152"/>
      <c r="MD99" s="152"/>
      <c r="ME99" s="152"/>
      <c r="MF99" s="152"/>
      <c r="MG99" s="152"/>
      <c r="MH99" s="152"/>
      <c r="MI99" s="152"/>
      <c r="MJ99" s="152"/>
      <c r="MK99" s="152"/>
      <c r="ML99" s="152"/>
      <c r="MM99" s="152"/>
      <c r="MN99" s="152"/>
      <c r="MO99" s="152"/>
      <c r="MP99" s="152"/>
      <c r="MQ99" s="152"/>
      <c r="MR99" s="152"/>
      <c r="MS99" s="152"/>
      <c r="MT99" s="152"/>
      <c r="MU99" s="152"/>
      <c r="MV99" s="152"/>
      <c r="MW99" s="152"/>
      <c r="MX99" s="152"/>
      <c r="MY99" s="152"/>
      <c r="MZ99" s="152"/>
      <c r="NA99" s="152"/>
      <c r="NB99" s="152"/>
      <c r="NC99" s="152"/>
      <c r="ND99" s="152"/>
      <c r="NE99" s="152"/>
      <c r="NF99" s="152"/>
      <c r="NG99" s="152"/>
      <c r="NH99" s="152"/>
      <c r="NI99" s="152"/>
      <c r="NJ99" s="152"/>
      <c r="NK99" s="152"/>
      <c r="NL99" s="152"/>
      <c r="NM99" s="152"/>
      <c r="NN99" s="152"/>
      <c r="NO99" s="152"/>
      <c r="NP99" s="152"/>
      <c r="NQ99" s="152"/>
      <c r="NR99" s="152"/>
      <c r="NS99" s="152"/>
      <c r="NT99" s="152"/>
      <c r="NU99" s="152"/>
      <c r="NV99" s="152"/>
      <c r="NW99" s="152"/>
      <c r="NX99" s="152"/>
      <c r="NY99" s="152"/>
      <c r="NZ99" s="152"/>
      <c r="OA99" s="152"/>
      <c r="OB99" s="152"/>
      <c r="OC99" s="152"/>
      <c r="OD99" s="152"/>
      <c r="OE99" s="152"/>
      <c r="OF99" s="152"/>
      <c r="OG99" s="152"/>
      <c r="OH99" s="152"/>
      <c r="OI99" s="152"/>
      <c r="OJ99" s="152"/>
      <c r="OK99" s="152"/>
      <c r="OL99" s="152"/>
      <c r="OM99" s="152"/>
      <c r="ON99" s="152"/>
      <c r="OO99" s="152"/>
      <c r="OP99" s="152"/>
      <c r="OQ99" s="152"/>
      <c r="OR99" s="152"/>
      <c r="OS99" s="152"/>
      <c r="OT99" s="152"/>
      <c r="OU99" s="152"/>
      <c r="OV99" s="152"/>
      <c r="OW99" s="152"/>
      <c r="OX99" s="152"/>
      <c r="OY99" s="152"/>
      <c r="OZ99" s="152"/>
      <c r="PA99" s="152"/>
      <c r="PB99" s="152"/>
      <c r="PC99" s="152"/>
      <c r="PD99" s="152"/>
      <c r="PE99" s="152"/>
      <c r="PF99" s="152"/>
      <c r="PG99" s="152"/>
      <c r="PH99" s="152"/>
      <c r="PI99" s="152"/>
      <c r="PJ99" s="152"/>
      <c r="PK99" s="152"/>
      <c r="PL99" s="152"/>
      <c r="PM99" s="152"/>
      <c r="PN99" s="152"/>
      <c r="PO99" s="152"/>
      <c r="PP99" s="152"/>
      <c r="PQ99" s="152"/>
      <c r="PR99" s="152"/>
      <c r="PS99" s="152"/>
      <c r="PT99" s="152"/>
      <c r="PU99" s="152"/>
      <c r="PV99" s="152"/>
      <c r="PW99" s="152"/>
      <c r="PX99" s="152"/>
      <c r="PY99" s="152"/>
      <c r="PZ99" s="152"/>
      <c r="QA99" s="152"/>
      <c r="QB99" s="152"/>
      <c r="QC99" s="152"/>
      <c r="QD99" s="152"/>
      <c r="QE99" s="152"/>
      <c r="QF99" s="152"/>
      <c r="QG99" s="152"/>
      <c r="QH99" s="152"/>
      <c r="QI99" s="152"/>
      <c r="QJ99" s="152"/>
      <c r="QK99" s="152"/>
      <c r="QL99" s="152"/>
      <c r="QM99" s="152"/>
      <c r="QN99" s="152"/>
      <c r="QO99" s="152"/>
      <c r="QP99" s="152"/>
      <c r="QQ99" s="152"/>
      <c r="QR99" s="152"/>
      <c r="QS99" s="152"/>
      <c r="QT99" s="152"/>
      <c r="QU99" s="152"/>
      <c r="QV99" s="152"/>
      <c r="QW99" s="152"/>
      <c r="QX99" s="152"/>
      <c r="QY99" s="152"/>
      <c r="QZ99" s="152"/>
      <c r="RA99" s="152"/>
      <c r="RB99" s="152"/>
      <c r="RC99" s="152"/>
      <c r="RD99" s="152"/>
      <c r="RE99" s="152"/>
      <c r="RF99" s="152"/>
      <c r="RG99" s="152"/>
      <c r="RH99" s="152"/>
      <c r="RI99" s="152"/>
      <c r="RJ99" s="152"/>
      <c r="RK99" s="152"/>
      <c r="RL99" s="152"/>
      <c r="RM99" s="152"/>
      <c r="RN99" s="152"/>
      <c r="RO99" s="152"/>
      <c r="RP99" s="152"/>
      <c r="RQ99" s="152"/>
      <c r="RR99" s="152"/>
      <c r="RS99" s="152"/>
      <c r="RT99" s="152"/>
      <c r="RU99" s="152"/>
      <c r="RV99" s="152"/>
      <c r="RW99" s="152"/>
      <c r="RX99" s="152"/>
      <c r="RY99" s="152"/>
      <c r="RZ99" s="152"/>
      <c r="SA99" s="152"/>
      <c r="SB99" s="152"/>
      <c r="SC99" s="152"/>
      <c r="SD99" s="152"/>
      <c r="SE99" s="152"/>
      <c r="SF99" s="152"/>
      <c r="SG99" s="152"/>
      <c r="SH99" s="152"/>
      <c r="SI99" s="152"/>
      <c r="SJ99" s="152"/>
      <c r="SK99" s="152"/>
      <c r="SL99" s="152"/>
      <c r="SM99" s="152"/>
      <c r="SN99" s="152"/>
      <c r="SO99" s="152"/>
      <c r="SP99" s="152"/>
      <c r="SQ99" s="152"/>
      <c r="SR99" s="152"/>
      <c r="SS99" s="152"/>
      <c r="ST99" s="152"/>
      <c r="SU99" s="152"/>
      <c r="SV99" s="152"/>
      <c r="SW99" s="152"/>
      <c r="SX99" s="152"/>
      <c r="SY99" s="152"/>
      <c r="SZ99" s="152"/>
      <c r="TA99" s="152"/>
      <c r="TB99" s="152"/>
      <c r="TC99" s="152"/>
      <c r="TD99" s="152"/>
      <c r="TE99" s="152"/>
      <c r="TF99" s="152"/>
      <c r="TG99" s="152"/>
      <c r="TH99" s="152"/>
      <c r="TI99" s="152"/>
      <c r="TJ99" s="152"/>
      <c r="TK99" s="152"/>
      <c r="TL99" s="152"/>
      <c r="TM99" s="152"/>
      <c r="TN99" s="152"/>
      <c r="TO99" s="152"/>
      <c r="TP99" s="152"/>
      <c r="TQ99" s="152"/>
      <c r="TR99" s="152"/>
      <c r="TS99" s="152"/>
      <c r="TT99" s="152"/>
      <c r="TU99" s="152"/>
      <c r="TV99" s="152"/>
      <c r="TW99" s="152"/>
      <c r="TX99" s="152"/>
      <c r="TY99" s="152"/>
      <c r="TZ99" s="152"/>
      <c r="UA99" s="152"/>
      <c r="UB99" s="152"/>
      <c r="UC99" s="152"/>
      <c r="UD99" s="152"/>
      <c r="UE99" s="152"/>
      <c r="UF99" s="152"/>
      <c r="UG99" s="152"/>
      <c r="UH99" s="152"/>
      <c r="UI99" s="152"/>
      <c r="UJ99" s="152"/>
      <c r="UK99" s="152"/>
      <c r="UL99" s="152"/>
      <c r="UM99" s="152"/>
      <c r="UN99" s="152"/>
      <c r="UO99" s="152"/>
      <c r="UP99" s="152"/>
      <c r="UQ99" s="152"/>
      <c r="UR99" s="152"/>
      <c r="US99" s="152"/>
      <c r="UT99" s="152"/>
      <c r="UU99" s="152"/>
      <c r="UV99" s="152"/>
      <c r="UW99" s="152"/>
      <c r="UX99" s="152"/>
      <c r="UY99" s="152"/>
      <c r="UZ99" s="152"/>
      <c r="VA99" s="152"/>
      <c r="VB99" s="152"/>
      <c r="VC99" s="152"/>
      <c r="VD99" s="152"/>
      <c r="VE99" s="152"/>
      <c r="VF99" s="152"/>
      <c r="VG99" s="152"/>
      <c r="VH99" s="152"/>
      <c r="VI99" s="152"/>
      <c r="VJ99" s="152"/>
      <c r="VK99" s="152"/>
      <c r="VL99" s="152"/>
      <c r="VM99" s="152"/>
      <c r="VN99" s="152"/>
      <c r="VO99" s="152"/>
      <c r="VP99" s="152"/>
      <c r="VQ99" s="152"/>
      <c r="VR99" s="152"/>
      <c r="VS99" s="152"/>
      <c r="VT99" s="152"/>
      <c r="VU99" s="152"/>
      <c r="VV99" s="152"/>
      <c r="VW99" s="152"/>
      <c r="VX99" s="152"/>
      <c r="VY99" s="152"/>
      <c r="VZ99" s="152"/>
      <c r="WA99" s="152"/>
      <c r="WB99" s="152"/>
      <c r="WC99" s="152"/>
      <c r="WD99" s="152"/>
      <c r="WE99" s="152"/>
    </row>
    <row r="100" spans="1:603" s="101" customFormat="1" ht="15" customHeight="1" x14ac:dyDescent="0.35">
      <c r="A100" s="3769"/>
      <c r="B100" s="3770"/>
      <c r="C100" s="1797">
        <v>3</v>
      </c>
      <c r="D100" s="2547"/>
      <c r="E100" s="1879" t="s">
        <v>335</v>
      </c>
      <c r="F100" s="1804" t="s">
        <v>335</v>
      </c>
      <c r="G100" s="1804" t="s">
        <v>335</v>
      </c>
      <c r="H100" s="1804" t="s">
        <v>335</v>
      </c>
      <c r="I100" s="1804" t="s">
        <v>335</v>
      </c>
      <c r="J100" s="1804" t="s">
        <v>335</v>
      </c>
      <c r="K100" s="1804" t="s">
        <v>335</v>
      </c>
      <c r="L100" s="1804" t="s">
        <v>335</v>
      </c>
      <c r="M100" s="1804" t="s">
        <v>335</v>
      </c>
      <c r="N100" s="1804" t="s">
        <v>335</v>
      </c>
      <c r="O100" s="2288" t="s">
        <v>335</v>
      </c>
      <c r="P100" s="1879" t="s">
        <v>335</v>
      </c>
      <c r="Q100" s="2081" t="s">
        <v>335</v>
      </c>
      <c r="R100" s="1804" t="s">
        <v>335</v>
      </c>
      <c r="S100" s="1804" t="s">
        <v>335</v>
      </c>
      <c r="T100" s="1804" t="s">
        <v>335</v>
      </c>
      <c r="U100" s="1804" t="s">
        <v>335</v>
      </c>
      <c r="V100" s="2322" t="s">
        <v>335</v>
      </c>
      <c r="W100" s="2322" t="s">
        <v>335</v>
      </c>
      <c r="X100" s="2322"/>
      <c r="Y100" s="2322" t="s">
        <v>335</v>
      </c>
      <c r="Z100" s="2353"/>
      <c r="AA100" s="2674">
        <v>0</v>
      </c>
      <c r="AB100" s="1869">
        <v>0</v>
      </c>
      <c r="AC100" s="1989">
        <f t="shared" si="179"/>
        <v>0</v>
      </c>
      <c r="AD100" s="1824">
        <v>0</v>
      </c>
      <c r="AE100" s="3128"/>
      <c r="AF100" s="1825">
        <v>0</v>
      </c>
      <c r="AG100" s="2484"/>
      <c r="AH100" s="2144">
        <f>AD100+AF100</f>
        <v>0</v>
      </c>
      <c r="AI100" s="1841">
        <v>0</v>
      </c>
      <c r="AJ100" s="1826">
        <v>0</v>
      </c>
      <c r="AK100" s="2433">
        <v>0</v>
      </c>
      <c r="AL100" s="2398">
        <v>0</v>
      </c>
      <c r="AM100" s="2398">
        <v>0</v>
      </c>
      <c r="AN100" s="2538">
        <f t="shared" si="185"/>
        <v>0</v>
      </c>
      <c r="AO100" s="2535">
        <v>0</v>
      </c>
      <c r="AP100" s="2405">
        <v>0</v>
      </c>
      <c r="AQ100" s="2405">
        <v>0</v>
      </c>
      <c r="AR100" s="2405"/>
      <c r="AS100" s="2404">
        <f t="shared" si="186"/>
        <v>0</v>
      </c>
      <c r="AT100" s="2398"/>
      <c r="AU100" s="2470">
        <v>0</v>
      </c>
      <c r="AV100" s="2398">
        <v>0</v>
      </c>
      <c r="AW100" s="2447">
        <f>AU100+AV100</f>
        <v>0</v>
      </c>
      <c r="AX100" s="2398">
        <v>0</v>
      </c>
      <c r="AY100" s="2398">
        <v>0</v>
      </c>
      <c r="AZ100" s="2538">
        <f t="shared" si="187"/>
        <v>0</v>
      </c>
      <c r="BA100" s="3110">
        <v>0</v>
      </c>
      <c r="BB100" s="3111">
        <v>0</v>
      </c>
      <c r="BC100" s="3111">
        <v>0</v>
      </c>
      <c r="BD100" s="3111"/>
      <c r="BE100" s="3109">
        <f t="shared" si="188"/>
        <v>0</v>
      </c>
      <c r="BF100" s="2398"/>
      <c r="BG100" s="2470">
        <v>0</v>
      </c>
      <c r="BH100" s="2398">
        <v>0</v>
      </c>
      <c r="BI100" s="2447">
        <f>BG100+BH100</f>
        <v>0</v>
      </c>
      <c r="BJ100" s="2388">
        <f t="shared" si="189"/>
        <v>0</v>
      </c>
      <c r="BK100" s="2388">
        <f t="shared" si="190"/>
        <v>0</v>
      </c>
      <c r="BL100" s="2389">
        <f t="shared" si="180"/>
        <v>0</v>
      </c>
      <c r="BM100" s="2568">
        <f>AD100+AO100</f>
        <v>0</v>
      </c>
      <c r="BN100" s="2484">
        <f>AF100+AQ100</f>
        <v>0</v>
      </c>
      <c r="BO100" s="2484">
        <f t="shared" si="181"/>
        <v>0</v>
      </c>
      <c r="BP100" s="2484">
        <f t="shared" si="182"/>
        <v>0</v>
      </c>
      <c r="BQ100" s="1825">
        <f t="shared" si="183"/>
        <v>0</v>
      </c>
      <c r="BR100" s="2413">
        <f t="shared" si="184"/>
        <v>0</v>
      </c>
      <c r="BS100" s="2389">
        <f t="shared" si="184"/>
        <v>0</v>
      </c>
      <c r="BT100" s="2899">
        <f t="shared" si="191"/>
        <v>0</v>
      </c>
      <c r="BV100" s="3058"/>
      <c r="BW100" s="3058"/>
      <c r="BX100" s="3058"/>
      <c r="BY100" s="2202"/>
      <c r="FH100" s="152"/>
      <c r="FI100" s="152"/>
      <c r="FJ100" s="152"/>
      <c r="FK100" s="152"/>
      <c r="FL100" s="152"/>
      <c r="FM100" s="152"/>
      <c r="FN100" s="152"/>
      <c r="FO100" s="152"/>
      <c r="FP100" s="152"/>
      <c r="FQ100" s="152"/>
      <c r="FR100" s="152"/>
      <c r="FS100" s="152"/>
      <c r="FT100" s="152"/>
      <c r="FU100" s="152"/>
      <c r="FV100" s="152"/>
      <c r="FW100" s="152"/>
      <c r="FX100" s="152"/>
      <c r="FY100" s="152"/>
      <c r="FZ100" s="152"/>
      <c r="GA100" s="152"/>
      <c r="GB100" s="152"/>
      <c r="GC100" s="152"/>
      <c r="GD100" s="152"/>
      <c r="GE100" s="152"/>
      <c r="GF100" s="152"/>
      <c r="GG100" s="152"/>
      <c r="GH100" s="152"/>
      <c r="GI100" s="152"/>
      <c r="GJ100" s="152"/>
      <c r="GK100" s="152"/>
      <c r="GL100" s="152"/>
      <c r="GM100" s="152"/>
      <c r="GN100" s="152"/>
      <c r="GO100" s="152"/>
      <c r="GP100" s="152"/>
      <c r="GQ100" s="152"/>
      <c r="GR100" s="152"/>
      <c r="GS100" s="152"/>
      <c r="GT100" s="152"/>
      <c r="GU100" s="152"/>
      <c r="GV100" s="152"/>
      <c r="GW100" s="152"/>
      <c r="GX100" s="152"/>
      <c r="GY100" s="152"/>
      <c r="GZ100" s="152"/>
      <c r="HA100" s="152"/>
      <c r="HB100" s="152"/>
      <c r="HC100" s="152"/>
      <c r="HD100" s="152"/>
      <c r="HE100" s="152"/>
      <c r="HF100" s="152"/>
      <c r="HG100" s="152"/>
      <c r="HH100" s="152"/>
      <c r="HI100" s="152"/>
      <c r="HJ100" s="152"/>
      <c r="HK100" s="152"/>
      <c r="HL100" s="152"/>
      <c r="HM100" s="152"/>
      <c r="HN100" s="152"/>
      <c r="HO100" s="152"/>
      <c r="HP100" s="152"/>
      <c r="HQ100" s="152"/>
      <c r="HR100" s="152"/>
      <c r="HS100" s="152"/>
      <c r="HT100" s="152"/>
      <c r="HU100" s="152"/>
      <c r="HV100" s="152"/>
      <c r="HW100" s="152"/>
      <c r="HX100" s="152"/>
      <c r="HY100" s="152"/>
      <c r="HZ100" s="152"/>
      <c r="IA100" s="152"/>
      <c r="IB100" s="152"/>
      <c r="IC100" s="152"/>
      <c r="ID100" s="152"/>
      <c r="IE100" s="152"/>
      <c r="IF100" s="152"/>
      <c r="IG100" s="152"/>
      <c r="IH100" s="152"/>
      <c r="II100" s="152"/>
      <c r="IJ100" s="152"/>
      <c r="IK100" s="152"/>
      <c r="IL100" s="152"/>
      <c r="IM100" s="152"/>
      <c r="IN100" s="152"/>
      <c r="IO100" s="152"/>
      <c r="IP100" s="152"/>
      <c r="IQ100" s="152"/>
      <c r="IR100" s="152"/>
      <c r="IS100" s="152"/>
      <c r="IT100" s="152"/>
      <c r="IU100" s="152"/>
      <c r="IV100" s="152"/>
      <c r="IW100" s="152"/>
      <c r="IX100" s="152"/>
      <c r="IY100" s="152"/>
      <c r="IZ100" s="152"/>
      <c r="JA100" s="152"/>
      <c r="JB100" s="152"/>
      <c r="JC100" s="152"/>
      <c r="JD100" s="152"/>
      <c r="JE100" s="152"/>
      <c r="JF100" s="152"/>
      <c r="JG100" s="152"/>
      <c r="JH100" s="152"/>
      <c r="JI100" s="152"/>
      <c r="JJ100" s="152"/>
      <c r="JK100" s="152"/>
      <c r="JL100" s="152"/>
      <c r="JM100" s="152"/>
      <c r="JN100" s="152"/>
      <c r="JO100" s="152"/>
      <c r="JP100" s="152"/>
      <c r="JQ100" s="152"/>
      <c r="JR100" s="152"/>
      <c r="JS100" s="152"/>
      <c r="JT100" s="152"/>
      <c r="JU100" s="152"/>
      <c r="JV100" s="152"/>
      <c r="JW100" s="152"/>
      <c r="JX100" s="152"/>
      <c r="JY100" s="152"/>
      <c r="JZ100" s="152"/>
      <c r="KA100" s="152"/>
      <c r="KB100" s="152"/>
      <c r="KC100" s="152"/>
      <c r="KD100" s="152"/>
      <c r="KE100" s="152"/>
      <c r="KF100" s="152"/>
      <c r="KG100" s="152"/>
      <c r="KH100" s="152"/>
      <c r="KI100" s="152"/>
      <c r="KJ100" s="152"/>
      <c r="KK100" s="152"/>
      <c r="KL100" s="152"/>
      <c r="KM100" s="152"/>
      <c r="KN100" s="152"/>
      <c r="KO100" s="152"/>
      <c r="KP100" s="152"/>
      <c r="KQ100" s="152"/>
      <c r="KR100" s="152"/>
      <c r="KS100" s="152"/>
      <c r="KT100" s="152"/>
      <c r="KU100" s="152"/>
      <c r="KV100" s="152"/>
      <c r="KW100" s="152"/>
      <c r="KX100" s="152"/>
      <c r="KY100" s="152"/>
      <c r="KZ100" s="152"/>
      <c r="LA100" s="152"/>
      <c r="LB100" s="152"/>
      <c r="LC100" s="152"/>
      <c r="LD100" s="152"/>
      <c r="LE100" s="152"/>
      <c r="LF100" s="152"/>
      <c r="LG100" s="152"/>
      <c r="LH100" s="152"/>
      <c r="LI100" s="152"/>
      <c r="LJ100" s="152"/>
      <c r="LK100" s="152"/>
      <c r="LL100" s="152"/>
      <c r="LM100" s="152"/>
      <c r="LN100" s="152"/>
      <c r="LO100" s="152"/>
      <c r="LP100" s="152"/>
      <c r="LQ100" s="152"/>
      <c r="LR100" s="152"/>
      <c r="LS100" s="152"/>
      <c r="LT100" s="152"/>
      <c r="LU100" s="152"/>
      <c r="LV100" s="152"/>
      <c r="LW100" s="152"/>
      <c r="LX100" s="152"/>
      <c r="LY100" s="152"/>
      <c r="LZ100" s="152"/>
      <c r="MA100" s="152"/>
      <c r="MB100" s="152"/>
      <c r="MC100" s="152"/>
      <c r="MD100" s="152"/>
      <c r="ME100" s="152"/>
      <c r="MF100" s="152"/>
      <c r="MG100" s="152"/>
      <c r="MH100" s="152"/>
      <c r="MI100" s="152"/>
      <c r="MJ100" s="152"/>
      <c r="MK100" s="152"/>
      <c r="ML100" s="152"/>
      <c r="MM100" s="152"/>
      <c r="MN100" s="152"/>
      <c r="MO100" s="152"/>
      <c r="MP100" s="152"/>
      <c r="MQ100" s="152"/>
      <c r="MR100" s="152"/>
      <c r="MS100" s="152"/>
      <c r="MT100" s="152"/>
      <c r="MU100" s="152"/>
      <c r="MV100" s="152"/>
      <c r="MW100" s="152"/>
      <c r="MX100" s="152"/>
      <c r="MY100" s="152"/>
      <c r="MZ100" s="152"/>
      <c r="NA100" s="152"/>
      <c r="NB100" s="152"/>
      <c r="NC100" s="152"/>
      <c r="ND100" s="152"/>
      <c r="NE100" s="152"/>
      <c r="NF100" s="152"/>
      <c r="NG100" s="152"/>
      <c r="NH100" s="152"/>
      <c r="NI100" s="152"/>
      <c r="NJ100" s="152"/>
      <c r="NK100" s="152"/>
      <c r="NL100" s="152"/>
      <c r="NM100" s="152"/>
      <c r="NN100" s="152"/>
      <c r="NO100" s="152"/>
      <c r="NP100" s="152"/>
      <c r="NQ100" s="152"/>
      <c r="NR100" s="152"/>
      <c r="NS100" s="152"/>
      <c r="NT100" s="152"/>
      <c r="NU100" s="152"/>
      <c r="NV100" s="152"/>
      <c r="NW100" s="152"/>
      <c r="NX100" s="152"/>
      <c r="NY100" s="152"/>
      <c r="NZ100" s="152"/>
      <c r="OA100" s="152"/>
      <c r="OB100" s="152"/>
      <c r="OC100" s="152"/>
      <c r="OD100" s="152"/>
      <c r="OE100" s="152"/>
      <c r="OF100" s="152"/>
      <c r="OG100" s="152"/>
      <c r="OH100" s="152"/>
      <c r="OI100" s="152"/>
      <c r="OJ100" s="152"/>
      <c r="OK100" s="152"/>
      <c r="OL100" s="152"/>
      <c r="OM100" s="152"/>
      <c r="ON100" s="152"/>
      <c r="OO100" s="152"/>
      <c r="OP100" s="152"/>
      <c r="OQ100" s="152"/>
      <c r="OR100" s="152"/>
      <c r="OS100" s="152"/>
      <c r="OT100" s="152"/>
      <c r="OU100" s="152"/>
      <c r="OV100" s="152"/>
      <c r="OW100" s="152"/>
      <c r="OX100" s="152"/>
      <c r="OY100" s="152"/>
      <c r="OZ100" s="152"/>
      <c r="PA100" s="152"/>
      <c r="PB100" s="152"/>
      <c r="PC100" s="152"/>
      <c r="PD100" s="152"/>
      <c r="PE100" s="152"/>
      <c r="PF100" s="152"/>
      <c r="PG100" s="152"/>
      <c r="PH100" s="152"/>
      <c r="PI100" s="152"/>
      <c r="PJ100" s="152"/>
      <c r="PK100" s="152"/>
      <c r="PL100" s="152"/>
      <c r="PM100" s="152"/>
      <c r="PN100" s="152"/>
      <c r="PO100" s="152"/>
      <c r="PP100" s="152"/>
      <c r="PQ100" s="152"/>
      <c r="PR100" s="152"/>
      <c r="PS100" s="152"/>
      <c r="PT100" s="152"/>
      <c r="PU100" s="152"/>
      <c r="PV100" s="152"/>
      <c r="PW100" s="152"/>
      <c r="PX100" s="152"/>
      <c r="PY100" s="152"/>
      <c r="PZ100" s="152"/>
      <c r="QA100" s="152"/>
      <c r="QB100" s="152"/>
      <c r="QC100" s="152"/>
      <c r="QD100" s="152"/>
      <c r="QE100" s="152"/>
      <c r="QF100" s="152"/>
      <c r="QG100" s="152"/>
      <c r="QH100" s="152"/>
      <c r="QI100" s="152"/>
      <c r="QJ100" s="152"/>
      <c r="QK100" s="152"/>
      <c r="QL100" s="152"/>
      <c r="QM100" s="152"/>
      <c r="QN100" s="152"/>
      <c r="QO100" s="152"/>
      <c r="QP100" s="152"/>
      <c r="QQ100" s="152"/>
      <c r="QR100" s="152"/>
      <c r="QS100" s="152"/>
      <c r="QT100" s="152"/>
      <c r="QU100" s="152"/>
      <c r="QV100" s="152"/>
      <c r="QW100" s="152"/>
      <c r="QX100" s="152"/>
      <c r="QY100" s="152"/>
      <c r="QZ100" s="152"/>
      <c r="RA100" s="152"/>
      <c r="RB100" s="152"/>
      <c r="RC100" s="152"/>
      <c r="RD100" s="152"/>
      <c r="RE100" s="152"/>
      <c r="RF100" s="152"/>
      <c r="RG100" s="152"/>
      <c r="RH100" s="152"/>
      <c r="RI100" s="152"/>
      <c r="RJ100" s="152"/>
      <c r="RK100" s="152"/>
      <c r="RL100" s="152"/>
      <c r="RM100" s="152"/>
      <c r="RN100" s="152"/>
      <c r="RO100" s="152"/>
      <c r="RP100" s="152"/>
      <c r="RQ100" s="152"/>
      <c r="RR100" s="152"/>
      <c r="RS100" s="152"/>
      <c r="RT100" s="152"/>
      <c r="RU100" s="152"/>
      <c r="RV100" s="152"/>
      <c r="RW100" s="152"/>
      <c r="RX100" s="152"/>
      <c r="RY100" s="152"/>
      <c r="RZ100" s="152"/>
      <c r="SA100" s="152"/>
      <c r="SB100" s="152"/>
      <c r="SC100" s="152"/>
      <c r="SD100" s="152"/>
      <c r="SE100" s="152"/>
      <c r="SF100" s="152"/>
      <c r="SG100" s="152"/>
      <c r="SH100" s="152"/>
      <c r="SI100" s="152"/>
      <c r="SJ100" s="152"/>
      <c r="SK100" s="152"/>
      <c r="SL100" s="152"/>
      <c r="SM100" s="152"/>
      <c r="SN100" s="152"/>
      <c r="SO100" s="152"/>
      <c r="SP100" s="152"/>
      <c r="SQ100" s="152"/>
      <c r="SR100" s="152"/>
      <c r="SS100" s="152"/>
      <c r="ST100" s="152"/>
      <c r="SU100" s="152"/>
      <c r="SV100" s="152"/>
      <c r="SW100" s="152"/>
      <c r="SX100" s="152"/>
      <c r="SY100" s="152"/>
      <c r="SZ100" s="152"/>
      <c r="TA100" s="152"/>
      <c r="TB100" s="152"/>
      <c r="TC100" s="152"/>
      <c r="TD100" s="152"/>
      <c r="TE100" s="152"/>
      <c r="TF100" s="152"/>
      <c r="TG100" s="152"/>
      <c r="TH100" s="152"/>
      <c r="TI100" s="152"/>
      <c r="TJ100" s="152"/>
      <c r="TK100" s="152"/>
      <c r="TL100" s="152"/>
      <c r="TM100" s="152"/>
      <c r="TN100" s="152"/>
      <c r="TO100" s="152"/>
      <c r="TP100" s="152"/>
      <c r="TQ100" s="152"/>
      <c r="TR100" s="152"/>
      <c r="TS100" s="152"/>
      <c r="TT100" s="152"/>
      <c r="TU100" s="152"/>
      <c r="TV100" s="152"/>
      <c r="TW100" s="152"/>
      <c r="TX100" s="152"/>
      <c r="TY100" s="152"/>
      <c r="TZ100" s="152"/>
      <c r="UA100" s="152"/>
      <c r="UB100" s="152"/>
      <c r="UC100" s="152"/>
      <c r="UD100" s="152"/>
      <c r="UE100" s="152"/>
      <c r="UF100" s="152"/>
      <c r="UG100" s="152"/>
      <c r="UH100" s="152"/>
      <c r="UI100" s="152"/>
      <c r="UJ100" s="152"/>
      <c r="UK100" s="152"/>
      <c r="UL100" s="152"/>
      <c r="UM100" s="152"/>
      <c r="UN100" s="152"/>
      <c r="UO100" s="152"/>
      <c r="UP100" s="152"/>
      <c r="UQ100" s="152"/>
      <c r="UR100" s="152"/>
      <c r="US100" s="152"/>
      <c r="UT100" s="152"/>
      <c r="UU100" s="152"/>
      <c r="UV100" s="152"/>
      <c r="UW100" s="152"/>
      <c r="UX100" s="152"/>
      <c r="UY100" s="152"/>
      <c r="UZ100" s="152"/>
      <c r="VA100" s="152"/>
      <c r="VB100" s="152"/>
      <c r="VC100" s="152"/>
      <c r="VD100" s="152"/>
      <c r="VE100" s="152"/>
      <c r="VF100" s="152"/>
      <c r="VG100" s="152"/>
      <c r="VH100" s="152"/>
      <c r="VI100" s="152"/>
      <c r="VJ100" s="152"/>
      <c r="VK100" s="152"/>
      <c r="VL100" s="152"/>
      <c r="VM100" s="152"/>
      <c r="VN100" s="152"/>
      <c r="VO100" s="152"/>
      <c r="VP100" s="152"/>
      <c r="VQ100" s="152"/>
      <c r="VR100" s="152"/>
      <c r="VS100" s="152"/>
      <c r="VT100" s="152"/>
      <c r="VU100" s="152"/>
      <c r="VV100" s="152"/>
      <c r="VW100" s="152"/>
      <c r="VX100" s="152"/>
      <c r="VY100" s="152"/>
      <c r="VZ100" s="152"/>
      <c r="WA100" s="152"/>
      <c r="WB100" s="152"/>
      <c r="WC100" s="152"/>
      <c r="WD100" s="152"/>
      <c r="WE100" s="152"/>
    </row>
    <row r="101" spans="1:603" ht="15" customHeight="1" x14ac:dyDescent="0.25">
      <c r="A101" s="3769"/>
      <c r="B101" s="3770"/>
      <c r="C101" s="1798">
        <v>4</v>
      </c>
      <c r="D101" s="2548"/>
      <c r="E101" s="1878" t="s">
        <v>335</v>
      </c>
      <c r="F101" s="1807" t="s">
        <v>335</v>
      </c>
      <c r="G101" s="1807" t="s">
        <v>335</v>
      </c>
      <c r="H101" s="1807" t="s">
        <v>335</v>
      </c>
      <c r="I101" s="1807" t="s">
        <v>335</v>
      </c>
      <c r="J101" s="1807" t="s">
        <v>335</v>
      </c>
      <c r="K101" s="1807" t="s">
        <v>335</v>
      </c>
      <c r="L101" s="1807" t="s">
        <v>335</v>
      </c>
      <c r="M101" s="1807" t="s">
        <v>335</v>
      </c>
      <c r="N101" s="1807" t="s">
        <v>335</v>
      </c>
      <c r="O101" s="2289" t="s">
        <v>335</v>
      </c>
      <c r="P101" s="1878" t="s">
        <v>335</v>
      </c>
      <c r="Q101" s="1807" t="s">
        <v>335</v>
      </c>
      <c r="R101" s="1807" t="s">
        <v>335</v>
      </c>
      <c r="S101" s="1937" t="s">
        <v>335</v>
      </c>
      <c r="T101" s="1937" t="s">
        <v>335</v>
      </c>
      <c r="U101" s="1807" t="s">
        <v>335</v>
      </c>
      <c r="V101" s="2323" t="s">
        <v>335</v>
      </c>
      <c r="W101" s="2323" t="s">
        <v>335</v>
      </c>
      <c r="X101" s="2323"/>
      <c r="Y101" s="2323" t="s">
        <v>335</v>
      </c>
      <c r="Z101" s="2354"/>
      <c r="AA101" s="2673">
        <v>0</v>
      </c>
      <c r="AB101" s="1869">
        <v>0</v>
      </c>
      <c r="AC101" s="1934">
        <f t="shared" si="179"/>
        <v>0</v>
      </c>
      <c r="AD101" s="1832">
        <v>0</v>
      </c>
      <c r="AE101" s="3129"/>
      <c r="AF101" s="1833">
        <v>0</v>
      </c>
      <c r="AG101" s="2485"/>
      <c r="AH101" s="2145">
        <f>AD101+AF101</f>
        <v>0</v>
      </c>
      <c r="AI101" s="2390">
        <v>0</v>
      </c>
      <c r="AJ101" s="1834">
        <v>0</v>
      </c>
      <c r="AK101" s="2434">
        <v>0</v>
      </c>
      <c r="AL101" s="2399">
        <v>0</v>
      </c>
      <c r="AM101" s="2399">
        <v>0</v>
      </c>
      <c r="AN101" s="2539">
        <f t="shared" si="185"/>
        <v>0</v>
      </c>
      <c r="AO101" s="2536">
        <v>0</v>
      </c>
      <c r="AP101" s="2406">
        <v>0</v>
      </c>
      <c r="AQ101" s="2406">
        <v>0</v>
      </c>
      <c r="AR101" s="2406"/>
      <c r="AS101" s="2404">
        <f t="shared" si="186"/>
        <v>0</v>
      </c>
      <c r="AT101" s="2399"/>
      <c r="AU101" s="2471">
        <v>0</v>
      </c>
      <c r="AV101" s="2399">
        <v>0</v>
      </c>
      <c r="AW101" s="2448">
        <f>AU101+AV101</f>
        <v>0</v>
      </c>
      <c r="AX101" s="2399">
        <v>0</v>
      </c>
      <c r="AY101" s="2399">
        <v>0</v>
      </c>
      <c r="AZ101" s="2539">
        <f t="shared" si="187"/>
        <v>0</v>
      </c>
      <c r="BA101" s="3112">
        <v>0</v>
      </c>
      <c r="BB101" s="3113">
        <v>0</v>
      </c>
      <c r="BC101" s="3113">
        <v>0</v>
      </c>
      <c r="BD101" s="3113"/>
      <c r="BE101" s="3109">
        <f t="shared" si="188"/>
        <v>0</v>
      </c>
      <c r="BF101" s="2399"/>
      <c r="BG101" s="2471">
        <v>0</v>
      </c>
      <c r="BH101" s="2399">
        <v>0</v>
      </c>
      <c r="BI101" s="2448">
        <f>BG101+BH101</f>
        <v>0</v>
      </c>
      <c r="BJ101" s="2388">
        <f t="shared" si="189"/>
        <v>0</v>
      </c>
      <c r="BK101" s="2388">
        <f t="shared" si="190"/>
        <v>0</v>
      </c>
      <c r="BL101" s="2391">
        <f t="shared" si="180"/>
        <v>0</v>
      </c>
      <c r="BM101" s="2569">
        <f>AD101+AO101</f>
        <v>0</v>
      </c>
      <c r="BN101" s="2485">
        <f>AF101+AQ101</f>
        <v>0</v>
      </c>
      <c r="BO101" s="2485">
        <f t="shared" si="181"/>
        <v>0</v>
      </c>
      <c r="BP101" s="2485">
        <f t="shared" si="182"/>
        <v>0</v>
      </c>
      <c r="BQ101" s="1833">
        <f t="shared" si="183"/>
        <v>0</v>
      </c>
      <c r="BR101" s="2414">
        <f t="shared" si="184"/>
        <v>0</v>
      </c>
      <c r="BS101" s="2391">
        <f t="shared" si="184"/>
        <v>0</v>
      </c>
      <c r="BT101" s="2434">
        <f t="shared" si="191"/>
        <v>0</v>
      </c>
      <c r="BU101" s="101"/>
      <c r="BV101" s="3058"/>
      <c r="BW101" s="3058"/>
      <c r="BX101" s="3058"/>
      <c r="BY101" s="101"/>
      <c r="BZ101" s="101"/>
      <c r="FH101" s="1875"/>
      <c r="FI101" s="1875"/>
      <c r="FJ101" s="1875"/>
      <c r="FK101" s="1875"/>
      <c r="FL101" s="1875"/>
      <c r="FM101" s="1875"/>
      <c r="FN101" s="1875"/>
      <c r="FO101" s="1875"/>
      <c r="FP101" s="1875"/>
      <c r="FQ101" s="1875"/>
      <c r="FR101" s="1875"/>
      <c r="FS101" s="1875"/>
      <c r="FT101" s="1875"/>
      <c r="FU101" s="1875"/>
      <c r="FV101" s="1875"/>
      <c r="FW101" s="1875"/>
      <c r="FX101" s="1875"/>
      <c r="FY101" s="1875"/>
      <c r="FZ101" s="1875"/>
      <c r="GA101" s="1875"/>
      <c r="GB101" s="1875"/>
      <c r="GC101" s="1875"/>
      <c r="GD101" s="1875"/>
      <c r="GE101" s="1875"/>
      <c r="GF101" s="1875"/>
      <c r="GG101" s="1875"/>
      <c r="GH101" s="1875"/>
      <c r="GI101" s="1875"/>
      <c r="GJ101" s="1875"/>
      <c r="GK101" s="1875"/>
      <c r="GL101" s="1875"/>
      <c r="GM101" s="1875"/>
      <c r="GN101" s="1875"/>
      <c r="GO101" s="1875"/>
      <c r="GP101" s="1875"/>
      <c r="GQ101" s="1875"/>
      <c r="GR101" s="1875"/>
      <c r="GS101" s="1875"/>
      <c r="GT101" s="1875"/>
      <c r="GU101" s="1875"/>
      <c r="GV101" s="1875"/>
      <c r="GW101" s="1875"/>
      <c r="GX101" s="1875"/>
      <c r="GY101" s="1875"/>
      <c r="GZ101" s="1875"/>
      <c r="HA101" s="1875"/>
      <c r="HB101" s="1875"/>
      <c r="HC101" s="1875"/>
      <c r="HD101" s="1875"/>
      <c r="HE101" s="1875"/>
      <c r="HF101" s="1875"/>
      <c r="HG101" s="1875"/>
      <c r="HH101" s="1875"/>
      <c r="HI101" s="1875"/>
      <c r="HJ101" s="1875"/>
      <c r="HK101" s="1875"/>
      <c r="HL101" s="1875"/>
      <c r="HM101" s="1875"/>
      <c r="HN101" s="1875"/>
      <c r="HO101" s="1875"/>
      <c r="HP101" s="1875"/>
      <c r="HQ101" s="1875"/>
      <c r="HR101" s="1875"/>
      <c r="HS101" s="1875"/>
      <c r="HT101" s="1875"/>
      <c r="HU101" s="1875"/>
      <c r="HV101" s="1875"/>
      <c r="HW101" s="1875"/>
      <c r="HX101" s="1875"/>
      <c r="HY101" s="1875"/>
      <c r="HZ101" s="1875"/>
      <c r="IA101" s="1875"/>
      <c r="IB101" s="1875"/>
      <c r="IC101" s="1875"/>
      <c r="ID101" s="1875"/>
      <c r="IE101" s="1875"/>
      <c r="IF101" s="1875"/>
      <c r="IG101" s="1875"/>
      <c r="IH101" s="1875"/>
      <c r="II101" s="1875"/>
      <c r="IJ101" s="1875"/>
      <c r="IK101" s="1875"/>
      <c r="IL101" s="1875"/>
      <c r="IM101" s="1875"/>
      <c r="IN101" s="1875"/>
      <c r="IO101" s="1875"/>
      <c r="IP101" s="1875"/>
      <c r="IQ101" s="1875"/>
      <c r="IR101" s="1875"/>
      <c r="IS101" s="1875"/>
      <c r="IT101" s="1875"/>
      <c r="IU101" s="1875"/>
      <c r="IV101" s="1875"/>
      <c r="IW101" s="1875"/>
      <c r="IX101" s="1875"/>
      <c r="IY101" s="1875"/>
      <c r="IZ101" s="1875"/>
      <c r="JA101" s="1875"/>
      <c r="JB101" s="1875"/>
      <c r="JC101" s="1875"/>
      <c r="JD101" s="1875"/>
      <c r="JE101" s="1875"/>
      <c r="JF101" s="1875"/>
      <c r="JG101" s="1875"/>
      <c r="JH101" s="1875"/>
      <c r="JI101" s="1875"/>
      <c r="JJ101" s="1875"/>
      <c r="JK101" s="1875"/>
      <c r="JL101" s="1875"/>
      <c r="JM101" s="1875"/>
      <c r="JN101" s="1875"/>
      <c r="JO101" s="1875"/>
      <c r="JP101" s="1875"/>
      <c r="JQ101" s="1875"/>
      <c r="JR101" s="1875"/>
      <c r="JS101" s="1875"/>
      <c r="JT101" s="1875"/>
      <c r="JU101" s="1875"/>
      <c r="JV101" s="1875"/>
      <c r="JW101" s="1875"/>
      <c r="JX101" s="1875"/>
      <c r="JY101" s="1875"/>
      <c r="JZ101" s="1875"/>
      <c r="KA101" s="1875"/>
      <c r="KB101" s="1875"/>
      <c r="KC101" s="1875"/>
      <c r="KD101" s="1875"/>
      <c r="KE101" s="1875"/>
      <c r="KF101" s="1875"/>
      <c r="KG101" s="1875"/>
      <c r="KH101" s="1875"/>
      <c r="KI101" s="1875"/>
      <c r="KJ101" s="1875"/>
      <c r="KK101" s="1875"/>
      <c r="KL101" s="1875"/>
      <c r="KM101" s="1875"/>
      <c r="KN101" s="1875"/>
      <c r="KO101" s="1875"/>
      <c r="KP101" s="1875"/>
      <c r="KQ101" s="1875"/>
      <c r="KR101" s="1875"/>
      <c r="KS101" s="1875"/>
      <c r="KT101" s="1875"/>
      <c r="KU101" s="1875"/>
      <c r="KV101" s="1875"/>
      <c r="KW101" s="1875"/>
      <c r="KX101" s="1875"/>
      <c r="KY101" s="1875"/>
      <c r="KZ101" s="1875"/>
      <c r="LA101" s="1875"/>
      <c r="LB101" s="1875"/>
      <c r="LC101" s="1875"/>
      <c r="LD101" s="1875"/>
      <c r="LE101" s="1875"/>
      <c r="LF101" s="1875"/>
      <c r="LG101" s="1875"/>
      <c r="LH101" s="1875"/>
      <c r="LI101" s="1875"/>
      <c r="LJ101" s="1875"/>
      <c r="LK101" s="1875"/>
      <c r="LL101" s="1875"/>
      <c r="LM101" s="1875"/>
      <c r="LN101" s="1875"/>
      <c r="LO101" s="1875"/>
      <c r="LP101" s="1875"/>
      <c r="LQ101" s="1875"/>
      <c r="LR101" s="1875"/>
      <c r="LS101" s="1875"/>
      <c r="LT101" s="1875"/>
      <c r="LU101" s="1875"/>
      <c r="LV101" s="1875"/>
      <c r="LW101" s="1875"/>
      <c r="LX101" s="1875"/>
      <c r="LY101" s="1875"/>
      <c r="LZ101" s="1875"/>
      <c r="MA101" s="1875"/>
      <c r="MB101" s="1875"/>
      <c r="MC101" s="1875"/>
      <c r="MD101" s="1875"/>
      <c r="ME101" s="1875"/>
      <c r="MF101" s="1875"/>
      <c r="MG101" s="1875"/>
      <c r="MH101" s="1875"/>
      <c r="MI101" s="1875"/>
      <c r="MJ101" s="1875"/>
      <c r="MK101" s="1875"/>
      <c r="ML101" s="1875"/>
      <c r="MM101" s="1875"/>
      <c r="MN101" s="1875"/>
      <c r="MO101" s="1875"/>
      <c r="MP101" s="1875"/>
      <c r="MQ101" s="1875"/>
      <c r="MR101" s="1875"/>
      <c r="MS101" s="1875"/>
      <c r="MT101" s="1875"/>
      <c r="MU101" s="1875"/>
      <c r="MV101" s="1875"/>
      <c r="MW101" s="1875"/>
      <c r="MX101" s="1875"/>
      <c r="MY101" s="1875"/>
      <c r="MZ101" s="1875"/>
      <c r="NA101" s="1875"/>
      <c r="NB101" s="1875"/>
      <c r="NC101" s="1875"/>
      <c r="ND101" s="1875"/>
      <c r="NE101" s="1875"/>
      <c r="NF101" s="1875"/>
      <c r="NG101" s="1875"/>
      <c r="NH101" s="1875"/>
      <c r="NI101" s="1875"/>
      <c r="NJ101" s="1875"/>
      <c r="NK101" s="1875"/>
      <c r="NL101" s="1875"/>
      <c r="NM101" s="1875"/>
      <c r="NN101" s="1875"/>
      <c r="NO101" s="1875"/>
      <c r="NP101" s="1875"/>
      <c r="NQ101" s="1875"/>
      <c r="NR101" s="1875"/>
      <c r="NS101" s="1875"/>
      <c r="NT101" s="1875"/>
      <c r="NU101" s="1875"/>
      <c r="NV101" s="1875"/>
      <c r="NW101" s="1875"/>
      <c r="NX101" s="1875"/>
      <c r="NY101" s="1875"/>
      <c r="NZ101" s="1875"/>
      <c r="OA101" s="1875"/>
      <c r="OB101" s="1875"/>
      <c r="OC101" s="1875"/>
      <c r="OD101" s="1875"/>
      <c r="OE101" s="1875"/>
      <c r="OF101" s="1875"/>
      <c r="OG101" s="1875"/>
      <c r="OH101" s="1875"/>
      <c r="OI101" s="1875"/>
      <c r="OJ101" s="1875"/>
      <c r="OK101" s="1875"/>
      <c r="OL101" s="1875"/>
      <c r="OM101" s="1875"/>
      <c r="ON101" s="1875"/>
      <c r="OO101" s="1875"/>
      <c r="OP101" s="1875"/>
      <c r="OQ101" s="1875"/>
      <c r="OR101" s="1875"/>
      <c r="OS101" s="1875"/>
      <c r="OT101" s="1875"/>
      <c r="OU101" s="1875"/>
      <c r="OV101" s="1875"/>
      <c r="OW101" s="1875"/>
      <c r="OX101" s="1875"/>
      <c r="OY101" s="1875"/>
      <c r="OZ101" s="1875"/>
      <c r="PA101" s="1875"/>
      <c r="PB101" s="1875"/>
      <c r="PC101" s="1875"/>
      <c r="PD101" s="1875"/>
      <c r="PE101" s="1875"/>
      <c r="PF101" s="1875"/>
      <c r="PG101" s="1875"/>
      <c r="PH101" s="1875"/>
      <c r="PI101" s="1875"/>
      <c r="PJ101" s="1875"/>
      <c r="PK101" s="1875"/>
      <c r="PL101" s="1875"/>
      <c r="PM101" s="1875"/>
      <c r="PN101" s="1875"/>
      <c r="PO101" s="1875"/>
      <c r="PP101" s="1875"/>
      <c r="PQ101" s="1875"/>
      <c r="PR101" s="1875"/>
      <c r="PS101" s="1875"/>
      <c r="PT101" s="1875"/>
      <c r="PU101" s="1875"/>
      <c r="PV101" s="1875"/>
      <c r="PW101" s="1875"/>
      <c r="PX101" s="1875"/>
      <c r="PY101" s="1875"/>
      <c r="PZ101" s="1875"/>
      <c r="QA101" s="1875"/>
      <c r="QB101" s="1875"/>
      <c r="QC101" s="1875"/>
      <c r="QD101" s="1875"/>
      <c r="QE101" s="1875"/>
      <c r="QF101" s="1875"/>
      <c r="QG101" s="1875"/>
      <c r="QH101" s="1875"/>
      <c r="QI101" s="1875"/>
      <c r="QJ101" s="1875"/>
      <c r="QK101" s="1875"/>
      <c r="QL101" s="1875"/>
      <c r="QM101" s="1875"/>
      <c r="QN101" s="1875"/>
      <c r="QO101" s="1875"/>
      <c r="QP101" s="1875"/>
      <c r="QQ101" s="1875"/>
      <c r="QR101" s="1875"/>
      <c r="QS101" s="1875"/>
      <c r="QT101" s="1875"/>
      <c r="QU101" s="1875"/>
      <c r="QV101" s="1875"/>
      <c r="QW101" s="1875"/>
      <c r="QX101" s="1875"/>
      <c r="QY101" s="1875"/>
      <c r="QZ101" s="1875"/>
      <c r="RA101" s="1875"/>
      <c r="RB101" s="1875"/>
      <c r="RC101" s="1875"/>
      <c r="RD101" s="1875"/>
      <c r="RE101" s="1875"/>
      <c r="RF101" s="1875"/>
      <c r="RG101" s="1875"/>
      <c r="RH101" s="1875"/>
      <c r="RI101" s="1875"/>
      <c r="RJ101" s="1875"/>
      <c r="RK101" s="1875"/>
      <c r="RL101" s="1875"/>
      <c r="RM101" s="1875"/>
      <c r="RN101" s="1875"/>
      <c r="RO101" s="1875"/>
      <c r="RP101" s="1875"/>
      <c r="RQ101" s="1875"/>
      <c r="RR101" s="1875"/>
      <c r="RS101" s="1875"/>
      <c r="RT101" s="1875"/>
      <c r="RU101" s="1875"/>
      <c r="RV101" s="1875"/>
      <c r="RW101" s="1875"/>
      <c r="RX101" s="1875"/>
      <c r="RY101" s="1875"/>
      <c r="RZ101" s="1875"/>
      <c r="SA101" s="1875"/>
      <c r="SB101" s="1875"/>
      <c r="SC101" s="1875"/>
      <c r="SD101" s="1875"/>
      <c r="SE101" s="1875"/>
      <c r="SF101" s="1875"/>
      <c r="SG101" s="1875"/>
      <c r="SH101" s="1875"/>
      <c r="SI101" s="1875"/>
      <c r="SJ101" s="1875"/>
      <c r="SK101" s="1875"/>
      <c r="SL101" s="1875"/>
      <c r="SM101" s="1875"/>
      <c r="SN101" s="1875"/>
      <c r="SO101" s="1875"/>
      <c r="SP101" s="1875"/>
      <c r="SQ101" s="1875"/>
      <c r="SR101" s="1875"/>
      <c r="SS101" s="1875"/>
      <c r="ST101" s="1875"/>
      <c r="SU101" s="1875"/>
      <c r="SV101" s="1875"/>
      <c r="SW101" s="1875"/>
      <c r="SX101" s="1875"/>
      <c r="SY101" s="1875"/>
      <c r="SZ101" s="1875"/>
      <c r="TA101" s="1875"/>
      <c r="TB101" s="1875"/>
      <c r="TC101" s="1875"/>
      <c r="TD101" s="1875"/>
      <c r="TE101" s="1875"/>
      <c r="TF101" s="1875"/>
      <c r="TG101" s="1875"/>
      <c r="TH101" s="1875"/>
      <c r="TI101" s="1875"/>
      <c r="TJ101" s="1875"/>
      <c r="TK101" s="1875"/>
      <c r="TL101" s="1875"/>
      <c r="TM101" s="1875"/>
      <c r="TN101" s="1875"/>
      <c r="TO101" s="1875"/>
      <c r="TP101" s="1875"/>
      <c r="TQ101" s="1875"/>
      <c r="TR101" s="1875"/>
      <c r="TS101" s="1875"/>
      <c r="TT101" s="1875"/>
      <c r="TU101" s="1875"/>
      <c r="TV101" s="1875"/>
      <c r="TW101" s="1875"/>
      <c r="TX101" s="1875"/>
      <c r="TY101" s="1875"/>
      <c r="TZ101" s="1875"/>
      <c r="UA101" s="1875"/>
      <c r="UB101" s="1875"/>
      <c r="UC101" s="1875"/>
      <c r="UD101" s="1875"/>
      <c r="UE101" s="1875"/>
      <c r="UF101" s="1875"/>
      <c r="UG101" s="1875"/>
      <c r="UH101" s="1875"/>
      <c r="UI101" s="1875"/>
      <c r="UJ101" s="1875"/>
      <c r="UK101" s="1875"/>
      <c r="UL101" s="1875"/>
      <c r="UM101" s="1875"/>
      <c r="UN101" s="1875"/>
      <c r="UO101" s="1875"/>
      <c r="UP101" s="1875"/>
      <c r="UQ101" s="1875"/>
      <c r="UR101" s="1875"/>
      <c r="US101" s="1875"/>
      <c r="UT101" s="1875"/>
      <c r="UU101" s="1875"/>
      <c r="UV101" s="1875"/>
      <c r="UW101" s="1875"/>
      <c r="UX101" s="1875"/>
      <c r="UY101" s="1875"/>
      <c r="UZ101" s="1875"/>
      <c r="VA101" s="1875"/>
      <c r="VB101" s="1875"/>
      <c r="VC101" s="1875"/>
      <c r="VD101" s="1875"/>
      <c r="VE101" s="1875"/>
      <c r="VF101" s="1875"/>
      <c r="VG101" s="1875"/>
      <c r="VH101" s="1875"/>
      <c r="VI101" s="1875"/>
      <c r="VJ101" s="1875"/>
      <c r="VK101" s="1875"/>
      <c r="VL101" s="1875"/>
      <c r="VM101" s="1875"/>
      <c r="VN101" s="1875"/>
      <c r="VO101" s="1875"/>
      <c r="VP101" s="1875"/>
      <c r="VQ101" s="1875"/>
      <c r="VR101" s="1875"/>
      <c r="VS101" s="1875"/>
      <c r="VT101" s="1875"/>
      <c r="VU101" s="1875"/>
      <c r="VV101" s="1875"/>
      <c r="VW101" s="1875"/>
      <c r="VX101" s="1875"/>
      <c r="VY101" s="1875"/>
      <c r="VZ101" s="1875"/>
      <c r="WA101" s="1875"/>
      <c r="WB101" s="1875"/>
      <c r="WC101" s="1875"/>
      <c r="WD101" s="1875"/>
      <c r="WE101" s="1875"/>
    </row>
    <row r="102" spans="1:603" ht="15" customHeight="1" x14ac:dyDescent="0.25">
      <c r="A102" s="3771"/>
      <c r="B102" s="3772"/>
      <c r="C102" s="1972"/>
      <c r="D102" s="2232" t="s">
        <v>645</v>
      </c>
      <c r="E102" s="2272" t="s">
        <v>335</v>
      </c>
      <c r="F102" s="2080" t="s">
        <v>335</v>
      </c>
      <c r="G102" s="2080" t="s">
        <v>335</v>
      </c>
      <c r="H102" s="2273"/>
      <c r="I102" s="1964"/>
      <c r="J102" s="1964"/>
      <c r="K102" s="2273"/>
      <c r="L102" s="1964"/>
      <c r="M102" s="1964"/>
      <c r="N102" s="1996"/>
      <c r="O102" s="2290"/>
      <c r="P102" s="1996"/>
      <c r="Q102" s="1996"/>
      <c r="R102" s="1996"/>
      <c r="S102" s="1996"/>
      <c r="T102" s="1996"/>
      <c r="U102" s="1996"/>
      <c r="V102" s="1996"/>
      <c r="W102" s="1996"/>
      <c r="X102" s="1996"/>
      <c r="Y102" s="1996"/>
      <c r="Z102" s="2355">
        <f>Z98+Z99+Z100+Z101</f>
        <v>0</v>
      </c>
      <c r="AA102" s="1908">
        <f>SUM(AA98:AA101)</f>
        <v>0</v>
      </c>
      <c r="AB102" s="1908">
        <f>SUM(AB98:AB101)</f>
        <v>0</v>
      </c>
      <c r="AC102" s="1908">
        <f>SUM(AC98:AC101)</f>
        <v>0</v>
      </c>
      <c r="AD102" s="1905">
        <f>SUM(AD98:AD101)</f>
        <v>0</v>
      </c>
      <c r="AE102" s="1905"/>
      <c r="AF102" s="1905">
        <f>SUM(AF98:AF101)</f>
        <v>0</v>
      </c>
      <c r="AG102" s="1905"/>
      <c r="AH102" s="1905">
        <f>AD102+AF102</f>
        <v>0</v>
      </c>
      <c r="AI102" s="1905">
        <f>SUM(AI98:AI101)</f>
        <v>0</v>
      </c>
      <c r="AJ102" s="1905">
        <f>SUM(AJ98:AJ101)</f>
        <v>0</v>
      </c>
      <c r="AK102" s="2155">
        <f>SUM(AK98:AK101)</f>
        <v>0</v>
      </c>
      <c r="AL102" s="1905">
        <f>SUM(AL98:AL101)</f>
        <v>0</v>
      </c>
      <c r="AM102" s="1905">
        <f>SUM(AM98:AM101)</f>
        <v>0</v>
      </c>
      <c r="AN102" s="1905">
        <f t="shared" si="185"/>
        <v>0</v>
      </c>
      <c r="AO102" s="1905">
        <f>SUM(AO98:AO101)</f>
        <v>0</v>
      </c>
      <c r="AP102" s="1905"/>
      <c r="AQ102" s="1905">
        <f>SUM(AQ98:AQ101)</f>
        <v>0</v>
      </c>
      <c r="AR102" s="1905"/>
      <c r="AS102" s="1905">
        <f>AO102+AQ102</f>
        <v>0</v>
      </c>
      <c r="AT102" s="1905"/>
      <c r="AU102" s="1905">
        <f>SUM(AU98:AU101)</f>
        <v>0</v>
      </c>
      <c r="AV102" s="1905">
        <f>SUM(AV98:AV101)</f>
        <v>0</v>
      </c>
      <c r="AW102" s="2155">
        <f>AU102+AV102</f>
        <v>0</v>
      </c>
      <c r="AX102" s="1905">
        <f>SUM(AX98:AX101)</f>
        <v>0</v>
      </c>
      <c r="AY102" s="1905">
        <f>SUM(AY98:AY101)</f>
        <v>0</v>
      </c>
      <c r="AZ102" s="1905">
        <f t="shared" si="187"/>
        <v>0</v>
      </c>
      <c r="BA102" s="1905">
        <f>SUM(BA98:BA101)</f>
        <v>0</v>
      </c>
      <c r="BB102" s="1905"/>
      <c r="BC102" s="1905">
        <f>SUM(BC98:BC101)</f>
        <v>0</v>
      </c>
      <c r="BD102" s="1905"/>
      <c r="BE102" s="1905">
        <f>BA102+BC102</f>
        <v>0</v>
      </c>
      <c r="BF102" s="1905"/>
      <c r="BG102" s="1905">
        <f>SUM(BG98:BG101)</f>
        <v>0</v>
      </c>
      <c r="BH102" s="1905">
        <f>SUM(BH98:BH101)</f>
        <v>0</v>
      </c>
      <c r="BI102" s="2155">
        <f>BG102+BH102</f>
        <v>0</v>
      </c>
      <c r="BJ102" s="1905">
        <f>SUM(BJ98:BJ101)</f>
        <v>0</v>
      </c>
      <c r="BK102" s="1905">
        <f>SUM(BK98:BK101)</f>
        <v>0</v>
      </c>
      <c r="BL102" s="1905">
        <f>SUM(BL98:BL101)</f>
        <v>0</v>
      </c>
      <c r="BM102" s="2570">
        <f>SUM(BM98:BM101)</f>
        <v>0</v>
      </c>
      <c r="BN102" s="1905">
        <f>SUM(BN98:BN101)</f>
        <v>0</v>
      </c>
      <c r="BO102" s="1905">
        <f t="shared" ref="BO102:BP102" si="192">SUM(BO98:BO101)</f>
        <v>0</v>
      </c>
      <c r="BP102" s="1905">
        <f t="shared" si="192"/>
        <v>0</v>
      </c>
      <c r="BQ102" s="2014">
        <f t="shared" si="183"/>
        <v>0</v>
      </c>
      <c r="BR102" s="1905">
        <f>SUM(BR98:BR101)</f>
        <v>0</v>
      </c>
      <c r="BS102" s="1905">
        <f>SUM(BS98:BS101)</f>
        <v>0</v>
      </c>
      <c r="BT102" s="2155">
        <f t="shared" ref="BT102" si="193">BR102+BS102</f>
        <v>0</v>
      </c>
      <c r="BV102" s="3058"/>
      <c r="BW102" s="3058"/>
      <c r="BX102" s="3058"/>
      <c r="FH102" s="1875"/>
      <c r="FI102" s="1875"/>
      <c r="FJ102" s="1875"/>
      <c r="FK102" s="1875"/>
      <c r="FL102" s="1875"/>
      <c r="FM102" s="1875"/>
      <c r="FN102" s="1875"/>
      <c r="FO102" s="1875"/>
      <c r="FP102" s="1875"/>
      <c r="FQ102" s="1875"/>
      <c r="FR102" s="1875"/>
      <c r="FS102" s="1875"/>
      <c r="FT102" s="1875"/>
      <c r="FU102" s="1875"/>
      <c r="FV102" s="1875"/>
      <c r="FW102" s="1875"/>
      <c r="FX102" s="1875"/>
      <c r="FY102" s="1875"/>
      <c r="FZ102" s="1875"/>
      <c r="GA102" s="1875"/>
      <c r="GB102" s="1875"/>
      <c r="GC102" s="1875"/>
      <c r="GD102" s="1875"/>
      <c r="GE102" s="1875"/>
      <c r="GF102" s="1875"/>
      <c r="GG102" s="1875"/>
      <c r="GH102" s="1875"/>
      <c r="GI102" s="1875"/>
      <c r="GJ102" s="1875"/>
      <c r="GK102" s="1875"/>
      <c r="GL102" s="1875"/>
      <c r="GM102" s="1875"/>
      <c r="GN102" s="1875"/>
      <c r="GO102" s="1875"/>
      <c r="GP102" s="1875"/>
      <c r="GQ102" s="1875"/>
      <c r="GR102" s="1875"/>
      <c r="GS102" s="1875"/>
      <c r="GT102" s="1875"/>
      <c r="GU102" s="1875"/>
      <c r="GV102" s="1875"/>
      <c r="GW102" s="1875"/>
      <c r="GX102" s="1875"/>
      <c r="GY102" s="1875"/>
      <c r="GZ102" s="1875"/>
      <c r="HA102" s="1875"/>
      <c r="HB102" s="1875"/>
      <c r="HC102" s="1875"/>
      <c r="HD102" s="1875"/>
      <c r="HE102" s="1875"/>
      <c r="HF102" s="1875"/>
      <c r="HG102" s="1875"/>
      <c r="HH102" s="1875"/>
      <c r="HI102" s="1875"/>
      <c r="HJ102" s="1875"/>
      <c r="HK102" s="1875"/>
      <c r="HL102" s="1875"/>
      <c r="HM102" s="1875"/>
      <c r="HN102" s="1875"/>
      <c r="HO102" s="1875"/>
      <c r="HP102" s="1875"/>
      <c r="HQ102" s="1875"/>
      <c r="HR102" s="1875"/>
      <c r="HS102" s="1875"/>
      <c r="HT102" s="1875"/>
      <c r="HU102" s="1875"/>
      <c r="HV102" s="1875"/>
      <c r="HW102" s="1875"/>
      <c r="HX102" s="1875"/>
      <c r="HY102" s="1875"/>
      <c r="HZ102" s="1875"/>
      <c r="IA102" s="1875"/>
      <c r="IB102" s="1875"/>
      <c r="IC102" s="1875"/>
      <c r="ID102" s="1875"/>
      <c r="IE102" s="1875"/>
      <c r="IF102" s="1875"/>
      <c r="IG102" s="1875"/>
      <c r="IH102" s="1875"/>
      <c r="II102" s="1875"/>
      <c r="IJ102" s="1875"/>
      <c r="IK102" s="1875"/>
      <c r="IL102" s="1875"/>
      <c r="IM102" s="1875"/>
      <c r="IN102" s="1875"/>
      <c r="IO102" s="1875"/>
      <c r="IP102" s="1875"/>
      <c r="IQ102" s="1875"/>
      <c r="IR102" s="1875"/>
      <c r="IS102" s="1875"/>
      <c r="IT102" s="1875"/>
      <c r="IU102" s="1875"/>
      <c r="IV102" s="1875"/>
      <c r="IW102" s="1875"/>
      <c r="IX102" s="1875"/>
      <c r="IY102" s="1875"/>
      <c r="IZ102" s="1875"/>
      <c r="JA102" s="1875"/>
      <c r="JB102" s="1875"/>
      <c r="JC102" s="1875"/>
      <c r="JD102" s="1875"/>
      <c r="JE102" s="1875"/>
      <c r="JF102" s="1875"/>
      <c r="JG102" s="1875"/>
      <c r="JH102" s="1875"/>
      <c r="JI102" s="1875"/>
      <c r="JJ102" s="1875"/>
      <c r="JK102" s="1875"/>
      <c r="JL102" s="1875"/>
      <c r="JM102" s="1875"/>
      <c r="JN102" s="1875"/>
      <c r="JO102" s="1875"/>
      <c r="JP102" s="1875"/>
      <c r="JQ102" s="1875"/>
      <c r="JR102" s="1875"/>
      <c r="JS102" s="1875"/>
      <c r="JT102" s="1875"/>
      <c r="JU102" s="1875"/>
      <c r="JV102" s="1875"/>
      <c r="JW102" s="1875"/>
      <c r="JX102" s="1875"/>
      <c r="JY102" s="1875"/>
      <c r="JZ102" s="1875"/>
      <c r="KA102" s="1875"/>
      <c r="KB102" s="1875"/>
      <c r="KC102" s="1875"/>
      <c r="KD102" s="1875"/>
      <c r="KE102" s="1875"/>
      <c r="KF102" s="1875"/>
      <c r="KG102" s="1875"/>
      <c r="KH102" s="1875"/>
      <c r="KI102" s="1875"/>
      <c r="KJ102" s="1875"/>
      <c r="KK102" s="1875"/>
      <c r="KL102" s="1875"/>
      <c r="KM102" s="1875"/>
      <c r="KN102" s="1875"/>
      <c r="KO102" s="1875"/>
      <c r="KP102" s="1875"/>
      <c r="KQ102" s="1875"/>
      <c r="KR102" s="1875"/>
      <c r="KS102" s="1875"/>
      <c r="KT102" s="1875"/>
      <c r="KU102" s="1875"/>
      <c r="KV102" s="1875"/>
      <c r="KW102" s="1875"/>
      <c r="KX102" s="1875"/>
      <c r="KY102" s="1875"/>
      <c r="KZ102" s="1875"/>
      <c r="LA102" s="1875"/>
      <c r="LB102" s="1875"/>
      <c r="LC102" s="1875"/>
      <c r="LD102" s="1875"/>
      <c r="LE102" s="1875"/>
      <c r="LF102" s="1875"/>
      <c r="LG102" s="1875"/>
      <c r="LH102" s="1875"/>
      <c r="LI102" s="1875"/>
      <c r="LJ102" s="1875"/>
      <c r="LK102" s="1875"/>
      <c r="LL102" s="1875"/>
      <c r="LM102" s="1875"/>
      <c r="LN102" s="1875"/>
      <c r="LO102" s="1875"/>
      <c r="LP102" s="1875"/>
      <c r="LQ102" s="1875"/>
      <c r="LR102" s="1875"/>
      <c r="LS102" s="1875"/>
      <c r="LT102" s="1875"/>
      <c r="LU102" s="1875"/>
      <c r="LV102" s="1875"/>
      <c r="LW102" s="1875"/>
      <c r="LX102" s="1875"/>
      <c r="LY102" s="1875"/>
      <c r="LZ102" s="1875"/>
      <c r="MA102" s="1875"/>
      <c r="MB102" s="1875"/>
      <c r="MC102" s="1875"/>
      <c r="MD102" s="1875"/>
      <c r="ME102" s="1875"/>
      <c r="MF102" s="1875"/>
      <c r="MG102" s="1875"/>
      <c r="MH102" s="1875"/>
      <c r="MI102" s="1875"/>
      <c r="MJ102" s="1875"/>
      <c r="MK102" s="1875"/>
      <c r="ML102" s="1875"/>
      <c r="MM102" s="1875"/>
      <c r="MN102" s="1875"/>
      <c r="MO102" s="1875"/>
      <c r="MP102" s="1875"/>
      <c r="MQ102" s="1875"/>
      <c r="MR102" s="1875"/>
      <c r="MS102" s="1875"/>
      <c r="MT102" s="1875"/>
      <c r="MU102" s="1875"/>
      <c r="MV102" s="1875"/>
      <c r="MW102" s="1875"/>
      <c r="MX102" s="1875"/>
      <c r="MY102" s="1875"/>
      <c r="MZ102" s="1875"/>
      <c r="NA102" s="1875"/>
      <c r="NB102" s="1875"/>
      <c r="NC102" s="1875"/>
      <c r="ND102" s="1875"/>
      <c r="NE102" s="1875"/>
      <c r="NF102" s="1875"/>
      <c r="NG102" s="1875"/>
      <c r="NH102" s="1875"/>
      <c r="NI102" s="1875"/>
      <c r="NJ102" s="1875"/>
      <c r="NK102" s="1875"/>
      <c r="NL102" s="1875"/>
      <c r="NM102" s="1875"/>
      <c r="NN102" s="1875"/>
      <c r="NO102" s="1875"/>
      <c r="NP102" s="1875"/>
      <c r="NQ102" s="1875"/>
      <c r="NR102" s="1875"/>
      <c r="NS102" s="1875"/>
      <c r="NT102" s="1875"/>
      <c r="NU102" s="1875"/>
      <c r="NV102" s="1875"/>
      <c r="NW102" s="1875"/>
      <c r="NX102" s="1875"/>
      <c r="NY102" s="1875"/>
      <c r="NZ102" s="1875"/>
      <c r="OA102" s="1875"/>
      <c r="OB102" s="1875"/>
      <c r="OC102" s="1875"/>
      <c r="OD102" s="1875"/>
      <c r="OE102" s="1875"/>
      <c r="OF102" s="1875"/>
      <c r="OG102" s="1875"/>
      <c r="OH102" s="1875"/>
      <c r="OI102" s="1875"/>
      <c r="OJ102" s="1875"/>
      <c r="OK102" s="1875"/>
      <c r="OL102" s="1875"/>
      <c r="OM102" s="1875"/>
      <c r="ON102" s="1875"/>
      <c r="OO102" s="1875"/>
      <c r="OP102" s="1875"/>
      <c r="OQ102" s="1875"/>
      <c r="OR102" s="1875"/>
      <c r="OS102" s="1875"/>
      <c r="OT102" s="1875"/>
      <c r="OU102" s="1875"/>
      <c r="OV102" s="1875"/>
      <c r="OW102" s="1875"/>
      <c r="OX102" s="1875"/>
      <c r="OY102" s="1875"/>
      <c r="OZ102" s="1875"/>
      <c r="PA102" s="1875"/>
      <c r="PB102" s="1875"/>
      <c r="PC102" s="1875"/>
      <c r="PD102" s="1875"/>
      <c r="PE102" s="1875"/>
      <c r="PF102" s="1875"/>
      <c r="PG102" s="1875"/>
      <c r="PH102" s="1875"/>
      <c r="PI102" s="1875"/>
      <c r="PJ102" s="1875"/>
      <c r="PK102" s="1875"/>
      <c r="PL102" s="1875"/>
      <c r="PM102" s="1875"/>
      <c r="PN102" s="1875"/>
      <c r="PO102" s="1875"/>
      <c r="PP102" s="1875"/>
      <c r="PQ102" s="1875"/>
      <c r="PR102" s="1875"/>
      <c r="PS102" s="1875"/>
      <c r="PT102" s="1875"/>
      <c r="PU102" s="1875"/>
      <c r="PV102" s="1875"/>
      <c r="PW102" s="1875"/>
      <c r="PX102" s="1875"/>
      <c r="PY102" s="1875"/>
      <c r="PZ102" s="1875"/>
      <c r="QA102" s="1875"/>
      <c r="QB102" s="1875"/>
      <c r="QC102" s="1875"/>
      <c r="QD102" s="1875"/>
      <c r="QE102" s="1875"/>
      <c r="QF102" s="1875"/>
      <c r="QG102" s="1875"/>
      <c r="QH102" s="1875"/>
      <c r="QI102" s="1875"/>
      <c r="QJ102" s="1875"/>
      <c r="QK102" s="1875"/>
      <c r="QL102" s="1875"/>
      <c r="QM102" s="1875"/>
      <c r="QN102" s="1875"/>
      <c r="QO102" s="1875"/>
      <c r="QP102" s="1875"/>
      <c r="QQ102" s="1875"/>
      <c r="QR102" s="1875"/>
      <c r="QS102" s="1875"/>
      <c r="QT102" s="1875"/>
      <c r="QU102" s="1875"/>
      <c r="QV102" s="1875"/>
      <c r="QW102" s="1875"/>
      <c r="QX102" s="1875"/>
      <c r="QY102" s="1875"/>
      <c r="QZ102" s="1875"/>
      <c r="RA102" s="1875"/>
      <c r="RB102" s="1875"/>
      <c r="RC102" s="1875"/>
      <c r="RD102" s="1875"/>
      <c r="RE102" s="1875"/>
      <c r="RF102" s="1875"/>
      <c r="RG102" s="1875"/>
      <c r="RH102" s="1875"/>
      <c r="RI102" s="1875"/>
      <c r="RJ102" s="1875"/>
      <c r="RK102" s="1875"/>
      <c r="RL102" s="1875"/>
      <c r="RM102" s="1875"/>
      <c r="RN102" s="1875"/>
      <c r="RO102" s="1875"/>
      <c r="RP102" s="1875"/>
      <c r="RQ102" s="1875"/>
      <c r="RR102" s="1875"/>
      <c r="RS102" s="1875"/>
      <c r="RT102" s="1875"/>
      <c r="RU102" s="1875"/>
      <c r="RV102" s="1875"/>
      <c r="RW102" s="1875"/>
      <c r="RX102" s="1875"/>
      <c r="RY102" s="1875"/>
      <c r="RZ102" s="1875"/>
      <c r="SA102" s="1875"/>
      <c r="SB102" s="1875"/>
      <c r="SC102" s="1875"/>
      <c r="SD102" s="1875"/>
      <c r="SE102" s="1875"/>
      <c r="SF102" s="1875"/>
      <c r="SG102" s="1875"/>
      <c r="SH102" s="1875"/>
      <c r="SI102" s="1875"/>
      <c r="SJ102" s="1875"/>
      <c r="SK102" s="1875"/>
      <c r="SL102" s="1875"/>
      <c r="SM102" s="1875"/>
      <c r="SN102" s="1875"/>
      <c r="SO102" s="1875"/>
      <c r="SP102" s="1875"/>
      <c r="SQ102" s="1875"/>
      <c r="SR102" s="1875"/>
      <c r="SS102" s="1875"/>
      <c r="ST102" s="1875"/>
      <c r="SU102" s="1875"/>
      <c r="SV102" s="1875"/>
      <c r="SW102" s="1875"/>
      <c r="SX102" s="1875"/>
      <c r="SY102" s="1875"/>
      <c r="SZ102" s="1875"/>
      <c r="TA102" s="1875"/>
      <c r="TB102" s="1875"/>
      <c r="TC102" s="1875"/>
      <c r="TD102" s="1875"/>
      <c r="TE102" s="1875"/>
      <c r="TF102" s="1875"/>
      <c r="TG102" s="1875"/>
      <c r="TH102" s="1875"/>
      <c r="TI102" s="1875"/>
      <c r="TJ102" s="1875"/>
      <c r="TK102" s="1875"/>
      <c r="TL102" s="1875"/>
      <c r="TM102" s="1875"/>
      <c r="TN102" s="1875"/>
      <c r="TO102" s="1875"/>
      <c r="TP102" s="1875"/>
      <c r="TQ102" s="1875"/>
      <c r="TR102" s="1875"/>
      <c r="TS102" s="1875"/>
      <c r="TT102" s="1875"/>
      <c r="TU102" s="1875"/>
      <c r="TV102" s="1875"/>
      <c r="TW102" s="1875"/>
      <c r="TX102" s="1875"/>
      <c r="TY102" s="1875"/>
      <c r="TZ102" s="1875"/>
      <c r="UA102" s="1875"/>
      <c r="UB102" s="1875"/>
      <c r="UC102" s="1875"/>
      <c r="UD102" s="1875"/>
      <c r="UE102" s="1875"/>
      <c r="UF102" s="1875"/>
      <c r="UG102" s="1875"/>
      <c r="UH102" s="1875"/>
      <c r="UI102" s="1875"/>
      <c r="UJ102" s="1875"/>
      <c r="UK102" s="1875"/>
      <c r="UL102" s="1875"/>
      <c r="UM102" s="1875"/>
      <c r="UN102" s="1875"/>
      <c r="UO102" s="1875"/>
      <c r="UP102" s="1875"/>
      <c r="UQ102" s="1875"/>
      <c r="UR102" s="1875"/>
      <c r="US102" s="1875"/>
      <c r="UT102" s="1875"/>
      <c r="UU102" s="1875"/>
      <c r="UV102" s="1875"/>
      <c r="UW102" s="1875"/>
      <c r="UX102" s="1875"/>
      <c r="UY102" s="1875"/>
      <c r="UZ102" s="1875"/>
      <c r="VA102" s="1875"/>
      <c r="VB102" s="1875"/>
      <c r="VC102" s="1875"/>
      <c r="VD102" s="1875"/>
      <c r="VE102" s="1875"/>
      <c r="VF102" s="1875"/>
      <c r="VG102" s="1875"/>
      <c r="VH102" s="1875"/>
      <c r="VI102" s="1875"/>
      <c r="VJ102" s="1875"/>
      <c r="VK102" s="1875"/>
      <c r="VL102" s="1875"/>
      <c r="VM102" s="1875"/>
      <c r="VN102" s="1875"/>
      <c r="VO102" s="1875"/>
      <c r="VP102" s="1875"/>
      <c r="VQ102" s="1875"/>
      <c r="VR102" s="1875"/>
      <c r="VS102" s="1875"/>
      <c r="VT102" s="1875"/>
      <c r="VU102" s="1875"/>
      <c r="VV102" s="1875"/>
      <c r="VW102" s="1875"/>
      <c r="VX102" s="1875"/>
      <c r="VY102" s="1875"/>
      <c r="VZ102" s="1875"/>
      <c r="WA102" s="1875"/>
      <c r="WB102" s="1875"/>
      <c r="WC102" s="1875"/>
      <c r="WD102" s="1875"/>
      <c r="WE102" s="1875"/>
    </row>
    <row r="103" spans="1:603" s="112" customFormat="1" ht="15" customHeight="1" x14ac:dyDescent="0.2">
      <c r="A103" s="2556" t="s">
        <v>592</v>
      </c>
      <c r="B103" s="2233"/>
      <c r="C103" s="2234"/>
      <c r="D103" s="2235" t="s">
        <v>595</v>
      </c>
      <c r="E103" s="2274"/>
      <c r="F103" s="2275"/>
      <c r="G103" s="2276"/>
      <c r="H103" s="2277"/>
      <c r="I103" s="2278"/>
      <c r="J103" s="2278"/>
      <c r="K103" s="2277"/>
      <c r="L103" s="2278"/>
      <c r="M103" s="2278"/>
      <c r="N103" s="2242"/>
      <c r="O103" s="2242"/>
      <c r="P103" s="2242"/>
      <c r="Q103" s="2242"/>
      <c r="R103" s="2242"/>
      <c r="S103" s="2242"/>
      <c r="T103" s="2242"/>
      <c r="U103" s="2242"/>
      <c r="V103" s="2324"/>
      <c r="W103" s="2357"/>
      <c r="X103" s="2242"/>
      <c r="Y103" s="2242"/>
      <c r="Z103" s="2356">
        <f>+Z53</f>
        <v>7655439.8251149813</v>
      </c>
      <c r="AA103" s="2356">
        <f t="shared" ref="AA103:AC103" si="194">+AA53</f>
        <v>44665069.600000001</v>
      </c>
      <c r="AB103" s="2356">
        <f t="shared" si="194"/>
        <v>44665069.600000001</v>
      </c>
      <c r="AC103" s="2356">
        <f t="shared" si="194"/>
        <v>0</v>
      </c>
      <c r="AD103" s="1865"/>
      <c r="AE103" s="2545"/>
      <c r="AF103" s="1865"/>
      <c r="AG103" s="2545"/>
      <c r="AH103" s="1865"/>
      <c r="AI103" s="1865"/>
      <c r="AJ103" s="1865"/>
      <c r="AK103" s="2392"/>
      <c r="AL103" s="1865"/>
      <c r="AM103" s="1865"/>
      <c r="AN103" s="1865"/>
      <c r="AO103" s="1865"/>
      <c r="AP103" s="1865"/>
      <c r="AQ103" s="1865"/>
      <c r="AR103" s="1865"/>
      <c r="AS103" s="1865"/>
      <c r="AT103" s="1865"/>
      <c r="AU103" s="1865"/>
      <c r="AV103" s="1865"/>
      <c r="AW103" s="2392"/>
      <c r="AX103" s="2545"/>
      <c r="AY103" s="2545"/>
      <c r="AZ103" s="2545"/>
      <c r="BA103" s="2545"/>
      <c r="BB103" s="2545"/>
      <c r="BC103" s="2545"/>
      <c r="BD103" s="2545"/>
      <c r="BE103" s="2545"/>
      <c r="BF103" s="2545"/>
      <c r="BG103" s="2545"/>
      <c r="BH103" s="2545"/>
      <c r="BI103" s="2392"/>
      <c r="BJ103" s="2486">
        <f>+BJ53</f>
        <v>548050</v>
      </c>
      <c r="BK103" s="2486">
        <f t="shared" ref="BK103:BL103" si="195">+BK53</f>
        <v>548050</v>
      </c>
      <c r="BL103" s="2486">
        <f t="shared" si="195"/>
        <v>0</v>
      </c>
      <c r="BM103" s="2555"/>
      <c r="BN103" s="1865"/>
      <c r="BO103" s="2545"/>
      <c r="BP103" s="2545"/>
      <c r="BQ103" s="1865"/>
      <c r="BR103" s="1865"/>
      <c r="BS103" s="1865"/>
      <c r="BT103" s="2392"/>
      <c r="BU103" s="99"/>
      <c r="BV103" s="3058"/>
      <c r="BW103" s="3058"/>
      <c r="BX103" s="3058"/>
      <c r="BY103" s="99"/>
      <c r="BZ103" s="99"/>
    </row>
    <row r="104" spans="1:603" s="112" customFormat="1" ht="27" x14ac:dyDescent="0.2">
      <c r="A104" s="99"/>
      <c r="B104" s="99"/>
      <c r="C104" s="99"/>
      <c r="D104" s="2078"/>
      <c r="E104" s="3426"/>
      <c r="F104" s="3426"/>
      <c r="G104" s="3426"/>
      <c r="H104" s="3426"/>
      <c r="I104" s="3426"/>
      <c r="J104" s="3426"/>
      <c r="K104" s="3426"/>
      <c r="L104" s="3426"/>
      <c r="M104" s="3426"/>
      <c r="N104" s="3426"/>
      <c r="O104" s="3426"/>
      <c r="P104" s="3426"/>
      <c r="Q104" s="3426"/>
      <c r="R104" s="3426"/>
      <c r="S104" s="3426"/>
      <c r="T104" s="3426"/>
      <c r="U104" s="99"/>
      <c r="V104" s="99"/>
      <c r="Z104" s="2900"/>
      <c r="AA104" s="99"/>
      <c r="AD104" s="99"/>
      <c r="AE104" s="99"/>
      <c r="AF104" s="99"/>
      <c r="AG104" s="99"/>
      <c r="AH104" s="99"/>
      <c r="AI104" s="2393"/>
      <c r="AJ104" s="99"/>
      <c r="AK104" s="2852"/>
      <c r="AS104" s="112">
        <f>+AS53</f>
        <v>825300</v>
      </c>
      <c r="AW104" s="2849">
        <f>+AW53+AW84+AW78</f>
        <v>842800</v>
      </c>
      <c r="BF104" s="2900"/>
      <c r="BG104" s="2900"/>
      <c r="BH104" s="2900"/>
      <c r="BI104" s="2900"/>
      <c r="BJ104" s="2900"/>
      <c r="BQ104" s="112">
        <f>+BQ53+BQ84</f>
        <v>3484431.63</v>
      </c>
      <c r="BT104" s="112">
        <f>+BT53+BT78+BT84</f>
        <v>4361939.0199999996</v>
      </c>
      <c r="BV104" s="3058"/>
      <c r="BW104" s="3058"/>
      <c r="BX104" s="3058"/>
    </row>
    <row r="105" spans="1:603" s="112" customFormat="1" ht="27" x14ac:dyDescent="0.2">
      <c r="D105" s="312"/>
      <c r="E105" s="1785"/>
      <c r="F105" s="1785"/>
      <c r="G105" s="1785"/>
      <c r="H105" s="1785"/>
      <c r="I105" s="1785"/>
      <c r="J105" s="1785"/>
      <c r="K105" s="1785"/>
      <c r="L105" s="1785"/>
      <c r="M105" s="1785"/>
      <c r="N105" s="1785"/>
      <c r="O105" s="1785"/>
      <c r="P105" s="1785"/>
      <c r="Q105" s="1785"/>
      <c r="R105" s="1785"/>
      <c r="S105" s="1785"/>
      <c r="T105" s="1785"/>
      <c r="Z105" s="312"/>
      <c r="AA105" s="2340"/>
      <c r="AI105" s="2393"/>
      <c r="AK105" s="2850"/>
      <c r="AM105" s="2862"/>
      <c r="AS105" s="3419"/>
      <c r="AW105" s="3529"/>
      <c r="BE105" s="3421"/>
      <c r="BI105" s="3421"/>
      <c r="BV105" s="3058"/>
      <c r="BW105" s="3058"/>
      <c r="BX105" s="3058"/>
    </row>
    <row r="106" spans="1:603" s="112" customFormat="1" ht="27" x14ac:dyDescent="0.2">
      <c r="A106" s="2079"/>
      <c r="D106" s="312"/>
      <c r="E106" s="1785"/>
      <c r="F106" s="1785"/>
      <c r="G106" s="1785"/>
      <c r="H106" s="1785"/>
      <c r="I106" s="1785"/>
      <c r="J106" s="1785"/>
      <c r="K106" s="1785"/>
      <c r="L106" s="1785"/>
      <c r="M106" s="1785"/>
      <c r="N106" s="1785"/>
      <c r="O106" s="1785"/>
      <c r="P106" s="1785"/>
      <c r="Q106" s="1785"/>
      <c r="R106" s="1785"/>
      <c r="S106" s="1785"/>
      <c r="T106" s="1785"/>
      <c r="Z106" s="312"/>
      <c r="AA106" s="3458"/>
      <c r="AB106" s="312"/>
      <c r="AC106" s="312"/>
      <c r="AD106" s="312"/>
      <c r="AK106" s="2850"/>
      <c r="AS106" s="3420"/>
      <c r="AW106" s="3530"/>
      <c r="BE106" s="3420"/>
      <c r="BH106" s="312"/>
      <c r="BI106" s="3518"/>
      <c r="BV106" s="3058"/>
      <c r="BW106" s="3058"/>
      <c r="BX106" s="3058"/>
    </row>
    <row r="107" spans="1:603" s="112" customFormat="1" ht="27" x14ac:dyDescent="0.2">
      <c r="A107" s="1125"/>
      <c r="D107" s="312"/>
      <c r="E107" s="1785"/>
      <c r="F107" s="1785"/>
      <c r="G107" s="1785"/>
      <c r="H107" s="1785"/>
      <c r="I107" s="1785"/>
      <c r="J107" s="1785"/>
      <c r="K107" s="1785"/>
      <c r="L107" s="1785"/>
      <c r="M107" s="1785"/>
      <c r="N107" s="1785"/>
      <c r="O107" s="1785"/>
      <c r="P107" s="1785"/>
      <c r="Q107" s="1785"/>
      <c r="R107" s="1785"/>
      <c r="S107" s="1785"/>
      <c r="T107" s="1785"/>
      <c r="Z107" s="312"/>
      <c r="AA107" s="3459"/>
      <c r="AB107" s="312"/>
      <c r="AC107" s="312"/>
      <c r="AD107" s="312"/>
      <c r="AK107" s="2850"/>
      <c r="AQ107" s="312"/>
      <c r="AR107" s="3519"/>
      <c r="AS107" s="3459"/>
      <c r="AT107" s="312"/>
      <c r="AU107" s="312"/>
      <c r="AV107" s="3519"/>
      <c r="AW107" s="3459"/>
      <c r="BH107" s="312"/>
      <c r="BI107" s="3459"/>
      <c r="BV107" s="3058"/>
      <c r="BW107" s="3058"/>
      <c r="BX107" s="3058"/>
    </row>
    <row r="108" spans="1:603" ht="27" x14ac:dyDescent="0.2">
      <c r="B108" s="112"/>
      <c r="C108" s="112"/>
      <c r="D108" s="312"/>
      <c r="E108" s="1785"/>
      <c r="F108" s="1785"/>
      <c r="G108" s="1785"/>
      <c r="H108" s="1785"/>
      <c r="I108" s="1785"/>
      <c r="J108" s="1785"/>
      <c r="K108" s="1785"/>
      <c r="L108" s="1785"/>
      <c r="M108" s="1785"/>
      <c r="N108" s="1785"/>
      <c r="O108" s="1785"/>
      <c r="P108" s="1785"/>
      <c r="Q108" s="1785"/>
      <c r="R108" s="1785"/>
      <c r="S108" s="1785"/>
      <c r="T108" s="1785"/>
      <c r="U108" s="112"/>
      <c r="Y108" s="112"/>
      <c r="Z108" s="312"/>
      <c r="AA108" s="3459"/>
      <c r="AB108" s="312"/>
      <c r="AC108" s="312"/>
      <c r="AD108" s="312"/>
      <c r="AE108" s="112"/>
      <c r="AF108" s="112"/>
      <c r="AG108" s="112"/>
      <c r="AH108" s="112"/>
      <c r="AI108" s="112"/>
      <c r="AJ108" s="112"/>
      <c r="AK108" s="2850"/>
      <c r="AS108" s="3459"/>
      <c r="AT108" s="3470"/>
      <c r="AU108" s="3470"/>
      <c r="AV108" s="3470"/>
      <c r="AW108" s="3459"/>
      <c r="AY108" s="112"/>
      <c r="BD108" s="3463"/>
      <c r="BE108" s="106"/>
      <c r="BH108" s="3470"/>
      <c r="BI108" s="3459"/>
      <c r="BV108" s="3058"/>
      <c r="BW108" s="3058"/>
      <c r="BX108" s="3058"/>
    </row>
    <row r="109" spans="1:603" ht="27" x14ac:dyDescent="0.2">
      <c r="A109" s="112"/>
      <c r="B109" s="112"/>
      <c r="C109" s="112"/>
      <c r="D109" s="312"/>
      <c r="E109" s="1785"/>
      <c r="F109" s="1785"/>
      <c r="G109" s="1785"/>
      <c r="H109" s="1785"/>
      <c r="I109" s="1785"/>
      <c r="J109" s="1785"/>
      <c r="K109" s="1785"/>
      <c r="L109" s="1785"/>
      <c r="M109" s="1785"/>
      <c r="N109" s="1785"/>
      <c r="O109" s="1785"/>
      <c r="P109" s="1785"/>
      <c r="Q109" s="1785"/>
      <c r="R109" s="1785"/>
      <c r="S109" s="1785"/>
      <c r="T109" s="1785"/>
      <c r="U109" s="112"/>
      <c r="Y109" s="112"/>
      <c r="Z109" s="312"/>
      <c r="AA109" s="3459"/>
      <c r="AB109" s="312"/>
      <c r="AC109" s="312"/>
      <c r="AD109" s="312"/>
      <c r="AE109" s="112"/>
      <c r="AF109" s="112"/>
      <c r="AG109" s="112"/>
      <c r="AH109" s="112"/>
      <c r="AI109" s="112"/>
      <c r="AJ109" s="112"/>
      <c r="AK109" s="2850"/>
      <c r="AM109" s="2848"/>
      <c r="AS109" s="3459"/>
      <c r="AT109" s="3470"/>
      <c r="AU109" s="3470"/>
      <c r="AV109" s="3470"/>
      <c r="AW109" s="3459"/>
      <c r="BH109" s="3470"/>
      <c r="BI109" s="3459"/>
      <c r="BV109" s="3058"/>
      <c r="BW109" s="3058"/>
      <c r="BX109" s="3058"/>
    </row>
    <row r="110" spans="1:603" ht="27" x14ac:dyDescent="0.2">
      <c r="A110" s="112"/>
      <c r="D110" s="2201"/>
      <c r="E110" s="112"/>
      <c r="G110" s="112"/>
      <c r="P110" s="112"/>
      <c r="Q110" s="112"/>
      <c r="R110" s="112"/>
      <c r="Y110" s="112"/>
      <c r="Z110" s="312"/>
      <c r="AA110" s="3459"/>
      <c r="AB110" s="312"/>
      <c r="AC110" s="3453"/>
      <c r="AD110" s="3453"/>
      <c r="AI110" s="2393"/>
      <c r="AK110" s="2850"/>
      <c r="AQ110" s="3470"/>
      <c r="AR110" s="3470"/>
      <c r="AS110" s="3459"/>
      <c r="AT110" s="3470"/>
      <c r="AU110" s="3470"/>
      <c r="AV110" s="3470"/>
      <c r="AW110" s="3470"/>
      <c r="BV110" s="3058"/>
      <c r="BW110" s="3058"/>
      <c r="BX110" s="3058"/>
    </row>
    <row r="111" spans="1:603" ht="27" x14ac:dyDescent="0.2">
      <c r="A111" s="112"/>
      <c r="D111" s="2201"/>
      <c r="P111" s="112"/>
      <c r="Q111" s="112"/>
      <c r="R111" s="112"/>
      <c r="Y111" s="112"/>
      <c r="Z111" s="312"/>
      <c r="AA111" s="3458"/>
      <c r="AB111" s="1785"/>
      <c r="AC111" s="1969"/>
      <c r="AD111" s="1969"/>
      <c r="AE111" s="3423"/>
      <c r="AF111" s="3423"/>
      <c r="AG111" s="3423"/>
      <c r="AH111" s="3423"/>
      <c r="AI111" s="3423"/>
      <c r="AJ111" s="3423"/>
      <c r="AK111" s="2853"/>
      <c r="AW111" s="2853"/>
      <c r="BG111" s="106"/>
      <c r="BV111" s="3058"/>
      <c r="BW111" s="3058"/>
      <c r="BX111" s="3058"/>
    </row>
    <row r="112" spans="1:603" ht="27" x14ac:dyDescent="0.2">
      <c r="A112" s="112"/>
      <c r="D112" s="2201"/>
      <c r="H112" s="112"/>
      <c r="P112" s="112"/>
      <c r="Q112" s="112"/>
      <c r="Y112" s="112"/>
      <c r="Z112" s="312"/>
      <c r="AA112" s="312"/>
      <c r="AB112" s="3453"/>
      <c r="AC112" s="3453"/>
      <c r="AD112" s="3453"/>
      <c r="AI112" s="2393"/>
      <c r="AK112" s="2853"/>
      <c r="AW112" s="2853"/>
      <c r="BA112" s="2848"/>
      <c r="BV112" s="3058"/>
      <c r="BW112" s="3058"/>
      <c r="BX112" s="3058"/>
    </row>
    <row r="113" spans="1:76" ht="27" x14ac:dyDescent="0.2">
      <c r="A113" s="112"/>
      <c r="D113" s="2201"/>
      <c r="H113" s="112"/>
      <c r="Y113" s="112"/>
      <c r="Z113" s="312"/>
      <c r="AA113" s="3453"/>
      <c r="AB113" s="3453"/>
      <c r="AC113" s="3453"/>
      <c r="AD113" s="3453"/>
      <c r="AI113" s="2325"/>
      <c r="AK113" s="2853"/>
      <c r="AM113" s="2848"/>
      <c r="AW113" s="2853"/>
      <c r="AY113" s="3424"/>
      <c r="AZ113" s="3424"/>
      <c r="BA113" s="3424"/>
      <c r="BB113" s="3424"/>
      <c r="BC113" s="3424"/>
      <c r="BD113" s="3424"/>
      <c r="BE113" s="3424"/>
      <c r="BF113" s="3464"/>
      <c r="BG113" s="3424"/>
      <c r="BV113" s="3058"/>
      <c r="BW113" s="3058"/>
      <c r="BX113" s="3058"/>
    </row>
    <row r="114" spans="1:76" ht="27" x14ac:dyDescent="0.2">
      <c r="D114" s="2201"/>
      <c r="H114" s="112"/>
      <c r="Y114" s="112"/>
      <c r="Z114" s="312"/>
      <c r="AK114" s="2853"/>
      <c r="AW114" s="2853"/>
      <c r="AY114" s="3424"/>
      <c r="AZ114" s="3424"/>
      <c r="BA114" s="3424"/>
      <c r="BB114" s="3424"/>
      <c r="BC114" s="3424"/>
      <c r="BD114" s="3424"/>
      <c r="BE114" s="3424"/>
      <c r="BF114" s="3424"/>
      <c r="BG114" s="3424"/>
      <c r="BV114" s="3058"/>
      <c r="BW114" s="3058"/>
      <c r="BX114" s="3058"/>
    </row>
    <row r="115" spans="1:76" s="141" customFormat="1" ht="27" x14ac:dyDescent="0.2">
      <c r="A115" s="99"/>
      <c r="B115" s="99"/>
      <c r="C115" s="99"/>
      <c r="D115" s="2201"/>
      <c r="E115" s="99"/>
      <c r="F115" s="112"/>
      <c r="G115" s="99"/>
      <c r="H115" s="2107"/>
      <c r="I115" s="112"/>
      <c r="J115" s="112"/>
      <c r="K115" s="174"/>
      <c r="L115" s="112"/>
      <c r="M115" s="112"/>
      <c r="N115" s="99"/>
      <c r="O115" s="99"/>
      <c r="P115" s="99"/>
      <c r="Q115" s="99"/>
      <c r="R115" s="99"/>
      <c r="S115" s="99"/>
      <c r="T115" s="99"/>
      <c r="U115" s="99"/>
      <c r="V115" s="99"/>
      <c r="W115" s="99"/>
      <c r="X115" s="99"/>
      <c r="Y115" s="112"/>
      <c r="Z115" s="406"/>
      <c r="AA115" s="99"/>
      <c r="AB115" s="99"/>
      <c r="AC115" s="99"/>
      <c r="AD115" s="99"/>
      <c r="AE115" s="99"/>
      <c r="AF115" s="99"/>
      <c r="AG115" s="99"/>
      <c r="AH115" s="99"/>
      <c r="AI115" s="99"/>
      <c r="AJ115" s="99"/>
      <c r="AK115" s="2853"/>
      <c r="AL115" s="2854"/>
      <c r="AM115" s="2855"/>
      <c r="AN115" s="2854"/>
      <c r="AO115" s="2854"/>
      <c r="AP115" s="99"/>
      <c r="AQ115" s="99"/>
      <c r="AW115" s="2851"/>
      <c r="AY115" s="3424"/>
      <c r="AZ115" s="3424"/>
      <c r="BA115" s="3424"/>
      <c r="BB115" s="3424"/>
      <c r="BC115" s="3424"/>
      <c r="BD115" s="3424"/>
      <c r="BE115" s="3424"/>
      <c r="BF115" s="3424"/>
      <c r="BG115" s="3424"/>
      <c r="BJ115" s="112"/>
      <c r="BV115" s="3058"/>
      <c r="BW115" s="3058"/>
      <c r="BX115" s="3058"/>
    </row>
    <row r="116" spans="1:76" s="141" customFormat="1" ht="27" x14ac:dyDescent="0.2">
      <c r="A116" s="99"/>
      <c r="B116" s="99"/>
      <c r="C116" s="99"/>
      <c r="D116" s="2201"/>
      <c r="E116" s="99"/>
      <c r="F116" s="112"/>
      <c r="G116" s="99"/>
      <c r="H116" s="2108"/>
      <c r="I116" s="112"/>
      <c r="J116" s="112"/>
      <c r="K116" s="174"/>
      <c r="L116" s="112"/>
      <c r="M116" s="112"/>
      <c r="N116" s="99"/>
      <c r="O116" s="99"/>
      <c r="P116" s="99"/>
      <c r="Q116" s="99"/>
      <c r="R116" s="99"/>
      <c r="S116" s="99"/>
      <c r="T116" s="99"/>
      <c r="U116" s="99"/>
      <c r="V116" s="99"/>
      <c r="W116" s="99"/>
      <c r="X116" s="99"/>
      <c r="Y116" s="112"/>
      <c r="Z116" s="406"/>
      <c r="AA116" s="99"/>
      <c r="AB116" s="99"/>
      <c r="AC116" s="99"/>
      <c r="AD116" s="99"/>
      <c r="AE116" s="99"/>
      <c r="AF116" s="99"/>
      <c r="AG116" s="99"/>
      <c r="AH116" s="99"/>
      <c r="AI116" s="99"/>
      <c r="AJ116" s="99"/>
      <c r="AK116" s="2853"/>
      <c r="AW116" s="2851"/>
      <c r="AX116" s="99"/>
      <c r="AY116" s="3424"/>
      <c r="AZ116" s="3424"/>
      <c r="BA116" s="3424"/>
      <c r="BB116" s="3424"/>
      <c r="BC116" s="3424"/>
      <c r="BD116" s="3424"/>
      <c r="BE116" s="3424"/>
      <c r="BF116" s="3424"/>
      <c r="BG116" s="3424"/>
      <c r="BJ116" s="112"/>
      <c r="BV116" s="3058"/>
      <c r="BW116" s="3058"/>
      <c r="BX116" s="3058"/>
    </row>
    <row r="117" spans="1:76" ht="27" x14ac:dyDescent="0.2">
      <c r="D117" s="2201"/>
      <c r="Y117" s="112"/>
      <c r="Z117" s="312"/>
      <c r="AA117" s="141"/>
      <c r="AB117" s="141"/>
      <c r="AC117" s="141"/>
      <c r="AD117" s="141"/>
      <c r="AE117" s="141"/>
      <c r="AF117" s="141"/>
      <c r="AG117" s="141"/>
      <c r="AH117" s="141"/>
      <c r="AI117" s="141"/>
      <c r="AJ117" s="141"/>
      <c r="AK117" s="2851"/>
      <c r="AL117" s="141"/>
      <c r="AM117" s="2864"/>
      <c r="AN117" s="141"/>
      <c r="AO117" s="141"/>
      <c r="AP117" s="141"/>
      <c r="AQ117" s="141"/>
      <c r="AW117" s="2853"/>
      <c r="AY117" s="2848"/>
      <c r="BV117" s="3058"/>
      <c r="BW117" s="3058"/>
      <c r="BX117" s="3058"/>
    </row>
    <row r="118" spans="1:76" ht="27" x14ac:dyDescent="0.2">
      <c r="D118" s="2201"/>
      <c r="Y118" s="112"/>
      <c r="Z118" s="312"/>
      <c r="AA118" s="141"/>
      <c r="AB118" s="141"/>
      <c r="AC118" s="141"/>
      <c r="AD118" s="141"/>
      <c r="AE118" s="141"/>
      <c r="AF118" s="141"/>
      <c r="AG118" s="141"/>
      <c r="AH118" s="141"/>
      <c r="AI118" s="141"/>
      <c r="AJ118" s="141"/>
      <c r="AK118" s="2851"/>
      <c r="AW118" s="2853"/>
      <c r="AY118" s="2848"/>
      <c r="BS118" s="99" t="s">
        <v>571</v>
      </c>
      <c r="BV118" s="3058"/>
      <c r="BW118" s="3058"/>
      <c r="BX118" s="3058"/>
    </row>
    <row r="119" spans="1:76" ht="27" x14ac:dyDescent="0.2">
      <c r="D119" s="2201"/>
      <c r="Y119" s="112"/>
      <c r="Z119" s="312"/>
      <c r="AK119" s="2853"/>
      <c r="AW119" s="2853"/>
      <c r="BV119" s="3058"/>
      <c r="BW119" s="3058"/>
      <c r="BX119" s="3058"/>
    </row>
    <row r="120" spans="1:76" ht="27" x14ac:dyDescent="0.2">
      <c r="D120" s="2201"/>
      <c r="Y120" s="112"/>
      <c r="Z120" s="312"/>
      <c r="AK120" s="2853"/>
      <c r="AM120" s="2848"/>
      <c r="AW120" s="2853"/>
      <c r="BV120" s="3058"/>
      <c r="BW120" s="3058"/>
      <c r="BX120" s="3058"/>
    </row>
    <row r="121" spans="1:76" ht="27" x14ac:dyDescent="0.2">
      <c r="D121" s="2201"/>
      <c r="Y121" s="112"/>
      <c r="Z121" s="312"/>
      <c r="AK121" s="2853"/>
      <c r="AW121" s="2853"/>
      <c r="BV121" s="3058"/>
      <c r="BW121" s="3058"/>
      <c r="BX121" s="3058"/>
    </row>
    <row r="122" spans="1:76" ht="27" x14ac:dyDescent="0.2">
      <c r="D122" s="2201"/>
      <c r="R122" s="2848"/>
      <c r="Y122" s="112"/>
      <c r="Z122" s="312"/>
      <c r="AK122" s="2853"/>
      <c r="AM122" s="2848"/>
      <c r="AW122" s="2853"/>
      <c r="BA122" s="2848"/>
      <c r="BV122" s="3058"/>
      <c r="BW122" s="3058"/>
      <c r="BX122" s="3058"/>
    </row>
    <row r="123" spans="1:76" ht="27" x14ac:dyDescent="0.2">
      <c r="D123" s="2201"/>
      <c r="O123" s="3467"/>
      <c r="Z123" s="312"/>
      <c r="AK123" s="2853"/>
      <c r="AM123" s="2848"/>
      <c r="AW123" s="2853"/>
      <c r="BA123" s="2848"/>
      <c r="BV123" s="3058"/>
      <c r="BW123" s="3058"/>
      <c r="BX123" s="3058"/>
    </row>
    <row r="124" spans="1:76" ht="27" x14ac:dyDescent="0.2">
      <c r="D124" s="2201"/>
      <c r="O124" s="3467"/>
      <c r="Z124" s="312"/>
      <c r="AK124" s="2853"/>
      <c r="AW124" s="2853"/>
      <c r="BV124" s="3058"/>
      <c r="BW124" s="3058"/>
      <c r="BX124" s="3058"/>
    </row>
    <row r="125" spans="1:76" ht="27" x14ac:dyDescent="0.2">
      <c r="D125" s="2201"/>
      <c r="O125" s="3467"/>
      <c r="Z125" s="312"/>
      <c r="AB125" s="2848"/>
      <c r="AK125" s="2853"/>
      <c r="AW125" s="2853"/>
      <c r="BV125" s="3058"/>
      <c r="BW125" s="3058"/>
      <c r="BX125" s="3058"/>
    </row>
    <row r="126" spans="1:76" ht="27" x14ac:dyDescent="0.2">
      <c r="D126" s="2201"/>
      <c r="O126" s="3467"/>
      <c r="Z126" s="312"/>
      <c r="AK126" s="2853"/>
      <c r="AW126" s="2853"/>
      <c r="AZ126" s="2848"/>
      <c r="BV126" s="3058"/>
      <c r="BW126" s="3058"/>
      <c r="BX126" s="3058"/>
    </row>
    <row r="127" spans="1:76" ht="27" x14ac:dyDescent="0.2">
      <c r="D127" s="2201"/>
      <c r="M127" s="99"/>
      <c r="O127" s="3467"/>
      <c r="AK127" s="2853"/>
      <c r="AW127" s="2853"/>
      <c r="BV127" s="3058"/>
      <c r="BW127" s="3058"/>
      <c r="BX127" s="3058"/>
    </row>
    <row r="128" spans="1:76" ht="27" x14ac:dyDescent="0.2">
      <c r="D128" s="2201"/>
      <c r="M128" s="99"/>
      <c r="O128" s="3467"/>
      <c r="P128" s="3517"/>
      <c r="Q128" s="2848"/>
      <c r="AK128" s="2853"/>
      <c r="AW128" s="2853"/>
      <c r="BV128" s="3058"/>
      <c r="BW128" s="3058"/>
      <c r="BX128" s="3058"/>
    </row>
    <row r="129" spans="4:76" ht="27" x14ac:dyDescent="0.2">
      <c r="D129" s="2201"/>
      <c r="M129" s="99"/>
      <c r="AW129" s="2853"/>
      <c r="BV129" s="3058"/>
      <c r="BW129" s="3058"/>
      <c r="BX129" s="3058"/>
    </row>
    <row r="130" spans="4:76" ht="27" x14ac:dyDescent="0.2">
      <c r="D130" s="2201"/>
      <c r="M130" s="99"/>
      <c r="P130" s="2848"/>
      <c r="Q130" s="2848"/>
      <c r="S130" s="2848"/>
      <c r="AW130" s="2853"/>
      <c r="BV130" s="3058"/>
      <c r="BW130" s="3058"/>
      <c r="BX130" s="3058"/>
    </row>
    <row r="131" spans="4:76" ht="27" x14ac:dyDescent="0.2">
      <c r="D131" s="2201"/>
      <c r="M131" s="99"/>
      <c r="S131" s="2848"/>
      <c r="AW131" s="2853"/>
      <c r="BV131" s="3058"/>
      <c r="BW131" s="3058"/>
      <c r="BX131" s="3058"/>
    </row>
    <row r="132" spans="4:76" ht="27" x14ac:dyDescent="0.2">
      <c r="D132" s="2201"/>
      <c r="M132" s="99"/>
      <c r="AW132" s="2853"/>
      <c r="BV132" s="3058"/>
      <c r="BW132" s="3058"/>
      <c r="BX132" s="3058"/>
    </row>
    <row r="133" spans="4:76" ht="27" x14ac:dyDescent="0.2">
      <c r="D133" s="2201"/>
      <c r="AW133" s="2853"/>
      <c r="BV133" s="3058"/>
      <c r="BW133" s="3058"/>
      <c r="BX133" s="3058"/>
    </row>
    <row r="134" spans="4:76" ht="27" x14ac:dyDescent="0.2">
      <c r="D134" s="2201"/>
      <c r="AW134" s="2853"/>
      <c r="BV134" s="3058"/>
      <c r="BW134" s="3058"/>
      <c r="BX134" s="3058"/>
    </row>
    <row r="135" spans="4:76" ht="27" x14ac:dyDescent="0.2">
      <c r="D135" s="2201"/>
      <c r="BV135" s="3058"/>
      <c r="BW135" s="3058"/>
      <c r="BX135" s="3058"/>
    </row>
    <row r="136" spans="4:76" ht="27" x14ac:dyDescent="0.2">
      <c r="D136" s="2201"/>
      <c r="BV136" s="3058"/>
      <c r="BW136" s="3058"/>
      <c r="BX136" s="3058"/>
    </row>
    <row r="137" spans="4:76" ht="27" x14ac:dyDescent="0.2">
      <c r="D137" s="2201"/>
      <c r="BV137" s="3058"/>
      <c r="BW137" s="3058"/>
      <c r="BX137" s="3058"/>
    </row>
    <row r="138" spans="4:76" ht="27" x14ac:dyDescent="0.2">
      <c r="D138" s="2201"/>
      <c r="BV138" s="3058"/>
      <c r="BW138" s="3058"/>
      <c r="BX138" s="3058"/>
    </row>
    <row r="139" spans="4:76" ht="27" x14ac:dyDescent="0.2">
      <c r="D139" s="2201"/>
      <c r="BV139" s="3058"/>
      <c r="BW139" s="3058"/>
      <c r="BX139" s="3058"/>
    </row>
    <row r="140" spans="4:76" ht="27" x14ac:dyDescent="0.2">
      <c r="D140" s="2201"/>
      <c r="BV140" s="3058"/>
      <c r="BW140" s="3058"/>
      <c r="BX140" s="3058"/>
    </row>
    <row r="141" spans="4:76" ht="27" x14ac:dyDescent="0.2">
      <c r="D141" s="2201"/>
      <c r="BV141" s="3058"/>
      <c r="BW141" s="3058"/>
      <c r="BX141" s="3058"/>
    </row>
    <row r="142" spans="4:76" ht="27" x14ac:dyDescent="0.2">
      <c r="D142" s="2201"/>
      <c r="BV142" s="3058"/>
      <c r="BW142" s="3058"/>
      <c r="BX142" s="3058"/>
    </row>
    <row r="143" spans="4:76" ht="27" x14ac:dyDescent="0.2">
      <c r="D143" s="2201"/>
      <c r="BV143" s="3058"/>
      <c r="BW143" s="3058"/>
      <c r="BX143" s="3058"/>
    </row>
    <row r="144" spans="4:76" ht="27" x14ac:dyDescent="0.2">
      <c r="D144" s="2201"/>
      <c r="BV144" s="3058"/>
      <c r="BW144" s="3058"/>
      <c r="BX144" s="3058"/>
    </row>
    <row r="145" spans="4:76" ht="27" x14ac:dyDescent="0.2">
      <c r="D145" s="2201"/>
      <c r="BV145" s="3058"/>
      <c r="BW145" s="3058"/>
      <c r="BX145" s="3058"/>
    </row>
    <row r="146" spans="4:76" ht="27" x14ac:dyDescent="0.2">
      <c r="D146" s="2201"/>
      <c r="BV146" s="3058"/>
      <c r="BW146" s="3058"/>
      <c r="BX146" s="3058"/>
    </row>
    <row r="147" spans="4:76" ht="27" x14ac:dyDescent="0.2">
      <c r="D147" s="2201"/>
      <c r="BV147" s="3058"/>
      <c r="BW147" s="3058"/>
      <c r="BX147" s="3058"/>
    </row>
    <row r="148" spans="4:76" ht="27" x14ac:dyDescent="0.2">
      <c r="D148" s="2201"/>
      <c r="BV148" s="3058"/>
      <c r="BW148" s="3058"/>
      <c r="BX148" s="3058"/>
    </row>
    <row r="149" spans="4:76" ht="27" x14ac:dyDescent="0.2">
      <c r="D149" s="2201"/>
      <c r="BV149" s="3058"/>
      <c r="BW149" s="3058"/>
      <c r="BX149" s="3058"/>
    </row>
    <row r="150" spans="4:76" ht="27" x14ac:dyDescent="0.2">
      <c r="D150" s="2201"/>
      <c r="BV150" s="3058"/>
      <c r="BW150" s="3058"/>
      <c r="BX150" s="3058"/>
    </row>
    <row r="151" spans="4:76" ht="27" x14ac:dyDescent="0.2">
      <c r="D151" s="2201"/>
      <c r="BV151" s="3058"/>
      <c r="BW151" s="3058"/>
      <c r="BX151" s="3058"/>
    </row>
    <row r="152" spans="4:76" ht="27" x14ac:dyDescent="0.2">
      <c r="D152" s="2201"/>
      <c r="BV152" s="3058"/>
      <c r="BW152" s="3058"/>
      <c r="BX152" s="3058"/>
    </row>
    <row r="153" spans="4:76" ht="27" x14ac:dyDescent="0.2">
      <c r="D153" s="2201"/>
      <c r="BV153" s="3058"/>
      <c r="BW153" s="3058"/>
      <c r="BX153" s="3058"/>
    </row>
    <row r="154" spans="4:76" ht="27" x14ac:dyDescent="0.2">
      <c r="D154" s="2201"/>
      <c r="BV154" s="3058"/>
      <c r="BW154" s="3058"/>
      <c r="BX154" s="3058"/>
    </row>
    <row r="155" spans="4:76" ht="27" x14ac:dyDescent="0.2">
      <c r="D155" s="2201"/>
      <c r="BV155" s="3058"/>
      <c r="BW155" s="3058"/>
      <c r="BX155" s="3058"/>
    </row>
    <row r="156" spans="4:76" ht="27" x14ac:dyDescent="0.2">
      <c r="D156" s="2201"/>
      <c r="BV156" s="3058"/>
      <c r="BW156" s="3058"/>
      <c r="BX156" s="3058"/>
    </row>
    <row r="157" spans="4:76" ht="27" x14ac:dyDescent="0.2">
      <c r="D157" s="2201"/>
      <c r="BV157" s="3058"/>
      <c r="BW157" s="3058"/>
      <c r="BX157" s="3058"/>
    </row>
    <row r="158" spans="4:76" ht="27" x14ac:dyDescent="0.2">
      <c r="D158" s="2201"/>
      <c r="BV158" s="3058"/>
      <c r="BW158" s="3058"/>
      <c r="BX158" s="3058"/>
    </row>
    <row r="159" spans="4:76" ht="27" x14ac:dyDescent="0.2">
      <c r="D159" s="2201"/>
      <c r="BV159" s="3058"/>
      <c r="BW159" s="3058"/>
      <c r="BX159" s="3058"/>
    </row>
    <row r="160" spans="4:76" ht="27" x14ac:dyDescent="0.2">
      <c r="D160" s="2201"/>
      <c r="BV160" s="3058"/>
      <c r="BW160" s="3058"/>
      <c r="BX160" s="3058"/>
    </row>
    <row r="161" spans="4:76" ht="27" x14ac:dyDescent="0.2">
      <c r="D161" s="2201"/>
      <c r="BV161" s="3058"/>
      <c r="BW161" s="3058"/>
      <c r="BX161" s="3058"/>
    </row>
    <row r="162" spans="4:76" ht="27" x14ac:dyDescent="0.2">
      <c r="D162" s="2201"/>
      <c r="BV162" s="3058"/>
      <c r="BW162" s="3058"/>
      <c r="BX162" s="3058"/>
    </row>
    <row r="163" spans="4:76" ht="27" x14ac:dyDescent="0.2">
      <c r="D163" s="2201"/>
      <c r="BV163" s="3058"/>
      <c r="BW163" s="3058"/>
      <c r="BX163" s="3058"/>
    </row>
    <row r="164" spans="4:76" ht="27" x14ac:dyDescent="0.2">
      <c r="D164" s="2201"/>
      <c r="BV164" s="3058"/>
      <c r="BW164" s="3058"/>
      <c r="BX164" s="3058"/>
    </row>
    <row r="165" spans="4:76" ht="27" x14ac:dyDescent="0.2">
      <c r="D165" s="2201"/>
      <c r="BV165" s="3058"/>
      <c r="BW165" s="3058"/>
      <c r="BX165" s="3058"/>
    </row>
    <row r="166" spans="4:76" ht="27" x14ac:dyDescent="0.2">
      <c r="D166" s="2201"/>
      <c r="BV166" s="3058"/>
      <c r="BW166" s="3058"/>
      <c r="BX166" s="3058"/>
    </row>
    <row r="167" spans="4:76" ht="27" x14ac:dyDescent="0.2">
      <c r="D167" s="2201"/>
      <c r="BV167" s="3058"/>
      <c r="BW167" s="3058"/>
      <c r="BX167" s="3058"/>
    </row>
    <row r="168" spans="4:76" ht="27" x14ac:dyDescent="0.2">
      <c r="D168" s="2201"/>
      <c r="BV168" s="3058"/>
      <c r="BW168" s="3058"/>
      <c r="BX168" s="3058"/>
    </row>
    <row r="169" spans="4:76" ht="27" x14ac:dyDescent="0.2">
      <c r="D169" s="2201"/>
      <c r="BV169" s="3058"/>
      <c r="BW169" s="3058"/>
      <c r="BX169" s="3058"/>
    </row>
    <row r="170" spans="4:76" ht="27" x14ac:dyDescent="0.2">
      <c r="D170" s="2201"/>
      <c r="BV170" s="3058"/>
      <c r="BW170" s="3058"/>
      <c r="BX170" s="3058"/>
    </row>
    <row r="171" spans="4:76" ht="27" x14ac:dyDescent="0.2">
      <c r="D171" s="2201"/>
      <c r="BV171" s="3058"/>
      <c r="BW171" s="3058"/>
      <c r="BX171" s="3058"/>
    </row>
    <row r="172" spans="4:76" ht="27" x14ac:dyDescent="0.2">
      <c r="D172" s="2201"/>
      <c r="BV172" s="3058"/>
      <c r="BW172" s="3058"/>
      <c r="BX172" s="3058"/>
    </row>
    <row r="173" spans="4:76" ht="27" x14ac:dyDescent="0.2">
      <c r="D173" s="2201"/>
      <c r="BV173" s="3058"/>
      <c r="BW173" s="3058"/>
      <c r="BX173" s="3058"/>
    </row>
    <row r="174" spans="4:76" ht="27" x14ac:dyDescent="0.2">
      <c r="D174" s="2201"/>
      <c r="BV174" s="3058"/>
      <c r="BW174" s="3058"/>
      <c r="BX174" s="3058"/>
    </row>
    <row r="175" spans="4:76" ht="27" x14ac:dyDescent="0.2">
      <c r="D175" s="2201"/>
      <c r="BV175" s="3058"/>
      <c r="BW175" s="3058"/>
      <c r="BX175" s="3058"/>
    </row>
    <row r="176" spans="4:76" ht="27" x14ac:dyDescent="0.2">
      <c r="D176" s="2201"/>
      <c r="BV176" s="3058"/>
      <c r="BW176" s="3058"/>
      <c r="BX176" s="3058"/>
    </row>
    <row r="177" spans="4:76" ht="27" x14ac:dyDescent="0.2">
      <c r="D177" s="2201"/>
      <c r="BV177" s="3058"/>
      <c r="BW177" s="3058"/>
      <c r="BX177" s="3058"/>
    </row>
    <row r="178" spans="4:76" ht="27" x14ac:dyDescent="0.2">
      <c r="D178" s="2201"/>
      <c r="BV178" s="3058"/>
      <c r="BW178" s="3058"/>
      <c r="BX178" s="3058"/>
    </row>
    <row r="179" spans="4:76" ht="27" x14ac:dyDescent="0.2">
      <c r="D179" s="2201"/>
      <c r="BV179" s="3058"/>
      <c r="BW179" s="3058"/>
      <c r="BX179" s="3058"/>
    </row>
    <row r="180" spans="4:76" ht="27" x14ac:dyDescent="0.2">
      <c r="D180" s="2201"/>
      <c r="BV180" s="3058"/>
      <c r="BW180" s="3058"/>
      <c r="BX180" s="3058"/>
    </row>
    <row r="181" spans="4:76" ht="27" x14ac:dyDescent="0.2">
      <c r="D181" s="2201"/>
      <c r="BV181" s="3058"/>
      <c r="BW181" s="3058"/>
      <c r="BX181" s="3058"/>
    </row>
    <row r="182" spans="4:76" ht="27" x14ac:dyDescent="0.2">
      <c r="D182" s="2201"/>
      <c r="BV182" s="3058"/>
      <c r="BW182" s="3058"/>
      <c r="BX182" s="3058"/>
    </row>
    <row r="183" spans="4:76" ht="27" x14ac:dyDescent="0.2">
      <c r="D183" s="2201"/>
      <c r="BV183" s="3058"/>
      <c r="BW183" s="3058"/>
      <c r="BX183" s="3058"/>
    </row>
    <row r="184" spans="4:76" ht="27" x14ac:dyDescent="0.2">
      <c r="D184" s="2201"/>
      <c r="BV184" s="3058"/>
      <c r="BW184" s="3058"/>
      <c r="BX184" s="3058"/>
    </row>
    <row r="185" spans="4:76" ht="27" x14ac:dyDescent="0.2">
      <c r="D185" s="2201"/>
      <c r="BV185" s="3058"/>
      <c r="BW185" s="3058"/>
      <c r="BX185" s="3058"/>
    </row>
    <row r="186" spans="4:76" ht="27" x14ac:dyDescent="0.2">
      <c r="D186" s="2201"/>
      <c r="BV186" s="3058"/>
      <c r="BW186" s="3058"/>
      <c r="BX186" s="3058"/>
    </row>
    <row r="187" spans="4:76" x14ac:dyDescent="0.2">
      <c r="D187" s="2201"/>
    </row>
    <row r="188" spans="4:76" x14ac:dyDescent="0.2">
      <c r="D188" s="2201"/>
    </row>
    <row r="189" spans="4:76" x14ac:dyDescent="0.2">
      <c r="D189" s="2201"/>
    </row>
    <row r="190" spans="4:76" x14ac:dyDescent="0.2">
      <c r="D190" s="2201"/>
    </row>
    <row r="191" spans="4:76" x14ac:dyDescent="0.2">
      <c r="D191" s="2201"/>
    </row>
    <row r="192" spans="4:76" x14ac:dyDescent="0.2">
      <c r="D192" s="2201"/>
    </row>
  </sheetData>
  <mergeCells count="72">
    <mergeCell ref="BU3:BY4"/>
    <mergeCell ref="A1:D4"/>
    <mergeCell ref="BA5:BE5"/>
    <mergeCell ref="BG5:BI5"/>
    <mergeCell ref="AX2:BI4"/>
    <mergeCell ref="AX5:AZ6"/>
    <mergeCell ref="BA6:BE6"/>
    <mergeCell ref="BG6:BI6"/>
    <mergeCell ref="E5:N5"/>
    <mergeCell ref="E6:G7"/>
    <mergeCell ref="H6:J7"/>
    <mergeCell ref="K6:M7"/>
    <mergeCell ref="N6:N7"/>
    <mergeCell ref="U6:U7"/>
    <mergeCell ref="V6:V7"/>
    <mergeCell ref="P6:P7"/>
    <mergeCell ref="AA2:AK4"/>
    <mergeCell ref="AI5:AK5"/>
    <mergeCell ref="AJ6:AK6"/>
    <mergeCell ref="A9:B9"/>
    <mergeCell ref="AD5:AH5"/>
    <mergeCell ref="AA5:AC6"/>
    <mergeCell ref="Z5:Z7"/>
    <mergeCell ref="W6:W7"/>
    <mergeCell ref="X6:X7"/>
    <mergeCell ref="W5:X5"/>
    <mergeCell ref="O6:O7"/>
    <mergeCell ref="P5:T5"/>
    <mergeCell ref="A71:B74"/>
    <mergeCell ref="B54:B60"/>
    <mergeCell ref="A10:A31"/>
    <mergeCell ref="B10:B15"/>
    <mergeCell ref="B16:B18"/>
    <mergeCell ref="A32:A50"/>
    <mergeCell ref="B38:B50"/>
    <mergeCell ref="B19:B27"/>
    <mergeCell ref="B32:B34"/>
    <mergeCell ref="B35:B37"/>
    <mergeCell ref="B28:B30"/>
    <mergeCell ref="A54:A63"/>
    <mergeCell ref="A86:B88"/>
    <mergeCell ref="A95:B95"/>
    <mergeCell ref="A96:B96"/>
    <mergeCell ref="A90:B93"/>
    <mergeCell ref="BJ2:BT4"/>
    <mergeCell ref="AL2:AW4"/>
    <mergeCell ref="AL5:AN6"/>
    <mergeCell ref="AO6:AS6"/>
    <mergeCell ref="BM6:BQ6"/>
    <mergeCell ref="BR6:BT6"/>
    <mergeCell ref="AU6:AW6"/>
    <mergeCell ref="BJ5:BL6"/>
    <mergeCell ref="BM5:BQ5"/>
    <mergeCell ref="BR5:BT5"/>
    <mergeCell ref="AU5:AW5"/>
    <mergeCell ref="AO5:AS5"/>
    <mergeCell ref="A98:B102"/>
    <mergeCell ref="A76:B78"/>
    <mergeCell ref="A79:B80"/>
    <mergeCell ref="TU8:UO53"/>
    <mergeCell ref="A5:B8"/>
    <mergeCell ref="C5:C8"/>
    <mergeCell ref="D5:D8"/>
    <mergeCell ref="A66:B68"/>
    <mergeCell ref="Y5:Y7"/>
    <mergeCell ref="R6:R7"/>
    <mergeCell ref="S6:S7"/>
    <mergeCell ref="T6:T7"/>
    <mergeCell ref="AD6:AH6"/>
    <mergeCell ref="Q6:Q7"/>
    <mergeCell ref="A82:B82"/>
    <mergeCell ref="A84:B84"/>
  </mergeCells>
  <dataValidations disablePrompts="1" count="3">
    <dataValidation allowBlank="1" showInputMessage="1" showErrorMessage="1" prompt="specifikacija u mjesečna izvješća (privremeni tr. i garancije)" sqref="D82"/>
    <dataValidation allowBlank="1" showInputMessage="1" showErrorMessage="1" prompt="ŠPANSKO 2.A.7" sqref="E19:E27"/>
    <dataValidation allowBlank="1" showInputMessage="1" showErrorMessage="1" prompt="vidi tablicu u bitni podaci, planovi i analize, pomoćni izračuni, neprodani prostori 31.12.2008." sqref="B19:B21"/>
  </dataValidations>
  <pageMargins left="0.70866141732283472" right="0.31496062992125984" top="0.27559055118110237" bottom="0.31496062992125984" header="0.23622047244094491" footer="0.19685039370078741"/>
  <pageSetup paperSize="8" scale="53" fitToWidth="4" orientation="landscape" copies="6" r:id="rId1"/>
  <colBreaks count="4" manualBreakCount="4">
    <brk id="10" max="121" man="1"/>
    <brk id="33" max="122" man="1"/>
    <brk id="48" max="121" man="1"/>
    <brk id="70" max="102" man="1"/>
  </col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0"/>
  <sheetViews>
    <sheetView topLeftCell="A34" workbookViewId="0">
      <selection activeCell="B57" sqref="B57:C57"/>
    </sheetView>
  </sheetViews>
  <sheetFormatPr defaultRowHeight="12.75" x14ac:dyDescent="0.2"/>
  <cols>
    <col min="1" max="1" width="4.7109375" customWidth="1"/>
    <col min="2" max="2" width="55.5703125" customWidth="1"/>
    <col min="3" max="4" width="16.5703125" style="23" bestFit="1" customWidth="1"/>
    <col min="5" max="5" width="9.7109375" style="6" customWidth="1"/>
    <col min="6" max="6" width="17.85546875" style="3" customWidth="1"/>
    <col min="7" max="7" width="17.7109375" style="23" customWidth="1"/>
    <col min="8" max="11" width="13.7109375" customWidth="1"/>
  </cols>
  <sheetData>
    <row r="1" spans="1:7" x14ac:dyDescent="0.2">
      <c r="A1" s="3717" t="s">
        <v>439</v>
      </c>
      <c r="B1" s="3717"/>
      <c r="C1" s="3717"/>
      <c r="D1" s="3717"/>
      <c r="E1" s="3717"/>
    </row>
    <row r="2" spans="1:7" x14ac:dyDescent="0.2">
      <c r="A2" s="3717"/>
      <c r="B2" s="3717"/>
      <c r="C2" s="3717"/>
      <c r="D2" s="3717"/>
      <c r="E2" s="3717"/>
    </row>
    <row r="3" spans="1:7" ht="30.75" customHeight="1" x14ac:dyDescent="0.2">
      <c r="A3" s="3717"/>
      <c r="B3" s="3717"/>
      <c r="C3" s="3717"/>
      <c r="D3" s="3717"/>
      <c r="E3" s="3717"/>
    </row>
    <row r="4" spans="1:7" ht="25.5" x14ac:dyDescent="0.2">
      <c r="A4" s="8" t="s">
        <v>185</v>
      </c>
      <c r="B4" s="8" t="s">
        <v>186</v>
      </c>
      <c r="C4" s="9" t="s">
        <v>187</v>
      </c>
      <c r="D4" s="9" t="s">
        <v>188</v>
      </c>
      <c r="E4" s="10" t="s">
        <v>189</v>
      </c>
    </row>
    <row r="5" spans="1:7" x14ac:dyDescent="0.2">
      <c r="A5" s="38">
        <v>1</v>
      </c>
      <c r="B5" s="82" t="s">
        <v>442</v>
      </c>
      <c r="C5" s="45">
        <f>'prosinac 2009.(12)'!AU161</f>
        <v>10045639.66</v>
      </c>
      <c r="D5" s="45">
        <f>'prosinac 2009.(12)'!AV161</f>
        <v>87588.48000000001</v>
      </c>
      <c r="E5" s="49">
        <f>IF(C5&gt;0,D5/C5,0)</f>
        <v>8.7190545315657883E-3</v>
      </c>
      <c r="F5" s="24"/>
    </row>
    <row r="6" spans="1:7" x14ac:dyDescent="0.2">
      <c r="A6" s="31">
        <v>2</v>
      </c>
      <c r="B6" s="83" t="s">
        <v>443</v>
      </c>
      <c r="C6" s="30">
        <f>'prosinac 2009.(12)'!AW161</f>
        <v>232444.08999999997</v>
      </c>
      <c r="D6" s="30">
        <f>'prosinac 2009.(12)'!AX161</f>
        <v>1489430.5799999998</v>
      </c>
      <c r="E6" s="49">
        <f>IF(C6&gt;0,D6/C6,0)</f>
        <v>6.4076939103936779</v>
      </c>
      <c r="F6" s="24"/>
    </row>
    <row r="7" spans="1:7" x14ac:dyDescent="0.2">
      <c r="A7" s="32">
        <v>3</v>
      </c>
      <c r="B7" s="33" t="s">
        <v>190</v>
      </c>
      <c r="C7" s="29">
        <f>'prosinac 2009.(12)'!AY225</f>
        <v>44812.21</v>
      </c>
      <c r="D7" s="29">
        <f>'prosinac 2009.(12)'!AZ225</f>
        <v>40197.870000000003</v>
      </c>
      <c r="E7" s="49">
        <f>IF(C7&gt;0,D7/C7,0)</f>
        <v>0.89702940337019765</v>
      </c>
      <c r="F7" s="24"/>
    </row>
    <row r="8" spans="1:7" x14ac:dyDescent="0.2">
      <c r="A8" s="31">
        <v>4</v>
      </c>
      <c r="B8" s="27" t="s">
        <v>191</v>
      </c>
      <c r="C8" s="30">
        <v>0</v>
      </c>
      <c r="D8" s="30">
        <v>0</v>
      </c>
      <c r="E8" s="49">
        <f>IF(C8&gt;0,D8/C8,0)</f>
        <v>0</v>
      </c>
      <c r="F8" s="25"/>
    </row>
    <row r="9" spans="1:7" x14ac:dyDescent="0.2">
      <c r="A9" s="32">
        <v>5</v>
      </c>
      <c r="B9" s="33" t="s">
        <v>192</v>
      </c>
      <c r="C9" s="29">
        <f>'prosinac 2009.(12)'!AY230</f>
        <v>1109655.27</v>
      </c>
      <c r="D9" s="29">
        <f>'prosinac 2009.(12)'!AZ230</f>
        <v>304247.38</v>
      </c>
      <c r="E9" s="49">
        <f>IF(C9&gt;0,D9/C9,0)</f>
        <v>0.27418189074161742</v>
      </c>
      <c r="F9" s="55"/>
    </row>
    <row r="10" spans="1:7" x14ac:dyDescent="0.2">
      <c r="A10" s="35">
        <v>6</v>
      </c>
      <c r="B10" s="36" t="s">
        <v>193</v>
      </c>
      <c r="C10" s="37" t="e">
        <f>F10*$G$11</f>
        <v>#REF!</v>
      </c>
      <c r="D10" s="37" t="e">
        <f>'prosinac 2009.(12)'!AV222-'A4 srpanj'!D11-'A4 srpanj'!D12-'A4 srpanj'!D13</f>
        <v>#REF!</v>
      </c>
      <c r="E10" s="3718" t="e">
        <f>(D10+D11+D12+D13)/(C10+C11+C12+C13)</f>
        <v>#REF!</v>
      </c>
      <c r="F10" s="56" t="e">
        <f>D10/$G$12</f>
        <v>#REF!</v>
      </c>
    </row>
    <row r="11" spans="1:7" x14ac:dyDescent="0.2">
      <c r="A11" s="32">
        <v>7</v>
      </c>
      <c r="B11" s="33" t="s">
        <v>194</v>
      </c>
      <c r="C11" s="37" t="e">
        <f>F11*$G$11</f>
        <v>#REF!</v>
      </c>
      <c r="D11" s="34" t="e">
        <f>#REF!</f>
        <v>#REF!</v>
      </c>
      <c r="E11" s="3719"/>
      <c r="F11" s="56" t="e">
        <f>D11/$G$12</f>
        <v>#REF!</v>
      </c>
      <c r="G11" s="23">
        <f>'prosinac 2009.(12)'!AU222</f>
        <v>302958.63</v>
      </c>
    </row>
    <row r="12" spans="1:7" x14ac:dyDescent="0.2">
      <c r="A12" s="32">
        <v>8</v>
      </c>
      <c r="B12" s="33" t="s">
        <v>195</v>
      </c>
      <c r="C12" s="37" t="e">
        <f>F12*$G$11</f>
        <v>#REF!</v>
      </c>
      <c r="D12" s="34" t="e">
        <f>#REF!</f>
        <v>#REF!</v>
      </c>
      <c r="E12" s="3719"/>
      <c r="F12" s="56" t="e">
        <f>D12/$G$12</f>
        <v>#REF!</v>
      </c>
      <c r="G12" s="23" t="e">
        <f>SUM(D10:D13)</f>
        <v>#REF!</v>
      </c>
    </row>
    <row r="13" spans="1:7" x14ac:dyDescent="0.2">
      <c r="A13" s="38">
        <v>9</v>
      </c>
      <c r="B13" s="39" t="s">
        <v>196</v>
      </c>
      <c r="C13" s="37">
        <v>0</v>
      </c>
      <c r="D13" s="40">
        <v>0</v>
      </c>
      <c r="E13" s="3720"/>
      <c r="F13" s="56" t="e">
        <f>D13/$G$12</f>
        <v>#REF!</v>
      </c>
    </row>
    <row r="14" spans="1:7" x14ac:dyDescent="0.2">
      <c r="A14" s="32">
        <v>10</v>
      </c>
      <c r="B14" s="33" t="s">
        <v>197</v>
      </c>
      <c r="C14" s="41">
        <f>'prosinac 2009.(12)'!AU224</f>
        <v>181221.8</v>
      </c>
      <c r="D14" s="41">
        <f>'prosinac 2009.(12)'!AV224</f>
        <v>162005.38</v>
      </c>
      <c r="E14" s="49">
        <f t="shared" ref="E14:E25" si="0">IF(C14&gt;0,D14/C14,0)</f>
        <v>0.89396187434403596</v>
      </c>
      <c r="F14" s="57"/>
    </row>
    <row r="15" spans="1:7" x14ac:dyDescent="0.2">
      <c r="A15" s="35">
        <v>11</v>
      </c>
      <c r="B15" s="27" t="s">
        <v>198</v>
      </c>
      <c r="C15" s="41">
        <f>'prosinac 2009.(12)'!AY228</f>
        <v>365210.33</v>
      </c>
      <c r="D15" s="41" t="e">
        <f>'prosinac 2009.(12)'!AZ228</f>
        <v>#REF!</v>
      </c>
      <c r="E15" s="49" t="e">
        <f t="shared" si="0"/>
        <v>#REF!</v>
      </c>
      <c r="F15" s="57"/>
    </row>
    <row r="16" spans="1:7" x14ac:dyDescent="0.2">
      <c r="A16" s="32">
        <v>12</v>
      </c>
      <c r="B16" s="33" t="s">
        <v>348</v>
      </c>
      <c r="C16" s="41">
        <f>'prosinac 2009.(12)'!AU168+'prosinac 2009.(12)'!AU191+'prosinac 2009.(12)'!AU210</f>
        <v>307692</v>
      </c>
      <c r="D16" s="41">
        <f>'prosinac 2009.(12)'!AV168+'prosinac 2009.(12)'!AV191+'prosinac 2009.(12)'!AV210</f>
        <v>0</v>
      </c>
      <c r="E16" s="49">
        <f t="shared" si="0"/>
        <v>0</v>
      </c>
      <c r="F16" s="57"/>
    </row>
    <row r="17" spans="1:9" x14ac:dyDescent="0.2">
      <c r="A17" s="32">
        <v>13</v>
      </c>
      <c r="B17" s="48" t="s">
        <v>385</v>
      </c>
      <c r="C17" s="41">
        <f>D17</f>
        <v>794935.72</v>
      </c>
      <c r="D17" s="41">
        <f>55078.14+363875.86+375981.72</f>
        <v>794935.72</v>
      </c>
      <c r="E17" s="49">
        <f t="shared" si="0"/>
        <v>1</v>
      </c>
      <c r="F17" s="12"/>
    </row>
    <row r="18" spans="1:9" x14ac:dyDescent="0.2">
      <c r="A18" s="32">
        <v>14</v>
      </c>
      <c r="B18" s="48" t="s">
        <v>386</v>
      </c>
      <c r="C18" s="41">
        <f>'prosinac 2009.(12)'!AX211</f>
        <v>84558.48000000001</v>
      </c>
      <c r="D18" s="41">
        <f>'prosinac 2009.(12)'!AY211</f>
        <v>569492.55000000005</v>
      </c>
      <c r="E18" s="49">
        <f t="shared" si="0"/>
        <v>6.7348957786374584</v>
      </c>
      <c r="F18" s="12"/>
    </row>
    <row r="19" spans="1:9" x14ac:dyDescent="0.2">
      <c r="A19" s="32">
        <v>15</v>
      </c>
      <c r="B19" s="33" t="s">
        <v>219</v>
      </c>
      <c r="C19" s="41">
        <f>'prosinac 2009.(12)'!AY235</f>
        <v>10000</v>
      </c>
      <c r="D19" s="41">
        <f>'prosinac 2009.(12)'!AZ235</f>
        <v>280.90000000000003</v>
      </c>
      <c r="E19" s="49">
        <f t="shared" si="0"/>
        <v>2.8090000000000004E-2</v>
      </c>
      <c r="F19" s="12"/>
    </row>
    <row r="20" spans="1:9" x14ac:dyDescent="0.2">
      <c r="A20" s="32">
        <v>16</v>
      </c>
      <c r="B20" s="33" t="s">
        <v>380</v>
      </c>
      <c r="C20" s="41">
        <f>'prosinac 2009.(12)'!AY236</f>
        <v>3750000</v>
      </c>
      <c r="D20" s="41">
        <f>'prosinac 2009.(12)'!AZ236</f>
        <v>460</v>
      </c>
      <c r="E20" s="49">
        <f t="shared" si="0"/>
        <v>1.2266666666666668E-4</v>
      </c>
      <c r="F20" s="12"/>
    </row>
    <row r="21" spans="1:9" x14ac:dyDescent="0.2">
      <c r="A21" s="32">
        <v>17</v>
      </c>
      <c r="B21" s="33" t="s">
        <v>199</v>
      </c>
      <c r="C21" s="41">
        <f>'prosinac 2009.(12)'!AY238</f>
        <v>0</v>
      </c>
      <c r="D21" s="41">
        <f>'prosinac 2009.(12)'!AZ238</f>
        <v>0</v>
      </c>
      <c r="E21" s="49">
        <f t="shared" si="0"/>
        <v>0</v>
      </c>
      <c r="F21" s="12"/>
    </row>
    <row r="22" spans="1:9" x14ac:dyDescent="0.2">
      <c r="A22" s="32">
        <v>18</v>
      </c>
      <c r="B22" s="79" t="s">
        <v>422</v>
      </c>
      <c r="C22" s="41">
        <f>'prosinac 2009.(12)'!AY239</f>
        <v>0</v>
      </c>
      <c r="D22" s="41">
        <f>'prosinac 2009.(12)'!AZ239</f>
        <v>0</v>
      </c>
      <c r="E22" s="49">
        <f t="shared" si="0"/>
        <v>0</v>
      </c>
      <c r="F22" s="12"/>
    </row>
    <row r="23" spans="1:9" x14ac:dyDescent="0.2">
      <c r="A23" s="31">
        <v>19</v>
      </c>
      <c r="B23" s="39" t="s">
        <v>200</v>
      </c>
      <c r="C23" s="41">
        <f>'prosinac 2009.(12)'!AY240</f>
        <v>0</v>
      </c>
      <c r="D23" s="41">
        <f>'prosinac 2009.(12)'!AZ240</f>
        <v>0</v>
      </c>
      <c r="E23" s="49">
        <f t="shared" si="0"/>
        <v>0</v>
      </c>
      <c r="F23" s="12"/>
    </row>
    <row r="24" spans="1:9" x14ac:dyDescent="0.2">
      <c r="A24" s="32">
        <v>20</v>
      </c>
      <c r="B24" s="33" t="s">
        <v>201</v>
      </c>
      <c r="C24" s="41">
        <f>'prosinac 2009.(12)'!AY220</f>
        <v>3333201.07</v>
      </c>
      <c r="D24" s="41">
        <f>'prosinac 2009.(12)'!AZ220</f>
        <v>2463328.56</v>
      </c>
      <c r="E24" s="49">
        <f t="shared" si="0"/>
        <v>0.73902789188772222</v>
      </c>
      <c r="F24" s="12"/>
    </row>
    <row r="25" spans="1:9" ht="13.5" thickBot="1" x14ac:dyDescent="0.25">
      <c r="A25" s="43">
        <v>21</v>
      </c>
      <c r="B25" s="28" t="s">
        <v>202</v>
      </c>
      <c r="C25" s="44">
        <f>'prosinac 2009.(12)'!AY221</f>
        <v>2717543.12</v>
      </c>
      <c r="D25" s="44">
        <f>'prosinac 2009.(12)'!AZ221</f>
        <v>4794003.8900000006</v>
      </c>
      <c r="E25" s="61">
        <f t="shared" si="0"/>
        <v>1.7640948747852805</v>
      </c>
      <c r="F25" s="12"/>
      <c r="H25" s="3"/>
      <c r="I25" s="3"/>
    </row>
    <row r="26" spans="1:9" ht="27" customHeight="1" thickTop="1" thickBot="1" x14ac:dyDescent="0.25">
      <c r="A26" s="67"/>
      <c r="B26" s="11" t="s">
        <v>387</v>
      </c>
      <c r="C26" s="12">
        <f>C5+C6+C7+C8+C9+C14+C15+C16+C19+C18</f>
        <v>12381233.840000002</v>
      </c>
      <c r="D26" s="12" t="e">
        <f>D5+D6+D7+D8+D9+D14+D15+D16+D19+D18</f>
        <v>#REF!</v>
      </c>
      <c r="E26" s="73"/>
    </row>
    <row r="27" spans="1:9" ht="27.75" customHeight="1" thickBot="1" x14ac:dyDescent="0.25">
      <c r="A27" s="66"/>
      <c r="B27" s="77" t="s">
        <v>421</v>
      </c>
      <c r="C27" s="13" t="e">
        <f>C5+C7+C8+C9+C10+C11+C12+C13+C14+C15+C16+C19+C21+C23+C24+C25+C20+C22</f>
        <v>#REF!</v>
      </c>
      <c r="D27" s="13" t="e">
        <f>D5+D7+D8+D10+D11+D12+D13+D14+D15+D16+D19+D21+D23+D24+D25+D20+D22+D9</f>
        <v>#REF!</v>
      </c>
      <c r="E27" s="71"/>
      <c r="F27" s="3">
        <v>9933791.5</v>
      </c>
      <c r="G27" s="59" t="e">
        <f>D27-F27</f>
        <v>#REF!</v>
      </c>
      <c r="H27" s="3"/>
    </row>
    <row r="28" spans="1:9" ht="15.75" customHeight="1" x14ac:dyDescent="0.2">
      <c r="A28" s="14"/>
      <c r="B28" s="7"/>
      <c r="C28" s="19"/>
      <c r="D28" s="16"/>
      <c r="E28" s="17"/>
    </row>
    <row r="29" spans="1:9" ht="25.5" x14ac:dyDescent="0.2">
      <c r="A29" s="8" t="s">
        <v>185</v>
      </c>
      <c r="B29" s="8" t="s">
        <v>203</v>
      </c>
      <c r="C29" s="9" t="s">
        <v>204</v>
      </c>
      <c r="D29" s="9" t="s">
        <v>205</v>
      </c>
      <c r="E29" s="10" t="s">
        <v>189</v>
      </c>
    </row>
    <row r="30" spans="1:9" x14ac:dyDescent="0.2">
      <c r="A30" s="46">
        <v>1</v>
      </c>
      <c r="B30" s="84" t="s">
        <v>444</v>
      </c>
      <c r="C30" s="47">
        <f>'prosinac 2009.(12)'!AO161</f>
        <v>5964823.0299999993</v>
      </c>
      <c r="D30" s="47">
        <f>'prosinac 2009.(12)'!AP161</f>
        <v>6075519.2999999998</v>
      </c>
      <c r="E30" s="49">
        <f t="shared" ref="E30:E47" si="1">IF(C30&gt;0,D30/C30,0)</f>
        <v>1.0185581817672134</v>
      </c>
      <c r="F30" s="24"/>
    </row>
    <row r="31" spans="1:9" x14ac:dyDescent="0.2">
      <c r="A31" s="32">
        <v>2</v>
      </c>
      <c r="B31" s="78" t="s">
        <v>445</v>
      </c>
      <c r="C31" s="29">
        <f>'prosinac 2009.(12)'!AQ161</f>
        <v>4803944.0199999996</v>
      </c>
      <c r="D31" s="29">
        <f>'prosinac 2009.(12)'!AR161</f>
        <v>0</v>
      </c>
      <c r="E31" s="49">
        <f t="shared" si="1"/>
        <v>0</v>
      </c>
      <c r="F31" s="24"/>
    </row>
    <row r="32" spans="1:9" x14ac:dyDescent="0.2">
      <c r="A32" s="31">
        <v>3</v>
      </c>
      <c r="B32" s="50" t="s">
        <v>206</v>
      </c>
      <c r="C32" s="30">
        <f>'prosinac 2009.(12)'!AS233</f>
        <v>555799.97</v>
      </c>
      <c r="D32" s="30">
        <f>'prosinac 2009.(12)'!AT233</f>
        <v>2747376.44</v>
      </c>
      <c r="E32" s="49">
        <f t="shared" si="1"/>
        <v>4.9431028936543484</v>
      </c>
      <c r="F32" s="24"/>
    </row>
    <row r="33" spans="1:6" x14ac:dyDescent="0.2">
      <c r="A33" s="32">
        <v>4</v>
      </c>
      <c r="B33" s="48" t="s">
        <v>207</v>
      </c>
      <c r="C33" s="29">
        <f>'prosinac 2009.(12)'!AS230</f>
        <v>4616937.9000000004</v>
      </c>
      <c r="D33" s="29">
        <f>'prosinac 2009.(12)'!AP230</f>
        <v>1130931.76</v>
      </c>
      <c r="E33" s="49">
        <f t="shared" si="1"/>
        <v>0.24495277703431964</v>
      </c>
      <c r="F33" s="24"/>
    </row>
    <row r="34" spans="1:6" x14ac:dyDescent="0.2">
      <c r="A34" s="31">
        <v>5</v>
      </c>
      <c r="B34" s="50" t="s">
        <v>208</v>
      </c>
      <c r="C34" s="51">
        <v>0</v>
      </c>
      <c r="D34" s="80" t="e">
        <f>#REF!</f>
        <v>#REF!</v>
      </c>
      <c r="E34" s="49">
        <f t="shared" si="1"/>
        <v>0</v>
      </c>
      <c r="F34" s="26"/>
    </row>
    <row r="35" spans="1:6" x14ac:dyDescent="0.2">
      <c r="A35" s="32">
        <v>6</v>
      </c>
      <c r="B35" s="48" t="s">
        <v>209</v>
      </c>
      <c r="C35" s="52">
        <v>0</v>
      </c>
      <c r="D35" s="68" t="e">
        <f>#REF!</f>
        <v>#REF!</v>
      </c>
      <c r="E35" s="49">
        <f t="shared" si="1"/>
        <v>0</v>
      </c>
      <c r="F35" s="26"/>
    </row>
    <row r="36" spans="1:6" x14ac:dyDescent="0.2">
      <c r="A36" s="31">
        <v>7</v>
      </c>
      <c r="B36" s="50" t="s">
        <v>210</v>
      </c>
      <c r="C36" s="69">
        <f>'prosinac 2009.(12)'!AS228</f>
        <v>128179.72</v>
      </c>
      <c r="D36" s="69" t="e">
        <f>'prosinac 2009.(12)'!AT228</f>
        <v>#REF!</v>
      </c>
      <c r="E36" s="49" t="e">
        <f t="shared" si="1"/>
        <v>#REF!</v>
      </c>
      <c r="F36" s="24"/>
    </row>
    <row r="37" spans="1:6" x14ac:dyDescent="0.2">
      <c r="A37" s="32">
        <v>8</v>
      </c>
      <c r="B37" s="48" t="s">
        <v>349</v>
      </c>
      <c r="C37" s="69">
        <f>'prosinac 2009.(12)'!AS168+'prosinac 2009.(12)'!AS191+'prosinac 2009.(12)'!AS210</f>
        <v>307692</v>
      </c>
      <c r="D37" s="69">
        <f>'prosinac 2009.(12)'!AT168+'prosinac 2009.(12)'!AT191+'prosinac 2009.(12)'!AT210</f>
        <v>47451.31</v>
      </c>
      <c r="E37" s="49">
        <f t="shared" si="1"/>
        <v>0.15421691171691171</v>
      </c>
      <c r="F37" s="24"/>
    </row>
    <row r="38" spans="1:6" x14ac:dyDescent="0.2">
      <c r="A38" s="32">
        <v>9</v>
      </c>
      <c r="B38" s="48" t="s">
        <v>350</v>
      </c>
      <c r="C38" s="52">
        <f>'prosinac 2009.(12)'!AS163+'prosinac 2009.(12)'!AS173+'prosinac 2009.(12)'!AS209</f>
        <v>261800.55</v>
      </c>
      <c r="D38" s="52">
        <f>'prosinac 2009.(12)'!AT163+'prosinac 2009.(12)'!AT173+'prosinac 2009.(12)'!AT209</f>
        <v>84558.48000000001</v>
      </c>
      <c r="E38" s="49">
        <f t="shared" si="1"/>
        <v>0.3229881679010988</v>
      </c>
      <c r="F38" s="24"/>
    </row>
    <row r="39" spans="1:6" x14ac:dyDescent="0.2">
      <c r="A39" s="32">
        <v>10</v>
      </c>
      <c r="B39" s="50" t="s">
        <v>383</v>
      </c>
      <c r="C39" s="51">
        <f>'prosinac 2009.(12)'!AS215</f>
        <v>0</v>
      </c>
      <c r="D39" s="51">
        <f>'prosinac 2009.(12)'!AT215</f>
        <v>0</v>
      </c>
      <c r="E39" s="49">
        <f t="shared" si="1"/>
        <v>0</v>
      </c>
      <c r="F39" s="24"/>
    </row>
    <row r="40" spans="1:6" x14ac:dyDescent="0.2">
      <c r="A40" s="32">
        <v>11</v>
      </c>
      <c r="B40" s="48" t="s">
        <v>220</v>
      </c>
      <c r="C40" s="52">
        <f>'prosinac 2009.(12)'!AS216</f>
        <v>60540.11</v>
      </c>
      <c r="D40" s="52" t="e">
        <f>'prosinac 2009.(12)'!AT216</f>
        <v>#REF!</v>
      </c>
      <c r="E40" s="49" t="e">
        <f t="shared" si="1"/>
        <v>#REF!</v>
      </c>
      <c r="F40" s="24"/>
    </row>
    <row r="41" spans="1:6" x14ac:dyDescent="0.2">
      <c r="A41" s="32">
        <v>12</v>
      </c>
      <c r="B41" s="48" t="s">
        <v>211</v>
      </c>
      <c r="C41" s="52">
        <f>'prosinac 2009.(12)'!AS235</f>
        <v>10000</v>
      </c>
      <c r="D41" s="52">
        <f>'prosinac 2009.(12)'!AT235</f>
        <v>39711.730000000003</v>
      </c>
      <c r="E41" s="49">
        <f t="shared" si="1"/>
        <v>3.9711730000000003</v>
      </c>
      <c r="F41" s="24"/>
    </row>
    <row r="42" spans="1:6" x14ac:dyDescent="0.2">
      <c r="A42" s="32">
        <v>13</v>
      </c>
      <c r="B42" s="48" t="s">
        <v>380</v>
      </c>
      <c r="C42" s="52">
        <f>'prosinac 2009.(12)'!AS236</f>
        <v>3750000</v>
      </c>
      <c r="D42" s="52">
        <f>'prosinac 2009.(12)'!AT236</f>
        <v>460</v>
      </c>
      <c r="E42" s="49">
        <f t="shared" si="1"/>
        <v>1.2266666666666668E-4</v>
      </c>
      <c r="F42" s="24"/>
    </row>
    <row r="43" spans="1:6" x14ac:dyDescent="0.2">
      <c r="A43" s="32">
        <v>14</v>
      </c>
      <c r="B43" s="48" t="s">
        <v>212</v>
      </c>
      <c r="C43" s="29">
        <f>'prosinac 2009.(12)'!AS238</f>
        <v>0</v>
      </c>
      <c r="D43" s="29">
        <f>'prosinac 2009.(12)'!AT238</f>
        <v>0</v>
      </c>
      <c r="E43" s="49">
        <f t="shared" si="1"/>
        <v>0</v>
      </c>
      <c r="F43" s="24"/>
    </row>
    <row r="44" spans="1:6" x14ac:dyDescent="0.2">
      <c r="A44" s="32">
        <v>15</v>
      </c>
      <c r="B44" s="78" t="s">
        <v>420</v>
      </c>
      <c r="C44" s="29">
        <f>'prosinac 2009.(12)'!AS239</f>
        <v>899073.63</v>
      </c>
      <c r="D44" s="29">
        <f>'prosinac 2009.(12)'!AT239</f>
        <v>0</v>
      </c>
      <c r="E44" s="49">
        <f t="shared" si="1"/>
        <v>0</v>
      </c>
      <c r="F44" s="24"/>
    </row>
    <row r="45" spans="1:6" x14ac:dyDescent="0.2">
      <c r="A45" s="31">
        <v>16</v>
      </c>
      <c r="B45" s="50" t="s">
        <v>213</v>
      </c>
      <c r="C45" s="29">
        <f>'prosinac 2009.(12)'!AS240</f>
        <v>0</v>
      </c>
      <c r="D45" s="29">
        <f>'prosinac 2009.(12)'!AT240</f>
        <v>0</v>
      </c>
      <c r="E45" s="49">
        <f t="shared" si="1"/>
        <v>0</v>
      </c>
      <c r="F45" s="24"/>
    </row>
    <row r="46" spans="1:6" x14ac:dyDescent="0.2">
      <c r="A46" s="32">
        <v>17</v>
      </c>
      <c r="B46" s="48" t="s">
        <v>222</v>
      </c>
      <c r="C46" s="29">
        <f>'prosinac 2009.(12)'!AS220</f>
        <v>734752.44</v>
      </c>
      <c r="D46" s="29">
        <f>'prosinac 2009.(12)'!AT220</f>
        <v>0</v>
      </c>
      <c r="E46" s="49">
        <f t="shared" si="1"/>
        <v>0</v>
      </c>
      <c r="F46" s="24"/>
    </row>
    <row r="47" spans="1:6" ht="13.5" thickBot="1" x14ac:dyDescent="0.25">
      <c r="A47" s="43">
        <v>18</v>
      </c>
      <c r="B47" s="53" t="s">
        <v>221</v>
      </c>
      <c r="C47" s="54">
        <f>'prosinac 2009.(12)'!AS218</f>
        <v>0</v>
      </c>
      <c r="D47" s="54">
        <f>'prosinac 2009.(12)'!AT218</f>
        <v>0</v>
      </c>
      <c r="E47" s="58">
        <f t="shared" si="1"/>
        <v>0</v>
      </c>
      <c r="F47" s="24"/>
    </row>
    <row r="48" spans="1:6" ht="27" customHeight="1" thickTop="1" thickBot="1" x14ac:dyDescent="0.25">
      <c r="A48" s="62"/>
      <c r="B48" s="63" t="s">
        <v>381</v>
      </c>
      <c r="C48" s="64">
        <f>C30+C31+C32+C33+C36+C37+C40+C41+C39+C38</f>
        <v>16709717.300000001</v>
      </c>
      <c r="D48" s="72" t="e">
        <f>D30+D31+D32+D33+D36+D37+D40+D41+D39+D38</f>
        <v>#REF!</v>
      </c>
      <c r="E48" s="70"/>
    </row>
    <row r="49" spans="1:8" s="5" customFormat="1" ht="27" customHeight="1" thickBot="1" x14ac:dyDescent="0.25">
      <c r="A49" s="66"/>
      <c r="B49" s="77" t="s">
        <v>419</v>
      </c>
      <c r="C49" s="13">
        <f>C30+C32+C33+C36+C37+C40+C41+C43+C45+C46+C47+C39+C42+C38+C44</f>
        <v>17289599.349999998</v>
      </c>
      <c r="D49" s="13" t="e">
        <f>D30+D32+D33+D36+D37+D40+D41+D43+D45+D46+D47+D39+D42+D38+D44</f>
        <v>#REF!</v>
      </c>
      <c r="E49" s="71"/>
      <c r="F49" s="4">
        <v>11080249.83</v>
      </c>
      <c r="G49" s="59" t="e">
        <f>D49-F49</f>
        <v>#REF!</v>
      </c>
      <c r="H49" s="59"/>
    </row>
    <row r="50" spans="1:8" ht="15.75" customHeight="1" thickBot="1" x14ac:dyDescent="0.25">
      <c r="A50" s="14"/>
      <c r="B50" s="7"/>
      <c r="C50" s="65"/>
      <c r="D50" s="16"/>
      <c r="E50" s="17"/>
    </row>
    <row r="51" spans="1:8" ht="16.5" customHeight="1" thickBot="1" x14ac:dyDescent="0.25">
      <c r="A51" s="3721" t="s">
        <v>214</v>
      </c>
      <c r="B51" s="3722"/>
      <c r="C51" s="13"/>
      <c r="D51" s="18" t="e">
        <f>D27-D49</f>
        <v>#REF!</v>
      </c>
      <c r="E51" s="17"/>
    </row>
    <row r="52" spans="1:8" ht="12" customHeight="1" thickBot="1" x14ac:dyDescent="0.25">
      <c r="A52" s="14"/>
      <c r="B52" s="15"/>
      <c r="C52" s="19"/>
      <c r="D52" s="19"/>
      <c r="E52" s="17"/>
    </row>
    <row r="53" spans="1:8" ht="15.75" customHeight="1" thickBot="1" x14ac:dyDescent="0.25">
      <c r="A53" s="3723" t="s">
        <v>440</v>
      </c>
      <c r="B53" s="3722"/>
      <c r="C53" s="3722"/>
      <c r="D53" s="18">
        <v>59127608.689999998</v>
      </c>
      <c r="E53" s="17"/>
    </row>
    <row r="54" spans="1:8" ht="10.5" customHeight="1" thickBot="1" x14ac:dyDescent="0.25">
      <c r="A54" s="14"/>
      <c r="B54" s="15"/>
      <c r="C54" s="19"/>
      <c r="D54" s="19"/>
      <c r="E54" s="17"/>
    </row>
    <row r="55" spans="1:8" ht="16.5" customHeight="1" thickBot="1" x14ac:dyDescent="0.25">
      <c r="A55" s="3723" t="s">
        <v>441</v>
      </c>
      <c r="B55" s="3722"/>
      <c r="C55" s="3722"/>
      <c r="D55" s="18" t="e">
        <f>D53+D51</f>
        <v>#REF!</v>
      </c>
      <c r="E55" s="17"/>
      <c r="F55" s="89">
        <v>57981150.359999999</v>
      </c>
      <c r="G55" s="59" t="e">
        <f>F55-D55</f>
        <v>#REF!</v>
      </c>
    </row>
    <row r="56" spans="1:8" ht="8.25" customHeight="1" x14ac:dyDescent="0.2">
      <c r="A56" s="14"/>
      <c r="B56" s="7"/>
      <c r="C56" s="19"/>
      <c r="D56" s="16"/>
      <c r="E56" s="17"/>
    </row>
    <row r="57" spans="1:8" ht="39" customHeight="1" x14ac:dyDescent="0.2">
      <c r="A57" s="14"/>
      <c r="B57" s="3724" t="s">
        <v>215</v>
      </c>
      <c r="C57" s="3725"/>
      <c r="D57" s="3724" t="s">
        <v>216</v>
      </c>
      <c r="E57" s="3724"/>
    </row>
    <row r="58" spans="1:8" x14ac:dyDescent="0.2">
      <c r="A58" s="14"/>
      <c r="B58" s="3714" t="s">
        <v>217</v>
      </c>
      <c r="C58" s="3714"/>
      <c r="D58" s="3714" t="s">
        <v>218</v>
      </c>
      <c r="E58" s="3714"/>
    </row>
    <row r="59" spans="1:8" ht="9.75" customHeight="1" x14ac:dyDescent="0.2">
      <c r="A59" s="14"/>
      <c r="B59" s="20"/>
      <c r="C59" s="22"/>
      <c r="D59" s="22"/>
      <c r="E59" s="21"/>
    </row>
    <row r="60" spans="1:8" x14ac:dyDescent="0.2">
      <c r="A60" s="20"/>
      <c r="D60" s="3715" t="s">
        <v>446</v>
      </c>
      <c r="E60" s="3716"/>
    </row>
  </sheetData>
  <mergeCells count="10">
    <mergeCell ref="B58:C58"/>
    <mergeCell ref="D58:E58"/>
    <mergeCell ref="D60:E60"/>
    <mergeCell ref="A1:E3"/>
    <mergeCell ref="E10:E13"/>
    <mergeCell ref="A51:B51"/>
    <mergeCell ref="A53:C53"/>
    <mergeCell ref="A55:C55"/>
    <mergeCell ref="B57:C57"/>
    <mergeCell ref="D57:E57"/>
  </mergeCells>
  <conditionalFormatting sqref="G27 G49 G55">
    <cfRule type="cellIs" dxfId="25" priority="1" stopIfTrue="1" operator="equal">
      <formula>0</formula>
    </cfRule>
    <cfRule type="cellIs" dxfId="24" priority="2" stopIfTrue="1" operator="notEqual">
      <formula>0</formula>
    </cfRule>
  </conditionalFormatting>
  <pageMargins left="0.59" right="0.25" top="0.22" bottom="0.17" header="0.13" footer="0.15"/>
  <pageSetup paperSize="9" scale="93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2"/>
  <sheetViews>
    <sheetView topLeftCell="A37" workbookViewId="0">
      <selection activeCell="B57" sqref="B57:C57"/>
    </sheetView>
  </sheetViews>
  <sheetFormatPr defaultColWidth="9.140625" defaultRowHeight="12.75" x14ac:dyDescent="0.2"/>
  <cols>
    <col min="1" max="1" width="4.7109375" style="99" customWidth="1"/>
    <col min="2" max="2" width="55.5703125" style="99" customWidth="1"/>
    <col min="3" max="4" width="16.5703125" style="106" bestFit="1" customWidth="1"/>
    <col min="5" max="5" width="9.7109375" style="141" customWidth="1"/>
    <col min="6" max="6" width="17.85546875" style="112" customWidth="1"/>
    <col min="7" max="7" width="17.7109375" style="106" customWidth="1"/>
    <col min="8" max="11" width="13.7109375" style="99" customWidth="1"/>
    <col min="12" max="16384" width="9.140625" style="99"/>
  </cols>
  <sheetData>
    <row r="1" spans="1:7" ht="11.25" customHeight="1" x14ac:dyDescent="0.2"/>
    <row r="2" spans="1:7" x14ac:dyDescent="0.2">
      <c r="A2" s="3728" t="s">
        <v>453</v>
      </c>
      <c r="B2" s="3728"/>
      <c r="C2" s="3728"/>
      <c r="D2" s="3728"/>
      <c r="E2" s="3728"/>
    </row>
    <row r="3" spans="1:7" x14ac:dyDescent="0.2">
      <c r="A3" s="3728"/>
      <c r="B3" s="3728"/>
      <c r="C3" s="3728"/>
      <c r="D3" s="3728"/>
      <c r="E3" s="3728"/>
    </row>
    <row r="4" spans="1:7" ht="30.75" customHeight="1" x14ac:dyDescent="0.2">
      <c r="A4" s="3728"/>
      <c r="B4" s="3728"/>
      <c r="C4" s="3728"/>
      <c r="D4" s="3728"/>
      <c r="E4" s="3728"/>
    </row>
    <row r="5" spans="1:7" ht="7.5" customHeight="1" x14ac:dyDescent="0.2">
      <c r="A5" s="1285"/>
      <c r="B5" s="1285"/>
      <c r="C5" s="1285"/>
      <c r="D5" s="1285"/>
      <c r="E5" s="1285"/>
    </row>
    <row r="6" spans="1:7" ht="25.5" x14ac:dyDescent="0.2">
      <c r="A6" s="113" t="s">
        <v>185</v>
      </c>
      <c r="B6" s="113" t="s">
        <v>186</v>
      </c>
      <c r="C6" s="114" t="s">
        <v>187</v>
      </c>
      <c r="D6" s="114" t="s">
        <v>188</v>
      </c>
      <c r="E6" s="115" t="s">
        <v>189</v>
      </c>
    </row>
    <row r="7" spans="1:7" x14ac:dyDescent="0.2">
      <c r="A7" s="116">
        <v>1</v>
      </c>
      <c r="B7" s="117" t="s">
        <v>456</v>
      </c>
      <c r="C7" s="118">
        <f>'prosinac 2009.(12)'!CA161</f>
        <v>10188833.68</v>
      </c>
      <c r="D7" s="118">
        <f>'prosinac 2009.(12)'!CB161</f>
        <v>-82864.270000000048</v>
      </c>
      <c r="E7" s="119">
        <f>IF(C7&gt;0,D7/C7,0)</f>
        <v>-8.1328513746040509E-3</v>
      </c>
      <c r="F7" s="120"/>
    </row>
    <row r="8" spans="1:7" x14ac:dyDescent="0.2">
      <c r="A8" s="121">
        <v>2</v>
      </c>
      <c r="B8" s="122" t="s">
        <v>457</v>
      </c>
      <c r="C8" s="123">
        <f>'prosinac 2009.(12)'!CC161</f>
        <v>14373712</v>
      </c>
      <c r="D8" s="123">
        <f>'prosinac 2009.(12)'!CD161</f>
        <v>0</v>
      </c>
      <c r="E8" s="119">
        <f>IF(C8&gt;0,D8/C8,0)</f>
        <v>0</v>
      </c>
      <c r="F8" s="120"/>
    </row>
    <row r="9" spans="1:7" x14ac:dyDescent="0.2">
      <c r="A9" s="124">
        <v>3</v>
      </c>
      <c r="B9" s="125" t="s">
        <v>190</v>
      </c>
      <c r="C9" s="126">
        <f>'prosinac 2009.(12)'!CE225</f>
        <v>44812.21</v>
      </c>
      <c r="D9" s="126">
        <f>'prosinac 2009.(12)'!CF225</f>
        <v>39567.21</v>
      </c>
      <c r="E9" s="119">
        <f>IF(C9&gt;0,D9/C9,0)</f>
        <v>0.88295600685616715</v>
      </c>
      <c r="F9" s="120"/>
    </row>
    <row r="10" spans="1:7" x14ac:dyDescent="0.2">
      <c r="A10" s="121">
        <v>4</v>
      </c>
      <c r="B10" s="122" t="s">
        <v>191</v>
      </c>
      <c r="C10" s="123">
        <v>0</v>
      </c>
      <c r="D10" s="123">
        <v>0</v>
      </c>
      <c r="E10" s="119">
        <f>IF(C10&gt;0,D10/C10,0)</f>
        <v>0</v>
      </c>
      <c r="F10" s="127"/>
    </row>
    <row r="11" spans="1:7" x14ac:dyDescent="0.2">
      <c r="A11" s="124">
        <v>5</v>
      </c>
      <c r="B11" s="125" t="s">
        <v>192</v>
      </c>
      <c r="C11" s="126">
        <f>'prosinac 2009.(12)'!CE230</f>
        <v>986433.41</v>
      </c>
      <c r="D11" s="126">
        <f>'prosinac 2009.(12)'!CF230</f>
        <v>160537.09</v>
      </c>
      <c r="E11" s="119">
        <f>IF(C11&gt;0,D11/C11,0)</f>
        <v>0.16274498447898272</v>
      </c>
      <c r="F11" s="128"/>
    </row>
    <row r="12" spans="1:7" x14ac:dyDescent="0.2">
      <c r="A12" s="129">
        <v>6</v>
      </c>
      <c r="B12" s="130" t="s">
        <v>193</v>
      </c>
      <c r="C12" s="131" t="e">
        <f>G14*F12</f>
        <v>#REF!</v>
      </c>
      <c r="D12" s="131" t="e">
        <f>'prosinac 2009.(12)'!CB222-D13-D14-D15</f>
        <v>#REF!</v>
      </c>
      <c r="E12" s="3729" t="e">
        <f>(D12+D13+D14+D15)/(C12+C13+C14+C15)</f>
        <v>#REF!</v>
      </c>
      <c r="F12" s="133" t="e">
        <f>D12/$G$15</f>
        <v>#REF!</v>
      </c>
    </row>
    <row r="13" spans="1:7" x14ac:dyDescent="0.2">
      <c r="A13" s="124">
        <v>7</v>
      </c>
      <c r="B13" s="125" t="s">
        <v>194</v>
      </c>
      <c r="C13" s="131" t="e">
        <f>G14*F13</f>
        <v>#REF!</v>
      </c>
      <c r="D13" s="158" t="e">
        <f>#REF!</f>
        <v>#REF!</v>
      </c>
      <c r="E13" s="3730"/>
      <c r="F13" s="133" t="e">
        <f>D13/$G$15</f>
        <v>#REF!</v>
      </c>
    </row>
    <row r="14" spans="1:7" x14ac:dyDescent="0.2">
      <c r="A14" s="124">
        <v>8</v>
      </c>
      <c r="B14" s="125" t="s">
        <v>195</v>
      </c>
      <c r="C14" s="131" t="e">
        <f>G14*F14</f>
        <v>#REF!</v>
      </c>
      <c r="D14" s="158" t="e">
        <f>#REF!</f>
        <v>#REF!</v>
      </c>
      <c r="E14" s="3730"/>
      <c r="F14" s="133" t="e">
        <f>D14/$G$15</f>
        <v>#REF!</v>
      </c>
      <c r="G14" s="106">
        <f>'prosinac 2009.(12)'!CA222</f>
        <v>302958.63</v>
      </c>
    </row>
    <row r="15" spans="1:7" x14ac:dyDescent="0.2">
      <c r="A15" s="116">
        <v>9</v>
      </c>
      <c r="B15" s="117" t="s">
        <v>196</v>
      </c>
      <c r="C15" s="131" t="e">
        <f>G14*F15</f>
        <v>#REF!</v>
      </c>
      <c r="D15" s="1164">
        <v>0</v>
      </c>
      <c r="E15" s="3731"/>
      <c r="F15" s="133" t="e">
        <f>D15/$G$15</f>
        <v>#REF!</v>
      </c>
      <c r="G15" s="106" t="e">
        <f>SUM(D12:D15)</f>
        <v>#REF!</v>
      </c>
    </row>
    <row r="16" spans="1:7" x14ac:dyDescent="0.2">
      <c r="A16" s="124">
        <v>10</v>
      </c>
      <c r="B16" s="125" t="s">
        <v>197</v>
      </c>
      <c r="C16" s="136">
        <f>'prosinac 2009.(12)'!CE224</f>
        <v>181221.8</v>
      </c>
      <c r="D16" s="136">
        <f>'prosinac 2009.(12)'!CF224</f>
        <v>168615.73</v>
      </c>
      <c r="E16" s="119">
        <f t="shared" ref="E16:E27" si="0">IF(C16&gt;0,D16/C16,0)</f>
        <v>0.93043844614720761</v>
      </c>
      <c r="F16" s="137"/>
    </row>
    <row r="17" spans="1:9" x14ac:dyDescent="0.2">
      <c r="A17" s="129">
        <v>11</v>
      </c>
      <c r="B17" s="122" t="s">
        <v>198</v>
      </c>
      <c r="C17" s="136">
        <f>'prosinac 2009.(12)'!CE228</f>
        <v>365210.33</v>
      </c>
      <c r="D17" s="136">
        <f>'prosinac 2009.(12)'!CF228</f>
        <v>0</v>
      </c>
      <c r="E17" s="119">
        <f t="shared" si="0"/>
        <v>0</v>
      </c>
      <c r="F17" s="137"/>
    </row>
    <row r="18" spans="1:9" x14ac:dyDescent="0.2">
      <c r="A18" s="124">
        <v>12</v>
      </c>
      <c r="B18" s="125" t="s">
        <v>348</v>
      </c>
      <c r="C18" s="136">
        <f>'prosinac 2009.(12)'!CE168+'prosinac 2009.(12)'!CE191+'prosinac 2009.(12)'!CE210</f>
        <v>307692</v>
      </c>
      <c r="D18" s="136">
        <f>'prosinac 2009.(12)'!CF168+'prosinac 2009.(12)'!CF191+'prosinac 2009.(12)'!CF210</f>
        <v>0</v>
      </c>
      <c r="E18" s="119">
        <f t="shared" si="0"/>
        <v>0</v>
      </c>
      <c r="F18" s="137"/>
    </row>
    <row r="19" spans="1:9" x14ac:dyDescent="0.2">
      <c r="A19" s="124">
        <v>13</v>
      </c>
      <c r="B19" s="139" t="s">
        <v>385</v>
      </c>
      <c r="C19" s="1399">
        <v>0</v>
      </c>
      <c r="D19" s="1399">
        <v>0</v>
      </c>
      <c r="E19" s="119">
        <f t="shared" si="0"/>
        <v>0</v>
      </c>
      <c r="F19" s="138"/>
    </row>
    <row r="20" spans="1:9" x14ac:dyDescent="0.2">
      <c r="A20" s="124">
        <v>14</v>
      </c>
      <c r="B20" s="139" t="s">
        <v>386</v>
      </c>
      <c r="C20" s="136">
        <f>'prosinac 2009.(12)'!CC211</f>
        <v>261800.55000000002</v>
      </c>
      <c r="D20" s="136">
        <f>'prosinac 2009.(12)'!CD211</f>
        <v>56106.19</v>
      </c>
      <c r="E20" s="119">
        <f t="shared" si="0"/>
        <v>0.2143089080599716</v>
      </c>
      <c r="F20" s="138"/>
    </row>
    <row r="21" spans="1:9" x14ac:dyDescent="0.2">
      <c r="A21" s="124">
        <v>15</v>
      </c>
      <c r="B21" s="125" t="s">
        <v>219</v>
      </c>
      <c r="C21" s="136">
        <f>'prosinac 2009.(12)'!CE235</f>
        <v>10000</v>
      </c>
      <c r="D21" s="136" t="e">
        <f>'prosinac 2009.(12)'!CF235</f>
        <v>#REF!</v>
      </c>
      <c r="E21" s="119" t="e">
        <f t="shared" si="0"/>
        <v>#REF!</v>
      </c>
      <c r="F21" s="138"/>
    </row>
    <row r="22" spans="1:9" x14ac:dyDescent="0.2">
      <c r="A22" s="124">
        <v>16</v>
      </c>
      <c r="B22" s="125" t="s">
        <v>380</v>
      </c>
      <c r="C22" s="136">
        <f>'prosinac 2009.(12)'!CE236</f>
        <v>11250000</v>
      </c>
      <c r="D22" s="136">
        <f>'prosinac 2009.(12)'!CF236</f>
        <v>13465767.140000001</v>
      </c>
      <c r="E22" s="119">
        <f t="shared" si="0"/>
        <v>1.1969570791111113</v>
      </c>
      <c r="F22" s="138"/>
    </row>
    <row r="23" spans="1:9" x14ac:dyDescent="0.2">
      <c r="A23" s="124">
        <v>17</v>
      </c>
      <c r="B23" s="125" t="s">
        <v>199</v>
      </c>
      <c r="C23" s="136">
        <f>'prosinac 2009.(12)'!CE238</f>
        <v>0</v>
      </c>
      <c r="D23" s="136">
        <f>'prosinac 2009.(12)'!CF238</f>
        <v>0</v>
      </c>
      <c r="E23" s="119">
        <f t="shared" si="0"/>
        <v>0</v>
      </c>
      <c r="F23" s="138"/>
    </row>
    <row r="24" spans="1:9" x14ac:dyDescent="0.2">
      <c r="A24" s="124">
        <v>18</v>
      </c>
      <c r="B24" s="125" t="s">
        <v>422</v>
      </c>
      <c r="C24" s="136">
        <f>'prosinac 2009.(12)'!CE239</f>
        <v>0</v>
      </c>
      <c r="D24" s="136">
        <f>'prosinac 2009.(12)'!CF239</f>
        <v>0</v>
      </c>
      <c r="E24" s="119">
        <f t="shared" si="0"/>
        <v>0</v>
      </c>
      <c r="F24" s="138"/>
    </row>
    <row r="25" spans="1:9" x14ac:dyDescent="0.2">
      <c r="A25" s="121">
        <v>19</v>
      </c>
      <c r="B25" s="117" t="s">
        <v>200</v>
      </c>
      <c r="C25" s="136">
        <f>'prosinac 2009.(12)'!CE240</f>
        <v>200000</v>
      </c>
      <c r="D25" s="136">
        <f>'prosinac 2009.(12)'!CF240</f>
        <v>746656.24</v>
      </c>
      <c r="E25" s="119">
        <f t="shared" si="0"/>
        <v>3.7332812</v>
      </c>
      <c r="F25" s="138"/>
    </row>
    <row r="26" spans="1:9" x14ac:dyDescent="0.2">
      <c r="A26" s="124">
        <v>20</v>
      </c>
      <c r="B26" s="125" t="s">
        <v>201</v>
      </c>
      <c r="C26" s="136">
        <f>'prosinac 2009.(12)'!CE220</f>
        <v>0</v>
      </c>
      <c r="D26" s="136">
        <f>'prosinac 2009.(12)'!CF220</f>
        <v>0</v>
      </c>
      <c r="E26" s="119">
        <f t="shared" si="0"/>
        <v>0</v>
      </c>
      <c r="F26" s="138"/>
    </row>
    <row r="27" spans="1:9" ht="13.5" thickBot="1" x14ac:dyDescent="0.25">
      <c r="A27" s="142">
        <v>21</v>
      </c>
      <c r="B27" s="143" t="s">
        <v>202</v>
      </c>
      <c r="C27" s="144">
        <f>'prosinac 2009.(12)'!CE221</f>
        <v>2717543.12</v>
      </c>
      <c r="D27" s="144">
        <f>'prosinac 2009.(12)'!CF221</f>
        <v>2242402.81</v>
      </c>
      <c r="E27" s="132">
        <f t="shared" si="0"/>
        <v>0.82515813401334359</v>
      </c>
      <c r="F27" s="138"/>
      <c r="H27" s="112"/>
      <c r="I27" s="112"/>
    </row>
    <row r="28" spans="1:9" ht="27" customHeight="1" thickTop="1" thickBot="1" x14ac:dyDescent="0.25">
      <c r="A28" s="145"/>
      <c r="B28" s="146" t="s">
        <v>502</v>
      </c>
      <c r="C28" s="138">
        <f>C7+C8+C9+C10+C11+C16+C17+C18+C21+C20</f>
        <v>26719715.98</v>
      </c>
      <c r="D28" s="138" t="e">
        <f>D7+D8+D9+D10+D11+D16+D17+D18+D21+D20</f>
        <v>#REF!</v>
      </c>
      <c r="E28" s="147"/>
    </row>
    <row r="29" spans="1:9" ht="27.75" customHeight="1" thickBot="1" x14ac:dyDescent="0.25">
      <c r="A29" s="148"/>
      <c r="B29" s="149" t="s">
        <v>503</v>
      </c>
      <c r="C29" s="150" t="e">
        <f>C7+C9+C10+C11+C12+C13+C14+C15+C16+C17+C18+C21+C23+C25+C26+C27+C22+C24</f>
        <v>#REF!</v>
      </c>
      <c r="D29" s="150" t="e">
        <f>D7+D9+D10+D12+D13+D14+D15+D16+D17+D18+D21+D23+D25+D26+D27+D22+D24+D11</f>
        <v>#REF!</v>
      </c>
      <c r="E29" s="151"/>
      <c r="F29" s="104">
        <v>17473900.710000001</v>
      </c>
      <c r="G29" s="285" t="e">
        <f>D29-F29</f>
        <v>#REF!</v>
      </c>
      <c r="H29" s="112"/>
    </row>
    <row r="30" spans="1:9" ht="15.75" customHeight="1" x14ac:dyDescent="0.2">
      <c r="A30" s="110"/>
      <c r="B30" s="152"/>
      <c r="C30" s="108"/>
      <c r="D30" s="111"/>
      <c r="E30" s="153"/>
    </row>
    <row r="31" spans="1:9" ht="25.5" x14ac:dyDescent="0.2">
      <c r="A31" s="113" t="s">
        <v>185</v>
      </c>
      <c r="B31" s="113" t="s">
        <v>203</v>
      </c>
      <c r="C31" s="114" t="s">
        <v>204</v>
      </c>
      <c r="D31" s="114" t="s">
        <v>205</v>
      </c>
      <c r="E31" s="115" t="s">
        <v>189</v>
      </c>
    </row>
    <row r="32" spans="1:9" x14ac:dyDescent="0.2">
      <c r="A32" s="154">
        <v>1</v>
      </c>
      <c r="B32" s="155" t="s">
        <v>458</v>
      </c>
      <c r="C32" s="156">
        <f>'prosinac 2009.(12)'!BU161</f>
        <v>5281501.8</v>
      </c>
      <c r="D32" s="156">
        <f>'prosinac 2009.(12)'!BV161</f>
        <v>4545298.8499999996</v>
      </c>
      <c r="E32" s="119">
        <f t="shared" ref="E32:E49" si="1">IF(C32&gt;0,D32/C32,0)</f>
        <v>0.86060727083345878</v>
      </c>
      <c r="F32" s="120"/>
    </row>
    <row r="33" spans="1:6" x14ac:dyDescent="0.2">
      <c r="A33" s="124">
        <v>2</v>
      </c>
      <c r="B33" s="139" t="s">
        <v>459</v>
      </c>
      <c r="C33" s="126">
        <f>'prosinac 2009.(12)'!BW161</f>
        <v>3238294.29</v>
      </c>
      <c r="D33" s="126">
        <f>'prosinac 2009.(12)'!BX161</f>
        <v>1889811.79</v>
      </c>
      <c r="E33" s="119">
        <f t="shared" si="1"/>
        <v>0.58358247298147814</v>
      </c>
      <c r="F33" s="120"/>
    </row>
    <row r="34" spans="1:6" x14ac:dyDescent="0.2">
      <c r="A34" s="121">
        <v>3</v>
      </c>
      <c r="B34" s="157" t="s">
        <v>206</v>
      </c>
      <c r="C34" s="123">
        <f>'prosinac 2009.(12)'!BY233</f>
        <v>0</v>
      </c>
      <c r="D34" s="123">
        <f>'prosinac 2009.(12)'!BZ233</f>
        <v>2271923.09</v>
      </c>
      <c r="E34" s="119">
        <f t="shared" si="1"/>
        <v>0</v>
      </c>
      <c r="F34" s="120"/>
    </row>
    <row r="35" spans="1:6" s="106" customFormat="1" x14ac:dyDescent="0.2">
      <c r="A35" s="124">
        <v>4</v>
      </c>
      <c r="B35" s="139" t="s">
        <v>207</v>
      </c>
      <c r="C35" s="126">
        <f>'prosinac 2009.(12)'!BY230</f>
        <v>4642759.78</v>
      </c>
      <c r="D35" s="126">
        <f>'prosinac 2009.(12)'!BZ230</f>
        <v>160537.09</v>
      </c>
      <c r="E35" s="119">
        <f t="shared" si="1"/>
        <v>3.4577944500070602E-2</v>
      </c>
      <c r="F35" s="120"/>
    </row>
    <row r="36" spans="1:6" s="106" customFormat="1" x14ac:dyDescent="0.2">
      <c r="A36" s="121">
        <v>5</v>
      </c>
      <c r="B36" s="157" t="s">
        <v>208</v>
      </c>
      <c r="C36" s="123">
        <v>0</v>
      </c>
      <c r="D36" s="123">
        <v>0</v>
      </c>
      <c r="E36" s="119">
        <f t="shared" si="1"/>
        <v>0</v>
      </c>
      <c r="F36" s="120"/>
    </row>
    <row r="37" spans="1:6" s="106" customFormat="1" x14ac:dyDescent="0.2">
      <c r="A37" s="124">
        <v>6</v>
      </c>
      <c r="B37" s="139" t="s">
        <v>209</v>
      </c>
      <c r="C37" s="126">
        <v>0</v>
      </c>
      <c r="D37" s="126">
        <v>0</v>
      </c>
      <c r="E37" s="119">
        <f t="shared" si="1"/>
        <v>0</v>
      </c>
      <c r="F37" s="120"/>
    </row>
    <row r="38" spans="1:6" s="106" customFormat="1" x14ac:dyDescent="0.2">
      <c r="A38" s="121">
        <v>7</v>
      </c>
      <c r="B38" s="157" t="s">
        <v>210</v>
      </c>
      <c r="C38" s="1165">
        <f>'prosinac 2009.(12)'!BY228</f>
        <v>128179.72</v>
      </c>
      <c r="D38" s="1165">
        <f>'prosinac 2009.(12)'!BZ228</f>
        <v>0</v>
      </c>
      <c r="E38" s="119">
        <f t="shared" si="1"/>
        <v>0</v>
      </c>
      <c r="F38" s="120"/>
    </row>
    <row r="39" spans="1:6" s="106" customFormat="1" x14ac:dyDescent="0.2">
      <c r="A39" s="124">
        <v>8</v>
      </c>
      <c r="B39" s="139" t="s">
        <v>349</v>
      </c>
      <c r="C39" s="1165">
        <f>'prosinac 2009.(12)'!BY168+'prosinac 2009.(12)'!BY191+'prosinac 2009.(12)'!BY210</f>
        <v>307692</v>
      </c>
      <c r="D39" s="1165">
        <f>'prosinac 2009.(12)'!BZ168+'prosinac 2009.(12)'!BZ191+'prosinac 2009.(12)'!BZ210</f>
        <v>0</v>
      </c>
      <c r="E39" s="119">
        <f t="shared" si="1"/>
        <v>0</v>
      </c>
      <c r="F39" s="120"/>
    </row>
    <row r="40" spans="1:6" s="106" customFormat="1" x14ac:dyDescent="0.2">
      <c r="A40" s="124">
        <v>9</v>
      </c>
      <c r="B40" s="139" t="s">
        <v>350</v>
      </c>
      <c r="C40" s="126">
        <f>'prosinac 2009.(12)'!BY163+'prosinac 2009.(12)'!BY173+'prosinac 2009.(12)'!BY209</f>
        <v>261800.55000000002</v>
      </c>
      <c r="D40" s="126">
        <f>'prosinac 2009.(12)'!BZ163+'prosinac 2009.(12)'!BZ173+'prosinac 2009.(12)'!BZ209</f>
        <v>56106.19</v>
      </c>
      <c r="E40" s="119">
        <f t="shared" si="1"/>
        <v>0.2143089080599716</v>
      </c>
      <c r="F40" s="120"/>
    </row>
    <row r="41" spans="1:6" s="106" customFormat="1" x14ac:dyDescent="0.2">
      <c r="A41" s="124">
        <v>10</v>
      </c>
      <c r="B41" s="157" t="s">
        <v>383</v>
      </c>
      <c r="C41" s="123">
        <f>'prosinac 2009.(12)'!BY215</f>
        <v>0</v>
      </c>
      <c r="D41" s="123">
        <f>'prosinac 2009.(12)'!BZ215</f>
        <v>0</v>
      </c>
      <c r="E41" s="119">
        <f t="shared" si="1"/>
        <v>0</v>
      </c>
      <c r="F41" s="120"/>
    </row>
    <row r="42" spans="1:6" s="106" customFormat="1" x14ac:dyDescent="0.2">
      <c r="A42" s="124">
        <v>11</v>
      </c>
      <c r="B42" s="139" t="s">
        <v>220</v>
      </c>
      <c r="C42" s="126">
        <f>'prosinac 2009.(12)'!BY216</f>
        <v>60540.11</v>
      </c>
      <c r="D42" s="126" t="e">
        <f>'prosinac 2009.(12)'!BZ216</f>
        <v>#REF!</v>
      </c>
      <c r="E42" s="119" t="e">
        <f t="shared" si="1"/>
        <v>#REF!</v>
      </c>
      <c r="F42" s="120"/>
    </row>
    <row r="43" spans="1:6" s="106" customFormat="1" x14ac:dyDescent="0.2">
      <c r="A43" s="124">
        <v>12</v>
      </c>
      <c r="B43" s="139" t="s">
        <v>211</v>
      </c>
      <c r="C43" s="126">
        <f>'prosinac 2009.(12)'!BY235</f>
        <v>10000</v>
      </c>
      <c r="D43" s="126" t="e">
        <f>'prosinac 2009.(12)'!BZ235</f>
        <v>#REF!</v>
      </c>
      <c r="E43" s="119" t="e">
        <f t="shared" si="1"/>
        <v>#REF!</v>
      </c>
      <c r="F43" s="120"/>
    </row>
    <row r="44" spans="1:6" s="106" customFormat="1" x14ac:dyDescent="0.2">
      <c r="A44" s="124">
        <v>13</v>
      </c>
      <c r="B44" s="139" t="s">
        <v>380</v>
      </c>
      <c r="C44" s="126">
        <f>'prosinac 2009.(12)'!BY236</f>
        <v>11250000</v>
      </c>
      <c r="D44" s="126">
        <f>'prosinac 2009.(12)'!BZ236</f>
        <v>13465767.140000001</v>
      </c>
      <c r="E44" s="119">
        <f t="shared" si="1"/>
        <v>1.1969570791111113</v>
      </c>
      <c r="F44" s="120"/>
    </row>
    <row r="45" spans="1:6" s="106" customFormat="1" x14ac:dyDescent="0.2">
      <c r="A45" s="124">
        <v>14</v>
      </c>
      <c r="B45" s="139" t="s">
        <v>212</v>
      </c>
      <c r="C45" s="126">
        <f>'prosinac 2009.(12)'!BY238</f>
        <v>0</v>
      </c>
      <c r="D45" s="126">
        <f>'prosinac 2009.(12)'!BZ238</f>
        <v>2391964.04</v>
      </c>
      <c r="E45" s="119">
        <f t="shared" si="1"/>
        <v>0</v>
      </c>
      <c r="F45" s="120"/>
    </row>
    <row r="46" spans="1:6" s="106" customFormat="1" x14ac:dyDescent="0.2">
      <c r="A46" s="124">
        <v>15</v>
      </c>
      <c r="B46" s="139" t="s">
        <v>420</v>
      </c>
      <c r="C46" s="126">
        <f>'prosinac 2009.(12)'!BY239</f>
        <v>899073.63</v>
      </c>
      <c r="D46" s="126">
        <f>'prosinac 2009.(12)'!BZ239</f>
        <v>0</v>
      </c>
      <c r="E46" s="119">
        <f t="shared" si="1"/>
        <v>0</v>
      </c>
      <c r="F46" s="120"/>
    </row>
    <row r="47" spans="1:6" s="106" customFormat="1" x14ac:dyDescent="0.2">
      <c r="A47" s="121">
        <v>16</v>
      </c>
      <c r="B47" s="157" t="s">
        <v>213</v>
      </c>
      <c r="C47" s="126">
        <f>'prosinac 2009.(12)'!BY240</f>
        <v>0</v>
      </c>
      <c r="D47" s="126">
        <f>'prosinac 2009.(12)'!BZ240</f>
        <v>1122668.1499999999</v>
      </c>
      <c r="E47" s="119">
        <f t="shared" si="1"/>
        <v>0</v>
      </c>
      <c r="F47" s="120"/>
    </row>
    <row r="48" spans="1:6" s="106" customFormat="1" x14ac:dyDescent="0.2">
      <c r="A48" s="124">
        <v>17</v>
      </c>
      <c r="B48" s="139" t="s">
        <v>222</v>
      </c>
      <c r="C48" s="126">
        <f>'prosinac 2009.(12)'!BY220</f>
        <v>0</v>
      </c>
      <c r="D48" s="126">
        <f>'prosinac 2009.(12)'!BZ220</f>
        <v>2022221.07</v>
      </c>
      <c r="E48" s="119">
        <f t="shared" si="1"/>
        <v>0</v>
      </c>
      <c r="F48" s="120"/>
    </row>
    <row r="49" spans="1:8" s="106" customFormat="1" ht="13.5" thickBot="1" x14ac:dyDescent="0.25">
      <c r="A49" s="142">
        <v>18</v>
      </c>
      <c r="B49" s="159" t="s">
        <v>221</v>
      </c>
      <c r="C49" s="160">
        <f>'prosinac 2009.(12)'!BY221</f>
        <v>200000</v>
      </c>
      <c r="D49" s="160">
        <f>'prosinac 2009.(12)'!BZ221</f>
        <v>746656.24</v>
      </c>
      <c r="E49" s="161">
        <f t="shared" si="1"/>
        <v>3.7332812</v>
      </c>
      <c r="F49" s="120"/>
    </row>
    <row r="50" spans="1:8" s="106" customFormat="1" ht="27" customHeight="1" thickTop="1" thickBot="1" x14ac:dyDescent="0.25">
      <c r="A50" s="162"/>
      <c r="B50" s="163" t="s">
        <v>462</v>
      </c>
      <c r="C50" s="127">
        <f>C32+C33+C34+C35+C38+C39+C42+C43+C41+C40</f>
        <v>13930768.250000002</v>
      </c>
      <c r="D50" s="164" t="e">
        <f>D32+D33+D34+D35+D38+D39+D42+D43+D41+D40</f>
        <v>#REF!</v>
      </c>
      <c r="E50" s="165"/>
      <c r="F50" s="112"/>
    </row>
    <row r="51" spans="1:8" s="100" customFormat="1" ht="27" customHeight="1" thickBot="1" x14ac:dyDescent="0.25">
      <c r="A51" s="148"/>
      <c r="B51" s="149" t="s">
        <v>463</v>
      </c>
      <c r="C51" s="150">
        <f>C32+C34+C35+C38+C39+C42+C43+C45+C47+C48+C49+C41+C44+C40+C46</f>
        <v>23041547.59</v>
      </c>
      <c r="D51" s="150" t="e">
        <f>D32+D34+D35+D38+D39+D42+D43+D45+D47+D48+D49+D41+D44+D40+D46</f>
        <v>#REF!</v>
      </c>
      <c r="E51" s="151"/>
      <c r="F51" s="104">
        <v>26971460.559999999</v>
      </c>
      <c r="G51" s="285" t="e">
        <f>D51-F51</f>
        <v>#REF!</v>
      </c>
      <c r="H51" s="285"/>
    </row>
    <row r="52" spans="1:8" ht="15.75" customHeight="1" thickBot="1" x14ac:dyDescent="0.25">
      <c r="A52" s="110"/>
      <c r="B52" s="152"/>
      <c r="C52" s="167"/>
      <c r="D52" s="111"/>
      <c r="E52" s="153"/>
    </row>
    <row r="53" spans="1:8" ht="16.5" customHeight="1" thickBot="1" x14ac:dyDescent="0.25">
      <c r="A53" s="3732" t="s">
        <v>214</v>
      </c>
      <c r="B53" s="3733"/>
      <c r="C53" s="150"/>
      <c r="D53" s="168" t="e">
        <f>D29-D51</f>
        <v>#REF!</v>
      </c>
      <c r="E53" s="153"/>
    </row>
    <row r="54" spans="1:8" ht="12" customHeight="1" thickBot="1" x14ac:dyDescent="0.25">
      <c r="A54" s="110"/>
      <c r="B54" s="102"/>
      <c r="C54" s="108"/>
      <c r="D54" s="108"/>
      <c r="E54" s="153"/>
    </row>
    <row r="55" spans="1:8" ht="15.75" customHeight="1" thickBot="1" x14ac:dyDescent="0.25">
      <c r="A55" s="3732" t="s">
        <v>460</v>
      </c>
      <c r="B55" s="3733"/>
      <c r="C55" s="3733"/>
      <c r="D55" s="168" t="e">
        <f>'A4 srpanj'!D55</f>
        <v>#REF!</v>
      </c>
      <c r="E55" s="153"/>
    </row>
    <row r="56" spans="1:8" ht="10.5" customHeight="1" thickBot="1" x14ac:dyDescent="0.25">
      <c r="A56" s="110"/>
      <c r="B56" s="102"/>
      <c r="C56" s="108"/>
      <c r="D56" s="108"/>
      <c r="E56" s="153"/>
    </row>
    <row r="57" spans="1:8" ht="16.5" customHeight="1" thickBot="1" x14ac:dyDescent="0.25">
      <c r="A57" s="3732" t="s">
        <v>461</v>
      </c>
      <c r="B57" s="3733"/>
      <c r="C57" s="3733"/>
      <c r="D57" s="168" t="e">
        <f>D55+D53</f>
        <v>#REF!</v>
      </c>
      <c r="E57" s="153"/>
      <c r="F57" s="285">
        <v>48483590.509999998</v>
      </c>
      <c r="G57" s="166" t="e">
        <f>F57-D57</f>
        <v>#REF!</v>
      </c>
    </row>
    <row r="58" spans="1:8" ht="8.25" customHeight="1" x14ac:dyDescent="0.2">
      <c r="A58" s="110"/>
      <c r="B58" s="152"/>
      <c r="C58" s="108"/>
      <c r="D58" s="111"/>
      <c r="E58" s="153"/>
    </row>
    <row r="59" spans="1:8" ht="39" customHeight="1" x14ac:dyDescent="0.2">
      <c r="A59" s="110"/>
      <c r="B59" s="3734" t="s">
        <v>215</v>
      </c>
      <c r="C59" s="3735"/>
      <c r="D59" s="3734" t="s">
        <v>216</v>
      </c>
      <c r="E59" s="3734"/>
    </row>
    <row r="60" spans="1:8" x14ac:dyDescent="0.2">
      <c r="A60" s="110"/>
      <c r="B60" s="3726" t="s">
        <v>217</v>
      </c>
      <c r="C60" s="3726"/>
      <c r="D60" s="3726" t="s">
        <v>218</v>
      </c>
      <c r="E60" s="3726"/>
    </row>
    <row r="61" spans="1:8" ht="9.75" customHeight="1" x14ac:dyDescent="0.2">
      <c r="A61" s="110"/>
      <c r="B61" s="170"/>
      <c r="C61" s="171"/>
      <c r="D61" s="171"/>
      <c r="E61" s="172"/>
    </row>
    <row r="62" spans="1:8" x14ac:dyDescent="0.2">
      <c r="A62" s="170"/>
      <c r="D62" s="3727" t="s">
        <v>454</v>
      </c>
      <c r="E62" s="3727"/>
    </row>
  </sheetData>
  <mergeCells count="10">
    <mergeCell ref="B60:C60"/>
    <mergeCell ref="D60:E60"/>
    <mergeCell ref="D62:E62"/>
    <mergeCell ref="A2:E4"/>
    <mergeCell ref="E12:E15"/>
    <mergeCell ref="A53:B53"/>
    <mergeCell ref="A55:C55"/>
    <mergeCell ref="A57:C57"/>
    <mergeCell ref="B59:C59"/>
    <mergeCell ref="D59:E59"/>
  </mergeCells>
  <conditionalFormatting sqref="G29 G51 G57">
    <cfRule type="cellIs" dxfId="23" priority="1" stopIfTrue="1" operator="equal">
      <formula>0</formula>
    </cfRule>
    <cfRule type="cellIs" dxfId="22" priority="2" stopIfTrue="1" operator="notEqual">
      <formula>0</formula>
    </cfRule>
  </conditionalFormatting>
  <pageMargins left="0.59055118110236227" right="0.23622047244094491" top="0.17" bottom="0.15748031496062992" header="0.11811023622047245" footer="0.15748031496062992"/>
  <pageSetup paperSize="9" scale="9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2"/>
  <sheetViews>
    <sheetView topLeftCell="A41" workbookViewId="0">
      <selection activeCell="B57" sqref="B57:C57"/>
    </sheetView>
  </sheetViews>
  <sheetFormatPr defaultColWidth="9.140625" defaultRowHeight="12.75" x14ac:dyDescent="0.2"/>
  <cols>
    <col min="1" max="1" width="4.7109375" style="99" customWidth="1"/>
    <col min="2" max="2" width="55.5703125" style="99" customWidth="1"/>
    <col min="3" max="4" width="16.5703125" style="106" bestFit="1" customWidth="1"/>
    <col min="5" max="5" width="12" style="141" customWidth="1"/>
    <col min="6" max="6" width="17.85546875" style="112" customWidth="1"/>
    <col min="7" max="7" width="17.7109375" style="106" customWidth="1"/>
    <col min="8" max="11" width="13.7109375" style="99" customWidth="1"/>
    <col min="12" max="16384" width="9.140625" style="99"/>
  </cols>
  <sheetData>
    <row r="1" spans="1:7" ht="11.25" customHeight="1" x14ac:dyDescent="0.2"/>
    <row r="2" spans="1:7" x14ac:dyDescent="0.2">
      <c r="A2" s="3728" t="s">
        <v>485</v>
      </c>
      <c r="B2" s="3728"/>
      <c r="C2" s="3728"/>
      <c r="D2" s="3728"/>
      <c r="E2" s="3728"/>
    </row>
    <row r="3" spans="1:7" x14ac:dyDescent="0.2">
      <c r="A3" s="3728"/>
      <c r="B3" s="3728"/>
      <c r="C3" s="3728"/>
      <c r="D3" s="3728"/>
      <c r="E3" s="3728"/>
    </row>
    <row r="4" spans="1:7" ht="30.75" customHeight="1" x14ac:dyDescent="0.2">
      <c r="A4" s="3728"/>
      <c r="B4" s="3728"/>
      <c r="C4" s="3728"/>
      <c r="D4" s="3728"/>
      <c r="E4" s="3728"/>
    </row>
    <row r="5" spans="1:7" ht="7.5" customHeight="1" x14ac:dyDescent="0.2">
      <c r="A5" s="1285"/>
      <c r="B5" s="1285"/>
      <c r="C5" s="1285"/>
      <c r="D5" s="1285"/>
      <c r="E5" s="1285"/>
    </row>
    <row r="6" spans="1:7" ht="25.5" x14ac:dyDescent="0.2">
      <c r="A6" s="113" t="s">
        <v>185</v>
      </c>
      <c r="B6" s="113" t="s">
        <v>186</v>
      </c>
      <c r="C6" s="114" t="s">
        <v>187</v>
      </c>
      <c r="D6" s="114" t="s">
        <v>188</v>
      </c>
      <c r="E6" s="115" t="s">
        <v>189</v>
      </c>
    </row>
    <row r="7" spans="1:7" x14ac:dyDescent="0.2">
      <c r="A7" s="116">
        <v>1</v>
      </c>
      <c r="B7" s="117" t="s">
        <v>490</v>
      </c>
      <c r="C7" s="118">
        <f>'prosinac 2009.(12)'!DG161</f>
        <v>2668490.62</v>
      </c>
      <c r="D7" s="118">
        <f>'prosinac 2009.(12)'!DH161</f>
        <v>57416.689999999988</v>
      </c>
      <c r="E7" s="119">
        <f>IF(C7&gt;0,D7/C7,0)</f>
        <v>2.1516541811940109E-2</v>
      </c>
      <c r="F7" s="120"/>
    </row>
    <row r="8" spans="1:7" x14ac:dyDescent="0.2">
      <c r="A8" s="121">
        <v>2</v>
      </c>
      <c r="B8" s="122" t="s">
        <v>491</v>
      </c>
      <c r="C8" s="123">
        <f>'prosinac 2009.(12)'!DI161</f>
        <v>201440.29</v>
      </c>
      <c r="D8" s="123">
        <f>'prosinac 2009.(12)'!DJ161</f>
        <v>26417.8</v>
      </c>
      <c r="E8" s="119">
        <f>IF(C8&gt;0,D8/C8,0)</f>
        <v>0.13114456894397838</v>
      </c>
      <c r="F8" s="120"/>
    </row>
    <row r="9" spans="1:7" x14ac:dyDescent="0.2">
      <c r="A9" s="124">
        <v>3</v>
      </c>
      <c r="B9" s="125" t="s">
        <v>190</v>
      </c>
      <c r="C9" s="126">
        <f>'prosinac 2009.(12)'!DK225</f>
        <v>44812.21</v>
      </c>
      <c r="D9" s="126">
        <f>'prosinac 2009.(12)'!DL225</f>
        <v>128700.04000000001</v>
      </c>
      <c r="E9" s="119">
        <f>IF(C9&gt;0,D9/C9,0)</f>
        <v>2.8719860055998132</v>
      </c>
      <c r="F9" s="120"/>
    </row>
    <row r="10" spans="1:7" x14ac:dyDescent="0.2">
      <c r="A10" s="121">
        <v>4</v>
      </c>
      <c r="B10" s="122" t="s">
        <v>191</v>
      </c>
      <c r="C10" s="123">
        <v>0</v>
      </c>
      <c r="D10" s="123">
        <v>0</v>
      </c>
      <c r="E10" s="119">
        <f>IF(C10&gt;0,D10/C10,0)</f>
        <v>0</v>
      </c>
      <c r="F10" s="127"/>
    </row>
    <row r="11" spans="1:7" x14ac:dyDescent="0.2">
      <c r="A11" s="124">
        <v>5</v>
      </c>
      <c r="B11" s="125" t="s">
        <v>192</v>
      </c>
      <c r="C11" s="126">
        <f>'prosinac 2009.(12)'!DK230</f>
        <v>1414324.48</v>
      </c>
      <c r="D11" s="126">
        <f>'prosinac 2009.(12)'!DL230</f>
        <v>194251.96</v>
      </c>
      <c r="E11" s="119">
        <f>IF(C11&gt;0,D11/C11,0)</f>
        <v>0.13734610603643091</v>
      </c>
      <c r="F11" s="128"/>
    </row>
    <row r="12" spans="1:7" x14ac:dyDescent="0.2">
      <c r="A12" s="129">
        <v>6</v>
      </c>
      <c r="B12" s="130" t="s">
        <v>193</v>
      </c>
      <c r="C12" s="131" t="e">
        <f>F12*$G$14</f>
        <v>#REF!</v>
      </c>
      <c r="D12" s="131" t="e">
        <f>'prosinac 2009.(12)'!DH222-'A4 rujan'!D13-'A4 rujan'!D14-'A4 rujan'!D15</f>
        <v>#REF!</v>
      </c>
      <c r="E12" s="3729" t="e">
        <f>(D12+D13+D14+D15)/(C12+C13+C14+C15)</f>
        <v>#REF!</v>
      </c>
      <c r="F12" s="133" t="e">
        <f>D12/$G$15</f>
        <v>#REF!</v>
      </c>
    </row>
    <row r="13" spans="1:7" x14ac:dyDescent="0.2">
      <c r="A13" s="124">
        <v>7</v>
      </c>
      <c r="B13" s="125" t="s">
        <v>194</v>
      </c>
      <c r="C13" s="131" t="e">
        <f>F13*$G$14</f>
        <v>#REF!</v>
      </c>
      <c r="D13" s="158" t="e">
        <f>#REF!</f>
        <v>#REF!</v>
      </c>
      <c r="E13" s="3730"/>
      <c r="F13" s="133" t="e">
        <f>D13/$G$15</f>
        <v>#REF!</v>
      </c>
    </row>
    <row r="14" spans="1:7" x14ac:dyDescent="0.2">
      <c r="A14" s="124">
        <v>8</v>
      </c>
      <c r="B14" s="125" t="s">
        <v>195</v>
      </c>
      <c r="C14" s="131" t="e">
        <f>F14*$G$14</f>
        <v>#REF!</v>
      </c>
      <c r="D14" s="158" t="e">
        <f>#REF!</f>
        <v>#REF!</v>
      </c>
      <c r="E14" s="3730"/>
      <c r="F14" s="133" t="e">
        <f>D14/$G$15</f>
        <v>#REF!</v>
      </c>
      <c r="G14" s="106">
        <f>'prosinac 2009.(12)'!CA222</f>
        <v>302958.63</v>
      </c>
    </row>
    <row r="15" spans="1:7" x14ac:dyDescent="0.2">
      <c r="A15" s="116">
        <v>9</v>
      </c>
      <c r="B15" s="117" t="s">
        <v>196</v>
      </c>
      <c r="C15" s="131" t="e">
        <f>F15*$G$14</f>
        <v>#REF!</v>
      </c>
      <c r="D15" s="1164">
        <v>0</v>
      </c>
      <c r="E15" s="3731"/>
      <c r="F15" s="133" t="e">
        <f>D15/$G$15</f>
        <v>#REF!</v>
      </c>
      <c r="G15" s="106" t="e">
        <f>SUM(D12:D15)</f>
        <v>#REF!</v>
      </c>
    </row>
    <row r="16" spans="1:7" x14ac:dyDescent="0.2">
      <c r="A16" s="124">
        <v>10</v>
      </c>
      <c r="B16" s="125" t="s">
        <v>197</v>
      </c>
      <c r="C16" s="136">
        <f>'prosinac 2009.(12)'!DK224</f>
        <v>181221.8</v>
      </c>
      <c r="D16" s="136">
        <f>'prosinac 2009.(12)'!DL224</f>
        <v>150299.26999999999</v>
      </c>
      <c r="E16" s="119">
        <f t="shared" ref="E16:E27" si="0">IF(C16&gt;0,D16/C16,0)</f>
        <v>0.829366389694838</v>
      </c>
      <c r="F16" s="137"/>
    </row>
    <row r="17" spans="1:9" x14ac:dyDescent="0.2">
      <c r="A17" s="129">
        <v>11</v>
      </c>
      <c r="B17" s="122" t="s">
        <v>198</v>
      </c>
      <c r="C17" s="136">
        <f>'prosinac 2009.(12)'!DK228</f>
        <v>365210.33</v>
      </c>
      <c r="D17" s="136">
        <f>'prosinac 2009.(12)'!DL228</f>
        <v>0</v>
      </c>
      <c r="E17" s="119">
        <f t="shared" si="0"/>
        <v>0</v>
      </c>
      <c r="F17" s="137"/>
    </row>
    <row r="18" spans="1:9" x14ac:dyDescent="0.2">
      <c r="A18" s="124">
        <v>12</v>
      </c>
      <c r="B18" s="125" t="s">
        <v>348</v>
      </c>
      <c r="C18" s="136">
        <f>'prosinac 2009.(12)'!DK168+'prosinac 2009.(12)'!DK191+'prosinac 2009.(12)'!DK210</f>
        <v>307692</v>
      </c>
      <c r="D18" s="136">
        <f>'prosinac 2009.(12)'!DL168+'prosinac 2009.(12)'!DL191+'prosinac 2009.(12)'!DL210</f>
        <v>275307.90999999997</v>
      </c>
      <c r="E18" s="119">
        <f t="shared" si="0"/>
        <v>0.89475160225160222</v>
      </c>
      <c r="F18" s="137"/>
    </row>
    <row r="19" spans="1:9" x14ac:dyDescent="0.2">
      <c r="A19" s="124">
        <v>13</v>
      </c>
      <c r="B19" s="139" t="s">
        <v>385</v>
      </c>
      <c r="C19" s="1399">
        <f>D19</f>
        <v>181898.64</v>
      </c>
      <c r="D19" s="1399">
        <v>181898.64</v>
      </c>
      <c r="E19" s="119">
        <f t="shared" si="0"/>
        <v>1</v>
      </c>
      <c r="F19" s="138"/>
    </row>
    <row r="20" spans="1:9" x14ac:dyDescent="0.2">
      <c r="A20" s="124">
        <v>14</v>
      </c>
      <c r="B20" s="139" t="s">
        <v>386</v>
      </c>
      <c r="C20" s="136">
        <f>'prosinac 2009.(12)'!DI181</f>
        <v>12047.3</v>
      </c>
      <c r="D20" s="136">
        <f>'prosinac 2009.(12)'!DJ181</f>
        <v>90957.19</v>
      </c>
      <c r="E20" s="119">
        <f t="shared" si="0"/>
        <v>7.5500062254613072</v>
      </c>
      <c r="F20" s="138"/>
    </row>
    <row r="21" spans="1:9" x14ac:dyDescent="0.2">
      <c r="A21" s="124">
        <v>16</v>
      </c>
      <c r="B21" s="125" t="s">
        <v>219</v>
      </c>
      <c r="C21" s="136">
        <f>'prosinac 2009.(12)'!DK235</f>
        <v>10000</v>
      </c>
      <c r="D21" s="136" t="e">
        <f>'prosinac 2009.(12)'!DL235</f>
        <v>#REF!</v>
      </c>
      <c r="E21" s="119" t="e">
        <f t="shared" si="0"/>
        <v>#REF!</v>
      </c>
      <c r="F21" s="138"/>
    </row>
    <row r="22" spans="1:9" x14ac:dyDescent="0.2">
      <c r="A22" s="124">
        <v>17</v>
      </c>
      <c r="B22" s="125" t="s">
        <v>380</v>
      </c>
      <c r="C22" s="136">
        <f>'prosinac 2009.(12)'!DK236</f>
        <v>2000000</v>
      </c>
      <c r="D22" s="136">
        <f>'prosinac 2009.(12)'!DL236</f>
        <v>258854.64</v>
      </c>
      <c r="E22" s="119">
        <f t="shared" si="0"/>
        <v>0.12942732000000001</v>
      </c>
      <c r="F22" s="138"/>
    </row>
    <row r="23" spans="1:9" x14ac:dyDescent="0.2">
      <c r="A23" s="124">
        <v>18</v>
      </c>
      <c r="B23" s="125" t="s">
        <v>199</v>
      </c>
      <c r="C23" s="136">
        <f>'prosinac 2009.(12)'!DK238</f>
        <v>0</v>
      </c>
      <c r="D23" s="136">
        <f>'prosinac 2009.(12)'!DL238</f>
        <v>0</v>
      </c>
      <c r="E23" s="119">
        <f t="shared" si="0"/>
        <v>0</v>
      </c>
      <c r="F23" s="138"/>
    </row>
    <row r="24" spans="1:9" x14ac:dyDescent="0.2">
      <c r="A24" s="124">
        <v>19</v>
      </c>
      <c r="B24" s="125" t="s">
        <v>422</v>
      </c>
      <c r="C24" s="136">
        <f>'prosinac 2009.(12)'!DK239</f>
        <v>0</v>
      </c>
      <c r="D24" s="136">
        <f>'prosinac 2009.(12)'!DL239</f>
        <v>0</v>
      </c>
      <c r="E24" s="119">
        <f t="shared" si="0"/>
        <v>0</v>
      </c>
      <c r="F24" s="138"/>
    </row>
    <row r="25" spans="1:9" x14ac:dyDescent="0.2">
      <c r="A25" s="121">
        <v>20</v>
      </c>
      <c r="B25" s="117" t="s">
        <v>200</v>
      </c>
      <c r="C25" s="136">
        <f>'prosinac 2009.(12)'!DK240</f>
        <v>0</v>
      </c>
      <c r="D25" s="136">
        <f>'prosinac 2009.(12)'!DL240</f>
        <v>0</v>
      </c>
      <c r="E25" s="119">
        <f t="shared" si="0"/>
        <v>0</v>
      </c>
      <c r="F25" s="138"/>
    </row>
    <row r="26" spans="1:9" x14ac:dyDescent="0.2">
      <c r="A26" s="124">
        <v>21</v>
      </c>
      <c r="B26" s="125" t="s">
        <v>201</v>
      </c>
      <c r="C26" s="136">
        <f>'prosinac 2009.(12)'!DK220</f>
        <v>0</v>
      </c>
      <c r="D26" s="136">
        <f>'prosinac 2009.(12)'!DL220</f>
        <v>0</v>
      </c>
      <c r="E26" s="119">
        <f t="shared" si="0"/>
        <v>0</v>
      </c>
      <c r="F26" s="138"/>
    </row>
    <row r="27" spans="1:9" ht="13.5" thickBot="1" x14ac:dyDescent="0.25">
      <c r="A27" s="142">
        <v>22</v>
      </c>
      <c r="B27" s="143" t="s">
        <v>202</v>
      </c>
      <c r="C27" s="144">
        <f>'prosinac 2009.(12)'!DK221</f>
        <v>2717543.12</v>
      </c>
      <c r="D27" s="144">
        <f>'prosinac 2009.(12)'!DL221</f>
        <v>0</v>
      </c>
      <c r="E27" s="132">
        <f t="shared" si="0"/>
        <v>0</v>
      </c>
      <c r="F27" s="138"/>
      <c r="H27" s="112"/>
      <c r="I27" s="112"/>
    </row>
    <row r="28" spans="1:9" ht="27" customHeight="1" thickTop="1" thickBot="1" x14ac:dyDescent="0.25">
      <c r="A28" s="145"/>
      <c r="B28" s="146" t="s">
        <v>502</v>
      </c>
      <c r="C28" s="138">
        <f>C7+C8+C9+C10+C11+C16+C17+C18+C21+C20</f>
        <v>5205239.0299999993</v>
      </c>
      <c r="D28" s="138" t="e">
        <f>D7+D8+D9+D10+D11+D16+D17+D18+D21+D20</f>
        <v>#REF!</v>
      </c>
      <c r="E28" s="147"/>
      <c r="F28" s="112" t="e">
        <f>D29+67386.1</f>
        <v>#REF!</v>
      </c>
      <c r="G28" s="106" t="e">
        <f>F29-F28</f>
        <v>#REF!</v>
      </c>
    </row>
    <row r="29" spans="1:9" ht="27.75" customHeight="1" thickBot="1" x14ac:dyDescent="0.25">
      <c r="A29" s="148"/>
      <c r="B29" s="149" t="s">
        <v>503</v>
      </c>
      <c r="C29" s="150" t="e">
        <f>C7+C9+C10+C11+C12+C13+C14+C15+C16+C17+C18+C21+C23+C25+C26+C27+C22+C24</f>
        <v>#REF!</v>
      </c>
      <c r="D29" s="150" t="e">
        <f>D7+D9+D10+D12+D13+D14+D15+D16+D17+D18+D21+D23+D25+D26+D27+D22+D24+D11</f>
        <v>#REF!</v>
      </c>
      <c r="E29" s="151"/>
      <c r="F29" s="104">
        <v>2013487.32</v>
      </c>
      <c r="G29" s="285" t="e">
        <f>D29-F29</f>
        <v>#REF!</v>
      </c>
      <c r="H29" s="112"/>
    </row>
    <row r="30" spans="1:9" ht="15.75" customHeight="1" x14ac:dyDescent="0.2">
      <c r="A30" s="110"/>
      <c r="B30" s="152"/>
      <c r="C30" s="108"/>
      <c r="D30" s="111"/>
      <c r="E30" s="153"/>
    </row>
    <row r="31" spans="1:9" ht="25.5" x14ac:dyDescent="0.2">
      <c r="A31" s="113" t="s">
        <v>185</v>
      </c>
      <c r="B31" s="113" t="s">
        <v>203</v>
      </c>
      <c r="C31" s="114" t="s">
        <v>204</v>
      </c>
      <c r="D31" s="114" t="s">
        <v>205</v>
      </c>
      <c r="E31" s="115" t="s">
        <v>189</v>
      </c>
    </row>
    <row r="32" spans="1:9" x14ac:dyDescent="0.2">
      <c r="A32" s="154">
        <v>1</v>
      </c>
      <c r="B32" s="155" t="s">
        <v>492</v>
      </c>
      <c r="C32" s="156">
        <f>'prosinac 2009.(12)'!DA161</f>
        <v>7654352.290000001</v>
      </c>
      <c r="D32" s="156">
        <f>'prosinac 2009.(12)'!DB161</f>
        <v>3121531.38</v>
      </c>
      <c r="E32" s="119">
        <f t="shared" ref="E32:E49" si="1">IF(C32&gt;0,D32/C32,0)</f>
        <v>0.40781130286858008</v>
      </c>
      <c r="F32" s="120"/>
    </row>
    <row r="33" spans="1:7" x14ac:dyDescent="0.2">
      <c r="A33" s="124">
        <v>2</v>
      </c>
      <c r="B33" s="139" t="s">
        <v>493</v>
      </c>
      <c r="C33" s="126">
        <f>'prosinac 2009.(12)'!DC161</f>
        <v>1044335.66</v>
      </c>
      <c r="D33" s="126">
        <f>'prosinac 2009.(12)'!DD161</f>
        <v>2012772.87</v>
      </c>
      <c r="E33" s="119">
        <f t="shared" si="1"/>
        <v>1.9273237016535469</v>
      </c>
      <c r="F33" s="120"/>
    </row>
    <row r="34" spans="1:7" x14ac:dyDescent="0.2">
      <c r="A34" s="121">
        <v>3</v>
      </c>
      <c r="B34" s="157" t="s">
        <v>206</v>
      </c>
      <c r="C34" s="123">
        <f>'prosinac 2009.(12)'!DE233</f>
        <v>0</v>
      </c>
      <c r="D34" s="123">
        <f>'prosinac 2009.(12)'!DF233</f>
        <v>0</v>
      </c>
      <c r="E34" s="119">
        <f t="shared" si="1"/>
        <v>0</v>
      </c>
      <c r="F34" s="120"/>
    </row>
    <row r="35" spans="1:7" s="106" customFormat="1" x14ac:dyDescent="0.2">
      <c r="A35" s="124">
        <v>4</v>
      </c>
      <c r="B35" s="139" t="s">
        <v>207</v>
      </c>
      <c r="C35" s="126">
        <f>'prosinac 2009.(12)'!DE230</f>
        <v>3286632.34</v>
      </c>
      <c r="D35" s="126">
        <f>'prosinac 2009.(12)'!DF230</f>
        <v>194251.96</v>
      </c>
      <c r="E35" s="119">
        <f t="shared" si="1"/>
        <v>5.9103647717407906E-2</v>
      </c>
      <c r="F35" s="120"/>
    </row>
    <row r="36" spans="1:7" s="106" customFormat="1" x14ac:dyDescent="0.2">
      <c r="A36" s="121">
        <v>5</v>
      </c>
      <c r="B36" s="157" t="s">
        <v>208</v>
      </c>
      <c r="C36" s="123">
        <v>0</v>
      </c>
      <c r="D36" s="123">
        <v>0</v>
      </c>
      <c r="E36" s="119">
        <f t="shared" si="1"/>
        <v>0</v>
      </c>
      <c r="F36" s="120"/>
    </row>
    <row r="37" spans="1:7" s="106" customFormat="1" x14ac:dyDescent="0.2">
      <c r="A37" s="124">
        <v>6</v>
      </c>
      <c r="B37" s="139" t="s">
        <v>209</v>
      </c>
      <c r="C37" s="126">
        <v>0</v>
      </c>
      <c r="D37" s="126">
        <v>0</v>
      </c>
      <c r="E37" s="119">
        <f t="shared" si="1"/>
        <v>0</v>
      </c>
      <c r="F37" s="120"/>
    </row>
    <row r="38" spans="1:7" s="106" customFormat="1" x14ac:dyDescent="0.2">
      <c r="A38" s="121">
        <v>7</v>
      </c>
      <c r="B38" s="157" t="s">
        <v>210</v>
      </c>
      <c r="C38" s="1165">
        <f>'prosinac 2009.(12)'!DE228</f>
        <v>128179.72</v>
      </c>
      <c r="D38" s="1165" t="e">
        <f>'prosinac 2009.(12)'!DF228</f>
        <v>#REF!</v>
      </c>
      <c r="E38" s="119" t="e">
        <f t="shared" si="1"/>
        <v>#REF!</v>
      </c>
      <c r="F38" s="120"/>
    </row>
    <row r="39" spans="1:7" s="106" customFormat="1" x14ac:dyDescent="0.2">
      <c r="A39" s="124">
        <v>8</v>
      </c>
      <c r="B39" s="139" t="s">
        <v>349</v>
      </c>
      <c r="C39" s="1165">
        <f>'prosinac 2009.(12)'!DE168+'prosinac 2009.(12)'!DE191+'prosinac 2009.(12)'!DE210</f>
        <v>0</v>
      </c>
      <c r="D39" s="1165">
        <f>'prosinac 2009.(12)'!DF168+'prosinac 2009.(12)'!DF191+'prosinac 2009.(12)'!DF210</f>
        <v>287706.76999999996</v>
      </c>
      <c r="E39" s="119">
        <f t="shared" si="1"/>
        <v>0</v>
      </c>
      <c r="F39" s="120">
        <f>275307.91+12398.86</f>
        <v>287706.76999999996</v>
      </c>
      <c r="G39" s="106">
        <f>D39-F39</f>
        <v>0</v>
      </c>
    </row>
    <row r="40" spans="1:7" s="106" customFormat="1" x14ac:dyDescent="0.2">
      <c r="A40" s="124">
        <v>9</v>
      </c>
      <c r="B40" s="139" t="s">
        <v>350</v>
      </c>
      <c r="C40" s="126">
        <f>'prosinac 2009.(12)'!DE163+'prosinac 2009.(12)'!DE173+'prosinac 2009.(12)'!DE209</f>
        <v>249753.25</v>
      </c>
      <c r="D40" s="126">
        <f>'prosinac 2009.(12)'!DF163+'prosinac 2009.(12)'!DF173+'prosinac 2009.(12)'!DF209</f>
        <v>111710.02</v>
      </c>
      <c r="E40" s="119">
        <f t="shared" si="1"/>
        <v>0.44728154688677729</v>
      </c>
      <c r="F40" s="120"/>
    </row>
    <row r="41" spans="1:7" s="106" customFormat="1" x14ac:dyDescent="0.2">
      <c r="A41" s="124">
        <v>10</v>
      </c>
      <c r="B41" s="157" t="s">
        <v>383</v>
      </c>
      <c r="C41" s="123">
        <f>'prosinac 2009.(12)'!DE215</f>
        <v>0</v>
      </c>
      <c r="D41" s="123">
        <f>'prosinac 2009.(12)'!DF215</f>
        <v>0</v>
      </c>
      <c r="E41" s="119">
        <f t="shared" si="1"/>
        <v>0</v>
      </c>
      <c r="F41" s="120"/>
    </row>
    <row r="42" spans="1:7" s="106" customFormat="1" x14ac:dyDescent="0.2">
      <c r="A42" s="124">
        <v>11</v>
      </c>
      <c r="B42" s="139" t="s">
        <v>220</v>
      </c>
      <c r="C42" s="126">
        <f>'prosinac 2009.(12)'!DE216</f>
        <v>60540.11</v>
      </c>
      <c r="D42" s="126" t="e">
        <f>'prosinac 2009.(12)'!DF216</f>
        <v>#REF!</v>
      </c>
      <c r="E42" s="119" t="e">
        <f t="shared" si="1"/>
        <v>#REF!</v>
      </c>
      <c r="F42" s="120"/>
    </row>
    <row r="43" spans="1:7" s="106" customFormat="1" x14ac:dyDescent="0.2">
      <c r="A43" s="124">
        <v>12</v>
      </c>
      <c r="B43" s="139" t="s">
        <v>211</v>
      </c>
      <c r="C43" s="126">
        <f>'prosinac 2009.(12)'!DE235</f>
        <v>10000</v>
      </c>
      <c r="D43" s="126" t="e">
        <f>'prosinac 2009.(12)'!DF235</f>
        <v>#REF!</v>
      </c>
      <c r="E43" s="119" t="e">
        <f t="shared" si="1"/>
        <v>#REF!</v>
      </c>
      <c r="F43" s="120"/>
    </row>
    <row r="44" spans="1:7" s="106" customFormat="1" x14ac:dyDescent="0.2">
      <c r="A44" s="124">
        <v>13</v>
      </c>
      <c r="B44" s="139" t="s">
        <v>380</v>
      </c>
      <c r="C44" s="126">
        <f>'prosinac 2009.(12)'!DE236</f>
        <v>2000000</v>
      </c>
      <c r="D44" s="126">
        <f>'prosinac 2009.(12)'!DF236</f>
        <v>258854.64</v>
      </c>
      <c r="E44" s="119">
        <f t="shared" si="1"/>
        <v>0.12942732000000001</v>
      </c>
      <c r="F44" s="120"/>
    </row>
    <row r="45" spans="1:7" s="106" customFormat="1" x14ac:dyDescent="0.2">
      <c r="A45" s="124">
        <v>14</v>
      </c>
      <c r="B45" s="139" t="s">
        <v>212</v>
      </c>
      <c r="C45" s="126">
        <f>'prosinac 2009.(12)'!DE238</f>
        <v>0</v>
      </c>
      <c r="D45" s="126">
        <f>'prosinac 2009.(12)'!DF238</f>
        <v>0</v>
      </c>
      <c r="E45" s="119">
        <f t="shared" si="1"/>
        <v>0</v>
      </c>
      <c r="F45" s="120"/>
    </row>
    <row r="46" spans="1:7" s="106" customFormat="1" x14ac:dyDescent="0.2">
      <c r="A46" s="124">
        <v>15</v>
      </c>
      <c r="B46" s="139" t="s">
        <v>420</v>
      </c>
      <c r="C46" s="126">
        <f>'prosinac 2009.(12)'!DE239</f>
        <v>899073.63</v>
      </c>
      <c r="D46" s="126">
        <f>'prosinac 2009.(12)'!DF239</f>
        <v>0</v>
      </c>
      <c r="E46" s="119">
        <f t="shared" si="1"/>
        <v>0</v>
      </c>
      <c r="F46" s="120"/>
    </row>
    <row r="47" spans="1:7" s="106" customFormat="1" x14ac:dyDescent="0.2">
      <c r="A47" s="121">
        <v>16</v>
      </c>
      <c r="B47" s="157" t="s">
        <v>213</v>
      </c>
      <c r="C47" s="126">
        <f>'prosinac 2009.(12)'!DE240</f>
        <v>0</v>
      </c>
      <c r="D47" s="126">
        <f>'prosinac 2009.(12)'!DF240</f>
        <v>3550058.41</v>
      </c>
      <c r="E47" s="119">
        <f t="shared" si="1"/>
        <v>0</v>
      </c>
      <c r="F47" s="120"/>
    </row>
    <row r="48" spans="1:7" s="106" customFormat="1" x14ac:dyDescent="0.2">
      <c r="A48" s="124">
        <v>17</v>
      </c>
      <c r="B48" s="139" t="s">
        <v>222</v>
      </c>
      <c r="C48" s="126">
        <f>'prosinac 2009.(12)'!DE220</f>
        <v>0</v>
      </c>
      <c r="D48" s="126">
        <f>'prosinac 2009.(12)'!DF220</f>
        <v>1511314.18</v>
      </c>
      <c r="E48" s="119">
        <f t="shared" si="1"/>
        <v>0</v>
      </c>
      <c r="F48" s="120"/>
    </row>
    <row r="49" spans="1:8" s="106" customFormat="1" ht="13.5" thickBot="1" x14ac:dyDescent="0.25">
      <c r="A49" s="142">
        <v>18</v>
      </c>
      <c r="B49" s="159" t="s">
        <v>221</v>
      </c>
      <c r="C49" s="160">
        <f>'prosinac 2009.(12)'!DE221</f>
        <v>0</v>
      </c>
      <c r="D49" s="160">
        <f>'prosinac 2009.(12)'!DF221</f>
        <v>0</v>
      </c>
      <c r="E49" s="161">
        <f t="shared" si="1"/>
        <v>0</v>
      </c>
      <c r="F49" s="120"/>
    </row>
    <row r="50" spans="1:8" s="106" customFormat="1" ht="27" customHeight="1" thickTop="1" thickBot="1" x14ac:dyDescent="0.25">
      <c r="A50" s="162"/>
      <c r="B50" s="163" t="s">
        <v>462</v>
      </c>
      <c r="C50" s="127">
        <f>C32+C33+C34+C35+C38+C39+C42+C43+C41+C40</f>
        <v>12433793.370000001</v>
      </c>
      <c r="D50" s="164" t="e">
        <f>D32+D33+D34+D35+D38+D39+D42+D43+D41+D40</f>
        <v>#REF!</v>
      </c>
      <c r="E50" s="165"/>
      <c r="F50" s="112" t="e">
        <f>D51+67386.1</f>
        <v>#REF!</v>
      </c>
      <c r="G50" s="106" t="e">
        <f>F50-F51</f>
        <v>#REF!</v>
      </c>
    </row>
    <row r="51" spans="1:8" s="100" customFormat="1" ht="27" customHeight="1" thickBot="1" x14ac:dyDescent="0.25">
      <c r="A51" s="148"/>
      <c r="B51" s="149" t="s">
        <v>463</v>
      </c>
      <c r="C51" s="150">
        <f>C32+C34+C35+C38+C39+C42+C43+C45+C47+C48+C49+C41+C44+C40+C46</f>
        <v>14288531.340000002</v>
      </c>
      <c r="D51" s="150" t="e">
        <f>D32+D34+D35+D38+D39+D42+D43+D45+D47+D48+D49+D41+D44+D40+D46</f>
        <v>#REF!</v>
      </c>
      <c r="E51" s="151"/>
      <c r="F51" s="104">
        <v>9582044.7200000007</v>
      </c>
      <c r="G51" s="285" t="e">
        <f>D51-F51</f>
        <v>#REF!</v>
      </c>
      <c r="H51" s="285"/>
    </row>
    <row r="52" spans="1:8" ht="15.75" customHeight="1" thickBot="1" x14ac:dyDescent="0.25">
      <c r="A52" s="110"/>
      <c r="B52" s="152"/>
      <c r="C52" s="167"/>
      <c r="D52" s="111"/>
      <c r="E52" s="153"/>
    </row>
    <row r="53" spans="1:8" ht="16.5" customHeight="1" thickBot="1" x14ac:dyDescent="0.25">
      <c r="A53" s="3732" t="s">
        <v>214</v>
      </c>
      <c r="B53" s="3733"/>
      <c r="C53" s="150"/>
      <c r="D53" s="168" t="e">
        <f>D29-D51</f>
        <v>#REF!</v>
      </c>
      <c r="E53" s="153"/>
    </row>
    <row r="54" spans="1:8" ht="12" customHeight="1" thickBot="1" x14ac:dyDescent="0.25">
      <c r="A54" s="110"/>
      <c r="B54" s="102"/>
      <c r="C54" s="108"/>
      <c r="D54" s="108"/>
      <c r="E54" s="153"/>
    </row>
    <row r="55" spans="1:8" ht="15.75" customHeight="1" thickBot="1" x14ac:dyDescent="0.25">
      <c r="A55" s="3732" t="s">
        <v>486</v>
      </c>
      <c r="B55" s="3733"/>
      <c r="C55" s="3733"/>
      <c r="D55" s="168" t="e">
        <f>'A4 kolovoz'!D57</f>
        <v>#REF!</v>
      </c>
      <c r="E55" s="153"/>
    </row>
    <row r="56" spans="1:8" ht="10.5" customHeight="1" thickBot="1" x14ac:dyDescent="0.25">
      <c r="A56" s="110"/>
      <c r="B56" s="102"/>
      <c r="C56" s="108"/>
      <c r="D56" s="108"/>
      <c r="E56" s="153"/>
    </row>
    <row r="57" spans="1:8" ht="16.5" customHeight="1" thickBot="1" x14ac:dyDescent="0.25">
      <c r="A57" s="3732" t="s">
        <v>487</v>
      </c>
      <c r="B57" s="3733"/>
      <c r="C57" s="3733"/>
      <c r="D57" s="168" t="e">
        <f>D55+D53</f>
        <v>#REF!</v>
      </c>
      <c r="E57" s="153"/>
      <c r="F57" s="285">
        <v>40915033.109999999</v>
      </c>
      <c r="G57" s="285" t="e">
        <f>F57-D57</f>
        <v>#REF!</v>
      </c>
    </row>
    <row r="58" spans="1:8" ht="8.25" customHeight="1" x14ac:dyDescent="0.2">
      <c r="A58" s="110"/>
      <c r="B58" s="152"/>
      <c r="C58" s="108"/>
      <c r="D58" s="111"/>
      <c r="E58" s="153"/>
    </row>
    <row r="59" spans="1:8" ht="39" customHeight="1" x14ac:dyDescent="0.2">
      <c r="A59" s="110"/>
      <c r="B59" s="3734" t="s">
        <v>215</v>
      </c>
      <c r="C59" s="3735"/>
      <c r="D59" s="3734" t="s">
        <v>216</v>
      </c>
      <c r="E59" s="3734"/>
    </row>
    <row r="60" spans="1:8" x14ac:dyDescent="0.2">
      <c r="A60" s="110"/>
      <c r="B60" s="3726" t="s">
        <v>217</v>
      </c>
      <c r="C60" s="3726"/>
      <c r="D60" s="3726" t="s">
        <v>218</v>
      </c>
      <c r="E60" s="3726"/>
    </row>
    <row r="61" spans="1:8" ht="9.75" customHeight="1" x14ac:dyDescent="0.2">
      <c r="A61" s="110"/>
      <c r="B61" s="170"/>
      <c r="C61" s="171"/>
      <c r="D61" s="171"/>
      <c r="E61" s="172"/>
    </row>
    <row r="62" spans="1:8" x14ac:dyDescent="0.2">
      <c r="A62" s="170"/>
      <c r="D62" s="3727" t="s">
        <v>489</v>
      </c>
      <c r="E62" s="3727"/>
    </row>
  </sheetData>
  <mergeCells count="10">
    <mergeCell ref="B60:C60"/>
    <mergeCell ref="D60:E60"/>
    <mergeCell ref="D62:E62"/>
    <mergeCell ref="A2:E4"/>
    <mergeCell ref="E12:E15"/>
    <mergeCell ref="A53:B53"/>
    <mergeCell ref="A55:C55"/>
    <mergeCell ref="A57:C57"/>
    <mergeCell ref="B59:C59"/>
    <mergeCell ref="D59:E59"/>
  </mergeCells>
  <conditionalFormatting sqref="G29 G51 G57">
    <cfRule type="cellIs" dxfId="21" priority="1" stopIfTrue="1" operator="equal">
      <formula>0</formula>
    </cfRule>
    <cfRule type="cellIs" dxfId="20" priority="2" stopIfTrue="1" operator="notEqual">
      <formula>0</formula>
    </cfRule>
  </conditionalFormatting>
  <pageMargins left="0.59055118110236227" right="0.23622047244094491" top="0.17" bottom="0.15748031496062992" header="0.11811023622047245" footer="0.15748031496062992"/>
  <pageSetup paperSize="9" scale="9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8"/>
  <sheetViews>
    <sheetView topLeftCell="B40" workbookViewId="0">
      <selection activeCell="B57" sqref="B57:C57"/>
    </sheetView>
  </sheetViews>
  <sheetFormatPr defaultColWidth="9.140625" defaultRowHeight="12.75" x14ac:dyDescent="0.2"/>
  <cols>
    <col min="1" max="1" width="4.7109375" style="99" customWidth="1"/>
    <col min="2" max="2" width="55.5703125" style="99" customWidth="1"/>
    <col min="3" max="4" width="16.5703125" style="106" bestFit="1" customWidth="1"/>
    <col min="5" max="5" width="12" style="141" customWidth="1"/>
    <col min="6" max="6" width="17.85546875" style="112" customWidth="1"/>
    <col min="7" max="7" width="17.7109375" style="106" customWidth="1"/>
    <col min="8" max="11" width="13.7109375" style="99" customWidth="1"/>
    <col min="12" max="16384" width="9.140625" style="99"/>
  </cols>
  <sheetData>
    <row r="1" spans="1:7" ht="11.25" customHeight="1" x14ac:dyDescent="0.2"/>
    <row r="2" spans="1:7" x14ac:dyDescent="0.2">
      <c r="A2" s="3728" t="s">
        <v>512</v>
      </c>
      <c r="B2" s="3728"/>
      <c r="C2" s="3728"/>
      <c r="D2" s="3728"/>
      <c r="E2" s="3728"/>
    </row>
    <row r="3" spans="1:7" x14ac:dyDescent="0.2">
      <c r="A3" s="3728"/>
      <c r="B3" s="3728"/>
      <c r="C3" s="3728"/>
      <c r="D3" s="3728"/>
      <c r="E3" s="3728"/>
    </row>
    <row r="4" spans="1:7" ht="30.75" customHeight="1" x14ac:dyDescent="0.2">
      <c r="A4" s="3728"/>
      <c r="B4" s="3728"/>
      <c r="C4" s="3728"/>
      <c r="D4" s="3728"/>
      <c r="E4" s="3728"/>
    </row>
    <row r="5" spans="1:7" ht="7.5" customHeight="1" x14ac:dyDescent="0.2">
      <c r="A5" s="1285"/>
      <c r="B5" s="1285"/>
      <c r="C5" s="1285"/>
      <c r="D5" s="1285"/>
      <c r="E5" s="1285"/>
    </row>
    <row r="6" spans="1:7" ht="25.5" x14ac:dyDescent="0.2">
      <c r="A6" s="113" t="s">
        <v>185</v>
      </c>
      <c r="B6" s="113" t="s">
        <v>186</v>
      </c>
      <c r="C6" s="114" t="s">
        <v>187</v>
      </c>
      <c r="D6" s="114" t="s">
        <v>188</v>
      </c>
      <c r="E6" s="115" t="s">
        <v>189</v>
      </c>
    </row>
    <row r="7" spans="1:7" x14ac:dyDescent="0.2">
      <c r="A7" s="116">
        <v>1</v>
      </c>
      <c r="B7" s="117" t="s">
        <v>490</v>
      </c>
      <c r="C7" s="118">
        <f>'prosinac 2009.(12)'!EM161</f>
        <v>10410171.810000002</v>
      </c>
      <c r="D7" s="118">
        <f>'prosinac 2009.(12)'!EN161</f>
        <v>38139.42</v>
      </c>
      <c r="E7" s="119">
        <f>IF(C7&gt;0,D7/C7,0)</f>
        <v>3.6636686402584926E-3</v>
      </c>
      <c r="F7" s="120"/>
    </row>
    <row r="8" spans="1:7" x14ac:dyDescent="0.2">
      <c r="A8" s="121">
        <v>2</v>
      </c>
      <c r="B8" s="122" t="s">
        <v>491</v>
      </c>
      <c r="C8" s="123">
        <f>'prosinac 2009.(12)'!EO161</f>
        <v>16598615.880000001</v>
      </c>
      <c r="D8" s="123">
        <f>'prosinac 2009.(12)'!EP161</f>
        <v>50234.350000000006</v>
      </c>
      <c r="E8" s="119">
        <f>IF(C8&gt;0,D8/C8,0)</f>
        <v>3.0264180075718458E-3</v>
      </c>
      <c r="F8" s="120"/>
    </row>
    <row r="9" spans="1:7" x14ac:dyDescent="0.2">
      <c r="A9" s="124">
        <v>3</v>
      </c>
      <c r="B9" s="125" t="s">
        <v>190</v>
      </c>
      <c r="C9" s="126">
        <f>'prosinac 2009.(12)'!EQ225</f>
        <v>44812.21</v>
      </c>
      <c r="D9" s="126">
        <f>'prosinac 2009.(12)'!ER225</f>
        <v>29472.050000000003</v>
      </c>
      <c r="E9" s="119">
        <f>IF(C9&gt;0,D9/C9,0)</f>
        <v>0.6576790120371212</v>
      </c>
      <c r="F9" s="120"/>
    </row>
    <row r="10" spans="1:7" x14ac:dyDescent="0.2">
      <c r="A10" s="124">
        <v>4</v>
      </c>
      <c r="B10" s="125" t="s">
        <v>192</v>
      </c>
      <c r="C10" s="126">
        <f>'prosinac 2009.(12)'!EQ230</f>
        <v>1437479.23</v>
      </c>
      <c r="D10" s="126">
        <f>'prosinac 2009.(12)'!ER230</f>
        <v>2161234.73</v>
      </c>
      <c r="E10" s="119">
        <f>IF(C10&gt;0,D10/C10,0)</f>
        <v>1.5034893617210734</v>
      </c>
      <c r="F10" s="128"/>
    </row>
    <row r="11" spans="1:7" x14ac:dyDescent="0.2">
      <c r="A11" s="129">
        <v>5</v>
      </c>
      <c r="B11" s="130" t="s">
        <v>193</v>
      </c>
      <c r="C11" s="131" t="e">
        <f>F11*G14</f>
        <v>#REF!</v>
      </c>
      <c r="D11" s="131" t="e">
        <f>'prosinac 2009.(12)'!EN222-D12-D13</f>
        <v>#REF!</v>
      </c>
      <c r="E11" s="3729" t="e">
        <f>(D11+D12+D13)/(C11+C12+C13)</f>
        <v>#REF!</v>
      </c>
      <c r="F11" s="133" t="e">
        <f>D11/G15</f>
        <v>#REF!</v>
      </c>
    </row>
    <row r="12" spans="1:7" x14ac:dyDescent="0.2">
      <c r="A12" s="124">
        <v>6</v>
      </c>
      <c r="B12" s="125" t="s">
        <v>194</v>
      </c>
      <c r="C12" s="131" t="e">
        <f>F12*G14</f>
        <v>#REF!</v>
      </c>
      <c r="D12" s="158" t="e">
        <f>#REF!</f>
        <v>#REF!</v>
      </c>
      <c r="E12" s="3730"/>
      <c r="F12" s="133" t="e">
        <f>D12/G15</f>
        <v>#REF!</v>
      </c>
    </row>
    <row r="13" spans="1:7" x14ac:dyDescent="0.2">
      <c r="A13" s="124">
        <v>7</v>
      </c>
      <c r="B13" s="125" t="s">
        <v>195</v>
      </c>
      <c r="C13" s="131" t="e">
        <f>F13*G14</f>
        <v>#REF!</v>
      </c>
      <c r="D13" s="158" t="e">
        <f>#REF!</f>
        <v>#REF!</v>
      </c>
      <c r="E13" s="3730"/>
      <c r="F13" s="133" t="e">
        <f>D13/G15</f>
        <v>#REF!</v>
      </c>
    </row>
    <row r="14" spans="1:7" x14ac:dyDescent="0.2">
      <c r="A14" s="124">
        <v>8</v>
      </c>
      <c r="B14" s="125" t="s">
        <v>197</v>
      </c>
      <c r="C14" s="136">
        <f>'prosinac 2009.(12)'!EQ224</f>
        <v>181221.8</v>
      </c>
      <c r="D14" s="136">
        <f>'prosinac 2009.(12)'!ER224</f>
        <v>150893.43</v>
      </c>
      <c r="E14" s="119">
        <f t="shared" ref="E14:E26" si="0">IF(C14&gt;0,D14/C14,0)</f>
        <v>0.83264502394303552</v>
      </c>
      <c r="F14" s="137"/>
      <c r="G14" s="106">
        <v>302958.63</v>
      </c>
    </row>
    <row r="15" spans="1:7" x14ac:dyDescent="0.2">
      <c r="A15" s="129">
        <v>9</v>
      </c>
      <c r="B15" s="122" t="s">
        <v>198</v>
      </c>
      <c r="C15" s="136">
        <f>'prosinac 2009.(12)'!EQ228</f>
        <v>365210.33</v>
      </c>
      <c r="D15" s="136">
        <f>'prosinac 2009.(12)'!ER228</f>
        <v>0</v>
      </c>
      <c r="E15" s="119">
        <f t="shared" si="0"/>
        <v>0</v>
      </c>
      <c r="F15" s="137"/>
      <c r="G15" s="106" t="e">
        <f>D11+D12+D13</f>
        <v>#REF!</v>
      </c>
    </row>
    <row r="16" spans="1:7" x14ac:dyDescent="0.2">
      <c r="A16" s="124">
        <v>10</v>
      </c>
      <c r="B16" s="125" t="s">
        <v>348</v>
      </c>
      <c r="C16" s="136">
        <f>'prosinac 2009.(12)'!EQ168+'prosinac 2009.(12)'!EQ191+'prosinac 2009.(12)'!EQ210</f>
        <v>307692</v>
      </c>
      <c r="D16" s="136">
        <f>'prosinac 2009.(12)'!ER168+'prosinac 2009.(12)'!ER191+'prosinac 2009.(12)'!ER210</f>
        <v>590660.84</v>
      </c>
      <c r="E16" s="119">
        <f t="shared" si="0"/>
        <v>1.9196496496496496</v>
      </c>
      <c r="F16" s="137"/>
    </row>
    <row r="17" spans="1:9" x14ac:dyDescent="0.2">
      <c r="A17" s="124">
        <v>11</v>
      </c>
      <c r="B17" s="139" t="s">
        <v>385</v>
      </c>
      <c r="C17" s="1399">
        <v>0</v>
      </c>
      <c r="D17" s="1399">
        <f>'prosinac 2009.(12)'!EP211</f>
        <v>0</v>
      </c>
      <c r="E17" s="119">
        <f t="shared" si="0"/>
        <v>0</v>
      </c>
      <c r="F17" s="138"/>
    </row>
    <row r="18" spans="1:9" x14ac:dyDescent="0.2">
      <c r="A18" s="124">
        <v>12</v>
      </c>
      <c r="B18" s="139" t="s">
        <v>386</v>
      </c>
      <c r="C18" s="136">
        <f>'prosinac 2009.(12)'!EO211</f>
        <v>168662.19999999998</v>
      </c>
      <c r="D18" s="136">
        <f>'prosinac 2009.(12)'!EP211</f>
        <v>0</v>
      </c>
      <c r="E18" s="119">
        <f t="shared" si="0"/>
        <v>0</v>
      </c>
      <c r="F18" s="138"/>
    </row>
    <row r="19" spans="1:9" x14ac:dyDescent="0.2">
      <c r="A19" s="124">
        <v>13</v>
      </c>
      <c r="B19" s="125" t="s">
        <v>501</v>
      </c>
      <c r="C19" s="136">
        <f>'prosinac 2009.(12)'!EQ218</f>
        <v>15557379.619999999</v>
      </c>
      <c r="D19" s="136">
        <f>'prosinac 2009.(12)'!ER218</f>
        <v>5789802.7199999997</v>
      </c>
      <c r="E19" s="119"/>
      <c r="F19" s="138"/>
    </row>
    <row r="20" spans="1:9" x14ac:dyDescent="0.2">
      <c r="A20" s="124">
        <v>14</v>
      </c>
      <c r="B20" s="125" t="s">
        <v>219</v>
      </c>
      <c r="C20" s="136">
        <f>'prosinac 2009.(12)'!EQ235</f>
        <v>10000</v>
      </c>
      <c r="D20" s="136" t="e">
        <f>'prosinac 2009.(12)'!ER235</f>
        <v>#REF!</v>
      </c>
      <c r="E20" s="119" t="e">
        <f t="shared" si="0"/>
        <v>#REF!</v>
      </c>
      <c r="F20" s="138"/>
    </row>
    <row r="21" spans="1:9" x14ac:dyDescent="0.2">
      <c r="A21" s="124">
        <v>15</v>
      </c>
      <c r="B21" s="125" t="s">
        <v>380</v>
      </c>
      <c r="C21" s="136">
        <f>'prosinac 2009.(12)'!EQ236</f>
        <v>2000000</v>
      </c>
      <c r="D21" s="136">
        <f>'prosinac 2009.(12)'!ER236</f>
        <v>180.13</v>
      </c>
      <c r="E21" s="119">
        <f t="shared" si="0"/>
        <v>9.0064999999999999E-5</v>
      </c>
      <c r="F21" s="138"/>
    </row>
    <row r="22" spans="1:9" x14ac:dyDescent="0.2">
      <c r="A22" s="124">
        <v>16</v>
      </c>
      <c r="B22" s="125" t="s">
        <v>199</v>
      </c>
      <c r="C22" s="136">
        <f>'prosinac 2009.(12)'!EQ238</f>
        <v>0</v>
      </c>
      <c r="D22" s="136">
        <f>'prosinac 2009.(12)'!ER238</f>
        <v>0</v>
      </c>
      <c r="E22" s="119">
        <f t="shared" si="0"/>
        <v>0</v>
      </c>
      <c r="F22" s="138"/>
    </row>
    <row r="23" spans="1:9" x14ac:dyDescent="0.2">
      <c r="A23" s="124">
        <v>17</v>
      </c>
      <c r="B23" s="125" t="s">
        <v>422</v>
      </c>
      <c r="C23" s="136">
        <f>'prosinac 2009.(12)'!EQ239</f>
        <v>0</v>
      </c>
      <c r="D23" s="136">
        <f>'prosinac 2009.(12)'!ER239</f>
        <v>0</v>
      </c>
      <c r="E23" s="119">
        <f t="shared" si="0"/>
        <v>0</v>
      </c>
      <c r="F23" s="138"/>
    </row>
    <row r="24" spans="1:9" x14ac:dyDescent="0.2">
      <c r="A24" s="121">
        <v>18</v>
      </c>
      <c r="B24" s="117" t="s">
        <v>200</v>
      </c>
      <c r="C24" s="136">
        <f>'prosinac 2009.(12)'!EQ240</f>
        <v>200000</v>
      </c>
      <c r="D24" s="136">
        <f>'prosinac 2009.(12)'!ER240</f>
        <v>0</v>
      </c>
      <c r="E24" s="119">
        <f t="shared" si="0"/>
        <v>0</v>
      </c>
      <c r="F24" s="138"/>
    </row>
    <row r="25" spans="1:9" x14ac:dyDescent="0.2">
      <c r="A25" s="124">
        <v>19</v>
      </c>
      <c r="B25" s="125" t="s">
        <v>201</v>
      </c>
      <c r="C25" s="136">
        <f>'prosinac 2009.(12)'!EQ220</f>
        <v>0</v>
      </c>
      <c r="D25" s="136">
        <f>'prosinac 2009.(12)'!ER220</f>
        <v>4523864.6099999994</v>
      </c>
      <c r="E25" s="119">
        <f t="shared" si="0"/>
        <v>0</v>
      </c>
      <c r="F25" s="138"/>
    </row>
    <row r="26" spans="1:9" ht="13.5" thickBot="1" x14ac:dyDescent="0.25">
      <c r="A26" s="142">
        <v>20</v>
      </c>
      <c r="B26" s="143" t="s">
        <v>202</v>
      </c>
      <c r="C26" s="144">
        <f>'prosinac 2009.(12)'!EQ221</f>
        <v>2717543.12</v>
      </c>
      <c r="D26" s="144">
        <f>'prosinac 2009.(12)'!ER221</f>
        <v>8205421.8200000003</v>
      </c>
      <c r="E26" s="132">
        <f t="shared" si="0"/>
        <v>3.0194265399549574</v>
      </c>
      <c r="F26" s="138"/>
      <c r="H26" s="112"/>
      <c r="I26" s="112"/>
    </row>
    <row r="27" spans="1:9" ht="27" customHeight="1" thickTop="1" thickBot="1" x14ac:dyDescent="0.25">
      <c r="A27" s="145"/>
      <c r="B27" s="146" t="s">
        <v>519</v>
      </c>
      <c r="C27" s="138">
        <f>C7+C8+C9+C10+C14+C15+C16+C20+C18</f>
        <v>29523865.460000005</v>
      </c>
      <c r="D27" s="138" t="e">
        <f>D7+D8+D9+D10+D14+D15+D16+D20+D18</f>
        <v>#REF!</v>
      </c>
      <c r="E27" s="147"/>
      <c r="G27" s="106" t="e">
        <f>D28+317201.85+158.01-F28</f>
        <v>#REF!</v>
      </c>
    </row>
    <row r="28" spans="1:9" ht="27.75" customHeight="1" thickBot="1" x14ac:dyDescent="0.25">
      <c r="A28" s="148"/>
      <c r="B28" s="149" t="s">
        <v>520</v>
      </c>
      <c r="C28" s="150" t="e">
        <f>C7+C9+C10+C11+C12+C13+C14+C15+C16+C20+C22+C24+C25+C26+C21+C23</f>
        <v>#REF!</v>
      </c>
      <c r="D28" s="150" t="e">
        <f>D7+D9+D10+D11+D12+D13+D14+D15+D16+D20+D22+D24+D25+D26+D21+D23</f>
        <v>#REF!</v>
      </c>
      <c r="E28" s="151"/>
      <c r="F28" s="104">
        <v>16434570.99</v>
      </c>
      <c r="G28" s="285" t="e">
        <f>D28-F28</f>
        <v>#REF!</v>
      </c>
      <c r="H28" s="112"/>
    </row>
    <row r="29" spans="1:9" ht="15.75" customHeight="1" x14ac:dyDescent="0.2">
      <c r="A29" s="110"/>
      <c r="B29" s="152"/>
      <c r="C29" s="108"/>
      <c r="D29" s="111"/>
      <c r="E29" s="153"/>
    </row>
    <row r="30" spans="1:9" ht="25.5" x14ac:dyDescent="0.2">
      <c r="A30" s="113" t="s">
        <v>185</v>
      </c>
      <c r="B30" s="113" t="s">
        <v>203</v>
      </c>
      <c r="C30" s="114" t="s">
        <v>204</v>
      </c>
      <c r="D30" s="114" t="s">
        <v>205</v>
      </c>
      <c r="E30" s="115" t="s">
        <v>189</v>
      </c>
    </row>
    <row r="31" spans="1:9" x14ac:dyDescent="0.2">
      <c r="A31" s="154">
        <v>1</v>
      </c>
      <c r="B31" s="155" t="s">
        <v>492</v>
      </c>
      <c r="C31" s="156">
        <f>'prosinac 2009.(12)'!EG161</f>
        <v>7782755.870000001</v>
      </c>
      <c r="D31" s="156">
        <f>'prosinac 2009.(12)'!EH161</f>
        <v>4842919.24</v>
      </c>
      <c r="E31" s="119">
        <f t="shared" ref="E31:E46" si="1">IF(C31&gt;0,D31/C31,0)</f>
        <v>0.62226277181170264</v>
      </c>
      <c r="F31" s="120"/>
    </row>
    <row r="32" spans="1:9" x14ac:dyDescent="0.2">
      <c r="A32" s="124">
        <v>2</v>
      </c>
      <c r="B32" s="139" t="s">
        <v>493</v>
      </c>
      <c r="C32" s="126">
        <f>'prosinac 2009.(12)'!EI161</f>
        <v>9355113</v>
      </c>
      <c r="D32" s="126">
        <f>'prosinac 2009.(12)'!EJ161</f>
        <v>0</v>
      </c>
      <c r="E32" s="119">
        <f t="shared" si="1"/>
        <v>0</v>
      </c>
      <c r="F32" s="120"/>
    </row>
    <row r="33" spans="1:8" x14ac:dyDescent="0.2">
      <c r="A33" s="121">
        <v>3</v>
      </c>
      <c r="B33" s="157" t="s">
        <v>206</v>
      </c>
      <c r="C33" s="123">
        <f>'prosinac 2009.(12)'!EK233</f>
        <v>555799.97</v>
      </c>
      <c r="D33" s="123">
        <f>'prosinac 2009.(12)'!EL233</f>
        <v>1818694.55</v>
      </c>
      <c r="E33" s="119">
        <f t="shared" si="1"/>
        <v>3.2722105940379955</v>
      </c>
      <c r="F33" s="120"/>
    </row>
    <row r="34" spans="1:8" s="106" customFormat="1" x14ac:dyDescent="0.2">
      <c r="A34" s="124">
        <v>4</v>
      </c>
      <c r="B34" s="139" t="s">
        <v>207</v>
      </c>
      <c r="C34" s="126">
        <f>'prosinac 2009.(12)'!EK230</f>
        <v>4682673.21</v>
      </c>
      <c r="D34" s="126">
        <f>'prosinac 2009.(12)'!EL230</f>
        <v>162589.04</v>
      </c>
      <c r="E34" s="119">
        <f t="shared" si="1"/>
        <v>3.4721415035494224E-2</v>
      </c>
      <c r="F34" s="120"/>
    </row>
    <row r="35" spans="1:8" s="106" customFormat="1" x14ac:dyDescent="0.2">
      <c r="A35" s="121">
        <v>5</v>
      </c>
      <c r="B35" s="157" t="s">
        <v>210</v>
      </c>
      <c r="C35" s="1165">
        <f>'prosinac 2009.(12)'!EK228</f>
        <v>128179.72</v>
      </c>
      <c r="D35" s="1165" t="e">
        <f>'prosinac 2009.(12)'!EL228</f>
        <v>#REF!</v>
      </c>
      <c r="E35" s="119" t="e">
        <f t="shared" si="1"/>
        <v>#REF!</v>
      </c>
      <c r="F35" s="120"/>
    </row>
    <row r="36" spans="1:8" s="106" customFormat="1" x14ac:dyDescent="0.2">
      <c r="A36" s="124">
        <v>6</v>
      </c>
      <c r="B36" s="139" t="s">
        <v>349</v>
      </c>
      <c r="C36" s="1165">
        <f>'prosinac 2009.(12)'!EK168+'prosinac 2009.(12)'!EK191+'prosinac 2009.(12)'!EK210</f>
        <v>307692</v>
      </c>
      <c r="D36" s="1165">
        <f>'prosinac 2009.(12)'!EL168+'prosinac 2009.(12)'!EL191+'prosinac 2009.(12)'!EL210</f>
        <v>0</v>
      </c>
      <c r="E36" s="119">
        <f t="shared" si="1"/>
        <v>0</v>
      </c>
      <c r="F36" s="120"/>
    </row>
    <row r="37" spans="1:8" s="106" customFormat="1" x14ac:dyDescent="0.2">
      <c r="A37" s="124">
        <v>7</v>
      </c>
      <c r="B37" s="139" t="s">
        <v>350</v>
      </c>
      <c r="C37" s="126">
        <f>'prosinac 2009.(12)'!EK163+'prosinac 2009.(12)'!EK173+'prosinac 2009.(12)'!EK209</f>
        <v>261800.55</v>
      </c>
      <c r="D37" s="126">
        <f>'prosinac 2009.(12)'!EL163+'prosinac 2009.(12)'!EL173+'prosinac 2009.(12)'!EL209</f>
        <v>0</v>
      </c>
      <c r="E37" s="119">
        <f t="shared" si="1"/>
        <v>0</v>
      </c>
      <c r="F37" s="120"/>
    </row>
    <row r="38" spans="1:8" s="106" customFormat="1" x14ac:dyDescent="0.2">
      <c r="A38" s="124">
        <v>8</v>
      </c>
      <c r="B38" s="157" t="s">
        <v>383</v>
      </c>
      <c r="C38" s="123">
        <f>'prosinac 2009.(12)'!EK215</f>
        <v>0</v>
      </c>
      <c r="D38" s="123">
        <f>'prosinac 2009.(12)'!EL215</f>
        <v>0</v>
      </c>
      <c r="E38" s="119">
        <f t="shared" si="1"/>
        <v>0</v>
      </c>
      <c r="F38" s="120"/>
    </row>
    <row r="39" spans="1:8" s="106" customFormat="1" x14ac:dyDescent="0.2">
      <c r="A39" s="124">
        <v>9</v>
      </c>
      <c r="B39" s="139" t="s">
        <v>220</v>
      </c>
      <c r="C39" s="126">
        <f>'prosinac 2009.(12)'!EK216</f>
        <v>60540.11</v>
      </c>
      <c r="D39" s="126" t="e">
        <f>'prosinac 2009.(12)'!EL216</f>
        <v>#REF!</v>
      </c>
      <c r="E39" s="119" t="e">
        <f t="shared" si="1"/>
        <v>#REF!</v>
      </c>
      <c r="F39" s="120"/>
    </row>
    <row r="40" spans="1:8" s="106" customFormat="1" x14ac:dyDescent="0.2">
      <c r="A40" s="124">
        <v>10</v>
      </c>
      <c r="B40" s="139" t="s">
        <v>211</v>
      </c>
      <c r="C40" s="126">
        <f>'prosinac 2009.(12)'!EK235</f>
        <v>10000</v>
      </c>
      <c r="D40" s="126" t="e">
        <f>'prosinac 2009.(12)'!EL235</f>
        <v>#REF!</v>
      </c>
      <c r="E40" s="119" t="e">
        <f t="shared" si="1"/>
        <v>#REF!</v>
      </c>
      <c r="F40" s="120"/>
    </row>
    <row r="41" spans="1:8" s="106" customFormat="1" x14ac:dyDescent="0.2">
      <c r="A41" s="124">
        <v>11</v>
      </c>
      <c r="B41" s="139" t="s">
        <v>380</v>
      </c>
      <c r="C41" s="126">
        <f>'prosinac 2009.(12)'!EK236</f>
        <v>2000000</v>
      </c>
      <c r="D41" s="126">
        <f>'prosinac 2009.(12)'!EL236</f>
        <v>180.13</v>
      </c>
      <c r="E41" s="119">
        <f t="shared" si="1"/>
        <v>9.0064999999999999E-5</v>
      </c>
      <c r="F41" s="120"/>
    </row>
    <row r="42" spans="1:8" s="106" customFormat="1" x14ac:dyDescent="0.2">
      <c r="A42" s="124">
        <v>12</v>
      </c>
      <c r="B42" s="139" t="s">
        <v>212</v>
      </c>
      <c r="C42" s="126">
        <f>'prosinac 2009.(12)'!EK238</f>
        <v>0</v>
      </c>
      <c r="D42" s="126">
        <f>'prosinac 2009.(12)'!EL238</f>
        <v>0</v>
      </c>
      <c r="E42" s="119">
        <f t="shared" si="1"/>
        <v>0</v>
      </c>
      <c r="F42" s="120"/>
    </row>
    <row r="43" spans="1:8" s="106" customFormat="1" x14ac:dyDescent="0.2">
      <c r="A43" s="124">
        <v>13</v>
      </c>
      <c r="B43" s="139" t="s">
        <v>420</v>
      </c>
      <c r="C43" s="126">
        <f>'prosinac 2009.(12)'!EK239</f>
        <v>899073.63</v>
      </c>
      <c r="D43" s="126">
        <f>'prosinac 2009.(12)'!EL239</f>
        <v>0</v>
      </c>
      <c r="E43" s="119">
        <f t="shared" si="1"/>
        <v>0</v>
      </c>
      <c r="F43" s="120">
        <v>33853451.799999997</v>
      </c>
    </row>
    <row r="44" spans="1:8" s="106" customFormat="1" x14ac:dyDescent="0.2">
      <c r="A44" s="121">
        <v>14</v>
      </c>
      <c r="B44" s="157" t="s">
        <v>213</v>
      </c>
      <c r="C44" s="126">
        <f>'prosinac 2009.(12)'!EK240</f>
        <v>0</v>
      </c>
      <c r="D44" s="126">
        <f>'prosinac 2009.(12)'!EL240</f>
        <v>3585529.89</v>
      </c>
      <c r="E44" s="119">
        <f t="shared" si="1"/>
        <v>0</v>
      </c>
      <c r="F44" s="120">
        <v>50712125.060000002</v>
      </c>
    </row>
    <row r="45" spans="1:8" s="106" customFormat="1" x14ac:dyDescent="0.2">
      <c r="A45" s="124">
        <v>15</v>
      </c>
      <c r="B45" s="139" t="s">
        <v>222</v>
      </c>
      <c r="C45" s="126">
        <f>'prosinac 2009.(12)'!EK220</f>
        <v>2500000</v>
      </c>
      <c r="D45" s="126">
        <f>'prosinac 2009.(12)'!EL220</f>
        <v>2415250.9900000002</v>
      </c>
      <c r="E45" s="119">
        <f t="shared" si="1"/>
        <v>0.96610039600000008</v>
      </c>
      <c r="F45" s="120">
        <f>F43/F44*100</f>
        <v>66.756129347658614</v>
      </c>
    </row>
    <row r="46" spans="1:8" s="106" customFormat="1" ht="13.5" thickBot="1" x14ac:dyDescent="0.25">
      <c r="A46" s="142">
        <v>16</v>
      </c>
      <c r="B46" s="159" t="s">
        <v>221</v>
      </c>
      <c r="C46" s="160">
        <f>'prosinac 2009.(12)'!EK221</f>
        <v>0</v>
      </c>
      <c r="D46" s="160">
        <f>'prosinac 2009.(12)'!EL221</f>
        <v>0</v>
      </c>
      <c r="E46" s="161">
        <f t="shared" si="1"/>
        <v>0</v>
      </c>
      <c r="F46" s="120"/>
    </row>
    <row r="47" spans="1:8" s="106" customFormat="1" ht="27" customHeight="1" thickTop="1" thickBot="1" x14ac:dyDescent="0.25">
      <c r="A47" s="162"/>
      <c r="B47" s="163" t="s">
        <v>508</v>
      </c>
      <c r="C47" s="127">
        <f>C31+C32+C33+C34+C35+C36+C39+C40+C38+C37</f>
        <v>23144554.43</v>
      </c>
      <c r="D47" s="164" t="e">
        <f>D31+D32+D33+D34+D35+D36+D39+D40+D38+D37</f>
        <v>#REF!</v>
      </c>
      <c r="E47" s="165"/>
      <c r="F47" s="112"/>
      <c r="G47" s="106" t="e">
        <f>D48+317201.85+158.01-F48</f>
        <v>#REF!</v>
      </c>
    </row>
    <row r="48" spans="1:8" s="100" customFormat="1" ht="27" customHeight="1" thickBot="1" x14ac:dyDescent="0.25">
      <c r="A48" s="148"/>
      <c r="B48" s="149" t="s">
        <v>518</v>
      </c>
      <c r="C48" s="150">
        <f>C31+C33+C34+C35+C36+C39+C40+C42+C44+C45+C46+C38+C41+C37+C43</f>
        <v>19188515.060000002</v>
      </c>
      <c r="D48" s="150" t="e">
        <f>D31+D33+D34+D35+D36+D39+D40+D42+D44+D45+D46+D38+D41+D37+D43</f>
        <v>#REF!</v>
      </c>
      <c r="E48" s="151"/>
      <c r="F48" s="104">
        <v>13128737.18</v>
      </c>
      <c r="G48" s="285" t="e">
        <f>D48-F48</f>
        <v>#REF!</v>
      </c>
      <c r="H48" s="285"/>
    </row>
    <row r="49" spans="1:7" ht="15.75" customHeight="1" thickBot="1" x14ac:dyDescent="0.25">
      <c r="A49" s="110"/>
      <c r="B49" s="152"/>
      <c r="C49" s="167"/>
      <c r="D49" s="111"/>
      <c r="E49" s="153"/>
    </row>
    <row r="50" spans="1:7" ht="16.5" customHeight="1" thickBot="1" x14ac:dyDescent="0.25">
      <c r="A50" s="3732" t="s">
        <v>214</v>
      </c>
      <c r="B50" s="3733"/>
      <c r="C50" s="150"/>
      <c r="D50" s="168" t="e">
        <f>D28-D48</f>
        <v>#REF!</v>
      </c>
      <c r="E50" s="153"/>
    </row>
    <row r="51" spans="1:7" ht="12" customHeight="1" thickBot="1" x14ac:dyDescent="0.25">
      <c r="A51" s="110"/>
      <c r="B51" s="102"/>
      <c r="C51" s="108"/>
      <c r="D51" s="108"/>
      <c r="E51" s="153"/>
    </row>
    <row r="52" spans="1:7" ht="15.75" customHeight="1" thickBot="1" x14ac:dyDescent="0.25">
      <c r="A52" s="3732" t="s">
        <v>513</v>
      </c>
      <c r="B52" s="3733"/>
      <c r="C52" s="3733"/>
      <c r="D52" s="168" t="e">
        <f>'A4 rujan'!D57</f>
        <v>#REF!</v>
      </c>
      <c r="E52" s="153"/>
    </row>
    <row r="53" spans="1:7" ht="10.5" customHeight="1" thickBot="1" x14ac:dyDescent="0.25">
      <c r="A53" s="110"/>
      <c r="B53" s="102"/>
      <c r="C53" s="108"/>
      <c r="D53" s="108"/>
      <c r="E53" s="153"/>
    </row>
    <row r="54" spans="1:7" ht="16.5" customHeight="1" thickBot="1" x14ac:dyDescent="0.25">
      <c r="A54" s="3732" t="s">
        <v>511</v>
      </c>
      <c r="B54" s="3733"/>
      <c r="C54" s="3733"/>
      <c r="D54" s="168" t="e">
        <f>D52+D50</f>
        <v>#REF!</v>
      </c>
      <c r="E54" s="153"/>
      <c r="F54" s="285">
        <v>44220866.920000002</v>
      </c>
      <c r="G54" s="285" t="e">
        <f>F54-D54</f>
        <v>#REF!</v>
      </c>
    </row>
    <row r="55" spans="1:7" ht="8.25" customHeight="1" x14ac:dyDescent="0.2">
      <c r="A55" s="110"/>
      <c r="B55" s="152"/>
      <c r="C55" s="108"/>
      <c r="D55" s="111"/>
      <c r="E55" s="153"/>
    </row>
    <row r="56" spans="1:7" ht="39" customHeight="1" x14ac:dyDescent="0.2">
      <c r="A56" s="110"/>
      <c r="B56" s="3734" t="s">
        <v>215</v>
      </c>
      <c r="C56" s="3735"/>
      <c r="D56" s="3734" t="s">
        <v>216</v>
      </c>
      <c r="E56" s="3734"/>
    </row>
    <row r="57" spans="1:7" x14ac:dyDescent="0.2">
      <c r="A57" s="110"/>
      <c r="B57" s="3726" t="s">
        <v>217</v>
      </c>
      <c r="C57" s="3726"/>
      <c r="D57" s="3726" t="s">
        <v>218</v>
      </c>
      <c r="E57" s="3726"/>
    </row>
    <row r="58" spans="1:7" ht="9.75" customHeight="1" x14ac:dyDescent="0.2">
      <c r="A58" s="110"/>
      <c r="B58" s="170"/>
      <c r="C58" s="171"/>
      <c r="D58" s="171"/>
      <c r="E58" s="172"/>
    </row>
    <row r="59" spans="1:7" x14ac:dyDescent="0.2">
      <c r="A59" s="170"/>
      <c r="D59" s="3727" t="s">
        <v>509</v>
      </c>
      <c r="E59" s="3727"/>
    </row>
    <row r="72" spans="3:3" x14ac:dyDescent="0.2">
      <c r="C72" s="106">
        <v>16329.87</v>
      </c>
    </row>
    <row r="73" spans="3:3" x14ac:dyDescent="0.2">
      <c r="C73" s="106">
        <v>55108.13</v>
      </c>
    </row>
    <row r="74" spans="3:3" x14ac:dyDescent="0.2">
      <c r="C74" s="106">
        <v>168083.36</v>
      </c>
    </row>
    <row r="75" spans="3:3" x14ac:dyDescent="0.2">
      <c r="C75" s="106">
        <v>1230487.69</v>
      </c>
    </row>
    <row r="76" spans="3:3" x14ac:dyDescent="0.2">
      <c r="C76" s="106">
        <v>156267.72</v>
      </c>
    </row>
    <row r="77" spans="3:3" x14ac:dyDescent="0.2">
      <c r="C77" s="106">
        <v>192417.78</v>
      </c>
    </row>
    <row r="78" spans="3:3" x14ac:dyDescent="0.2">
      <c r="C78" s="106">
        <f>SUM(C72:C77)</f>
        <v>1818694.5499999998</v>
      </c>
    </row>
  </sheetData>
  <mergeCells count="10">
    <mergeCell ref="B57:C57"/>
    <mergeCell ref="D57:E57"/>
    <mergeCell ref="D59:E59"/>
    <mergeCell ref="A2:E4"/>
    <mergeCell ref="E11:E13"/>
    <mergeCell ref="A50:B50"/>
    <mergeCell ref="A52:C52"/>
    <mergeCell ref="A54:C54"/>
    <mergeCell ref="B56:C56"/>
    <mergeCell ref="D56:E56"/>
  </mergeCells>
  <conditionalFormatting sqref="G48 G54 G28">
    <cfRule type="cellIs" dxfId="19" priority="1" stopIfTrue="1" operator="equal">
      <formula>0</formula>
    </cfRule>
    <cfRule type="cellIs" dxfId="18" priority="2" stopIfTrue="1" operator="notEqual">
      <formula>0</formula>
    </cfRule>
  </conditionalFormatting>
  <pageMargins left="0.59055118110236227" right="0.23622047244094491" top="0.17" bottom="0.15748031496062992" header="0.11811023622047245" footer="0.15748031496062992"/>
  <pageSetup paperSize="9" scale="90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9"/>
  <sheetViews>
    <sheetView topLeftCell="B34" workbookViewId="0">
      <selection activeCell="B57" sqref="B57:C57"/>
    </sheetView>
  </sheetViews>
  <sheetFormatPr defaultColWidth="9.140625" defaultRowHeight="12.75" x14ac:dyDescent="0.2"/>
  <cols>
    <col min="1" max="1" width="4.7109375" style="99" customWidth="1"/>
    <col min="2" max="2" width="55.5703125" style="99" customWidth="1"/>
    <col min="3" max="4" width="16.5703125" style="106" bestFit="1" customWidth="1"/>
    <col min="5" max="5" width="12" style="141" customWidth="1"/>
    <col min="6" max="6" width="17.85546875" style="112" customWidth="1"/>
    <col min="7" max="7" width="17.7109375" style="106" customWidth="1"/>
    <col min="8" max="11" width="13.7109375" style="99" customWidth="1"/>
    <col min="12" max="16384" width="9.140625" style="99"/>
  </cols>
  <sheetData>
    <row r="1" spans="1:7" ht="11.25" customHeight="1" x14ac:dyDescent="0.2"/>
    <row r="2" spans="1:7" x14ac:dyDescent="0.2">
      <c r="A2" s="3728" t="s">
        <v>525</v>
      </c>
      <c r="B2" s="3728"/>
      <c r="C2" s="3728"/>
      <c r="D2" s="3728"/>
      <c r="E2" s="3728"/>
    </row>
    <row r="3" spans="1:7" x14ac:dyDescent="0.2">
      <c r="A3" s="3728"/>
      <c r="B3" s="3728"/>
      <c r="C3" s="3728"/>
      <c r="D3" s="3728"/>
      <c r="E3" s="3728"/>
    </row>
    <row r="4" spans="1:7" ht="30.75" customHeight="1" x14ac:dyDescent="0.2">
      <c r="A4" s="3728"/>
      <c r="B4" s="3728"/>
      <c r="C4" s="3728"/>
      <c r="D4" s="3728"/>
      <c r="E4" s="3728"/>
    </row>
    <row r="5" spans="1:7" ht="7.5" customHeight="1" x14ac:dyDescent="0.2">
      <c r="A5" s="1285"/>
      <c r="B5" s="1285"/>
      <c r="C5" s="1285"/>
      <c r="D5" s="1285"/>
      <c r="E5" s="1285"/>
    </row>
    <row r="6" spans="1:7" ht="25.5" x14ac:dyDescent="0.2">
      <c r="A6" s="113" t="s">
        <v>185</v>
      </c>
      <c r="B6" s="113" t="s">
        <v>186</v>
      </c>
      <c r="C6" s="114" t="s">
        <v>187</v>
      </c>
      <c r="D6" s="114" t="s">
        <v>188</v>
      </c>
      <c r="E6" s="115" t="s">
        <v>189</v>
      </c>
    </row>
    <row r="7" spans="1:7" x14ac:dyDescent="0.2">
      <c r="A7" s="116">
        <v>1</v>
      </c>
      <c r="B7" s="117" t="s">
        <v>490</v>
      </c>
      <c r="C7" s="118">
        <f>'prosinac 2009.(12)'!FS161</f>
        <v>25965169.199999999</v>
      </c>
      <c r="D7" s="118" t="e">
        <f>'prosinac 2009.(12)'!FT161</f>
        <v>#REF!</v>
      </c>
      <c r="E7" s="119" t="e">
        <f>IF(C7&gt;0,D7/C7,0)</f>
        <v>#REF!</v>
      </c>
      <c r="F7" s="120"/>
    </row>
    <row r="8" spans="1:7" x14ac:dyDescent="0.2">
      <c r="A8" s="121">
        <v>2</v>
      </c>
      <c r="B8" s="122" t="s">
        <v>491</v>
      </c>
      <c r="C8" s="123">
        <f>'prosinac 2009.(12)'!FU161</f>
        <v>606233.82999999996</v>
      </c>
      <c r="D8" s="123">
        <f>'prosinac 2009.(12)'!FV161</f>
        <v>0</v>
      </c>
      <c r="E8" s="119">
        <f>IF(C8&gt;0,D8/C8,0)</f>
        <v>0</v>
      </c>
      <c r="F8" s="120"/>
    </row>
    <row r="9" spans="1:7" x14ac:dyDescent="0.2">
      <c r="A9" s="124">
        <v>3</v>
      </c>
      <c r="B9" s="125" t="s">
        <v>190</v>
      </c>
      <c r="C9" s="126">
        <f>'prosinac 2009.(12)'!FW225</f>
        <v>44812.21</v>
      </c>
      <c r="D9" s="126">
        <f>'prosinac 2009.(12)'!FX225</f>
        <v>27818.06</v>
      </c>
      <c r="E9" s="119">
        <f>IF(C9&gt;0,D9/C9,0)</f>
        <v>0.62076965184265631</v>
      </c>
      <c r="F9" s="120"/>
    </row>
    <row r="10" spans="1:7" x14ac:dyDescent="0.2">
      <c r="A10" s="124">
        <v>4</v>
      </c>
      <c r="B10" s="125" t="s">
        <v>192</v>
      </c>
      <c r="C10" s="126">
        <f>'prosinac 2009.(12)'!FW230</f>
        <v>1646345.49</v>
      </c>
      <c r="D10" s="126">
        <f>'prosinac 2009.(12)'!FX230</f>
        <v>586283.12</v>
      </c>
      <c r="E10" s="119">
        <f>IF(C10&gt;0,D10/C10,0)</f>
        <v>0.3561118389555038</v>
      </c>
      <c r="F10" s="128"/>
    </row>
    <row r="11" spans="1:7" x14ac:dyDescent="0.2">
      <c r="A11" s="129">
        <v>5</v>
      </c>
      <c r="B11" s="130" t="s">
        <v>193</v>
      </c>
      <c r="C11" s="131" t="e">
        <f>F11*G15</f>
        <v>#REF!</v>
      </c>
      <c r="D11" s="131" t="e">
        <f>'prosinac 2009.(12)'!FT222-D12-D13</f>
        <v>#REF!</v>
      </c>
      <c r="E11" s="3729" t="e">
        <f>(D11+D12+D13)/(C11+C12+C13)</f>
        <v>#REF!</v>
      </c>
      <c r="F11" s="133" t="e">
        <f>D11/G14</f>
        <v>#REF!</v>
      </c>
    </row>
    <row r="12" spans="1:7" x14ac:dyDescent="0.2">
      <c r="A12" s="124">
        <v>6</v>
      </c>
      <c r="B12" s="125" t="s">
        <v>194</v>
      </c>
      <c r="C12" s="131" t="e">
        <f>F12*G15</f>
        <v>#REF!</v>
      </c>
      <c r="D12" s="158" t="e">
        <f>#REF!</f>
        <v>#REF!</v>
      </c>
      <c r="E12" s="3730"/>
      <c r="F12" s="133" t="e">
        <f>D12/G14</f>
        <v>#REF!</v>
      </c>
    </row>
    <row r="13" spans="1:7" x14ac:dyDescent="0.2">
      <c r="A13" s="124">
        <v>7</v>
      </c>
      <c r="B13" s="125" t="s">
        <v>195</v>
      </c>
      <c r="C13" s="131" t="e">
        <f>F13*G15</f>
        <v>#REF!</v>
      </c>
      <c r="D13" s="158" t="e">
        <f>#REF!</f>
        <v>#REF!</v>
      </c>
      <c r="E13" s="3730"/>
      <c r="F13" s="133" t="e">
        <f>D13/G14</f>
        <v>#REF!</v>
      </c>
    </row>
    <row r="14" spans="1:7" x14ac:dyDescent="0.2">
      <c r="A14" s="124">
        <v>8</v>
      </c>
      <c r="B14" s="125" t="s">
        <v>197</v>
      </c>
      <c r="C14" s="136">
        <f>'prosinac 2009.(12)'!FW224</f>
        <v>181221.8</v>
      </c>
      <c r="D14" s="136">
        <f>'prosinac 2009.(12)'!FX224</f>
        <v>144094.99</v>
      </c>
      <c r="E14" s="119">
        <f t="shared" ref="E14:E26" si="0">IF(C14&gt;0,D14/C14,0)</f>
        <v>0.79513055272599653</v>
      </c>
      <c r="F14" s="137"/>
      <c r="G14" s="106" t="e">
        <f>'prosinac 2009.(12)'!FT222</f>
        <v>#REF!</v>
      </c>
    </row>
    <row r="15" spans="1:7" x14ac:dyDescent="0.2">
      <c r="A15" s="129">
        <v>9</v>
      </c>
      <c r="B15" s="122" t="s">
        <v>198</v>
      </c>
      <c r="C15" s="136">
        <f>'prosinac 2009.(12)'!FW228</f>
        <v>365210.33</v>
      </c>
      <c r="D15" s="136">
        <f>'prosinac 2009.(12)'!FX228</f>
        <v>0</v>
      </c>
      <c r="E15" s="119">
        <f t="shared" si="0"/>
        <v>0</v>
      </c>
      <c r="F15" s="137"/>
      <c r="G15" s="106">
        <f>'prosinac 2009.(12)'!FS222</f>
        <v>302958.63</v>
      </c>
    </row>
    <row r="16" spans="1:7" x14ac:dyDescent="0.2">
      <c r="A16" s="124">
        <v>10</v>
      </c>
      <c r="B16" s="125" t="s">
        <v>348</v>
      </c>
      <c r="C16" s="136">
        <f>'prosinac 2009.(12)'!FW168+'prosinac 2009.(12)'!FW191+'prosinac 2009.(12)'!FW210</f>
        <v>307692</v>
      </c>
      <c r="D16" s="136">
        <f>'prosinac 2009.(12)'!FT168+'prosinac 2009.(12)'!FT191+'prosinac 2009.(12)'!FT210</f>
        <v>113565.99</v>
      </c>
      <c r="E16" s="119">
        <f t="shared" si="0"/>
        <v>0.36908983658983663</v>
      </c>
      <c r="F16" s="137"/>
    </row>
    <row r="17" spans="1:9" x14ac:dyDescent="0.2">
      <c r="A17" s="124">
        <v>11</v>
      </c>
      <c r="B17" s="139" t="s">
        <v>385</v>
      </c>
      <c r="C17" s="1399">
        <f>D17</f>
        <v>430106.61</v>
      </c>
      <c r="D17" s="1399">
        <f>148424.72+89600.7+192081.19</f>
        <v>430106.61</v>
      </c>
      <c r="E17" s="119">
        <f t="shared" si="0"/>
        <v>1</v>
      </c>
      <c r="F17" s="138"/>
    </row>
    <row r="18" spans="1:9" x14ac:dyDescent="0.2">
      <c r="A18" s="124">
        <v>12</v>
      </c>
      <c r="B18" s="139" t="s">
        <v>386</v>
      </c>
      <c r="C18" s="136">
        <f>'prosinac 2009.(12)'!FU211</f>
        <v>156614.9</v>
      </c>
      <c r="D18" s="136">
        <f>'prosinac 2009.(12)'!FV211</f>
        <v>164481.15</v>
      </c>
      <c r="E18" s="119">
        <f t="shared" si="0"/>
        <v>1.0502267025678911</v>
      </c>
      <c r="F18" s="138"/>
    </row>
    <row r="19" spans="1:9" x14ac:dyDescent="0.2">
      <c r="A19" s="124">
        <v>13</v>
      </c>
      <c r="B19" s="125" t="s">
        <v>501</v>
      </c>
      <c r="C19" s="136">
        <f>'prosinac 2009.(12)'!FW218</f>
        <v>46672138.859999999</v>
      </c>
      <c r="D19" s="136">
        <f>'prosinac 2009.(12)'!FX218</f>
        <v>3124585.07</v>
      </c>
      <c r="E19" s="119"/>
      <c r="F19" s="138"/>
    </row>
    <row r="20" spans="1:9" x14ac:dyDescent="0.2">
      <c r="A20" s="124">
        <v>14</v>
      </c>
      <c r="B20" s="125" t="s">
        <v>219</v>
      </c>
      <c r="C20" s="136">
        <f>'prosinac 2009.(12)'!FW235</f>
        <v>0</v>
      </c>
      <c r="D20" s="136" t="e">
        <f>'prosinac 2009.(12)'!FX235</f>
        <v>#REF!</v>
      </c>
      <c r="E20" s="119">
        <f t="shared" si="0"/>
        <v>0</v>
      </c>
      <c r="F20" s="138"/>
    </row>
    <row r="21" spans="1:9" x14ac:dyDescent="0.2">
      <c r="A21" s="124">
        <v>15</v>
      </c>
      <c r="B21" s="125" t="s">
        <v>380</v>
      </c>
      <c r="C21" s="136">
        <f>'prosinac 2009.(12)'!FW236</f>
        <v>0</v>
      </c>
      <c r="D21" s="136">
        <f>'prosinac 2009.(12)'!FX236</f>
        <v>576546.76</v>
      </c>
      <c r="E21" s="119">
        <f t="shared" si="0"/>
        <v>0</v>
      </c>
      <c r="F21" s="138"/>
    </row>
    <row r="22" spans="1:9" x14ac:dyDescent="0.2">
      <c r="A22" s="124">
        <v>16</v>
      </c>
      <c r="B22" s="125" t="s">
        <v>199</v>
      </c>
      <c r="C22" s="136">
        <f>'prosinac 2009.(12)'!FW238</f>
        <v>0</v>
      </c>
      <c r="D22" s="136">
        <f>'prosinac 2009.(12)'!FX238</f>
        <v>0</v>
      </c>
      <c r="E22" s="119">
        <f t="shared" si="0"/>
        <v>0</v>
      </c>
      <c r="F22" s="138"/>
    </row>
    <row r="23" spans="1:9" x14ac:dyDescent="0.2">
      <c r="A23" s="124">
        <v>17</v>
      </c>
      <c r="B23" s="125" t="s">
        <v>422</v>
      </c>
      <c r="C23" s="136">
        <f>'prosinac 2009.(12)'!FW239</f>
        <v>0</v>
      </c>
      <c r="D23" s="136">
        <f>'prosinac 2009.(12)'!FX239</f>
        <v>0</v>
      </c>
      <c r="E23" s="119">
        <f t="shared" si="0"/>
        <v>0</v>
      </c>
      <c r="F23" s="138"/>
    </row>
    <row r="24" spans="1:9" x14ac:dyDescent="0.2">
      <c r="A24" s="121">
        <v>18</v>
      </c>
      <c r="B24" s="117" t="s">
        <v>200</v>
      </c>
      <c r="C24" s="136">
        <f>'prosinac 2009.(12)'!FW240</f>
        <v>154646</v>
      </c>
      <c r="D24" s="136">
        <f>'prosinac 2009.(12)'!FX240</f>
        <v>168420.03</v>
      </c>
      <c r="E24" s="119">
        <f t="shared" si="0"/>
        <v>1.0890681297932052</v>
      </c>
      <c r="F24" s="138"/>
    </row>
    <row r="25" spans="1:9" x14ac:dyDescent="0.2">
      <c r="A25" s="124">
        <v>19</v>
      </c>
      <c r="B25" s="125" t="s">
        <v>201</v>
      </c>
      <c r="C25" s="136">
        <f>'prosinac 2009.(12)'!FW220</f>
        <v>0</v>
      </c>
      <c r="D25" s="136">
        <f>'prosinac 2009.(12)'!FX220</f>
        <v>0</v>
      </c>
      <c r="E25" s="119">
        <f t="shared" si="0"/>
        <v>0</v>
      </c>
      <c r="F25" s="138"/>
    </row>
    <row r="26" spans="1:9" ht="13.5" thickBot="1" x14ac:dyDescent="0.25">
      <c r="A26" s="142">
        <v>20</v>
      </c>
      <c r="B26" s="143" t="s">
        <v>202</v>
      </c>
      <c r="C26" s="144">
        <f>'prosinac 2009.(12)'!FW221</f>
        <v>2717543.12</v>
      </c>
      <c r="D26" s="144">
        <f>'prosinac 2009.(12)'!FX221</f>
        <v>0</v>
      </c>
      <c r="E26" s="132">
        <f t="shared" si="0"/>
        <v>0</v>
      </c>
      <c r="F26" s="138"/>
      <c r="H26" s="112"/>
      <c r="I26" s="112"/>
    </row>
    <row r="27" spans="1:9" ht="27" customHeight="1" thickTop="1" thickBot="1" x14ac:dyDescent="0.25">
      <c r="A27" s="145"/>
      <c r="B27" s="146" t="s">
        <v>519</v>
      </c>
      <c r="C27" s="138">
        <f>C7+C8+C9+C10+C14+C15+C16+C20+C18+C19</f>
        <v>75945438.61999999</v>
      </c>
      <c r="D27" s="138" t="e">
        <f>D7+D8+D9+D10+D14+D15+D16+D20+D18+D19</f>
        <v>#REF!</v>
      </c>
      <c r="E27" s="147"/>
    </row>
    <row r="28" spans="1:9" ht="27.75" customHeight="1" thickBot="1" x14ac:dyDescent="0.25">
      <c r="A28" s="148"/>
      <c r="B28" s="149" t="s">
        <v>520</v>
      </c>
      <c r="C28" s="150" t="e">
        <f>C7+C9+C10+C11+C12+C13+C14+C15+C16+C20+C22+C24+C25+C26+C21+C23</f>
        <v>#REF!</v>
      </c>
      <c r="D28" s="150" t="e">
        <f>D7+D9+D10+D11+D12+D13+D14+D15+D16+D20+D22+D24+D25+D26+D21+D23</f>
        <v>#REF!</v>
      </c>
      <c r="E28" s="151"/>
      <c r="F28" s="104">
        <v>3135202.04</v>
      </c>
      <c r="G28" s="285" t="e">
        <f>D28-F28</f>
        <v>#REF!</v>
      </c>
      <c r="H28" s="112"/>
    </row>
    <row r="29" spans="1:9" ht="15.75" customHeight="1" x14ac:dyDescent="0.2">
      <c r="A29" s="110"/>
      <c r="B29" s="152"/>
      <c r="C29" s="108"/>
      <c r="D29" s="111"/>
      <c r="E29" s="153"/>
    </row>
    <row r="30" spans="1:9" ht="25.5" x14ac:dyDescent="0.2">
      <c r="A30" s="113" t="s">
        <v>185</v>
      </c>
      <c r="B30" s="113" t="s">
        <v>203</v>
      </c>
      <c r="C30" s="114" t="s">
        <v>204</v>
      </c>
      <c r="D30" s="114" t="s">
        <v>205</v>
      </c>
      <c r="E30" s="115" t="s">
        <v>189</v>
      </c>
    </row>
    <row r="31" spans="1:9" x14ac:dyDescent="0.2">
      <c r="A31" s="154">
        <v>1</v>
      </c>
      <c r="B31" s="155" t="s">
        <v>492</v>
      </c>
      <c r="C31" s="156">
        <f>'prosinac 2009.(12)'!FM161</f>
        <v>8941014.2300000004</v>
      </c>
      <c r="D31" s="156" t="e">
        <f>'prosinac 2009.(12)'!FN161</f>
        <v>#REF!</v>
      </c>
      <c r="E31" s="119" t="e">
        <f t="shared" ref="E31:E47" si="1">IF(C31&gt;0,D31/C31,0)</f>
        <v>#REF!</v>
      </c>
      <c r="F31" s="120"/>
    </row>
    <row r="32" spans="1:9" x14ac:dyDescent="0.2">
      <c r="A32" s="124">
        <v>2</v>
      </c>
      <c r="B32" s="139" t="s">
        <v>493</v>
      </c>
      <c r="C32" s="126">
        <f>'prosinac 2009.(12)'!FO161</f>
        <v>1388768.23</v>
      </c>
      <c r="D32" s="126">
        <f>'prosinac 2009.(12)'!FP161</f>
        <v>0</v>
      </c>
      <c r="E32" s="119">
        <f t="shared" si="1"/>
        <v>0</v>
      </c>
      <c r="F32" s="120"/>
    </row>
    <row r="33" spans="1:6" x14ac:dyDescent="0.2">
      <c r="A33" s="121">
        <v>3</v>
      </c>
      <c r="B33" s="157" t="s">
        <v>206</v>
      </c>
      <c r="C33" s="123">
        <f>'prosinac 2009.(12)'!FQ233</f>
        <v>0</v>
      </c>
      <c r="D33" s="123">
        <f>'prosinac 2009.(12)'!FR233</f>
        <v>66626.66</v>
      </c>
      <c r="E33" s="119">
        <f t="shared" si="1"/>
        <v>0</v>
      </c>
      <c r="F33" s="120"/>
    </row>
    <row r="34" spans="1:6" s="106" customFormat="1" x14ac:dyDescent="0.2">
      <c r="A34" s="124">
        <v>4</v>
      </c>
      <c r="B34" s="139" t="s">
        <v>207</v>
      </c>
      <c r="C34" s="126">
        <f>'prosinac 2009.(12)'!FQ230</f>
        <v>5864721.9199999999</v>
      </c>
      <c r="D34" s="126">
        <f>'prosinac 2009.(12)'!FR230</f>
        <v>29851.99</v>
      </c>
      <c r="E34" s="119">
        <f t="shared" si="1"/>
        <v>5.0900947064852486E-3</v>
      </c>
      <c r="F34" s="120"/>
    </row>
    <row r="35" spans="1:6" s="106" customFormat="1" x14ac:dyDescent="0.2">
      <c r="A35" s="121">
        <v>5</v>
      </c>
      <c r="B35" s="157" t="s">
        <v>210</v>
      </c>
      <c r="C35" s="1165">
        <f>'prosinac 2009.(12)'!FQ228</f>
        <v>128179.72</v>
      </c>
      <c r="D35" s="1165" t="e">
        <f>'prosinac 2009.(12)'!FR228</f>
        <v>#REF!</v>
      </c>
      <c r="E35" s="119" t="e">
        <f t="shared" si="1"/>
        <v>#REF!</v>
      </c>
      <c r="F35" s="120"/>
    </row>
    <row r="36" spans="1:6" s="106" customFormat="1" x14ac:dyDescent="0.2">
      <c r="A36" s="124">
        <v>6</v>
      </c>
      <c r="B36" s="139" t="s">
        <v>349</v>
      </c>
      <c r="C36" s="1165">
        <f>'prosinac 2009.(12)'!FQ168+'prosinac 2009.(12)'!FQ191+'prosinac 2009.(12)'!FQ210</f>
        <v>307692</v>
      </c>
      <c r="D36" s="1165">
        <f>'prosinac 2009.(12)'!FR168+'prosinac 2009.(12)'!FR191+'prosinac 2009.(12)'!FR210</f>
        <v>590660.84</v>
      </c>
      <c r="E36" s="119">
        <f t="shared" si="1"/>
        <v>1.9196496496496496</v>
      </c>
      <c r="F36" s="120"/>
    </row>
    <row r="37" spans="1:6" s="106" customFormat="1" x14ac:dyDescent="0.2">
      <c r="A37" s="124">
        <v>7</v>
      </c>
      <c r="B37" s="139" t="s">
        <v>350</v>
      </c>
      <c r="C37" s="126">
        <f>'prosinac 2009.(12)'!FQ163+'prosinac 2009.(12)'!FQ173+'prosinac 2009.(12)'!FQ209</f>
        <v>261800.55</v>
      </c>
      <c r="D37" s="126">
        <f>'prosinac 2009.(12)'!FR163+'prosinac 2009.(12)'!FR173+'prosinac 2009.(12)'!FR209</f>
        <v>164481.15</v>
      </c>
      <c r="E37" s="119">
        <f t="shared" si="1"/>
        <v>0.6282689245687223</v>
      </c>
      <c r="F37" s="120"/>
    </row>
    <row r="38" spans="1:6" s="106" customFormat="1" x14ac:dyDescent="0.2">
      <c r="A38" s="124">
        <v>8</v>
      </c>
      <c r="B38" s="157" t="s">
        <v>383</v>
      </c>
      <c r="C38" s="123">
        <f>'prosinac 2009.(12)'!FQ215</f>
        <v>0</v>
      </c>
      <c r="D38" s="123">
        <f>'prosinac 2009.(12)'!FR215</f>
        <v>0</v>
      </c>
      <c r="E38" s="119">
        <f t="shared" si="1"/>
        <v>0</v>
      </c>
      <c r="F38" s="120"/>
    </row>
    <row r="39" spans="1:6" s="106" customFormat="1" x14ac:dyDescent="0.2">
      <c r="A39" s="124">
        <v>9</v>
      </c>
      <c r="B39" s="139" t="s">
        <v>220</v>
      </c>
      <c r="C39" s="126">
        <f>'prosinac 2009.(12)'!FQ216</f>
        <v>60540.11</v>
      </c>
      <c r="D39" s="126" t="e">
        <f>'prosinac 2009.(12)'!FR216</f>
        <v>#REF!</v>
      </c>
      <c r="E39" s="119" t="e">
        <f t="shared" si="1"/>
        <v>#REF!</v>
      </c>
      <c r="F39" s="120"/>
    </row>
    <row r="40" spans="1:6" s="106" customFormat="1" x14ac:dyDescent="0.2">
      <c r="A40" s="124">
        <v>10</v>
      </c>
      <c r="B40" s="139" t="s">
        <v>528</v>
      </c>
      <c r="C40" s="126"/>
      <c r="D40" s="126">
        <f>'prosinac 2009.(12)'!FR218</f>
        <v>12300</v>
      </c>
      <c r="E40" s="119"/>
      <c r="F40" s="120"/>
    </row>
    <row r="41" spans="1:6" s="106" customFormat="1" x14ac:dyDescent="0.2">
      <c r="A41" s="124">
        <v>11</v>
      </c>
      <c r="B41" s="139" t="s">
        <v>211</v>
      </c>
      <c r="C41" s="126">
        <f>'prosinac 2009.(12)'!FQ235</f>
        <v>10000</v>
      </c>
      <c r="D41" s="126" t="e">
        <f>'prosinac 2009.(12)'!FR235</f>
        <v>#REF!</v>
      </c>
      <c r="E41" s="119" t="e">
        <f t="shared" si="1"/>
        <v>#REF!</v>
      </c>
      <c r="F41" s="120"/>
    </row>
    <row r="42" spans="1:6" s="106" customFormat="1" x14ac:dyDescent="0.2">
      <c r="A42" s="124">
        <v>12</v>
      </c>
      <c r="B42" s="139" t="s">
        <v>380</v>
      </c>
      <c r="C42" s="126">
        <f>'prosinac 2009.(12)'!FQ236</f>
        <v>1500000</v>
      </c>
      <c r="D42" s="126">
        <f>'prosinac 2009.(12)'!FR236</f>
        <v>576546.76</v>
      </c>
      <c r="E42" s="119">
        <f t="shared" si="1"/>
        <v>0.38436450666666666</v>
      </c>
      <c r="F42" s="120"/>
    </row>
    <row r="43" spans="1:6" s="106" customFormat="1" x14ac:dyDescent="0.2">
      <c r="A43" s="124">
        <v>13</v>
      </c>
      <c r="B43" s="139" t="s">
        <v>212</v>
      </c>
      <c r="C43" s="126">
        <f>'prosinac 2009.(12)'!FQ238</f>
        <v>0</v>
      </c>
      <c r="D43" s="126">
        <f>'prosinac 2009.(12)'!FR238</f>
        <v>0</v>
      </c>
      <c r="E43" s="119">
        <f t="shared" si="1"/>
        <v>0</v>
      </c>
      <c r="F43" s="120"/>
    </row>
    <row r="44" spans="1:6" s="106" customFormat="1" x14ac:dyDescent="0.2">
      <c r="A44" s="124">
        <v>14</v>
      </c>
      <c r="B44" s="139" t="s">
        <v>420</v>
      </c>
      <c r="C44" s="126">
        <f>'prosinac 2009.(12)'!FQ239</f>
        <v>1798147.26</v>
      </c>
      <c r="D44" s="126">
        <f>'prosinac 2009.(12)'!FR239</f>
        <v>0</v>
      </c>
      <c r="E44" s="119">
        <f t="shared" si="1"/>
        <v>0</v>
      </c>
      <c r="F44" s="120"/>
    </row>
    <row r="45" spans="1:6" s="106" customFormat="1" x14ac:dyDescent="0.2">
      <c r="A45" s="121">
        <v>15</v>
      </c>
      <c r="B45" s="157" t="s">
        <v>213</v>
      </c>
      <c r="C45" s="126">
        <f>'prosinac 2009.(12)'!FQ240</f>
        <v>0</v>
      </c>
      <c r="D45" s="126">
        <f>'prosinac 2009.(12)'!FR240</f>
        <v>4619891.93</v>
      </c>
      <c r="E45" s="119">
        <f t="shared" si="1"/>
        <v>0</v>
      </c>
      <c r="F45" s="120"/>
    </row>
    <row r="46" spans="1:6" s="106" customFormat="1" x14ac:dyDescent="0.2">
      <c r="A46" s="124">
        <v>16</v>
      </c>
      <c r="B46" s="139" t="s">
        <v>222</v>
      </c>
      <c r="C46" s="126">
        <f>'prosinac 2009.(12)'!FQ220</f>
        <v>0</v>
      </c>
      <c r="D46" s="126">
        <f>'prosinac 2009.(12)'!FR220</f>
        <v>0</v>
      </c>
      <c r="E46" s="119">
        <f t="shared" si="1"/>
        <v>0</v>
      </c>
      <c r="F46" s="120"/>
    </row>
    <row r="47" spans="1:6" s="106" customFormat="1" ht="13.5" thickBot="1" x14ac:dyDescent="0.25">
      <c r="A47" s="142">
        <v>17</v>
      </c>
      <c r="B47" s="159" t="s">
        <v>221</v>
      </c>
      <c r="C47" s="160">
        <f>'prosinac 2009.(12)'!FQ221</f>
        <v>0</v>
      </c>
      <c r="D47" s="160">
        <f>'prosinac 2009.(12)'!FR221</f>
        <v>168420.03</v>
      </c>
      <c r="E47" s="161">
        <f t="shared" si="1"/>
        <v>0</v>
      </c>
      <c r="F47" s="120"/>
    </row>
    <row r="48" spans="1:6" s="106" customFormat="1" ht="27" customHeight="1" thickTop="1" thickBot="1" x14ac:dyDescent="0.25">
      <c r="A48" s="162"/>
      <c r="B48" s="163" t="s">
        <v>530</v>
      </c>
      <c r="C48" s="127">
        <f>C31+C32+C33+C34+C35+C36+C39+C41+C38+C37+C40</f>
        <v>16962716.760000002</v>
      </c>
      <c r="D48" s="127" t="e">
        <f>D31+D32+D33+D34+D35+D36+D39+D41+D38+D37+D40</f>
        <v>#REF!</v>
      </c>
      <c r="E48" s="165"/>
      <c r="F48" s="112"/>
    </row>
    <row r="49" spans="1:8" s="100" customFormat="1" ht="27" customHeight="1" thickBot="1" x14ac:dyDescent="0.25">
      <c r="A49" s="148"/>
      <c r="B49" s="149" t="s">
        <v>529</v>
      </c>
      <c r="C49" s="150">
        <f>C31+C33+C34+C35+C36+C39+C41+C43+C45+C46+C47+C38+C42+C37+C44+C40</f>
        <v>18872095.790000003</v>
      </c>
      <c r="D49" s="150" t="e">
        <f>D31+D33+D34+D35+D36+D39+D41+D43+D45+D46+D47+D38+D42+D37+D44+D40</f>
        <v>#REF!</v>
      </c>
      <c r="E49" s="151"/>
      <c r="F49" s="104">
        <v>9666944.25</v>
      </c>
      <c r="G49" s="285" t="e">
        <f>D49-F49</f>
        <v>#REF!</v>
      </c>
      <c r="H49" s="285"/>
    </row>
    <row r="50" spans="1:8" ht="15.75" customHeight="1" thickBot="1" x14ac:dyDescent="0.25">
      <c r="A50" s="110"/>
      <c r="B50" s="152"/>
      <c r="C50" s="167"/>
      <c r="D50" s="111"/>
      <c r="E50" s="153"/>
    </row>
    <row r="51" spans="1:8" ht="16.5" customHeight="1" thickBot="1" x14ac:dyDescent="0.25">
      <c r="A51" s="3732" t="s">
        <v>214</v>
      </c>
      <c r="B51" s="3733"/>
      <c r="C51" s="150"/>
      <c r="D51" s="168" t="e">
        <f>D28-D49</f>
        <v>#REF!</v>
      </c>
      <c r="E51" s="153"/>
    </row>
    <row r="52" spans="1:8" ht="12" customHeight="1" thickBot="1" x14ac:dyDescent="0.25">
      <c r="A52" s="110"/>
      <c r="B52" s="102"/>
      <c r="C52" s="108"/>
      <c r="D52" s="108"/>
      <c r="E52" s="153"/>
    </row>
    <row r="53" spans="1:8" ht="15.75" customHeight="1" thickBot="1" x14ac:dyDescent="0.25">
      <c r="A53" s="3732" t="s">
        <v>523</v>
      </c>
      <c r="B53" s="3733"/>
      <c r="C53" s="3733"/>
      <c r="D53" s="168" t="e">
        <f>'A4 listopad'!D54</f>
        <v>#REF!</v>
      </c>
      <c r="E53" s="153"/>
    </row>
    <row r="54" spans="1:8" ht="10.5" customHeight="1" thickBot="1" x14ac:dyDescent="0.25">
      <c r="A54" s="110"/>
      <c r="B54" s="102"/>
      <c r="C54" s="108"/>
      <c r="D54" s="108"/>
      <c r="E54" s="153"/>
    </row>
    <row r="55" spans="1:8" ht="16.5" customHeight="1" thickBot="1" x14ac:dyDescent="0.25">
      <c r="A55" s="3732" t="s">
        <v>524</v>
      </c>
      <c r="B55" s="3733"/>
      <c r="C55" s="3733"/>
      <c r="D55" s="168" t="e">
        <f>D53+D51</f>
        <v>#REF!</v>
      </c>
      <c r="E55" s="153"/>
      <c r="F55" s="285">
        <v>37689124.710000001</v>
      </c>
      <c r="G55" s="285" t="e">
        <f>F55-D55</f>
        <v>#REF!</v>
      </c>
    </row>
    <row r="56" spans="1:8" ht="8.25" customHeight="1" x14ac:dyDescent="0.2">
      <c r="A56" s="110"/>
      <c r="B56" s="152"/>
      <c r="C56" s="108"/>
      <c r="D56" s="111"/>
      <c r="E56" s="153"/>
    </row>
    <row r="57" spans="1:8" ht="39" customHeight="1" x14ac:dyDescent="0.2">
      <c r="A57" s="110"/>
      <c r="B57" s="3734" t="s">
        <v>215</v>
      </c>
      <c r="C57" s="3735"/>
      <c r="D57" s="3734" t="s">
        <v>216</v>
      </c>
      <c r="E57" s="3734"/>
    </row>
    <row r="58" spans="1:8" x14ac:dyDescent="0.2">
      <c r="A58" s="110"/>
      <c r="B58" s="3726" t="s">
        <v>217</v>
      </c>
      <c r="C58" s="3726"/>
      <c r="D58" s="3726" t="s">
        <v>218</v>
      </c>
      <c r="E58" s="3726"/>
    </row>
    <row r="59" spans="1:8" ht="9.75" customHeight="1" x14ac:dyDescent="0.2">
      <c r="A59" s="110"/>
      <c r="B59" s="170"/>
      <c r="C59" s="171"/>
      <c r="D59" s="171"/>
      <c r="E59" s="172"/>
    </row>
    <row r="60" spans="1:8" x14ac:dyDescent="0.2">
      <c r="A60" s="170"/>
      <c r="D60" s="3727" t="s">
        <v>522</v>
      </c>
      <c r="E60" s="3727"/>
    </row>
    <row r="73" spans="3:3" x14ac:dyDescent="0.2">
      <c r="C73" s="106">
        <v>16329.87</v>
      </c>
    </row>
    <row r="74" spans="3:3" x14ac:dyDescent="0.2">
      <c r="C74" s="106">
        <v>55108.13</v>
      </c>
    </row>
    <row r="75" spans="3:3" x14ac:dyDescent="0.2">
      <c r="C75" s="106">
        <v>168083.36</v>
      </c>
    </row>
    <row r="76" spans="3:3" x14ac:dyDescent="0.2">
      <c r="C76" s="106">
        <v>1230487.69</v>
      </c>
    </row>
    <row r="77" spans="3:3" x14ac:dyDescent="0.2">
      <c r="C77" s="106">
        <v>156267.72</v>
      </c>
    </row>
    <row r="78" spans="3:3" x14ac:dyDescent="0.2">
      <c r="C78" s="106">
        <v>192417.78</v>
      </c>
    </row>
    <row r="79" spans="3:3" x14ac:dyDescent="0.2">
      <c r="C79" s="106">
        <f>SUM(C73:C78)</f>
        <v>1818694.5499999998</v>
      </c>
    </row>
  </sheetData>
  <mergeCells count="10">
    <mergeCell ref="B58:C58"/>
    <mergeCell ref="D58:E58"/>
    <mergeCell ref="D60:E60"/>
    <mergeCell ref="A2:E4"/>
    <mergeCell ref="E11:E13"/>
    <mergeCell ref="A51:B51"/>
    <mergeCell ref="A53:C53"/>
    <mergeCell ref="A55:C55"/>
    <mergeCell ref="B57:C57"/>
    <mergeCell ref="D57:E57"/>
  </mergeCells>
  <conditionalFormatting sqref="G49 G55 G28">
    <cfRule type="cellIs" dxfId="17" priority="1" stopIfTrue="1" operator="equal">
      <formula>0</formula>
    </cfRule>
    <cfRule type="cellIs" dxfId="16" priority="2" stopIfTrue="1" operator="notEqual">
      <formula>0</formula>
    </cfRule>
  </conditionalFormatting>
  <pageMargins left="0.59055118110236227" right="0.23622047244094491" top="0.17" bottom="0.15748031496062992" header="0.11811023622047245" footer="0.15748031496062992"/>
  <pageSetup paperSize="9" scale="9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9"/>
  <sheetViews>
    <sheetView topLeftCell="A34" workbookViewId="0">
      <selection activeCell="B57" sqref="B57:C57"/>
    </sheetView>
  </sheetViews>
  <sheetFormatPr defaultColWidth="9.140625" defaultRowHeight="12.75" x14ac:dyDescent="0.2"/>
  <cols>
    <col min="1" max="1" width="4.7109375" style="99" customWidth="1"/>
    <col min="2" max="2" width="55.5703125" style="99" customWidth="1"/>
    <col min="3" max="4" width="16.5703125" style="106" bestFit="1" customWidth="1"/>
    <col min="5" max="5" width="12" style="141" customWidth="1"/>
    <col min="6" max="6" width="17.85546875" style="112" customWidth="1"/>
    <col min="7" max="7" width="17.7109375" style="106" customWidth="1"/>
    <col min="8" max="11" width="13.7109375" style="99" customWidth="1"/>
    <col min="12" max="16384" width="9.140625" style="99"/>
  </cols>
  <sheetData>
    <row r="1" spans="1:7" ht="11.25" customHeight="1" x14ac:dyDescent="0.2"/>
    <row r="2" spans="1:7" x14ac:dyDescent="0.2">
      <c r="A2" s="3728" t="s">
        <v>545</v>
      </c>
      <c r="B2" s="3728"/>
      <c r="C2" s="3728"/>
      <c r="D2" s="3728"/>
      <c r="E2" s="3728"/>
    </row>
    <row r="3" spans="1:7" x14ac:dyDescent="0.2">
      <c r="A3" s="3728"/>
      <c r="B3" s="3728"/>
      <c r="C3" s="3728"/>
      <c r="D3" s="3728"/>
      <c r="E3" s="3728"/>
    </row>
    <row r="4" spans="1:7" ht="30.75" customHeight="1" x14ac:dyDescent="0.2">
      <c r="A4" s="3728"/>
      <c r="B4" s="3728"/>
      <c r="C4" s="3728"/>
      <c r="D4" s="3728"/>
      <c r="E4" s="3728"/>
    </row>
    <row r="5" spans="1:7" ht="7.5" customHeight="1" x14ac:dyDescent="0.2">
      <c r="A5" s="1285"/>
      <c r="B5" s="1285"/>
      <c r="C5" s="1285"/>
      <c r="D5" s="1285"/>
      <c r="E5" s="1285"/>
    </row>
    <row r="6" spans="1:7" ht="25.5" x14ac:dyDescent="0.2">
      <c r="A6" s="113" t="s">
        <v>185</v>
      </c>
      <c r="B6" s="113" t="s">
        <v>186</v>
      </c>
      <c r="C6" s="114" t="s">
        <v>187</v>
      </c>
      <c r="D6" s="114" t="s">
        <v>188</v>
      </c>
      <c r="E6" s="115" t="s">
        <v>189</v>
      </c>
    </row>
    <row r="7" spans="1:7" x14ac:dyDescent="0.2">
      <c r="A7" s="116">
        <v>1</v>
      </c>
      <c r="B7" s="117" t="s">
        <v>490</v>
      </c>
      <c r="C7" s="118">
        <f>'prosinac 2009.(12)'!GY161</f>
        <v>10284287.08</v>
      </c>
      <c r="D7" s="118" t="e">
        <f>'prosinac 2009.(12)'!GZ161</f>
        <v>#REF!</v>
      </c>
      <c r="E7" s="119" t="e">
        <f>IF(C7&gt;0,D7/C7,0)</f>
        <v>#REF!</v>
      </c>
      <c r="F7" s="120"/>
    </row>
    <row r="8" spans="1:7" x14ac:dyDescent="0.2">
      <c r="A8" s="121">
        <v>2</v>
      </c>
      <c r="B8" s="122" t="s">
        <v>491</v>
      </c>
      <c r="C8" s="123">
        <f>'prosinac 2009.(12)'!HA161</f>
        <v>0</v>
      </c>
      <c r="D8" s="123">
        <f>'prosinac 2009.(12)'!HB161</f>
        <v>5891557.2300000004</v>
      </c>
      <c r="E8" s="119">
        <f>IF(C8&gt;0,D8/C8,0)</f>
        <v>0</v>
      </c>
      <c r="F8" s="120"/>
    </row>
    <row r="9" spans="1:7" x14ac:dyDescent="0.2">
      <c r="A9" s="124">
        <v>3</v>
      </c>
      <c r="B9" s="125" t="s">
        <v>190</v>
      </c>
      <c r="C9" s="126">
        <f>'prosinac 2009.(12)'!HC225</f>
        <v>44812.23</v>
      </c>
      <c r="D9" s="126">
        <f>'prosinac 2009.(12)'!HD225</f>
        <v>101277.96</v>
      </c>
      <c r="E9" s="119">
        <f>IF(C9&gt;0,D9/C9,0)</f>
        <v>2.2600517760441736</v>
      </c>
      <c r="F9" s="120"/>
    </row>
    <row r="10" spans="1:7" x14ac:dyDescent="0.2">
      <c r="A10" s="124">
        <v>4</v>
      </c>
      <c r="B10" s="125" t="s">
        <v>192</v>
      </c>
      <c r="C10" s="126">
        <f>'prosinac 2009.(12)'!HC230</f>
        <v>596178.14999999991</v>
      </c>
      <c r="D10" s="126">
        <f>'prosinac 2009.(12)'!HD230</f>
        <v>269672.2</v>
      </c>
      <c r="E10" s="119">
        <f>IF(C10&gt;0,D10/C10,0)</f>
        <v>0.45233492706836043</v>
      </c>
      <c r="F10" s="128"/>
    </row>
    <row r="11" spans="1:7" x14ac:dyDescent="0.2">
      <c r="A11" s="129">
        <v>5</v>
      </c>
      <c r="B11" s="130" t="s">
        <v>193</v>
      </c>
      <c r="C11" s="131">
        <f>'prosinac 2009.(12)'!HC222-C12-C13</f>
        <v>302958.67</v>
      </c>
      <c r="D11" s="131" t="e">
        <f>'prosinac 2009.(12)'!GZ222-D12-D13</f>
        <v>#REF!</v>
      </c>
      <c r="E11" s="3729" t="e">
        <f>(D11+D12+D13)/(C11+C12+C13)</f>
        <v>#REF!</v>
      </c>
      <c r="F11" s="133" t="e">
        <f>D11/G14</f>
        <v>#REF!</v>
      </c>
    </row>
    <row r="12" spans="1:7" x14ac:dyDescent="0.2">
      <c r="A12" s="124">
        <v>6</v>
      </c>
      <c r="B12" s="125" t="s">
        <v>194</v>
      </c>
      <c r="C12" s="131"/>
      <c r="D12" s="158" t="e">
        <f>#REF!</f>
        <v>#REF!</v>
      </c>
      <c r="E12" s="3730"/>
      <c r="F12" s="133" t="e">
        <f>D12/G14</f>
        <v>#REF!</v>
      </c>
    </row>
    <row r="13" spans="1:7" x14ac:dyDescent="0.2">
      <c r="A13" s="124">
        <v>7</v>
      </c>
      <c r="B13" s="125" t="s">
        <v>195</v>
      </c>
      <c r="C13" s="131"/>
      <c r="D13" s="158" t="e">
        <f>#REF!</f>
        <v>#REF!</v>
      </c>
      <c r="E13" s="3730"/>
      <c r="F13" s="133" t="e">
        <f>D13/G14</f>
        <v>#REF!</v>
      </c>
    </row>
    <row r="14" spans="1:7" x14ac:dyDescent="0.2">
      <c r="A14" s="124">
        <v>8</v>
      </c>
      <c r="B14" s="125" t="s">
        <v>197</v>
      </c>
      <c r="C14" s="136">
        <f>'prosinac 2009.(12)'!HC224</f>
        <v>181221.79</v>
      </c>
      <c r="D14" s="136">
        <f>'prosinac 2009.(12)'!HD224</f>
        <v>161370.82999999999</v>
      </c>
      <c r="E14" s="119">
        <f t="shared" ref="E14:E26" si="0">IF(C14&gt;0,D14/C14,0)</f>
        <v>0.89046041317658309</v>
      </c>
      <c r="F14" s="137"/>
      <c r="G14" s="106" t="e">
        <f>'prosinac 2009.(12)'!FT222</f>
        <v>#REF!</v>
      </c>
    </row>
    <row r="15" spans="1:7" x14ac:dyDescent="0.2">
      <c r="A15" s="129">
        <v>9</v>
      </c>
      <c r="B15" s="122" t="s">
        <v>198</v>
      </c>
      <c r="C15" s="136">
        <f>'prosinac 2009.(12)'!HC228</f>
        <v>375384.79000000004</v>
      </c>
      <c r="D15" s="136">
        <f>'prosinac 2009.(12)'!HD228</f>
        <v>0</v>
      </c>
      <c r="E15" s="119">
        <f t="shared" si="0"/>
        <v>0</v>
      </c>
      <c r="F15" s="137"/>
      <c r="G15" s="106">
        <f>'prosinac 2009.(12)'!FS222</f>
        <v>302958.63</v>
      </c>
    </row>
    <row r="16" spans="1:7" x14ac:dyDescent="0.2">
      <c r="A16" s="124">
        <v>10</v>
      </c>
      <c r="B16" s="125" t="s">
        <v>348</v>
      </c>
      <c r="C16" s="136">
        <f>'prosinac 2009.(12)'!GZ168+'prosinac 2009.(12)'!GZ191+'prosinac 2009.(12)'!GZ210</f>
        <v>125728.63</v>
      </c>
      <c r="D16" s="136">
        <f>'prosinac 2009.(12)'!GZ168+'prosinac 2009.(12)'!GZ191+'prosinac 2009.(12)'!GZ210</f>
        <v>125728.63</v>
      </c>
      <c r="E16" s="119">
        <f t="shared" si="0"/>
        <v>1</v>
      </c>
      <c r="F16" s="137"/>
    </row>
    <row r="17" spans="1:9" x14ac:dyDescent="0.2">
      <c r="A17" s="124">
        <v>11</v>
      </c>
      <c r="B17" s="139" t="s">
        <v>385</v>
      </c>
      <c r="C17" s="1399">
        <f>D17</f>
        <v>239887.88</v>
      </c>
      <c r="D17" s="1399">
        <v>239887.88</v>
      </c>
      <c r="E17" s="119">
        <f t="shared" si="0"/>
        <v>1</v>
      </c>
      <c r="F17" s="138"/>
    </row>
    <row r="18" spans="1:9" x14ac:dyDescent="0.2">
      <c r="A18" s="124">
        <v>12</v>
      </c>
      <c r="B18" s="139" t="s">
        <v>386</v>
      </c>
      <c r="C18" s="136">
        <f>'prosinac 2009.(12)'!HA211</f>
        <v>261800.55</v>
      </c>
      <c r="D18" s="136">
        <f>'prosinac 2009.(12)'!HB211</f>
        <v>130351.73999999999</v>
      </c>
      <c r="E18" s="119">
        <f t="shared" si="0"/>
        <v>0.49790475994034389</v>
      </c>
      <c r="F18" s="138"/>
    </row>
    <row r="19" spans="1:9" x14ac:dyDescent="0.2">
      <c r="A19" s="124">
        <v>13</v>
      </c>
      <c r="B19" s="125" t="s">
        <v>501</v>
      </c>
      <c r="C19" s="136">
        <f>'prosinac 2009.(12)'!HC218</f>
        <v>15557379.630000001</v>
      </c>
      <c r="D19" s="136">
        <f>'prosinac 2009.(12)'!HD218</f>
        <v>2199643.5</v>
      </c>
      <c r="E19" s="119">
        <f t="shared" si="0"/>
        <v>0.14138907401593054</v>
      </c>
      <c r="F19" s="138"/>
    </row>
    <row r="20" spans="1:9" x14ac:dyDescent="0.2">
      <c r="A20" s="124">
        <v>14</v>
      </c>
      <c r="B20" s="125" t="s">
        <v>219</v>
      </c>
      <c r="C20" s="136">
        <f>'prosinac 2009.(12)'!HC235</f>
        <v>0</v>
      </c>
      <c r="D20" s="136" t="e">
        <f>'prosinac 2009.(12)'!HD235</f>
        <v>#REF!</v>
      </c>
      <c r="E20" s="119">
        <f t="shared" si="0"/>
        <v>0</v>
      </c>
      <c r="F20" s="138"/>
    </row>
    <row r="21" spans="1:9" x14ac:dyDescent="0.2">
      <c r="A21" s="124">
        <v>15</v>
      </c>
      <c r="B21" s="125" t="s">
        <v>380</v>
      </c>
      <c r="C21" s="136">
        <f>'prosinac 2009.(12)'!HC236</f>
        <v>0</v>
      </c>
      <c r="D21" s="136">
        <f>'prosinac 2009.(12)'!HD236</f>
        <v>839887.88</v>
      </c>
      <c r="E21" s="119">
        <f t="shared" si="0"/>
        <v>0</v>
      </c>
      <c r="F21" s="138"/>
    </row>
    <row r="22" spans="1:9" x14ac:dyDescent="0.2">
      <c r="A22" s="124">
        <v>16</v>
      </c>
      <c r="B22" s="125" t="s">
        <v>199</v>
      </c>
      <c r="C22" s="136">
        <f>'prosinac 2009.(12)'!HC238</f>
        <v>0</v>
      </c>
      <c r="D22" s="136">
        <f>'prosinac 2009.(12)'!HD238</f>
        <v>0</v>
      </c>
      <c r="E22" s="119">
        <f t="shared" si="0"/>
        <v>0</v>
      </c>
      <c r="F22" s="138"/>
    </row>
    <row r="23" spans="1:9" x14ac:dyDescent="0.2">
      <c r="A23" s="124">
        <v>17</v>
      </c>
      <c r="B23" s="125" t="s">
        <v>422</v>
      </c>
      <c r="C23" s="136">
        <f>'prosinac 2009.(12)'!HC239</f>
        <v>0</v>
      </c>
      <c r="D23" s="136">
        <f>'prosinac 2009.(12)'!HD239</f>
        <v>0</v>
      </c>
      <c r="E23" s="119">
        <f t="shared" si="0"/>
        <v>0</v>
      </c>
      <c r="F23" s="138"/>
    </row>
    <row r="24" spans="1:9" x14ac:dyDescent="0.2">
      <c r="A24" s="121">
        <v>18</v>
      </c>
      <c r="B24" s="117" t="s">
        <v>200</v>
      </c>
      <c r="C24" s="136">
        <f>'prosinac 2009.(12)'!HC240</f>
        <v>0</v>
      </c>
      <c r="D24" s="136">
        <f>'prosinac 2009.(12)'!HD240</f>
        <v>0</v>
      </c>
      <c r="E24" s="119">
        <f t="shared" si="0"/>
        <v>0</v>
      </c>
      <c r="F24" s="138"/>
      <c r="G24" s="106">
        <f>164150.66+12797.97</f>
        <v>176948.63</v>
      </c>
    </row>
    <row r="25" spans="1:9" x14ac:dyDescent="0.2">
      <c r="A25" s="124">
        <v>19</v>
      </c>
      <c r="B25" s="125" t="s">
        <v>201</v>
      </c>
      <c r="C25" s="136">
        <f>'prosinac 2009.(12)'!HC220</f>
        <v>0</v>
      </c>
      <c r="D25" s="136">
        <f>'prosinac 2009.(12)'!HD220</f>
        <v>0</v>
      </c>
      <c r="E25" s="119">
        <f t="shared" si="0"/>
        <v>0</v>
      </c>
      <c r="F25" s="138"/>
      <c r="G25" s="106" t="e">
        <f>G27-G26</f>
        <v>#REF!</v>
      </c>
    </row>
    <row r="26" spans="1:9" ht="13.5" thickBot="1" x14ac:dyDescent="0.25">
      <c r="A26" s="142">
        <v>20</v>
      </c>
      <c r="B26" s="143" t="s">
        <v>202</v>
      </c>
      <c r="C26" s="144">
        <f>'prosinac 2009.(12)'!HC221</f>
        <v>2717543.12</v>
      </c>
      <c r="D26" s="144">
        <f>'prosinac 2009.(12)'!HD221</f>
        <v>0</v>
      </c>
      <c r="E26" s="132">
        <f t="shared" si="0"/>
        <v>0</v>
      </c>
      <c r="F26" s="138"/>
      <c r="G26" s="106">
        <v>3671973.36</v>
      </c>
      <c r="H26" s="112"/>
      <c r="I26" s="112"/>
    </row>
    <row r="27" spans="1:9" ht="27" customHeight="1" thickTop="1" thickBot="1" x14ac:dyDescent="0.25">
      <c r="A27" s="145"/>
      <c r="B27" s="146" t="s">
        <v>519</v>
      </c>
      <c r="C27" s="138">
        <f>C7+C8+C9+C10+C14+C15+C16+C20+C18+C19</f>
        <v>27426792.850000001</v>
      </c>
      <c r="D27" s="138" t="e">
        <f>D7+D8+D9+D10+D14+D15+D16+D20+D18+D19</f>
        <v>#REF!</v>
      </c>
      <c r="E27" s="147"/>
      <c r="G27" s="106" t="e">
        <f>D28+D19+40522.98</f>
        <v>#REF!</v>
      </c>
    </row>
    <row r="28" spans="1:9" ht="27.75" customHeight="1" thickBot="1" x14ac:dyDescent="0.25">
      <c r="A28" s="148"/>
      <c r="B28" s="149" t="s">
        <v>520</v>
      </c>
      <c r="C28" s="150">
        <f>C7+C9+C10+C11+C12+C13+C14+C15+C16+C20+C22+C24+C25+C26+C21+C23</f>
        <v>14628114.460000001</v>
      </c>
      <c r="D28" s="150" t="e">
        <f>D7+D9+D10+D11+D12+D13+D14+D15+D16+D20+D22+D24+D25+D26+D21+D23</f>
        <v>#REF!</v>
      </c>
      <c r="E28" s="151"/>
      <c r="F28" s="104"/>
      <c r="G28" s="285" t="e">
        <f>D28-F28</f>
        <v>#REF!</v>
      </c>
      <c r="H28" s="112"/>
    </row>
    <row r="29" spans="1:9" ht="15.75" customHeight="1" x14ac:dyDescent="0.2">
      <c r="A29" s="110"/>
      <c r="B29" s="152"/>
      <c r="C29" s="108"/>
      <c r="D29" s="111"/>
      <c r="E29" s="153"/>
    </row>
    <row r="30" spans="1:9" ht="25.5" x14ac:dyDescent="0.2">
      <c r="A30" s="113" t="s">
        <v>185</v>
      </c>
      <c r="B30" s="113" t="s">
        <v>203</v>
      </c>
      <c r="C30" s="114" t="s">
        <v>204</v>
      </c>
      <c r="D30" s="114" t="s">
        <v>205</v>
      </c>
      <c r="E30" s="115" t="s">
        <v>189</v>
      </c>
    </row>
    <row r="31" spans="1:9" x14ac:dyDescent="0.2">
      <c r="A31" s="154">
        <v>1</v>
      </c>
      <c r="B31" s="155" t="s">
        <v>492</v>
      </c>
      <c r="C31" s="156">
        <f>'prosinac 2009.(12)'!GS161</f>
        <v>7753499.2300000004</v>
      </c>
      <c r="D31" s="156">
        <f>'prosinac 2009.(12)'!GT161</f>
        <v>10194001.539999999</v>
      </c>
      <c r="E31" s="119">
        <f t="shared" ref="E31:E47" si="1">IF(C31&gt;0,D31/C31,0)</f>
        <v>1.3147614048321765</v>
      </c>
      <c r="F31" s="120"/>
    </row>
    <row r="32" spans="1:9" x14ac:dyDescent="0.2">
      <c r="A32" s="124">
        <v>2</v>
      </c>
      <c r="B32" s="139" t="s">
        <v>493</v>
      </c>
      <c r="C32" s="126">
        <f>'prosinac 2009.(12)'!GU161</f>
        <v>0</v>
      </c>
      <c r="D32" s="126">
        <f>'prosinac 2009.(12)'!GV161</f>
        <v>0</v>
      </c>
      <c r="E32" s="119">
        <f t="shared" si="1"/>
        <v>0</v>
      </c>
      <c r="F32" s="120"/>
    </row>
    <row r="33" spans="1:6" x14ac:dyDescent="0.2">
      <c r="A33" s="121">
        <v>3</v>
      </c>
      <c r="B33" s="157" t="s">
        <v>206</v>
      </c>
      <c r="C33" s="123">
        <f>'prosinac 2009.(12)'!GW233</f>
        <v>0</v>
      </c>
      <c r="D33" s="123">
        <f>'prosinac 2009.(12)'!GX233</f>
        <v>81390.28</v>
      </c>
      <c r="E33" s="119">
        <f t="shared" si="1"/>
        <v>0</v>
      </c>
      <c r="F33" s="120"/>
    </row>
    <row r="34" spans="1:6" s="106" customFormat="1" x14ac:dyDescent="0.2">
      <c r="A34" s="124">
        <v>4</v>
      </c>
      <c r="B34" s="139" t="s">
        <v>207</v>
      </c>
      <c r="C34" s="126">
        <f>'prosinac 2009.(12)'!GW230</f>
        <v>0</v>
      </c>
      <c r="D34" s="126">
        <f>'prosinac 2009.(12)'!GX230</f>
        <v>145861.44</v>
      </c>
      <c r="E34" s="119">
        <f t="shared" si="1"/>
        <v>0</v>
      </c>
      <c r="F34" s="120"/>
    </row>
    <row r="35" spans="1:6" s="106" customFormat="1" x14ac:dyDescent="0.2">
      <c r="A35" s="121">
        <v>5</v>
      </c>
      <c r="B35" s="157" t="s">
        <v>210</v>
      </c>
      <c r="C35" s="1165">
        <f>'prosinac 2009.(12)'!GW228</f>
        <v>128179.72</v>
      </c>
      <c r="D35" s="1165" t="e">
        <f>'prosinac 2009.(12)'!GX228</f>
        <v>#REF!</v>
      </c>
      <c r="E35" s="119" t="e">
        <f t="shared" si="1"/>
        <v>#REF!</v>
      </c>
      <c r="F35" s="120"/>
    </row>
    <row r="36" spans="1:6" s="106" customFormat="1" x14ac:dyDescent="0.2">
      <c r="A36" s="124">
        <v>6</v>
      </c>
      <c r="B36" s="139" t="s">
        <v>349</v>
      </c>
      <c r="C36" s="1165">
        <f>'prosinac 2009.(12)'!GT168+'prosinac 2009.(12)'!GT191+'prosinac 2009.(12)'!GT210</f>
        <v>0</v>
      </c>
      <c r="D36" s="1165">
        <f>'prosinac 2009.(12)'!GX168+'prosinac 2009.(12)'!GX191+'prosinac 2009.(12)'!GX210</f>
        <v>0</v>
      </c>
      <c r="E36" s="119">
        <f t="shared" si="1"/>
        <v>0</v>
      </c>
      <c r="F36" s="120"/>
    </row>
    <row r="37" spans="1:6" s="106" customFormat="1" x14ac:dyDescent="0.2">
      <c r="A37" s="124">
        <v>7</v>
      </c>
      <c r="B37" s="139" t="s">
        <v>350</v>
      </c>
      <c r="C37" s="126">
        <f>'prosinac 2009.(12)'!GT163+'prosinac 2009.(12)'!GT173+'prosinac 2009.(12)'!GT209</f>
        <v>130351.73999999999</v>
      </c>
      <c r="D37" s="126">
        <f>'prosinac 2009.(12)'!GX163+'prosinac 2009.(12)'!GX173+'prosinac 2009.(12)'!GX209</f>
        <v>130351.73999999999</v>
      </c>
      <c r="E37" s="119">
        <f t="shared" si="1"/>
        <v>1</v>
      </c>
      <c r="F37" s="120"/>
    </row>
    <row r="38" spans="1:6" s="106" customFormat="1" x14ac:dyDescent="0.2">
      <c r="A38" s="124">
        <v>8</v>
      </c>
      <c r="B38" s="157" t="s">
        <v>383</v>
      </c>
      <c r="C38" s="123">
        <f>'prosinac 2009.(12)'!GW215</f>
        <v>0</v>
      </c>
      <c r="D38" s="123">
        <f>'prosinac 2009.(12)'!GX215</f>
        <v>0</v>
      </c>
      <c r="E38" s="119">
        <f t="shared" si="1"/>
        <v>0</v>
      </c>
      <c r="F38" s="120"/>
    </row>
    <row r="39" spans="1:6" s="106" customFormat="1" x14ac:dyDescent="0.2">
      <c r="A39" s="124">
        <v>9</v>
      </c>
      <c r="B39" s="139" t="s">
        <v>220</v>
      </c>
      <c r="C39" s="126">
        <f>'prosinac 2009.(12)'!GW216</f>
        <v>60540.15</v>
      </c>
      <c r="D39" s="126" t="e">
        <f>'prosinac 2009.(12)'!GX216</f>
        <v>#REF!</v>
      </c>
      <c r="E39" s="119" t="e">
        <f t="shared" si="1"/>
        <v>#REF!</v>
      </c>
      <c r="F39" s="120"/>
    </row>
    <row r="40" spans="1:6" s="106" customFormat="1" x14ac:dyDescent="0.2">
      <c r="A40" s="124">
        <v>10</v>
      </c>
      <c r="B40" s="139" t="s">
        <v>528</v>
      </c>
      <c r="C40" s="126">
        <f>'prosinac 2009.(12)'!GW218</f>
        <v>0</v>
      </c>
      <c r="D40" s="126">
        <f>'prosinac 2009.(12)'!GX218</f>
        <v>14760</v>
      </c>
      <c r="E40" s="119">
        <f t="shared" si="1"/>
        <v>0</v>
      </c>
      <c r="F40" s="120"/>
    </row>
    <row r="41" spans="1:6" s="106" customFormat="1" x14ac:dyDescent="0.2">
      <c r="A41" s="124">
        <v>11</v>
      </c>
      <c r="B41" s="139" t="s">
        <v>211</v>
      </c>
      <c r="C41" s="126">
        <f>'prosinac 2009.(12)'!GW235</f>
        <v>10000</v>
      </c>
      <c r="D41" s="126" t="e">
        <f>'prosinac 2009.(12)'!GX235</f>
        <v>#REF!</v>
      </c>
      <c r="E41" s="119" t="e">
        <f t="shared" si="1"/>
        <v>#REF!</v>
      </c>
      <c r="F41" s="120"/>
    </row>
    <row r="42" spans="1:6" s="106" customFormat="1" x14ac:dyDescent="0.2">
      <c r="A42" s="124">
        <v>12</v>
      </c>
      <c r="B42" s="139" t="s">
        <v>380</v>
      </c>
      <c r="C42" s="126">
        <f>'prosinac 2009.(12)'!GW236</f>
        <v>2000000</v>
      </c>
      <c r="D42" s="126">
        <f>'prosinac 2009.(12)'!GX236</f>
        <v>839887.88</v>
      </c>
      <c r="E42" s="119">
        <f t="shared" si="1"/>
        <v>0.41994394000000002</v>
      </c>
      <c r="F42" s="120"/>
    </row>
    <row r="43" spans="1:6" s="106" customFormat="1" x14ac:dyDescent="0.2">
      <c r="A43" s="124">
        <v>13</v>
      </c>
      <c r="B43" s="139" t="s">
        <v>212</v>
      </c>
      <c r="C43" s="126">
        <f>'prosinac 2009.(12)'!GW238</f>
        <v>0</v>
      </c>
      <c r="D43" s="126">
        <f>'prosinac 2009.(12)'!GX238</f>
        <v>0</v>
      </c>
      <c r="E43" s="119">
        <f t="shared" si="1"/>
        <v>0</v>
      </c>
      <c r="F43" s="120"/>
    </row>
    <row r="44" spans="1:6" s="106" customFormat="1" x14ac:dyDescent="0.2">
      <c r="A44" s="124">
        <v>14</v>
      </c>
      <c r="B44" s="139" t="s">
        <v>420</v>
      </c>
      <c r="C44" s="126">
        <f>'prosinac 2009.(12)'!GW239</f>
        <v>899073.6</v>
      </c>
      <c r="D44" s="126">
        <f>'prosinac 2009.(12)'!GX239</f>
        <v>0</v>
      </c>
      <c r="E44" s="119">
        <f t="shared" si="1"/>
        <v>0</v>
      </c>
      <c r="F44" s="120"/>
    </row>
    <row r="45" spans="1:6" s="106" customFormat="1" x14ac:dyDescent="0.2">
      <c r="A45" s="121">
        <v>15</v>
      </c>
      <c r="B45" s="157" t="s">
        <v>213</v>
      </c>
      <c r="C45" s="126">
        <f>'prosinac 2009.(12)'!GW240</f>
        <v>0</v>
      </c>
      <c r="D45" s="126">
        <f>'prosinac 2009.(12)'!GX240</f>
        <v>0</v>
      </c>
      <c r="E45" s="119">
        <f t="shared" si="1"/>
        <v>0</v>
      </c>
      <c r="F45" s="120"/>
    </row>
    <row r="46" spans="1:6" s="106" customFormat="1" x14ac:dyDescent="0.2">
      <c r="A46" s="124">
        <v>16</v>
      </c>
      <c r="B46" s="139" t="s">
        <v>222</v>
      </c>
      <c r="C46" s="126">
        <f>'prosinac 2009.(12)'!GW220</f>
        <v>0</v>
      </c>
      <c r="D46" s="126">
        <f>'prosinac 2009.(12)'!GX220</f>
        <v>0</v>
      </c>
      <c r="E46" s="119">
        <f t="shared" si="1"/>
        <v>0</v>
      </c>
      <c r="F46" s="120"/>
    </row>
    <row r="47" spans="1:6" s="106" customFormat="1" ht="13.5" thickBot="1" x14ac:dyDescent="0.25">
      <c r="A47" s="142">
        <v>17</v>
      </c>
      <c r="B47" s="159" t="s">
        <v>221</v>
      </c>
      <c r="C47" s="160">
        <f>'prosinac 2009.(12)'!GW221</f>
        <v>0</v>
      </c>
      <c r="D47" s="160">
        <f>'prosinac 2009.(12)'!GX221</f>
        <v>0</v>
      </c>
      <c r="E47" s="161">
        <f t="shared" si="1"/>
        <v>0</v>
      </c>
      <c r="F47" s="120"/>
    </row>
    <row r="48" spans="1:6" s="106" customFormat="1" ht="27" customHeight="1" thickTop="1" thickBot="1" x14ac:dyDescent="0.25">
      <c r="A48" s="162"/>
      <c r="B48" s="163" t="s">
        <v>530</v>
      </c>
      <c r="C48" s="127">
        <f>C31+C32+C33+C34+C35+C36+C39+C41+C38+C37+C40</f>
        <v>8082570.8400000008</v>
      </c>
      <c r="D48" s="127" t="e">
        <f>D31+D32+D33+D34+D35+D36+D39+D41+D38+D37+D40</f>
        <v>#REF!</v>
      </c>
      <c r="E48" s="165"/>
      <c r="F48" s="112"/>
    </row>
    <row r="49" spans="1:8" s="100" customFormat="1" ht="27" customHeight="1" thickBot="1" x14ac:dyDescent="0.25">
      <c r="A49" s="148"/>
      <c r="B49" s="149" t="s">
        <v>529</v>
      </c>
      <c r="C49" s="150">
        <f>C31+C33+C34+C35+C36+C39+C41+C43+C45+C46+C47+C38+C42+C37+C44+C40</f>
        <v>10981644.440000001</v>
      </c>
      <c r="D49" s="150" t="e">
        <f>D31+D33+D34+D35+D36+D39+D41+D43+D45+D46+D47+D38+D42+D37+D44+D40</f>
        <v>#REF!</v>
      </c>
      <c r="E49" s="151"/>
      <c r="F49" s="104"/>
      <c r="G49" s="285" t="e">
        <f>D49-F49</f>
        <v>#REF!</v>
      </c>
      <c r="H49" s="285"/>
    </row>
    <row r="50" spans="1:8" ht="15.75" customHeight="1" thickBot="1" x14ac:dyDescent="0.25">
      <c r="A50" s="110"/>
      <c r="B50" s="152"/>
      <c r="C50" s="167"/>
      <c r="D50" s="111"/>
      <c r="E50" s="153"/>
    </row>
    <row r="51" spans="1:8" ht="16.5" customHeight="1" thickBot="1" x14ac:dyDescent="0.25">
      <c r="A51" s="3732" t="s">
        <v>214</v>
      </c>
      <c r="B51" s="3733"/>
      <c r="C51" s="150"/>
      <c r="D51" s="168" t="e">
        <f>D28-D49</f>
        <v>#REF!</v>
      </c>
      <c r="E51" s="153"/>
    </row>
    <row r="52" spans="1:8" ht="12" customHeight="1" thickBot="1" x14ac:dyDescent="0.25">
      <c r="A52" s="110"/>
      <c r="B52" s="102"/>
      <c r="C52" s="108"/>
      <c r="D52" s="108"/>
      <c r="E52" s="153"/>
    </row>
    <row r="53" spans="1:8" ht="15.75" customHeight="1" thickBot="1" x14ac:dyDescent="0.25">
      <c r="A53" s="3732" t="s">
        <v>543</v>
      </c>
      <c r="B53" s="3733"/>
      <c r="C53" s="3733"/>
      <c r="D53" s="168" t="e">
        <f>'A4 studeni'!D55</f>
        <v>#REF!</v>
      </c>
      <c r="E53" s="153"/>
    </row>
    <row r="54" spans="1:8" ht="10.5" customHeight="1" thickBot="1" x14ac:dyDescent="0.25">
      <c r="A54" s="110"/>
      <c r="B54" s="102"/>
      <c r="C54" s="108"/>
      <c r="D54" s="108"/>
      <c r="E54" s="153"/>
    </row>
    <row r="55" spans="1:8" ht="16.5" customHeight="1" thickBot="1" x14ac:dyDescent="0.25">
      <c r="A55" s="3732" t="s">
        <v>544</v>
      </c>
      <c r="B55" s="3733"/>
      <c r="C55" s="3733"/>
      <c r="D55" s="168" t="e">
        <f>D53+D51</f>
        <v>#REF!</v>
      </c>
      <c r="E55" s="153"/>
      <c r="F55" s="285">
        <v>29448186.920000002</v>
      </c>
      <c r="G55" s="285" t="e">
        <f>F55-D55</f>
        <v>#REF!</v>
      </c>
    </row>
    <row r="56" spans="1:8" ht="8.25" customHeight="1" x14ac:dyDescent="0.2">
      <c r="A56" s="110"/>
      <c r="B56" s="152"/>
      <c r="C56" s="108"/>
      <c r="D56" s="111"/>
      <c r="E56" s="153"/>
    </row>
    <row r="57" spans="1:8" ht="39" customHeight="1" x14ac:dyDescent="0.2">
      <c r="A57" s="110"/>
      <c r="B57" s="3734" t="s">
        <v>215</v>
      </c>
      <c r="C57" s="3735"/>
      <c r="D57" s="3734" t="s">
        <v>216</v>
      </c>
      <c r="E57" s="3734"/>
    </row>
    <row r="58" spans="1:8" x14ac:dyDescent="0.2">
      <c r="A58" s="110"/>
      <c r="B58" s="3726" t="s">
        <v>217</v>
      </c>
      <c r="C58" s="3726"/>
      <c r="D58" s="3726" t="s">
        <v>218</v>
      </c>
      <c r="E58" s="3726"/>
    </row>
    <row r="59" spans="1:8" ht="9.75" customHeight="1" x14ac:dyDescent="0.2">
      <c r="A59" s="110"/>
      <c r="B59" s="170"/>
      <c r="C59" s="171"/>
      <c r="D59" s="171"/>
      <c r="E59" s="172"/>
    </row>
    <row r="60" spans="1:8" x14ac:dyDescent="0.2">
      <c r="A60" s="170"/>
      <c r="D60" s="3727" t="s">
        <v>535</v>
      </c>
      <c r="E60" s="3727"/>
    </row>
    <row r="73" spans="3:3" x14ac:dyDescent="0.2">
      <c r="C73" s="106">
        <v>16329.87</v>
      </c>
    </row>
    <row r="74" spans="3:3" x14ac:dyDescent="0.2">
      <c r="C74" s="106">
        <v>55108.13</v>
      </c>
    </row>
    <row r="75" spans="3:3" x14ac:dyDescent="0.2">
      <c r="C75" s="106">
        <v>168083.36</v>
      </c>
    </row>
    <row r="76" spans="3:3" x14ac:dyDescent="0.2">
      <c r="C76" s="106">
        <v>1230487.69</v>
      </c>
    </row>
    <row r="77" spans="3:3" x14ac:dyDescent="0.2">
      <c r="C77" s="106">
        <v>156267.72</v>
      </c>
    </row>
    <row r="78" spans="3:3" x14ac:dyDescent="0.2">
      <c r="C78" s="106">
        <v>192417.78</v>
      </c>
    </row>
    <row r="79" spans="3:3" x14ac:dyDescent="0.2">
      <c r="C79" s="106">
        <f>SUM(C73:C78)</f>
        <v>1818694.5499999998</v>
      </c>
    </row>
  </sheetData>
  <mergeCells count="10">
    <mergeCell ref="B58:C58"/>
    <mergeCell ref="D58:E58"/>
    <mergeCell ref="D60:E60"/>
    <mergeCell ref="A2:E4"/>
    <mergeCell ref="E11:E13"/>
    <mergeCell ref="A51:B51"/>
    <mergeCell ref="A53:C53"/>
    <mergeCell ref="A55:C55"/>
    <mergeCell ref="B57:C57"/>
    <mergeCell ref="D57:E57"/>
  </mergeCells>
  <conditionalFormatting sqref="G49 G55 G28">
    <cfRule type="cellIs" dxfId="15" priority="1" stopIfTrue="1" operator="equal">
      <formula>0</formula>
    </cfRule>
    <cfRule type="cellIs" dxfId="14" priority="2" stopIfTrue="1" operator="notEqual">
      <formula>0</formula>
    </cfRule>
  </conditionalFormatting>
  <pageMargins left="0.59055118110236227" right="0.23622047244094491" top="0.17" bottom="0.15748031496062992" header="0.11811023622047245" footer="0.15748031496062992"/>
  <pageSetup paperSize="9" scale="90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0"/>
  <sheetViews>
    <sheetView topLeftCell="A30" workbookViewId="0">
      <selection activeCell="D42" sqref="D42"/>
    </sheetView>
  </sheetViews>
  <sheetFormatPr defaultRowHeight="12.75" x14ac:dyDescent="0.2"/>
  <cols>
    <col min="1" max="1" width="4.7109375" customWidth="1"/>
    <col min="2" max="2" width="55.140625" customWidth="1"/>
    <col min="3" max="4" width="16.5703125" style="23" bestFit="1" customWidth="1"/>
    <col min="5" max="5" width="9.7109375" style="6" customWidth="1"/>
    <col min="6" max="6" width="17.85546875" style="3" customWidth="1"/>
    <col min="7" max="7" width="17.7109375" style="23" customWidth="1"/>
    <col min="8" max="8" width="13.7109375" style="3" customWidth="1"/>
    <col min="9" max="9" width="15.85546875" customWidth="1"/>
    <col min="10" max="10" width="15.28515625" customWidth="1"/>
    <col min="11" max="11" width="13.7109375" customWidth="1"/>
  </cols>
  <sheetData>
    <row r="1" spans="1:11" x14ac:dyDescent="0.2">
      <c r="A1" s="3717" t="s">
        <v>428</v>
      </c>
      <c r="B1" s="3717"/>
      <c r="C1" s="3717"/>
      <c r="D1" s="3717"/>
      <c r="E1" s="3717"/>
    </row>
    <row r="2" spans="1:11" x14ac:dyDescent="0.2">
      <c r="A2" s="3717"/>
      <c r="B2" s="3717"/>
      <c r="C2" s="3717"/>
      <c r="D2" s="3717"/>
      <c r="E2" s="3717"/>
    </row>
    <row r="3" spans="1:11" ht="26.25" customHeight="1" x14ac:dyDescent="0.2">
      <c r="A3" s="3717"/>
      <c r="B3" s="3717"/>
      <c r="C3" s="3717"/>
      <c r="D3" s="3717"/>
      <c r="E3" s="3717"/>
    </row>
    <row r="4" spans="1:11" ht="25.5" x14ac:dyDescent="0.2">
      <c r="A4" s="8" t="s">
        <v>185</v>
      </c>
      <c r="B4" s="8" t="s">
        <v>186</v>
      </c>
      <c r="C4" s="9" t="s">
        <v>187</v>
      </c>
      <c r="D4" s="9" t="s">
        <v>188</v>
      </c>
      <c r="E4" s="10" t="s">
        <v>189</v>
      </c>
    </row>
    <row r="5" spans="1:11" x14ac:dyDescent="0.2">
      <c r="A5" s="38">
        <v>1</v>
      </c>
      <c r="B5" s="82" t="s">
        <v>429</v>
      </c>
      <c r="C5" s="45">
        <v>12682963.09</v>
      </c>
      <c r="D5" s="45">
        <f>'prosinac 2009.(12)'!AE161</f>
        <v>17582281.199999999</v>
      </c>
      <c r="E5" s="49">
        <f>IF(C5&gt;0,D5/C5,0)</f>
        <v>1.3862912850280951</v>
      </c>
      <c r="F5" s="24"/>
      <c r="I5" s="23"/>
      <c r="K5" s="23"/>
    </row>
    <row r="6" spans="1:11" x14ac:dyDescent="0.2">
      <c r="A6" s="31">
        <v>2</v>
      </c>
      <c r="B6" s="83" t="s">
        <v>430</v>
      </c>
      <c r="C6" s="30">
        <v>6438781.7300000004</v>
      </c>
      <c r="D6" s="30">
        <f>'prosinac 2009.(12)'!AG161</f>
        <v>17116960.16</v>
      </c>
      <c r="E6" s="49">
        <f>IF(C6&gt;0,D6/C6,0)</f>
        <v>2.6584159671460084</v>
      </c>
      <c r="F6" s="24"/>
      <c r="I6" s="23"/>
      <c r="K6" s="23"/>
    </row>
    <row r="7" spans="1:11" x14ac:dyDescent="0.2">
      <c r="A7" s="32">
        <v>3</v>
      </c>
      <c r="B7" s="33" t="s">
        <v>190</v>
      </c>
      <c r="C7" s="29">
        <v>231126.71999999997</v>
      </c>
      <c r="D7" s="29">
        <f>'prosinac 2009.(12)'!AE225</f>
        <v>409389.23000000004</v>
      </c>
      <c r="E7" s="49">
        <f>IF(C7&gt;0,D7/C7,0)</f>
        <v>1.7712760774695375</v>
      </c>
      <c r="F7" s="24"/>
      <c r="I7" s="23"/>
      <c r="K7" s="23"/>
    </row>
    <row r="8" spans="1:11" x14ac:dyDescent="0.2">
      <c r="A8" s="31">
        <v>4</v>
      </c>
      <c r="B8" s="27" t="s">
        <v>191</v>
      </c>
      <c r="C8" s="30">
        <v>0</v>
      </c>
      <c r="D8" s="30">
        <v>0</v>
      </c>
      <c r="E8" s="49">
        <f>IF(C8&gt;0,D8/C8,0)</f>
        <v>0</v>
      </c>
      <c r="F8" s="25"/>
      <c r="I8" s="23"/>
      <c r="K8" s="23"/>
    </row>
    <row r="9" spans="1:11" x14ac:dyDescent="0.2">
      <c r="A9" s="32">
        <v>5</v>
      </c>
      <c r="B9" s="79" t="s">
        <v>436</v>
      </c>
      <c r="C9" s="29">
        <v>5741867.5500000007</v>
      </c>
      <c r="D9" s="29">
        <v>3349584.4000000004</v>
      </c>
      <c r="E9" s="49">
        <f>IF(C9&gt;0,D9/C9,0)</f>
        <v>0.58336148837149682</v>
      </c>
      <c r="F9" s="55"/>
      <c r="I9" s="23"/>
      <c r="K9" s="23"/>
    </row>
    <row r="10" spans="1:11" x14ac:dyDescent="0.2">
      <c r="A10" s="35">
        <v>6</v>
      </c>
      <c r="B10" s="36" t="s">
        <v>193</v>
      </c>
      <c r="C10" s="37">
        <v>3065267.9</v>
      </c>
      <c r="D10" s="37" t="e">
        <f>'prosinac 2009.(12)'!AE222</f>
        <v>#REF!</v>
      </c>
      <c r="E10" s="3718" t="e">
        <f>(D10+D11+D12+D13)/(C10+C11+C12+C13)</f>
        <v>#REF!</v>
      </c>
      <c r="F10" s="56" t="e">
        <f>D10/$G$14</f>
        <v>#REF!</v>
      </c>
      <c r="G10" s="85"/>
      <c r="I10" s="23"/>
      <c r="K10" s="23"/>
    </row>
    <row r="11" spans="1:11" x14ac:dyDescent="0.2">
      <c r="A11" s="32">
        <v>7</v>
      </c>
      <c r="B11" s="33" t="s">
        <v>194</v>
      </c>
      <c r="C11" s="37">
        <v>25900.881779508312</v>
      </c>
      <c r="D11" s="37" t="e">
        <f>SUM(#REF!)</f>
        <v>#REF!</v>
      </c>
      <c r="E11" s="3719"/>
      <c r="F11" s="56" t="e">
        <f>D11/$G$14</f>
        <v>#REF!</v>
      </c>
      <c r="G11" s="23">
        <f>'prosinac 2009.(12)'!AD222</f>
        <v>3065267.9</v>
      </c>
      <c r="I11" s="23"/>
      <c r="K11" s="23"/>
    </row>
    <row r="12" spans="1:11" x14ac:dyDescent="0.2">
      <c r="A12" s="32">
        <v>8</v>
      </c>
      <c r="B12" s="33" t="s">
        <v>195</v>
      </c>
      <c r="C12" s="37">
        <v>26229.17443827436</v>
      </c>
      <c r="D12" s="37" t="e">
        <f>SUM(#REF!)</f>
        <v>#REF!</v>
      </c>
      <c r="E12" s="3719"/>
      <c r="F12" s="56" t="e">
        <f>D12/$G$14</f>
        <v>#REF!</v>
      </c>
      <c r="G12" s="23" t="e">
        <f>'prosinac 2009.(12)'!AE222</f>
        <v>#REF!</v>
      </c>
      <c r="I12" s="23"/>
      <c r="K12" s="23"/>
    </row>
    <row r="13" spans="1:11" x14ac:dyDescent="0.2">
      <c r="A13" s="38">
        <v>9</v>
      </c>
      <c r="B13" s="39" t="s">
        <v>196</v>
      </c>
      <c r="C13" s="37">
        <v>0</v>
      </c>
      <c r="D13" s="37">
        <v>0</v>
      </c>
      <c r="E13" s="3720"/>
      <c r="F13" s="56" t="e">
        <f>D13/$G$14</f>
        <v>#REF!</v>
      </c>
      <c r="I13" s="23"/>
      <c r="K13" s="23"/>
    </row>
    <row r="14" spans="1:11" x14ac:dyDescent="0.2">
      <c r="A14" s="32">
        <v>10</v>
      </c>
      <c r="B14" s="33" t="s">
        <v>197</v>
      </c>
      <c r="C14" s="41">
        <v>1005391.9515810001</v>
      </c>
      <c r="D14" s="41">
        <f>'prosinac 2009.(12)'!AE224</f>
        <v>857929.72</v>
      </c>
      <c r="E14" s="49">
        <f t="shared" ref="E14:E25" si="0">IF(C14&gt;0,D14/C14,0)</f>
        <v>0.8533286134336836</v>
      </c>
      <c r="F14" s="57"/>
      <c r="G14" s="23" t="e">
        <f>SUM(D10:D13)</f>
        <v>#REF!</v>
      </c>
      <c r="I14" s="23"/>
      <c r="K14" s="23"/>
    </row>
    <row r="15" spans="1:11" x14ac:dyDescent="0.2">
      <c r="A15" s="35">
        <v>11</v>
      </c>
      <c r="B15" s="27" t="s">
        <v>198</v>
      </c>
      <c r="C15" s="41">
        <v>1471015.79</v>
      </c>
      <c r="D15" s="41" t="e">
        <f>'prosinac 2009.(12)'!AI228</f>
        <v>#REF!</v>
      </c>
      <c r="E15" s="49" t="e">
        <f t="shared" si="0"/>
        <v>#REF!</v>
      </c>
      <c r="F15" s="12"/>
      <c r="I15" s="23"/>
      <c r="K15" s="23"/>
    </row>
    <row r="16" spans="1:11" x14ac:dyDescent="0.2">
      <c r="A16" s="32">
        <v>12</v>
      </c>
      <c r="B16" s="33" t="s">
        <v>348</v>
      </c>
      <c r="C16" s="41">
        <v>2830710.85</v>
      </c>
      <c r="D16" s="41">
        <f>'prosinac 2009.(12)'!AE168+'prosinac 2009.(12)'!AE191+'prosinac 2009.(12)'!AE210</f>
        <v>2194375.58</v>
      </c>
      <c r="E16" s="49">
        <f t="shared" si="0"/>
        <v>0.7752030130523575</v>
      </c>
      <c r="F16" s="57"/>
      <c r="I16" s="23"/>
      <c r="K16" s="23"/>
    </row>
    <row r="17" spans="1:11" x14ac:dyDescent="0.2">
      <c r="A17" s="32">
        <v>13</v>
      </c>
      <c r="B17" s="48" t="s">
        <v>385</v>
      </c>
      <c r="C17" s="81">
        <v>707141.06</v>
      </c>
      <c r="D17" s="81">
        <v>175028.89</v>
      </c>
      <c r="E17" s="49">
        <f t="shared" si="0"/>
        <v>0.24751623106145187</v>
      </c>
      <c r="F17" s="12"/>
      <c r="I17" s="23"/>
      <c r="K17" s="23"/>
    </row>
    <row r="18" spans="1:11" x14ac:dyDescent="0.2">
      <c r="A18" s="38">
        <v>14</v>
      </c>
      <c r="B18" s="76" t="s">
        <v>386</v>
      </c>
      <c r="C18" s="42">
        <v>707141.06</v>
      </c>
      <c r="D18" s="42">
        <v>606242.09000000008</v>
      </c>
      <c r="E18" s="75">
        <f t="shared" si="0"/>
        <v>0.85731422525514223</v>
      </c>
      <c r="F18" s="12"/>
      <c r="I18" s="23"/>
      <c r="K18" s="23"/>
    </row>
    <row r="19" spans="1:11" x14ac:dyDescent="0.2">
      <c r="A19" s="32">
        <v>15</v>
      </c>
      <c r="B19" s="33" t="s">
        <v>219</v>
      </c>
      <c r="C19" s="41">
        <v>230098</v>
      </c>
      <c r="D19" s="41" t="e">
        <f>'prosinac 2009.(12)'!AE235</f>
        <v>#REF!</v>
      </c>
      <c r="E19" s="49" t="e">
        <f t="shared" si="0"/>
        <v>#REF!</v>
      </c>
      <c r="F19" s="12"/>
      <c r="I19" s="23"/>
      <c r="K19" s="23"/>
    </row>
    <row r="20" spans="1:11" x14ac:dyDescent="0.2">
      <c r="A20" s="32">
        <v>16</v>
      </c>
      <c r="B20" s="33" t="s">
        <v>380</v>
      </c>
      <c r="C20" s="41">
        <v>26474327</v>
      </c>
      <c r="D20" s="41">
        <f>'prosinac 2009.(12)'!AE236</f>
        <v>18173292.969999999</v>
      </c>
      <c r="E20" s="49">
        <f>D20/C20</f>
        <v>0.68644966763461068</v>
      </c>
      <c r="F20" s="12"/>
      <c r="I20" s="23"/>
      <c r="K20" s="23"/>
    </row>
    <row r="21" spans="1:11" x14ac:dyDescent="0.2">
      <c r="A21" s="32">
        <v>17</v>
      </c>
      <c r="B21" s="33" t="s">
        <v>199</v>
      </c>
      <c r="C21" s="41">
        <v>0</v>
      </c>
      <c r="D21" s="41">
        <v>0</v>
      </c>
      <c r="E21" s="49">
        <f t="shared" si="0"/>
        <v>0</v>
      </c>
      <c r="F21" s="12"/>
      <c r="I21" s="23"/>
      <c r="K21" s="23"/>
    </row>
    <row r="22" spans="1:11" x14ac:dyDescent="0.2">
      <c r="A22" s="38">
        <v>18</v>
      </c>
      <c r="B22" s="79" t="s">
        <v>422</v>
      </c>
      <c r="C22" s="41">
        <v>0</v>
      </c>
      <c r="D22" s="41">
        <v>0</v>
      </c>
      <c r="E22" s="49">
        <f t="shared" si="0"/>
        <v>0</v>
      </c>
      <c r="F22" s="12"/>
      <c r="I22" s="23"/>
      <c r="K22" s="23"/>
    </row>
    <row r="23" spans="1:11" x14ac:dyDescent="0.2">
      <c r="A23" s="38">
        <v>19</v>
      </c>
      <c r="B23" s="39" t="s">
        <v>200</v>
      </c>
      <c r="C23" s="41">
        <v>1805598.82</v>
      </c>
      <c r="D23" s="41">
        <v>1615926.82</v>
      </c>
      <c r="E23" s="49">
        <f t="shared" si="0"/>
        <v>0.89495340941793478</v>
      </c>
      <c r="F23" s="12"/>
      <c r="I23" s="23"/>
      <c r="K23" s="23"/>
    </row>
    <row r="24" spans="1:11" x14ac:dyDescent="0.2">
      <c r="A24" s="32">
        <v>20</v>
      </c>
      <c r="B24" s="33" t="s">
        <v>201</v>
      </c>
      <c r="C24" s="41">
        <v>1343924.45</v>
      </c>
      <c r="D24" s="41">
        <f>'prosinac 2009.(12)'!AE220</f>
        <v>906141.36</v>
      </c>
      <c r="E24" s="49">
        <f t="shared" si="0"/>
        <v>0.674250222919897</v>
      </c>
      <c r="F24" s="12"/>
      <c r="I24" s="23"/>
      <c r="K24" s="23"/>
    </row>
    <row r="25" spans="1:11" ht="13.5" thickBot="1" x14ac:dyDescent="0.25">
      <c r="A25" s="43">
        <v>21</v>
      </c>
      <c r="B25" s="28" t="s">
        <v>202</v>
      </c>
      <c r="C25" s="44">
        <v>13479029.5</v>
      </c>
      <c r="D25" s="44">
        <f>'prosinac 2009.(12)'!AE221</f>
        <v>28283.9</v>
      </c>
      <c r="E25" s="61">
        <f t="shared" si="0"/>
        <v>2.0983632389854181E-3</v>
      </c>
      <c r="F25" s="12"/>
      <c r="I25" s="23"/>
      <c r="K25" s="23"/>
    </row>
    <row r="26" spans="1:11" ht="27" customHeight="1" thickTop="1" thickBot="1" x14ac:dyDescent="0.25">
      <c r="A26" s="67"/>
      <c r="B26" s="11" t="s">
        <v>387</v>
      </c>
      <c r="C26" s="12">
        <f>C5+C6+C7+C8+C9+C14+C15+C16+C19+C17</f>
        <v>31339096.741581</v>
      </c>
      <c r="D26" s="74" t="e">
        <f>D5+D6+D7+D8+D9+D14+D15+D16+D19+D18</f>
        <v>#REF!</v>
      </c>
      <c r="E26" s="73"/>
      <c r="I26" s="23"/>
      <c r="K26" s="23"/>
    </row>
    <row r="27" spans="1:11" ht="27.75" customHeight="1" thickBot="1" x14ac:dyDescent="0.25">
      <c r="A27" s="66"/>
      <c r="B27" s="77" t="s">
        <v>425</v>
      </c>
      <c r="C27" s="13">
        <f>C5+C7+C8+C9+C10+C14+C15+C16+C19+C21+C23+C24+C25+C20+C22</f>
        <v>70361321.621581003</v>
      </c>
      <c r="D27" s="13" t="e">
        <f>D5+D7+D8+D9+D10+D14+D15+D16+D19+D21+D23+D24+D25+D20+D22</f>
        <v>#REF!</v>
      </c>
      <c r="E27" s="71"/>
      <c r="G27" s="59"/>
      <c r="I27" s="23"/>
      <c r="K27" s="23"/>
    </row>
    <row r="28" spans="1:11" ht="10.5" customHeight="1" x14ac:dyDescent="0.2">
      <c r="A28" s="14"/>
      <c r="B28" s="7"/>
      <c r="C28" s="19"/>
      <c r="D28" s="16"/>
      <c r="E28" s="17"/>
    </row>
    <row r="29" spans="1:11" ht="25.5" x14ac:dyDescent="0.2">
      <c r="A29" s="8" t="s">
        <v>185</v>
      </c>
      <c r="B29" s="8" t="s">
        <v>203</v>
      </c>
      <c r="C29" s="9" t="s">
        <v>204</v>
      </c>
      <c r="D29" s="9" t="s">
        <v>205</v>
      </c>
      <c r="E29" s="10" t="s">
        <v>189</v>
      </c>
    </row>
    <row r="30" spans="1:11" x14ac:dyDescent="0.2">
      <c r="A30" s="46">
        <v>1</v>
      </c>
      <c r="B30" s="84" t="s">
        <v>431</v>
      </c>
      <c r="C30" s="47">
        <f>'prosinac 2009.(12)'!W161</f>
        <v>25871458.75</v>
      </c>
      <c r="D30" s="47">
        <f>'prosinac 2009.(12)'!X161</f>
        <v>12155223.639999997</v>
      </c>
      <c r="E30" s="49">
        <f t="shared" ref="E30:E47" si="1">IF(C30&gt;0,D30/C30,0)</f>
        <v>0.46983139827784148</v>
      </c>
      <c r="F30" s="24"/>
      <c r="J30" s="23"/>
    </row>
    <row r="31" spans="1:11" x14ac:dyDescent="0.2">
      <c r="A31" s="32">
        <v>2</v>
      </c>
      <c r="B31" s="78" t="s">
        <v>432</v>
      </c>
      <c r="C31" s="29">
        <f>'prosinac 2009.(12)'!Y161</f>
        <v>11525296.359999999</v>
      </c>
      <c r="D31" s="29">
        <v>3489049.38</v>
      </c>
      <c r="E31" s="49">
        <f t="shared" si="1"/>
        <v>0.30272968876611173</v>
      </c>
      <c r="F31" s="24"/>
      <c r="J31" s="23"/>
    </row>
    <row r="32" spans="1:11" x14ac:dyDescent="0.2">
      <c r="A32" s="31">
        <v>3</v>
      </c>
      <c r="B32" s="50" t="s">
        <v>206</v>
      </c>
      <c r="C32" s="30">
        <f>'prosinac 2009.(12)'!AA233</f>
        <v>7551237.04</v>
      </c>
      <c r="D32" s="30">
        <v>7551237.04</v>
      </c>
      <c r="E32" s="49">
        <f t="shared" si="1"/>
        <v>1</v>
      </c>
      <c r="F32" s="24"/>
      <c r="J32" s="23"/>
    </row>
    <row r="33" spans="1:10" x14ac:dyDescent="0.2">
      <c r="A33" s="32">
        <v>4</v>
      </c>
      <c r="B33" s="78" t="s">
        <v>437</v>
      </c>
      <c r="C33" s="29">
        <f>'prosinac 2009.(12)'!AA230</f>
        <v>1776326.08</v>
      </c>
      <c r="D33" s="29">
        <v>4174381.6900000004</v>
      </c>
      <c r="E33" s="49">
        <f t="shared" si="1"/>
        <v>2.3500086707053245</v>
      </c>
      <c r="F33" s="24"/>
      <c r="J33" s="23"/>
    </row>
    <row r="34" spans="1:10" x14ac:dyDescent="0.2">
      <c r="A34" s="31">
        <v>5</v>
      </c>
      <c r="B34" s="50" t="s">
        <v>208</v>
      </c>
      <c r="C34" s="60">
        <v>0</v>
      </c>
      <c r="D34" s="60">
        <v>0</v>
      </c>
      <c r="E34" s="49">
        <f t="shared" si="1"/>
        <v>0</v>
      </c>
      <c r="F34" s="26"/>
      <c r="J34" s="23"/>
    </row>
    <row r="35" spans="1:10" x14ac:dyDescent="0.2">
      <c r="A35" s="32">
        <v>6</v>
      </c>
      <c r="B35" s="48" t="s">
        <v>209</v>
      </c>
      <c r="C35" s="60">
        <v>0</v>
      </c>
      <c r="D35" s="60">
        <v>0</v>
      </c>
      <c r="E35" s="49">
        <f t="shared" si="1"/>
        <v>0</v>
      </c>
      <c r="F35" s="26"/>
      <c r="J35" s="23"/>
    </row>
    <row r="36" spans="1:10" x14ac:dyDescent="0.2">
      <c r="A36" s="31">
        <v>7</v>
      </c>
      <c r="B36" s="50" t="s">
        <v>210</v>
      </c>
      <c r="C36" s="52">
        <f>'prosinac 2009.(12)'!AA228</f>
        <v>512718.88</v>
      </c>
      <c r="D36" s="52" t="e">
        <f>'prosinac 2009.(12)'!AB228</f>
        <v>#REF!</v>
      </c>
      <c r="E36" s="49" t="e">
        <f t="shared" si="1"/>
        <v>#REF!</v>
      </c>
      <c r="F36" s="24"/>
      <c r="J36" s="23"/>
    </row>
    <row r="37" spans="1:10" x14ac:dyDescent="0.2">
      <c r="A37" s="32">
        <v>8</v>
      </c>
      <c r="B37" s="48" t="s">
        <v>349</v>
      </c>
      <c r="C37" s="51">
        <v>2830783.1799999997</v>
      </c>
      <c r="D37" s="51">
        <v>2310406.2800000003</v>
      </c>
      <c r="E37" s="49">
        <f t="shared" si="1"/>
        <v>0.81617210965624021</v>
      </c>
      <c r="F37" s="24"/>
      <c r="J37" s="23"/>
    </row>
    <row r="38" spans="1:10" x14ac:dyDescent="0.2">
      <c r="A38" s="32">
        <v>9</v>
      </c>
      <c r="B38" s="48" t="s">
        <v>350</v>
      </c>
      <c r="C38" s="52">
        <v>707141.06</v>
      </c>
      <c r="D38" s="52">
        <v>606242.09000000008</v>
      </c>
      <c r="E38" s="49">
        <f t="shared" si="1"/>
        <v>0.85731422525514223</v>
      </c>
      <c r="F38" s="24"/>
      <c r="J38" s="23"/>
    </row>
    <row r="39" spans="1:10" x14ac:dyDescent="0.2">
      <c r="A39" s="32">
        <v>10</v>
      </c>
      <c r="B39" s="50" t="s">
        <v>383</v>
      </c>
      <c r="C39" s="51">
        <v>0</v>
      </c>
      <c r="D39" s="51">
        <v>0</v>
      </c>
      <c r="E39" s="49">
        <f t="shared" si="1"/>
        <v>0</v>
      </c>
      <c r="F39" s="24"/>
      <c r="J39" s="23"/>
    </row>
    <row r="40" spans="1:10" x14ac:dyDescent="0.2">
      <c r="A40" s="32">
        <v>11</v>
      </c>
      <c r="B40" s="48" t="s">
        <v>220</v>
      </c>
      <c r="C40" s="52">
        <v>636759.29999999993</v>
      </c>
      <c r="D40" s="52" t="e">
        <f>'prosinac 2009.(12)'!AB216</f>
        <v>#REF!</v>
      </c>
      <c r="E40" s="49" t="e">
        <f t="shared" si="1"/>
        <v>#REF!</v>
      </c>
      <c r="F40" s="24"/>
      <c r="J40" s="23"/>
    </row>
    <row r="41" spans="1:10" x14ac:dyDescent="0.2">
      <c r="A41" s="31">
        <v>12</v>
      </c>
      <c r="B41" s="50" t="s">
        <v>211</v>
      </c>
      <c r="C41" s="52">
        <v>242181.55</v>
      </c>
      <c r="D41" s="52" t="e">
        <f>'prosinac 2009.(12)'!X235</f>
        <v>#REF!</v>
      </c>
      <c r="E41" s="49" t="e">
        <f t="shared" si="1"/>
        <v>#REF!</v>
      </c>
      <c r="F41" s="24"/>
      <c r="J41" s="23"/>
    </row>
    <row r="42" spans="1:10" x14ac:dyDescent="0.2">
      <c r="A42" s="32">
        <v>15</v>
      </c>
      <c r="B42" s="48" t="s">
        <v>380</v>
      </c>
      <c r="C42" s="52">
        <v>26474327</v>
      </c>
      <c r="D42" s="52">
        <v>18173292.969999999</v>
      </c>
      <c r="E42" s="49">
        <f>D42/C42</f>
        <v>0.68644966763461068</v>
      </c>
      <c r="F42" s="24"/>
      <c r="J42" s="23"/>
    </row>
    <row r="43" spans="1:10" x14ac:dyDescent="0.2">
      <c r="A43" s="32">
        <v>16</v>
      </c>
      <c r="B43" s="48" t="s">
        <v>212</v>
      </c>
      <c r="C43" s="29">
        <v>2391964.04</v>
      </c>
      <c r="D43" s="29">
        <v>0</v>
      </c>
      <c r="E43" s="49">
        <f t="shared" si="1"/>
        <v>0</v>
      </c>
      <c r="F43" s="24"/>
      <c r="J43" s="23"/>
    </row>
    <row r="44" spans="1:10" x14ac:dyDescent="0.2">
      <c r="A44" s="32">
        <v>17</v>
      </c>
      <c r="B44" s="78" t="s">
        <v>420</v>
      </c>
      <c r="C44" s="29">
        <v>899073.63</v>
      </c>
      <c r="D44" s="29">
        <v>0</v>
      </c>
      <c r="E44" s="49">
        <f t="shared" si="1"/>
        <v>0</v>
      </c>
      <c r="F44" s="24"/>
      <c r="J44" s="23"/>
    </row>
    <row r="45" spans="1:10" x14ac:dyDescent="0.2">
      <c r="A45" s="31">
        <v>18</v>
      </c>
      <c r="B45" s="50" t="s">
        <v>213</v>
      </c>
      <c r="C45" s="29">
        <v>12729286.43</v>
      </c>
      <c r="D45" s="29">
        <v>0</v>
      </c>
      <c r="E45" s="49">
        <f t="shared" si="1"/>
        <v>0</v>
      </c>
      <c r="F45" s="24"/>
      <c r="J45" s="23"/>
    </row>
    <row r="46" spans="1:10" x14ac:dyDescent="0.2">
      <c r="A46" s="32">
        <v>19</v>
      </c>
      <c r="B46" s="48" t="s">
        <v>222</v>
      </c>
      <c r="C46" s="29">
        <v>9017388.1600000001</v>
      </c>
      <c r="D46" s="29">
        <v>9017388.1600000001</v>
      </c>
      <c r="E46" s="49">
        <f t="shared" si="1"/>
        <v>1</v>
      </c>
      <c r="F46" s="24"/>
      <c r="J46" s="23"/>
    </row>
    <row r="47" spans="1:10" ht="13.5" thickBot="1" x14ac:dyDescent="0.25">
      <c r="A47" s="43">
        <v>20</v>
      </c>
      <c r="B47" s="53" t="s">
        <v>221</v>
      </c>
      <c r="C47" s="54">
        <v>1805598.82</v>
      </c>
      <c r="D47" s="54">
        <v>1615926.82</v>
      </c>
      <c r="E47" s="58">
        <f t="shared" si="1"/>
        <v>0.89495340941793478</v>
      </c>
      <c r="F47" s="24"/>
      <c r="J47" s="23"/>
    </row>
    <row r="48" spans="1:10" ht="27" customHeight="1" thickTop="1" thickBot="1" x14ac:dyDescent="0.25">
      <c r="A48" s="62"/>
      <c r="B48" s="63" t="s">
        <v>381</v>
      </c>
      <c r="C48" s="64">
        <f>C30+C31+C32+C33+C36+C37+C40+C41+C39+C38</f>
        <v>51653902.199999996</v>
      </c>
      <c r="D48" s="72" t="e">
        <f>D30+D31+D32+D33+D36+D37+D40+D41+D39+D38</f>
        <v>#REF!</v>
      </c>
      <c r="E48" s="70"/>
      <c r="J48" s="23"/>
    </row>
    <row r="49" spans="1:10" s="5" customFormat="1" ht="27" customHeight="1" thickBot="1" x14ac:dyDescent="0.25">
      <c r="A49" s="66"/>
      <c r="B49" s="77" t="s">
        <v>419</v>
      </c>
      <c r="C49" s="13">
        <f>C30+C32+C33+C36+C37+C40+C41+C43+C45+C46+C47+C39+C42+C38+C44</f>
        <v>93446243.919999987</v>
      </c>
      <c r="D49" s="13" t="e">
        <f>D30+D32+D33+D36+D37+D40+D41+D43+D45+D46+D47+D39+D42+D38+D44</f>
        <v>#REF!</v>
      </c>
      <c r="E49" s="71"/>
      <c r="F49" s="4"/>
      <c r="G49" s="23"/>
      <c r="H49" s="3"/>
      <c r="I49"/>
      <c r="J49" s="23"/>
    </row>
    <row r="50" spans="1:10" ht="13.5" customHeight="1" thickBot="1" x14ac:dyDescent="0.25">
      <c r="A50" s="14"/>
      <c r="B50" s="7"/>
      <c r="C50" s="65"/>
      <c r="D50" s="16"/>
      <c r="E50" s="17"/>
    </row>
    <row r="51" spans="1:10" ht="16.5" customHeight="1" thickBot="1" x14ac:dyDescent="0.25">
      <c r="A51" s="3721" t="s">
        <v>384</v>
      </c>
      <c r="B51" s="3722"/>
      <c r="C51" s="13"/>
      <c r="D51" s="18" t="e">
        <f>D27-D49</f>
        <v>#REF!</v>
      </c>
      <c r="E51" s="17"/>
    </row>
    <row r="52" spans="1:10" ht="12" customHeight="1" thickBot="1" x14ac:dyDescent="0.25">
      <c r="A52" s="14"/>
      <c r="B52" s="15"/>
      <c r="C52" s="19"/>
      <c r="D52" s="19"/>
      <c r="E52" s="17"/>
    </row>
    <row r="53" spans="1:10" ht="15.75" customHeight="1" thickBot="1" x14ac:dyDescent="0.25">
      <c r="A53" s="3721" t="s">
        <v>326</v>
      </c>
      <c r="B53" s="3722"/>
      <c r="C53" s="3722"/>
      <c r="D53" s="18">
        <v>62210392.009999998</v>
      </c>
      <c r="E53" s="17"/>
    </row>
    <row r="54" spans="1:10" ht="12" customHeight="1" thickBot="1" x14ac:dyDescent="0.25">
      <c r="A54" s="14"/>
      <c r="B54" s="15"/>
      <c r="C54" s="19"/>
      <c r="D54" s="19"/>
      <c r="E54" s="17"/>
    </row>
    <row r="55" spans="1:10" ht="16.5" customHeight="1" thickBot="1" x14ac:dyDescent="0.25">
      <c r="A55" s="3723" t="s">
        <v>427</v>
      </c>
      <c r="B55" s="3722"/>
      <c r="C55" s="3722"/>
      <c r="D55" s="18" t="e">
        <f>D53+D51</f>
        <v>#REF!</v>
      </c>
      <c r="E55" s="17"/>
      <c r="F55" s="23">
        <v>59127608.689999998</v>
      </c>
      <c r="G55" s="23" t="e">
        <f>D55-F55</f>
        <v>#REF!</v>
      </c>
    </row>
    <row r="56" spans="1:10" ht="7.5" customHeight="1" x14ac:dyDescent="0.2">
      <c r="A56" s="14"/>
      <c r="B56" s="7"/>
      <c r="C56" s="19"/>
      <c r="D56" s="16"/>
      <c r="E56" s="17"/>
    </row>
    <row r="57" spans="1:10" ht="39" customHeight="1" x14ac:dyDescent="0.2">
      <c r="A57" s="14"/>
      <c r="B57" s="3724" t="s">
        <v>215</v>
      </c>
      <c r="C57" s="3725"/>
      <c r="D57" s="3724" t="s">
        <v>216</v>
      </c>
      <c r="E57" s="3724"/>
    </row>
    <row r="58" spans="1:10" x14ac:dyDescent="0.2">
      <c r="A58" s="14"/>
      <c r="B58" s="3714" t="s">
        <v>217</v>
      </c>
      <c r="C58" s="3714"/>
      <c r="D58" s="3714" t="s">
        <v>218</v>
      </c>
      <c r="E58" s="3714"/>
    </row>
    <row r="59" spans="1:10" ht="8.25" customHeight="1" x14ac:dyDescent="0.2">
      <c r="A59" s="14"/>
      <c r="B59" s="20"/>
      <c r="C59" s="22"/>
      <c r="D59" s="22"/>
      <c r="E59" s="21"/>
    </row>
    <row r="60" spans="1:10" x14ac:dyDescent="0.2">
      <c r="A60" s="20"/>
      <c r="D60" s="3716" t="s">
        <v>426</v>
      </c>
      <c r="E60" s="3716"/>
    </row>
  </sheetData>
  <mergeCells count="10">
    <mergeCell ref="B58:C58"/>
    <mergeCell ref="D58:E58"/>
    <mergeCell ref="D60:E60"/>
    <mergeCell ref="A1:E3"/>
    <mergeCell ref="E10:E13"/>
    <mergeCell ref="A51:B51"/>
    <mergeCell ref="A53:C53"/>
    <mergeCell ref="A55:C55"/>
    <mergeCell ref="B57:C57"/>
    <mergeCell ref="D57:E57"/>
  </mergeCells>
  <pageMargins left="0.59" right="0.23" top="0.22" bottom="0.31" header="0.13" footer="0.15"/>
  <pageSetup paperSize="9" scale="93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0"/>
  <sheetViews>
    <sheetView topLeftCell="A37" workbookViewId="0">
      <selection activeCell="D42" sqref="D42"/>
    </sheetView>
  </sheetViews>
  <sheetFormatPr defaultRowHeight="12.75" x14ac:dyDescent="0.2"/>
  <cols>
    <col min="1" max="1" width="4.7109375" customWidth="1"/>
    <col min="2" max="2" width="55.140625" customWidth="1"/>
    <col min="3" max="4" width="16.5703125" style="23" bestFit="1" customWidth="1"/>
    <col min="5" max="5" width="9.7109375" style="6" customWidth="1"/>
    <col min="6" max="6" width="17.85546875" style="3" customWidth="1"/>
    <col min="7" max="7" width="17.7109375" style="23" customWidth="1"/>
    <col min="8" max="8" width="13.7109375" style="3" customWidth="1"/>
    <col min="9" max="9" width="15.85546875" customWidth="1"/>
    <col min="10" max="10" width="15.28515625" customWidth="1"/>
    <col min="11" max="11" width="13.7109375" customWidth="1"/>
  </cols>
  <sheetData>
    <row r="1" spans="1:11" x14ac:dyDescent="0.2">
      <c r="A1" s="3717" t="s">
        <v>447</v>
      </c>
      <c r="B1" s="3717"/>
      <c r="C1" s="3717"/>
      <c r="D1" s="3717"/>
      <c r="E1" s="3717"/>
    </row>
    <row r="2" spans="1:11" x14ac:dyDescent="0.2">
      <c r="A2" s="3717"/>
      <c r="B2" s="3717"/>
      <c r="C2" s="3717"/>
      <c r="D2" s="3717"/>
      <c r="E2" s="3717"/>
    </row>
    <row r="3" spans="1:11" ht="26.25" customHeight="1" x14ac:dyDescent="0.2">
      <c r="A3" s="3717"/>
      <c r="B3" s="3717"/>
      <c r="C3" s="3717"/>
      <c r="D3" s="3717"/>
      <c r="E3" s="3717"/>
    </row>
    <row r="4" spans="1:11" ht="25.5" x14ac:dyDescent="0.2">
      <c r="A4" s="8" t="s">
        <v>185</v>
      </c>
      <c r="B4" s="8" t="s">
        <v>186</v>
      </c>
      <c r="C4" s="9" t="s">
        <v>187</v>
      </c>
      <c r="D4" s="9" t="s">
        <v>188</v>
      </c>
      <c r="E4" s="10" t="s">
        <v>189</v>
      </c>
    </row>
    <row r="5" spans="1:11" x14ac:dyDescent="0.2">
      <c r="A5" s="38">
        <v>1</v>
      </c>
      <c r="B5" s="82" t="s">
        <v>442</v>
      </c>
      <c r="C5" s="1295">
        <v>22728602.75</v>
      </c>
      <c r="D5" s="1295">
        <f>'prosinac 2009.(12)'!BK161</f>
        <v>17669869.68</v>
      </c>
      <c r="E5" s="49">
        <f>IF(C5&gt;0,D5/C5,0)</f>
        <v>0.77742877001095012</v>
      </c>
      <c r="F5" s="24"/>
      <c r="I5" s="23"/>
      <c r="K5" s="23"/>
    </row>
    <row r="6" spans="1:11" x14ac:dyDescent="0.2">
      <c r="A6" s="31">
        <v>2</v>
      </c>
      <c r="B6" s="83" t="s">
        <v>443</v>
      </c>
      <c r="C6" s="1290">
        <v>6671225.8200000003</v>
      </c>
      <c r="D6" s="1290">
        <v>18606390.760000002</v>
      </c>
      <c r="E6" s="49">
        <f>IF(C6&gt;0,D6/C6,0)</f>
        <v>2.7890512571496195</v>
      </c>
      <c r="F6" s="24"/>
      <c r="I6" s="23"/>
      <c r="K6" s="23"/>
    </row>
    <row r="7" spans="1:11" x14ac:dyDescent="0.2">
      <c r="A7" s="32">
        <v>3</v>
      </c>
      <c r="B7" s="33" t="s">
        <v>190</v>
      </c>
      <c r="C7" s="1289">
        <v>275938.93</v>
      </c>
      <c r="D7" s="1289">
        <v>449587.10000000003</v>
      </c>
      <c r="E7" s="49">
        <f>IF(C7&gt;0,D7/C7,0)</f>
        <v>1.6292992800979551</v>
      </c>
      <c r="F7" s="24"/>
      <c r="I7" s="23"/>
      <c r="K7" s="23"/>
    </row>
    <row r="8" spans="1:11" x14ac:dyDescent="0.2">
      <c r="A8" s="31">
        <v>4</v>
      </c>
      <c r="B8" s="27" t="s">
        <v>191</v>
      </c>
      <c r="C8" s="1290">
        <v>0</v>
      </c>
      <c r="D8" s="1290">
        <v>0</v>
      </c>
      <c r="E8" s="49">
        <f>IF(C8&gt;0,D8/C8,0)</f>
        <v>0</v>
      </c>
      <c r="F8" s="25"/>
      <c r="I8" s="23"/>
      <c r="K8" s="23"/>
    </row>
    <row r="9" spans="1:11" x14ac:dyDescent="0.2">
      <c r="A9" s="32">
        <v>5</v>
      </c>
      <c r="B9" s="79" t="s">
        <v>436</v>
      </c>
      <c r="C9" s="1289">
        <v>6851522.8200000003</v>
      </c>
      <c r="D9" s="1289">
        <v>3653831.7800000003</v>
      </c>
      <c r="E9" s="49">
        <f>IF(C9&gt;0,D9/C9,0)</f>
        <v>0.53328754438856263</v>
      </c>
      <c r="F9" s="55"/>
      <c r="I9" s="23"/>
      <c r="K9" s="23"/>
    </row>
    <row r="10" spans="1:11" x14ac:dyDescent="0.2">
      <c r="A10" s="35">
        <v>6</v>
      </c>
      <c r="B10" s="36" t="s">
        <v>193</v>
      </c>
      <c r="C10" s="1291">
        <v>3312667.6684798151</v>
      </c>
      <c r="D10" s="1291">
        <v>5534920.921085</v>
      </c>
      <c r="E10" s="3718">
        <f>(D10+D11+D12+D13)/(C10+C11+C12+C13)</f>
        <v>1.6708349508615146</v>
      </c>
      <c r="F10" s="56">
        <f>D10/$G$14</f>
        <v>0.98350501041858818</v>
      </c>
      <c r="G10" s="85"/>
      <c r="I10" s="23"/>
      <c r="K10" s="23"/>
    </row>
    <row r="11" spans="1:11" x14ac:dyDescent="0.2">
      <c r="A11" s="32">
        <v>7</v>
      </c>
      <c r="B11" s="33" t="s">
        <v>194</v>
      </c>
      <c r="C11" s="1291">
        <v>27013.89209252963</v>
      </c>
      <c r="D11" s="1291">
        <v>45135.755067000006</v>
      </c>
      <c r="E11" s="3719"/>
      <c r="F11" s="56">
        <f>D11/$G$14</f>
        <v>8.020212373462194E-3</v>
      </c>
      <c r="G11" s="23">
        <f>'prosinac 2009.(12)'!BJ222</f>
        <v>3368226.53</v>
      </c>
      <c r="I11" s="23"/>
      <c r="K11" s="23"/>
    </row>
    <row r="12" spans="1:11" x14ac:dyDescent="0.2">
      <c r="A12" s="32">
        <v>8</v>
      </c>
      <c r="B12" s="33" t="s">
        <v>195</v>
      </c>
      <c r="C12" s="1291">
        <v>28544.969427655371</v>
      </c>
      <c r="D12" s="1291">
        <v>47693.932591000004</v>
      </c>
      <c r="E12" s="3719"/>
      <c r="F12" s="56">
        <f>D12/$G$14</f>
        <v>8.4747772079496603E-3</v>
      </c>
      <c r="G12" s="23">
        <f>SUM(D10:D13)</f>
        <v>5627750.6087429998</v>
      </c>
      <c r="I12" s="23"/>
      <c r="K12" s="23"/>
    </row>
    <row r="13" spans="1:11" x14ac:dyDescent="0.2">
      <c r="A13" s="38">
        <v>9</v>
      </c>
      <c r="B13" s="39" t="s">
        <v>196</v>
      </c>
      <c r="C13" s="1291">
        <v>0</v>
      </c>
      <c r="D13" s="1291">
        <v>0</v>
      </c>
      <c r="E13" s="3720"/>
      <c r="F13" s="56">
        <f>D13/$G$14</f>
        <v>0</v>
      </c>
      <c r="I13" s="23"/>
      <c r="K13" s="23"/>
    </row>
    <row r="14" spans="1:11" x14ac:dyDescent="0.2">
      <c r="A14" s="32">
        <v>10</v>
      </c>
      <c r="B14" s="33" t="s">
        <v>197</v>
      </c>
      <c r="C14" s="1292">
        <v>1186613.7515810002</v>
      </c>
      <c r="D14" s="1292">
        <v>1052504.8312569999</v>
      </c>
      <c r="E14" s="49">
        <f t="shared" ref="E14:E25" si="0">IF(C14&gt;0,D14/C14,0)</f>
        <v>0.88698182526090019</v>
      </c>
      <c r="F14" s="57"/>
      <c r="G14" s="23">
        <f>SUM(D10:D13)</f>
        <v>5627750.6087429998</v>
      </c>
      <c r="I14" s="23"/>
      <c r="K14" s="23"/>
    </row>
    <row r="15" spans="1:11" x14ac:dyDescent="0.2">
      <c r="A15" s="35">
        <v>11</v>
      </c>
      <c r="B15" s="27" t="s">
        <v>198</v>
      </c>
      <c r="C15" s="1292">
        <v>1826051.6500000001</v>
      </c>
      <c r="D15" s="1292" t="e">
        <f>'prosinac 2009.(12)'!BK228</f>
        <v>#REF!</v>
      </c>
      <c r="E15" s="49" t="e">
        <f t="shared" si="0"/>
        <v>#REF!</v>
      </c>
      <c r="F15" s="12"/>
      <c r="I15" s="23"/>
      <c r="K15" s="23"/>
    </row>
    <row r="16" spans="1:11" x14ac:dyDescent="0.2">
      <c r="A16" s="32">
        <v>12</v>
      </c>
      <c r="B16" s="33" t="s">
        <v>348</v>
      </c>
      <c r="C16" s="1292">
        <v>3138402.85</v>
      </c>
      <c r="D16" s="1292">
        <v>2194375.58</v>
      </c>
      <c r="E16" s="49">
        <f t="shared" si="0"/>
        <v>0.69920137244331138</v>
      </c>
      <c r="F16" s="57"/>
      <c r="I16" s="23"/>
      <c r="K16" s="23"/>
    </row>
    <row r="17" spans="1:11" x14ac:dyDescent="0.2">
      <c r="A17" s="32">
        <v>13</v>
      </c>
      <c r="B17" s="48" t="s">
        <v>385</v>
      </c>
      <c r="C17" s="1292">
        <v>980945.37</v>
      </c>
      <c r="D17" s="1292">
        <v>980945.37</v>
      </c>
      <c r="E17" s="49">
        <f t="shared" si="0"/>
        <v>1</v>
      </c>
      <c r="F17" s="12"/>
      <c r="I17" s="23"/>
      <c r="K17" s="23"/>
    </row>
    <row r="18" spans="1:11" x14ac:dyDescent="0.2">
      <c r="A18" s="38">
        <v>14</v>
      </c>
      <c r="B18" s="76" t="s">
        <v>386</v>
      </c>
      <c r="C18" s="1293">
        <v>968941.6100000001</v>
      </c>
      <c r="D18" s="1293">
        <v>690800.57</v>
      </c>
      <c r="E18" s="75">
        <f t="shared" si="0"/>
        <v>0.71294344558079192</v>
      </c>
      <c r="F18" s="12"/>
      <c r="I18" s="23"/>
      <c r="K18" s="23"/>
    </row>
    <row r="19" spans="1:11" x14ac:dyDescent="0.2">
      <c r="A19" s="32">
        <v>15</v>
      </c>
      <c r="B19" s="33" t="s">
        <v>219</v>
      </c>
      <c r="C19" s="1292">
        <v>240098</v>
      </c>
      <c r="D19" s="1292">
        <v>154582.59999999998</v>
      </c>
      <c r="E19" s="49">
        <f t="shared" si="0"/>
        <v>0.64383126889853304</v>
      </c>
      <c r="F19" s="12"/>
      <c r="I19" s="23"/>
      <c r="K19" s="23"/>
    </row>
    <row r="20" spans="1:11" x14ac:dyDescent="0.2">
      <c r="A20" s="32">
        <v>16</v>
      </c>
      <c r="B20" s="33" t="s">
        <v>380</v>
      </c>
      <c r="C20" s="1292">
        <v>30224327</v>
      </c>
      <c r="D20" s="1292">
        <v>18173752.969999999</v>
      </c>
      <c r="E20" s="49">
        <f>D20/C20</f>
        <v>0.60129553819345583</v>
      </c>
      <c r="F20" s="12"/>
      <c r="I20" s="23"/>
      <c r="K20" s="23"/>
    </row>
    <row r="21" spans="1:11" x14ac:dyDescent="0.2">
      <c r="A21" s="32">
        <v>17</v>
      </c>
      <c r="B21" s="33" t="s">
        <v>199</v>
      </c>
      <c r="C21" s="1292">
        <v>0</v>
      </c>
      <c r="D21" s="1292">
        <v>0</v>
      </c>
      <c r="E21" s="49">
        <f t="shared" si="0"/>
        <v>0</v>
      </c>
      <c r="F21" s="12"/>
      <c r="I21" s="23"/>
      <c r="K21" s="23"/>
    </row>
    <row r="22" spans="1:11" x14ac:dyDescent="0.2">
      <c r="A22" s="38">
        <v>18</v>
      </c>
      <c r="B22" s="79" t="s">
        <v>422</v>
      </c>
      <c r="C22" s="1292">
        <v>0</v>
      </c>
      <c r="D22" s="1292">
        <v>0</v>
      </c>
      <c r="E22" s="49">
        <f t="shared" si="0"/>
        <v>0</v>
      </c>
      <c r="F22" s="12"/>
      <c r="I22" s="23"/>
      <c r="K22" s="23"/>
    </row>
    <row r="23" spans="1:11" x14ac:dyDescent="0.2">
      <c r="A23" s="38">
        <v>19</v>
      </c>
      <c r="B23" s="39" t="s">
        <v>200</v>
      </c>
      <c r="C23" s="1292">
        <v>1805598.82</v>
      </c>
      <c r="D23" s="1292">
        <v>1615926.82</v>
      </c>
      <c r="E23" s="49">
        <f t="shared" si="0"/>
        <v>0.89495340941793478</v>
      </c>
      <c r="F23" s="12"/>
      <c r="I23" s="23"/>
      <c r="K23" s="23"/>
    </row>
    <row r="24" spans="1:11" x14ac:dyDescent="0.2">
      <c r="A24" s="32">
        <v>20</v>
      </c>
      <c r="B24" s="33" t="s">
        <v>201</v>
      </c>
      <c r="C24" s="1292">
        <f>'prosinac 2009.(12)'!BN220</f>
        <v>4677125.5199999996</v>
      </c>
      <c r="D24" s="1292">
        <f>'prosinac 2009.(12)'!BO220</f>
        <v>3369469.92</v>
      </c>
      <c r="E24" s="49">
        <f t="shared" si="0"/>
        <v>0.72041468752371651</v>
      </c>
      <c r="F24" s="12"/>
      <c r="G24" s="6"/>
      <c r="I24" s="23"/>
      <c r="K24" s="23"/>
    </row>
    <row r="25" spans="1:11" ht="13.5" thickBot="1" x14ac:dyDescent="0.25">
      <c r="A25" s="43">
        <v>21</v>
      </c>
      <c r="B25" s="28" t="s">
        <v>202</v>
      </c>
      <c r="C25" s="1294">
        <f>'prosinac 2009.(12)'!BN221</f>
        <v>8726123.879999999</v>
      </c>
      <c r="D25" s="1294">
        <f>'prosinac 2009.(12)'!BO221</f>
        <v>4822287.790000001</v>
      </c>
      <c r="E25" s="61">
        <f t="shared" si="0"/>
        <v>0.55262655633992686</v>
      </c>
      <c r="F25" s="12"/>
      <c r="I25" s="23"/>
      <c r="K25" s="23"/>
    </row>
    <row r="26" spans="1:11" ht="27" customHeight="1" thickTop="1" thickBot="1" x14ac:dyDescent="0.25">
      <c r="A26" s="67"/>
      <c r="B26" s="11" t="s">
        <v>387</v>
      </c>
      <c r="C26" s="12">
        <f>C5+C6+C7+C8+C9+C14+C15+C16+C19+C17+C18</f>
        <v>44868343.551580995</v>
      </c>
      <c r="D26" s="12" t="e">
        <f>D5+D6+D7+D8+D9+D14+D15+D16+D19+D17+D18</f>
        <v>#REF!</v>
      </c>
      <c r="E26" s="73"/>
      <c r="I26" s="23"/>
      <c r="K26" s="23"/>
    </row>
    <row r="27" spans="1:11" ht="27.75" customHeight="1" thickBot="1" x14ac:dyDescent="0.25">
      <c r="A27" s="66"/>
      <c r="B27" s="77" t="s">
        <v>452</v>
      </c>
      <c r="C27" s="13">
        <f>C5+C7+C8+C9+C10+C14+C15+C16+C19+C21+C23+C24+C25+C20+C22+C11+C12+C13</f>
        <v>85048632.501580998</v>
      </c>
      <c r="D27" s="13" t="e">
        <f>D5+D7+D8+D9+D10+D14+D15+D16+D19+D21+D23+D24+D25+D20+D22+D11+D12+D13</f>
        <v>#REF!</v>
      </c>
      <c r="E27" s="71"/>
      <c r="G27" s="59"/>
      <c r="I27" s="23"/>
      <c r="K27" s="23"/>
    </row>
    <row r="28" spans="1:11" ht="10.5" customHeight="1" x14ac:dyDescent="0.2">
      <c r="A28" s="14"/>
      <c r="B28" s="7"/>
      <c r="C28" s="19"/>
      <c r="D28" s="16"/>
      <c r="E28" s="17"/>
    </row>
    <row r="29" spans="1:11" ht="25.5" x14ac:dyDescent="0.2">
      <c r="A29" s="8" t="s">
        <v>185</v>
      </c>
      <c r="B29" s="8" t="s">
        <v>203</v>
      </c>
      <c r="C29" s="9" t="s">
        <v>204</v>
      </c>
      <c r="D29" s="9" t="s">
        <v>205</v>
      </c>
      <c r="E29" s="10" t="s">
        <v>189</v>
      </c>
    </row>
    <row r="30" spans="1:11" x14ac:dyDescent="0.2">
      <c r="A30" s="46">
        <v>1</v>
      </c>
      <c r="B30" s="84" t="s">
        <v>444</v>
      </c>
      <c r="C30" s="1300">
        <v>31836281.779999997</v>
      </c>
      <c r="D30" s="1300">
        <f>'prosinac 2009.(12)'!BD161</f>
        <v>18230742.939999998</v>
      </c>
      <c r="E30" s="49">
        <f t="shared" ref="E30:E47" si="1">IF(C30&gt;0,D30/C30,0)</f>
        <v>0.57264045675876663</v>
      </c>
      <c r="F30" s="24"/>
      <c r="J30" s="23"/>
    </row>
    <row r="31" spans="1:11" x14ac:dyDescent="0.2">
      <c r="A31" s="32">
        <v>2</v>
      </c>
      <c r="B31" s="78" t="s">
        <v>445</v>
      </c>
      <c r="C31" s="1298">
        <v>16329240.379999999</v>
      </c>
      <c r="D31" s="1298">
        <v>3489049.38</v>
      </c>
      <c r="E31" s="49">
        <f t="shared" si="1"/>
        <v>0.2136688112126377</v>
      </c>
      <c r="F31" s="24"/>
      <c r="J31" s="23"/>
    </row>
    <row r="32" spans="1:11" x14ac:dyDescent="0.2">
      <c r="A32" s="31">
        <v>3</v>
      </c>
      <c r="B32" s="50" t="s">
        <v>206</v>
      </c>
      <c r="C32" s="1299">
        <v>8107037.0099999998</v>
      </c>
      <c r="D32" s="1299">
        <v>10298613.48</v>
      </c>
      <c r="E32" s="49">
        <f t="shared" si="1"/>
        <v>1.270330142479515</v>
      </c>
      <c r="F32" s="24"/>
      <c r="J32" s="23"/>
    </row>
    <row r="33" spans="1:10" x14ac:dyDescent="0.2">
      <c r="A33" s="32">
        <v>4</v>
      </c>
      <c r="B33" s="78" t="s">
        <v>437</v>
      </c>
      <c r="C33" s="1298">
        <v>6393263.9800000004</v>
      </c>
      <c r="D33" s="1298">
        <v>5305313.45</v>
      </c>
      <c r="E33" s="49">
        <f t="shared" si="1"/>
        <v>0.8298286237822452</v>
      </c>
      <c r="F33" s="24"/>
      <c r="J33" s="23"/>
    </row>
    <row r="34" spans="1:10" x14ac:dyDescent="0.2">
      <c r="A34" s="31">
        <v>5</v>
      </c>
      <c r="B34" s="50" t="s">
        <v>208</v>
      </c>
      <c r="C34" s="1304">
        <v>0</v>
      </c>
      <c r="D34" s="1304">
        <v>0</v>
      </c>
      <c r="E34" s="49">
        <f t="shared" si="1"/>
        <v>0</v>
      </c>
      <c r="F34" s="26"/>
      <c r="J34" s="23"/>
    </row>
    <row r="35" spans="1:10" x14ac:dyDescent="0.2">
      <c r="A35" s="32">
        <v>6</v>
      </c>
      <c r="B35" s="48" t="s">
        <v>209</v>
      </c>
      <c r="C35" s="1304">
        <v>0</v>
      </c>
      <c r="D35" s="1304">
        <v>0</v>
      </c>
      <c r="E35" s="49">
        <f t="shared" si="1"/>
        <v>0</v>
      </c>
      <c r="F35" s="26"/>
      <c r="J35" s="23"/>
    </row>
    <row r="36" spans="1:10" x14ac:dyDescent="0.2">
      <c r="A36" s="31">
        <v>7</v>
      </c>
      <c r="B36" s="50" t="s">
        <v>210</v>
      </c>
      <c r="C36" s="1302">
        <v>640898.6</v>
      </c>
      <c r="D36" s="1302" t="e">
        <f>'prosinac 2009.(12)'!BH228</f>
        <v>#REF!</v>
      </c>
      <c r="E36" s="49" t="e">
        <f t="shared" si="1"/>
        <v>#REF!</v>
      </c>
      <c r="F36" s="24"/>
      <c r="J36" s="23"/>
    </row>
    <row r="37" spans="1:10" x14ac:dyDescent="0.2">
      <c r="A37" s="32">
        <v>8</v>
      </c>
      <c r="B37" s="48" t="s">
        <v>349</v>
      </c>
      <c r="C37" s="1301">
        <v>3138475.1799999997</v>
      </c>
      <c r="D37" s="1301">
        <v>2357857.5900000003</v>
      </c>
      <c r="E37" s="49">
        <f t="shared" si="1"/>
        <v>0.7512748882086111</v>
      </c>
      <c r="F37" s="24"/>
      <c r="J37" s="23"/>
    </row>
    <row r="38" spans="1:10" x14ac:dyDescent="0.2">
      <c r="A38" s="32">
        <v>9</v>
      </c>
      <c r="B38" s="48" t="s">
        <v>350</v>
      </c>
      <c r="C38" s="1302">
        <v>968941.6100000001</v>
      </c>
      <c r="D38" s="1302">
        <v>690800.57</v>
      </c>
      <c r="E38" s="49">
        <f t="shared" si="1"/>
        <v>0.71294344558079192</v>
      </c>
      <c r="F38" s="24"/>
      <c r="J38" s="23"/>
    </row>
    <row r="39" spans="1:10" x14ac:dyDescent="0.2">
      <c r="A39" s="32">
        <v>10</v>
      </c>
      <c r="B39" s="50" t="s">
        <v>383</v>
      </c>
      <c r="C39" s="1301">
        <v>0</v>
      </c>
      <c r="D39" s="1301">
        <v>0</v>
      </c>
      <c r="E39" s="49">
        <f t="shared" si="1"/>
        <v>0</v>
      </c>
      <c r="F39" s="24"/>
      <c r="J39" s="23"/>
    </row>
    <row r="40" spans="1:10" x14ac:dyDescent="0.2">
      <c r="A40" s="32">
        <v>11</v>
      </c>
      <c r="B40" s="48" t="s">
        <v>220</v>
      </c>
      <c r="C40" s="1302">
        <v>697299.40999999992</v>
      </c>
      <c r="D40" s="1302" t="e">
        <f>'prosinac 2009.(12)'!BH216</f>
        <v>#REF!</v>
      </c>
      <c r="E40" s="49" t="e">
        <f t="shared" si="1"/>
        <v>#REF!</v>
      </c>
      <c r="F40" s="24"/>
      <c r="J40" s="23"/>
    </row>
    <row r="41" spans="1:10" x14ac:dyDescent="0.2">
      <c r="A41" s="31">
        <v>12</v>
      </c>
      <c r="B41" s="50" t="s">
        <v>211</v>
      </c>
      <c r="C41" s="1302">
        <v>246635.31</v>
      </c>
      <c r="D41" s="1302">
        <v>171026.93</v>
      </c>
      <c r="E41" s="49">
        <f t="shared" si="1"/>
        <v>0.69344057020870209</v>
      </c>
      <c r="F41" s="24"/>
      <c r="J41" s="23"/>
    </row>
    <row r="42" spans="1:10" x14ac:dyDescent="0.2">
      <c r="A42" s="32">
        <v>15</v>
      </c>
      <c r="B42" s="48" t="s">
        <v>380</v>
      </c>
      <c r="C42" s="1302">
        <v>30224327</v>
      </c>
      <c r="D42" s="1302">
        <v>18173752.969999999</v>
      </c>
      <c r="E42" s="49">
        <f>D42/C42</f>
        <v>0.60129553819345583</v>
      </c>
      <c r="F42" s="24"/>
      <c r="J42" s="23"/>
    </row>
    <row r="43" spans="1:10" x14ac:dyDescent="0.2">
      <c r="A43" s="32">
        <v>16</v>
      </c>
      <c r="B43" s="48" t="s">
        <v>212</v>
      </c>
      <c r="C43" s="1298">
        <v>2391964.04</v>
      </c>
      <c r="D43" s="1298">
        <v>0</v>
      </c>
      <c r="E43" s="49">
        <f t="shared" si="1"/>
        <v>0</v>
      </c>
      <c r="F43" s="24"/>
      <c r="J43" s="23"/>
    </row>
    <row r="44" spans="1:10" x14ac:dyDescent="0.2">
      <c r="A44" s="32">
        <v>17</v>
      </c>
      <c r="B44" s="78" t="s">
        <v>420</v>
      </c>
      <c r="C44" s="1298">
        <v>1798147.26</v>
      </c>
      <c r="D44" s="1298">
        <v>0</v>
      </c>
      <c r="E44" s="49">
        <f t="shared" si="1"/>
        <v>0</v>
      </c>
      <c r="F44" s="24"/>
      <c r="J44" s="23"/>
    </row>
    <row r="45" spans="1:10" x14ac:dyDescent="0.2">
      <c r="A45" s="31">
        <v>18</v>
      </c>
      <c r="B45" s="50" t="s">
        <v>213</v>
      </c>
      <c r="C45" s="1298">
        <v>14547755.92</v>
      </c>
      <c r="D45" s="1298">
        <v>0</v>
      </c>
      <c r="E45" s="49">
        <f t="shared" si="1"/>
        <v>0</v>
      </c>
      <c r="F45" s="24"/>
      <c r="J45" s="23"/>
    </row>
    <row r="46" spans="1:10" x14ac:dyDescent="0.2">
      <c r="A46" s="32">
        <v>19</v>
      </c>
      <c r="B46" s="48" t="s">
        <v>222</v>
      </c>
      <c r="C46" s="1298">
        <v>9752140.5999999996</v>
      </c>
      <c r="D46" s="1298">
        <v>9017388.1600000001</v>
      </c>
      <c r="E46" s="49">
        <f t="shared" si="1"/>
        <v>0.92465731677412444</v>
      </c>
      <c r="F46" s="24"/>
      <c r="J46" s="23"/>
    </row>
    <row r="47" spans="1:10" ht="13.5" thickBot="1" x14ac:dyDescent="0.25">
      <c r="A47" s="43">
        <v>20</v>
      </c>
      <c r="B47" s="53" t="s">
        <v>221</v>
      </c>
      <c r="C47" s="1303">
        <v>1805598.82</v>
      </c>
      <c r="D47" s="1303">
        <v>1615926.82</v>
      </c>
      <c r="E47" s="58">
        <f t="shared" si="1"/>
        <v>0.89495340941793478</v>
      </c>
      <c r="F47" s="24"/>
      <c r="J47" s="23"/>
    </row>
    <row r="48" spans="1:10" ht="27" customHeight="1" thickTop="1" thickBot="1" x14ac:dyDescent="0.25">
      <c r="A48" s="62"/>
      <c r="B48" s="63" t="s">
        <v>381</v>
      </c>
      <c r="C48" s="64">
        <f>C30+C31+C32+C33+C36+C37+C40+C41+C39+C38</f>
        <v>68358073.25999999</v>
      </c>
      <c r="D48" s="72" t="e">
        <f>D30+D31+D32+D33+D36+D37+D40+D41+D39+D38</f>
        <v>#REF!</v>
      </c>
      <c r="E48" s="70"/>
      <c r="J48" s="23"/>
    </row>
    <row r="49" spans="1:10" s="5" customFormat="1" ht="27" customHeight="1" thickBot="1" x14ac:dyDescent="0.25">
      <c r="A49" s="66"/>
      <c r="B49" s="77" t="s">
        <v>419</v>
      </c>
      <c r="C49" s="13">
        <f>C30+C32+C33+C36+C37+C40+C41+C43+C45+C46+C47+C39+C42+C38+C44</f>
        <v>112548766.51999998</v>
      </c>
      <c r="D49" s="13" t="e">
        <f>D30+D32+D33+D36+D37+D40+D41+D43+D45+D46+D47+D39+D42+D38+D44</f>
        <v>#REF!</v>
      </c>
      <c r="E49" s="71"/>
      <c r="F49" s="4"/>
      <c r="G49" s="23"/>
      <c r="H49" s="3"/>
      <c r="I49"/>
      <c r="J49" s="23"/>
    </row>
    <row r="50" spans="1:10" ht="13.5" customHeight="1" thickBot="1" x14ac:dyDescent="0.25">
      <c r="A50" s="14"/>
      <c r="B50" s="7"/>
      <c r="C50" s="65"/>
      <c r="D50" s="16"/>
      <c r="E50" s="17"/>
    </row>
    <row r="51" spans="1:10" ht="16.5" customHeight="1" thickBot="1" x14ac:dyDescent="0.25">
      <c r="A51" s="3721" t="s">
        <v>384</v>
      </c>
      <c r="B51" s="3722"/>
      <c r="C51" s="13"/>
      <c r="D51" s="18" t="e">
        <f>D27-D49</f>
        <v>#REF!</v>
      </c>
      <c r="E51" s="17"/>
    </row>
    <row r="52" spans="1:10" ht="12" customHeight="1" thickBot="1" x14ac:dyDescent="0.25">
      <c r="A52" s="14"/>
      <c r="B52" s="15"/>
      <c r="C52" s="19"/>
      <c r="D52" s="19"/>
      <c r="E52" s="17"/>
    </row>
    <row r="53" spans="1:10" ht="15.75" customHeight="1" thickBot="1" x14ac:dyDescent="0.25">
      <c r="A53" s="3721" t="s">
        <v>326</v>
      </c>
      <c r="B53" s="3722"/>
      <c r="C53" s="3722"/>
      <c r="D53" s="18">
        <v>62210392.009999998</v>
      </c>
      <c r="E53" s="17"/>
    </row>
    <row r="54" spans="1:10" ht="12" customHeight="1" thickBot="1" x14ac:dyDescent="0.25">
      <c r="A54" s="14"/>
      <c r="B54" s="15"/>
      <c r="C54" s="19"/>
      <c r="D54" s="19"/>
      <c r="E54" s="17"/>
    </row>
    <row r="55" spans="1:10" ht="16.5" customHeight="1" thickBot="1" x14ac:dyDescent="0.25">
      <c r="A55" s="3723" t="s">
        <v>441</v>
      </c>
      <c r="B55" s="3722"/>
      <c r="C55" s="3722"/>
      <c r="D55" s="18" t="e">
        <f>D53+D51</f>
        <v>#REF!</v>
      </c>
      <c r="E55" s="17"/>
      <c r="F55" s="23">
        <f>'A4 srpanj'!F55</f>
        <v>57981150.359999999</v>
      </c>
      <c r="G55" s="23" t="e">
        <f>D55-F55</f>
        <v>#REF!</v>
      </c>
    </row>
    <row r="56" spans="1:10" ht="7.5" customHeight="1" x14ac:dyDescent="0.2">
      <c r="A56" s="14"/>
      <c r="B56" s="7"/>
      <c r="C56" s="19"/>
      <c r="D56" s="16"/>
      <c r="E56" s="17"/>
    </row>
    <row r="57" spans="1:10" ht="39" customHeight="1" x14ac:dyDescent="0.2">
      <c r="A57" s="14"/>
      <c r="B57" s="3724" t="s">
        <v>215</v>
      </c>
      <c r="C57" s="3725"/>
      <c r="D57" s="3724" t="s">
        <v>216</v>
      </c>
      <c r="E57" s="3724"/>
    </row>
    <row r="58" spans="1:10" x14ac:dyDescent="0.2">
      <c r="A58" s="14"/>
      <c r="B58" s="3714" t="s">
        <v>217</v>
      </c>
      <c r="C58" s="3714"/>
      <c r="D58" s="3714" t="s">
        <v>218</v>
      </c>
      <c r="E58" s="3714"/>
    </row>
    <row r="59" spans="1:10" ht="8.25" customHeight="1" x14ac:dyDescent="0.2">
      <c r="A59" s="14"/>
      <c r="B59" s="20"/>
      <c r="C59" s="22"/>
      <c r="D59" s="22"/>
      <c r="E59" s="21"/>
    </row>
    <row r="60" spans="1:10" x14ac:dyDescent="0.2">
      <c r="A60" s="20"/>
      <c r="D60" s="3715" t="s">
        <v>446</v>
      </c>
      <c r="E60" s="3716"/>
    </row>
  </sheetData>
  <mergeCells count="10">
    <mergeCell ref="B58:C58"/>
    <mergeCell ref="D58:E58"/>
    <mergeCell ref="D60:E60"/>
    <mergeCell ref="A1:E3"/>
    <mergeCell ref="E10:E13"/>
    <mergeCell ref="A51:B51"/>
    <mergeCell ref="A53:C53"/>
    <mergeCell ref="A55:C55"/>
    <mergeCell ref="B57:C57"/>
    <mergeCell ref="D57:E57"/>
  </mergeCells>
  <pageMargins left="0.59" right="0.23" top="0.22" bottom="0.31" header="0.13" footer="0.15"/>
  <pageSetup paperSize="9" scale="9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13</vt:i4>
      </vt:variant>
    </vt:vector>
  </HeadingPairs>
  <TitlesOfParts>
    <vt:vector size="28" baseType="lpstr">
      <vt:lpstr>prosinac 2009.(12)</vt:lpstr>
      <vt:lpstr>A4 srpanj</vt:lpstr>
      <vt:lpstr>A4 kolovoz</vt:lpstr>
      <vt:lpstr>A4 rujan</vt:lpstr>
      <vt:lpstr>A4 listopad</vt:lpstr>
      <vt:lpstr>A4 studeni</vt:lpstr>
      <vt:lpstr>A4 prosinac</vt:lpstr>
      <vt:lpstr>A4 (siječanj-lipanj)</vt:lpstr>
      <vt:lpstr>A4 (siječanj-srpanj)</vt:lpstr>
      <vt:lpstr>A4 (siječanj-kolovoz)</vt:lpstr>
      <vt:lpstr>A4 (siječanj-rujan)</vt:lpstr>
      <vt:lpstr>A4 (siječanj-listopad) </vt:lpstr>
      <vt:lpstr>A4 (siječanj-studeni)</vt:lpstr>
      <vt:lpstr>neprodano</vt:lpstr>
      <vt:lpstr>rebalans</vt:lpstr>
      <vt:lpstr>'A4 (siječanj-kolovoz)'!Print_Area</vt:lpstr>
      <vt:lpstr>'A4 (siječanj-listopad) '!Print_Area</vt:lpstr>
      <vt:lpstr>'A4 (siječanj-rujan)'!Print_Area</vt:lpstr>
      <vt:lpstr>'A4 (siječanj-studeni)'!Print_Area</vt:lpstr>
      <vt:lpstr>'A4 kolovoz'!Print_Area</vt:lpstr>
      <vt:lpstr>'A4 listopad'!Print_Area</vt:lpstr>
      <vt:lpstr>'A4 prosinac'!Print_Area</vt:lpstr>
      <vt:lpstr>'A4 rujan'!Print_Area</vt:lpstr>
      <vt:lpstr>'A4 studeni'!Print_Area</vt:lpstr>
      <vt:lpstr>neprodano!Print_Area</vt:lpstr>
      <vt:lpstr>'prosinac 2009.(12)'!Print_Area</vt:lpstr>
      <vt:lpstr>rebalans!Print_Area</vt:lpstr>
      <vt:lpstr>neprodano!Print_Titles</vt:lpstr>
    </vt:vector>
  </TitlesOfParts>
  <Company>EPSILON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Vrbetić</dc:creator>
  <cp:lastModifiedBy>Pavelić Marijana</cp:lastModifiedBy>
  <cp:lastPrinted>2023-09-25T13:57:05Z</cp:lastPrinted>
  <dcterms:created xsi:type="dcterms:W3CDTF">2009-01-20T06:57:59Z</dcterms:created>
  <dcterms:modified xsi:type="dcterms:W3CDTF">2025-09-15T08:57:43Z</dcterms:modified>
</cp:coreProperties>
</file>